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Ki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ources_Allowlist" sheetId="3" state="visible" r:id="rId3"/>
    <sheet xmlns:r="http://schemas.openxmlformats.org/officeDocument/2006/relationships" name="Segment_Rules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Feature_Taxonomy" sheetId="6" state="visible" r:id="rId6"/>
    <sheet xmlns:r="http://schemas.openxmlformats.org/officeDocument/2006/relationships" name="Input" sheetId="7" state="visible" r:id="rId7"/>
    <sheet xmlns:r="http://schemas.openxmlformats.org/officeDocument/2006/relationships" name="Claims_Current" sheetId="8" state="visible" r:id="rId8"/>
    <sheet xmlns:r="http://schemas.openxmlformats.org/officeDocument/2006/relationships" name="Metrics" sheetId="9" state="visible" r:id="rId9"/>
    <sheet xmlns:r="http://schemas.openxmlformats.org/officeDocument/2006/relationships" name="Tech_Dashboard" sheetId="10" state="visible" r:id="rId10"/>
    <sheet xmlns:r="http://schemas.openxmlformats.org/officeDocument/2006/relationships" name="Competitor_Detail" sheetId="11" state="visible" r:id="rId11"/>
    <sheet xmlns:r="http://schemas.openxmlformats.org/officeDocument/2006/relationships" name="Review_Queue" sheetId="12" state="visible" r:id="rId12"/>
    <sheet xmlns:r="http://schemas.openxmlformats.org/officeDocument/2006/relationships" name="Logs" sheetId="13" state="visible" r:id="rId13"/>
    <sheet xmlns:r="http://schemas.openxmlformats.org/officeDocument/2006/relationships" name="Scraper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Scripts" sheetId="16" state="visible" r:id="rId16"/>
    <sheet xmlns:r="http://schemas.openxmlformats.org/officeDocument/2006/relationships" name="Claim_Versions" sheetId="17" state="visible" r:id="rId17"/>
    <sheet xmlns:r="http://schemas.openxmlformats.org/officeDocument/2006/relationships" name="Evidence_Snapshots" sheetId="18" state="visible" r:id="rId18"/>
    <sheet xmlns:r="http://schemas.openxmlformats.org/officeDocument/2006/relationships" name="Events" sheetId="19" state="visible" r:id="rId19"/>
    <sheet xmlns:r="http://schemas.openxmlformats.org/officeDocument/2006/relationships" name="Alerts" sheetId="20" state="visible" r:id="rId20"/>
    <sheet xmlns:r="http://schemas.openxmlformats.org/officeDocument/2006/relationships" name="Self_Tests" sheetId="21" state="visible" r:id="rId21"/>
    <sheet xmlns:r="http://schemas.openxmlformats.org/officeDocument/2006/relationships" name="Macro_Install" sheetId="22" state="visible" r:id="rId22"/>
    <sheet xmlns:r="http://schemas.openxmlformats.org/officeDocument/2006/relationships" name="Run_Log" sheetId="23" state="visible" r:id="rId23"/>
    <sheet xmlns:r="http://schemas.openxmlformats.org/officeDocument/2006/relationships" name="Feature_Matrix" sheetId="24" state="visible" r:id="rId24"/>
  </sheets>
  <definedNames>
    <definedName name="BingSearchKey">Config!$B$4</definedName>
    <definedName name="SerpApiKey">Config!$B$5</definedName>
    <definedName name="SegmentId">Dashboard!$E$2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.0%"/>
  </numFmts>
  <fonts count="27">
    <font>
      <name val="Calibri"/>
      <family val="2"/>
      <color theme="1"/>
      <sz val="11"/>
      <scheme val="minor"/>
    </font>
    <font>
      <name val="Aptos Display"/>
      <b val="1"/>
      <color rgb="000B2E4A"/>
      <sz val="20"/>
    </font>
    <font>
      <name val="Aptos"/>
      <i val="1"/>
      <color rgb="006B7280"/>
      <sz val="11"/>
    </font>
    <font>
      <name val="Aptos"/>
      <b val="1"/>
      <color rgb="001A1A1A"/>
      <sz val="11"/>
    </font>
    <font>
      <name val="Aptos"/>
      <b val="1"/>
      <color rgb="00FFFFFF"/>
      <sz val="11"/>
    </font>
    <font>
      <name val="Aptos"/>
      <color rgb="001A1A1A"/>
      <sz val="11"/>
    </font>
    <font>
      <name val="Aptos"/>
      <color rgb="000000FF"/>
      <sz val="11"/>
    </font>
    <font>
      <name val="Aptos"/>
      <color rgb="006B7280"/>
      <sz val="10"/>
    </font>
    <font>
      <name val="Aptos"/>
      <color rgb="00008000"/>
      <sz val="11"/>
    </font>
    <font>
      <name val="Aptos"/>
      <color rgb="00800080"/>
      <sz val="11"/>
    </font>
    <font>
      <name val="Aptos Display"/>
      <b val="1"/>
      <color rgb="00FFFFFF"/>
      <sz val="18"/>
    </font>
    <font>
      <name val="Aptos"/>
      <b val="1"/>
      <color rgb="006B7280"/>
      <sz val="11"/>
    </font>
    <font>
      <name val="Aptos Display"/>
      <b val="1"/>
      <color rgb="000B2E4A"/>
      <sz val="18"/>
    </font>
    <font>
      <name val="Consolas"/>
      <color rgb="001A1A1A"/>
      <sz val="9"/>
    </font>
    <font>
      <name val="Aptos"/>
      <color rgb="00000000"/>
      <sz val="11"/>
    </font>
    <font>
      <name val="Aptos"/>
      <color rgb="00FFFFFF"/>
      <sz val="8"/>
    </font>
    <font>
      <name val="Aptos"/>
      <b val="1"/>
      <color rgb="000B1220"/>
      <sz val="12"/>
    </font>
    <font>
      <name val="Aptos"/>
      <b val="1"/>
      <color rgb="000B1220"/>
      <sz val="9"/>
    </font>
    <font>
      <name val="Aptos"/>
      <color rgb="000B1220"/>
      <sz val="10"/>
    </font>
    <font>
      <name val="Aptos"/>
      <b val="1"/>
      <color rgb="000B1220"/>
      <sz val="20"/>
    </font>
    <font>
      <name val="Aptos"/>
      <b val="1"/>
      <color rgb="000B1220"/>
      <sz val="18"/>
    </font>
    <font>
      <name val="Aptos"/>
      <color rgb="000B1220"/>
      <sz val="9"/>
    </font>
    <font>
      <name val="Aptos"/>
      <b val="1"/>
      <color rgb="000B1220"/>
      <sz val="16"/>
    </font>
    <font>
      <name val="Consolas"/>
      <color rgb="000B1220"/>
      <sz val="9"/>
    </font>
    <font>
      <name val="Aptos Display"/>
      <b val="1"/>
      <color rgb="000B2545"/>
      <sz val="18"/>
    </font>
    <font>
      <name val="Aptos"/>
      <b val="1"/>
      <color rgb="000B2545"/>
      <sz val="11"/>
    </font>
    <font>
      <name val="Aptos"/>
      <color rgb="000B2545"/>
      <sz val="11"/>
    </font>
  </fonts>
  <fills count="12">
    <fill>
      <patternFill/>
    </fill>
    <fill>
      <patternFill patternType="gray125"/>
    </fill>
    <fill>
      <patternFill patternType="solid">
        <fgColor rgb="000B2E4A"/>
      </patternFill>
    </fill>
    <fill>
      <patternFill patternType="solid">
        <fgColor rgb="001E9FB3"/>
      </patternFill>
    </fill>
    <fill>
      <patternFill patternType="solid">
        <fgColor rgb="00F2A900"/>
      </patternFill>
    </fill>
    <fill>
      <patternFill patternType="solid">
        <fgColor rgb="00F5F7FA"/>
      </patternFill>
    </fill>
    <fill>
      <patternFill patternType="solid">
        <fgColor rgb="00D0D7DE"/>
      </patternFill>
    </fill>
    <fill>
      <patternFill patternType="solid">
        <fgColor rgb="00DFF5E3"/>
      </patternFill>
    </fill>
    <fill>
      <patternFill patternType="solid">
        <fgColor rgb="00FFF7CC"/>
      </patternFill>
    </fill>
    <fill>
      <patternFill patternType="solid">
        <fgColor rgb="00FFFFFF"/>
      </patternFill>
    </fill>
    <fill>
      <patternFill patternType="solid">
        <fgColor rgb="00E8F2FD"/>
      </patternFill>
    </fill>
    <fill>
      <patternFill patternType="solid">
        <fgColor rgb="00F3F6FA"/>
      </patternFill>
    </fill>
  </fills>
  <borders count="1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 style="thin">
        <color rgb="00D0D7DE"/>
      </left>
      <right/>
      <top/>
      <bottom/>
      <diagonal/>
    </border>
    <border>
      <left/>
      <right style="thin">
        <color rgb="00D0D7DE"/>
      </right>
      <top/>
      <bottom/>
      <diagonal/>
    </border>
    <border>
      <left style="thin">
        <color rgb="00D0D7DE"/>
      </left>
      <right/>
      <top/>
      <bottom style="thin">
        <color rgb="00D0D7DE"/>
      </bottom>
      <diagonal/>
    </border>
    <border>
      <left/>
      <right/>
      <top/>
      <bottom style="thin">
        <color rgb="00D0D7DE"/>
      </bottom>
      <diagonal/>
    </border>
    <border>
      <left/>
      <right style="thin">
        <color rgb="00D0D7DE"/>
      </right>
      <top/>
      <bottom style="thin">
        <color rgb="00D0D7DE"/>
      </bottom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0" pivotButton="0" quotePrefix="0" xfId="0"/>
    <xf numFmtId="2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2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4" fillId="3" borderId="0" pivotButton="0" quotePrefix="0" xfId="0"/>
    <xf numFmtId="164" fontId="5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1" fontId="5" fillId="0" borderId="1" applyAlignment="1" pivotButton="0" quotePrefix="0" xfId="0">
      <alignment horizontal="left" vertical="top" wrapText="1"/>
    </xf>
    <xf numFmtId="0" fontId="10" fillId="2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8" fillId="0" borderId="0" pivotButton="0" quotePrefix="0" xfId="0"/>
    <xf numFmtId="2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top" wrapText="1"/>
    </xf>
    <xf numFmtId="165" fontId="0" fillId="0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2" fillId="9" borderId="1" applyAlignment="1" pivotButton="0" quotePrefix="0" xfId="0">
      <alignment horizontal="center" vertical="center" wrapText="1"/>
    </xf>
    <xf numFmtId="166" fontId="12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9" borderId="0" pivotButton="0" quotePrefix="0" xfId="0"/>
    <xf numFmtId="0" fontId="14" fillId="9" borderId="0" pivotButton="0" quotePrefix="0" xfId="0"/>
    <xf numFmtId="0" fontId="2" fillId="9" borderId="0" pivotButton="0" quotePrefix="0" xfId="0"/>
    <xf numFmtId="0" fontId="3" fillId="9" borderId="0" pivotButton="0" quotePrefix="0" xfId="0"/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4" fillId="2" borderId="1" pivotButton="0" quotePrefix="0" xfId="0"/>
    <xf numFmtId="0" fontId="14" fillId="3" borderId="1" pivotButton="0" quotePrefix="0" xfId="0"/>
    <xf numFmtId="0" fontId="14" fillId="4" borderId="1" pivotButton="0" quotePrefix="0" xfId="0"/>
    <xf numFmtId="0" fontId="14" fillId="5" borderId="1" pivotButton="0" quotePrefix="0" xfId="0"/>
    <xf numFmtId="0" fontId="14" fillId="6" borderId="1" pivotButton="0" quotePrefix="0" xfId="0"/>
    <xf numFmtId="0" fontId="6" fillId="9" borderId="0" pivotButton="0" quotePrefix="0" xfId="0"/>
    <xf numFmtId="2" fontId="6" fillId="9" borderId="0" pivotButton="0" quotePrefix="0" xfId="0"/>
    <xf numFmtId="0" fontId="14" fillId="9" borderId="1" applyAlignment="1" pivotButton="0" quotePrefix="0" xfId="0">
      <alignment horizontal="left" vertical="center" wrapText="1"/>
    </xf>
    <xf numFmtId="2" fontId="6" fillId="9" borderId="1" applyAlignment="1" pivotButton="0" quotePrefix="0" xfId="0">
      <alignment horizontal="right" vertical="center"/>
    </xf>
    <xf numFmtId="0" fontId="7" fillId="9" borderId="0" pivotButton="0" quotePrefix="0" xfId="0"/>
    <xf numFmtId="0" fontId="5" fillId="9" borderId="1" applyAlignment="1" pivotButton="0" quotePrefix="0" xfId="0">
      <alignment horizontal="left" vertical="top" wrapText="1"/>
    </xf>
    <xf numFmtId="164" fontId="6" fillId="9" borderId="1" applyAlignment="1" pivotButton="0" quotePrefix="0" xfId="0">
      <alignment horizontal="left" vertical="center" wrapText="1"/>
    </xf>
    <xf numFmtId="2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164" fontId="5" fillId="9" borderId="1" applyAlignment="1" pivotButton="0" quotePrefix="0" xfId="0">
      <alignment horizontal="left" vertical="top" wrapText="1"/>
    </xf>
    <xf numFmtId="2" fontId="5" fillId="9" borderId="1" applyAlignment="1" pivotButton="0" quotePrefix="0" xfId="0">
      <alignment horizontal="left" vertical="top" wrapText="1"/>
    </xf>
    <xf numFmtId="165" fontId="5" fillId="9" borderId="1" applyAlignment="1" pivotButton="0" quotePrefix="0" xfId="0">
      <alignment horizontal="left" vertical="top" wrapText="1"/>
    </xf>
    <xf numFmtId="164" fontId="5" fillId="9" borderId="0" pivotButton="0" quotePrefix="0" xfId="0"/>
    <xf numFmtId="0" fontId="5" fillId="9" borderId="0" pivotButton="0" quotePrefix="0" xfId="0"/>
    <xf numFmtId="2" fontId="5" fillId="9" borderId="0" pivotButton="0" quotePrefix="0" xfId="0"/>
    <xf numFmtId="1" fontId="5" fillId="9" borderId="1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/>
    </xf>
    <xf numFmtId="0" fontId="8" fillId="9" borderId="0" pivotButton="0" quotePrefix="0" xfId="0"/>
    <xf numFmtId="2" fontId="5" fillId="9" borderId="1" applyAlignment="1" pivotButton="0" quotePrefix="0" xfId="0">
      <alignment horizontal="left" vertical="center" wrapText="1"/>
    </xf>
    <xf numFmtId="2" fontId="5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166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left" vertical="center" wrapText="1"/>
    </xf>
    <xf numFmtId="165" fontId="14" fillId="9" borderId="0" pivotButton="0" quotePrefix="0" xfId="0"/>
    <xf numFmtId="0" fontId="14" fillId="9" borderId="4" pivotButton="0" quotePrefix="0" xfId="0"/>
    <xf numFmtId="0" fontId="14" fillId="9" borderId="5" pivotButton="0" quotePrefix="0" xfId="0"/>
    <xf numFmtId="0" fontId="14" fillId="9" borderId="2" pivotButton="0" quotePrefix="0" xfId="0"/>
    <xf numFmtId="0" fontId="14" fillId="9" borderId="3" pivotButton="0" quotePrefix="0" xfId="0"/>
    <xf numFmtId="0" fontId="14" fillId="9" borderId="8" pivotButton="0" quotePrefix="0" xfId="0"/>
    <xf numFmtId="0" fontId="14" fillId="9" borderId="9" pivotButton="0" quotePrefix="0" xfId="0"/>
    <xf numFmtId="0" fontId="14" fillId="9" borderId="10" pivotButton="0" quotePrefix="0" xfId="0"/>
    <xf numFmtId="0" fontId="5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15" fillId="9" borderId="0" pivotButton="0" quotePrefix="0" xfId="0"/>
    <xf numFmtId="0" fontId="16" fillId="3" borderId="0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9" borderId="11" applyAlignment="1" pivotButton="0" quotePrefix="0" xfId="0">
      <alignment horizontal="left" vertical="center" wrapText="1"/>
    </xf>
    <xf numFmtId="165" fontId="18" fillId="9" borderId="11" applyAlignment="1" pivotButton="0" quotePrefix="0" xfId="0">
      <alignment horizontal="left" vertical="center" wrapText="1"/>
    </xf>
    <xf numFmtId="0" fontId="19" fillId="9" borderId="11" applyAlignment="1" pivotButton="0" quotePrefix="0" xfId="0">
      <alignment horizontal="left" vertical="center" wrapText="1"/>
    </xf>
    <xf numFmtId="0" fontId="16" fillId="9" borderId="11" applyAlignment="1" pivotButton="0" quotePrefix="0" xfId="0">
      <alignment horizontal="left" vertical="center" wrapText="1"/>
    </xf>
    <xf numFmtId="166" fontId="18" fillId="9" borderId="11" applyAlignment="1" pivotButton="0" quotePrefix="0" xfId="0">
      <alignment horizontal="left" vertical="center" wrapText="1"/>
    </xf>
    <xf numFmtId="0" fontId="17" fillId="5" borderId="1" pivotButton="0" quotePrefix="0" xfId="0"/>
    <xf numFmtId="0" fontId="17" fillId="9" borderId="1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top"/>
    </xf>
    <xf numFmtId="0" fontId="18" fillId="5" borderId="1" applyAlignment="1" pivotButton="0" quotePrefix="0" xfId="0">
      <alignment horizontal="left" vertical="center" wrapText="1"/>
    </xf>
    <xf numFmtId="2" fontId="18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/>
    </xf>
    <xf numFmtId="9" fontId="20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bottom" wrapText="1"/>
    </xf>
    <xf numFmtId="2" fontId="18" fillId="9" borderId="1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right" vertical="center" wrapText="1"/>
    </xf>
    <xf numFmtId="0" fontId="22" fillId="9" borderId="11" applyAlignment="1" pivotButton="0" quotePrefix="0" xfId="0">
      <alignment horizontal="left" vertical="center" wrapText="1"/>
    </xf>
    <xf numFmtId="0" fontId="23" fillId="9" borderId="11" applyAlignment="1" pivotButton="0" quotePrefix="0" xfId="0">
      <alignment horizontal="left" vertical="top" wrapText="1"/>
    </xf>
    <xf numFmtId="0" fontId="20" fillId="9" borderId="1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3" fillId="9" borderId="11" applyAlignment="1" pivotButton="0" quotePrefix="0" xfId="0">
      <alignment horizontal="left" vertical="center" wrapText="1"/>
    </xf>
    <xf numFmtId="0" fontId="25" fillId="9" borderId="0" pivotButton="0" quotePrefix="0" xfId="0"/>
    <xf numFmtId="0" fontId="26" fillId="9" borderId="0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left" vertical="center"/>
    </xf>
    <xf numFmtId="0" fontId="25" fillId="11" borderId="12" applyAlignment="1" pivotButton="0" quotePrefix="0" xfId="0">
      <alignment horizontal="center" vertical="center" wrapText="1"/>
    </xf>
    <xf numFmtId="0" fontId="26" fillId="9" borderId="12" applyAlignment="1" pivotButton="0" quotePrefix="0" xfId="0">
      <alignment horizontal="left" vertical="top" wrapText="1"/>
    </xf>
    <xf numFmtId="0" fontId="24" fillId="9" borderId="0" pivotButton="0" quotePrefix="0" xfId="0"/>
    <xf numFmtId="0" fontId="26" fillId="9" borderId="0" applyAlignment="1" pivotButton="0" quotePrefix="0" xfId="0">
      <alignment horizontal="left" vertical="top" wrapText="1"/>
    </xf>
    <xf numFmtId="0" fontId="4" fillId="9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14" fillId="9" borderId="1" pivotButton="0" quotePrefix="0" xfId="0"/>
    <xf numFmtId="0" fontId="25" fillId="9" borderId="12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0" fillId="9" borderId="0" pivotButton="0" quotePrefix="0" xfId="0"/>
    <xf numFmtId="0" fontId="16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top" wrapText="1"/>
    </xf>
    <xf numFmtId="0" fontId="17" fillId="9" borderId="1" pivotButton="0" quotePrefix="0" xfId="0"/>
    <xf numFmtId="0" fontId="17" fillId="9" borderId="1" applyAlignment="1" pivotButton="0" quotePrefix="0" xfId="0">
      <alignment horizontal="left" vertical="top"/>
    </xf>
    <xf numFmtId="2" fontId="18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/>
    </xf>
    <xf numFmtId="9" fontId="20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bottom" wrapText="1"/>
    </xf>
    <xf numFmtId="0" fontId="26" fillId="9" borderId="1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DE2E2"/>
        </patternFill>
      </fill>
    </dxf>
    <dxf>
      <fill>
        <patternFill patternType="solid">
          <fgColor rgb="00FFF7CC"/>
        </patternFill>
      </fill>
    </dxf>
    <dxf>
      <fill>
        <patternFill patternType="solid">
          <fgColor rgb="00DCEBFF"/>
        </patternFill>
      </fill>
    </dxf>
    <dxf>
      <fill>
        <patternFill patternType="solid">
          <fgColor rgb="00DF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Evidence Tier Mix</a:t>
            </a:r>
          </a:p>
        </rich>
      </tx>
    </title>
    <plotArea>
      <pieChart>
        <varyColors val="1"/>
        <ser>
          <idx val="0"/>
          <order val="0"/>
          <tx>
            <strRef>
              <f>'Tech_Dashboard'!B15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'Tech_Dashboard'!$A$16:$A$18</f>
            </numRef>
          </cat>
          <val>
            <numRef>
              <f>'Tech_Dashboard'!$B$16:$B$18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'Tech_Dashboard'!B23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'Tech_Dashboard'!$A$24:$A$26</f>
            </numRef>
          </cat>
          <val>
            <numRef>
              <f>'Tech_Dashboard'!$B$24:$B$26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Threat Score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'Dashboard'!$A$26:$A$35</f>
            </numRef>
          </cat>
          <val>
            <numRef>
              <f>'Dashboard'!$B$26:$B$35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Threat vs Opportunity</a:t>
            </a:r>
          </a:p>
        </rich>
      </tx>
    </title>
    <plotArea>
      <scatterChart>
        <ser>
          <idx val="0"/>
          <order val="0"/>
          <tx>
            <v>Competitors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'Dashboard'!$B$40:$B$69</f>
            </numRef>
          </xVal>
          <yVal>
            <numRef>
              <f>'Dashboard'!$C$40:$C$69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Threat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Opportunity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1.pn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476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17</col>
      <colOff>0</colOff>
      <row>0</row>
      <rowOff>0</rowOff>
    </from>
    <ext cx="13335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0</row>
      <rowOff>0</rowOff>
    </from>
    <ext cx="1333500" cy="409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3</col>
      <colOff>0</colOff>
      <row>23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</row>
      <rowOff>0</rowOff>
    </from>
    <ext cx="190500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17</col>
      <colOff>0</colOff>
      <row>0</row>
      <rowOff>0</rowOff>
    </from>
    <ext cx="1333500" cy="409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SourcesAllowlist" displayName="tblSourcesAllowlist" ref="A4:H9" headerRowCount="1">
  <autoFilter ref="A4:H9"/>
  <tableColumns count="8">
    <tableColumn id="1" name="source_key"/>
    <tableColumn id="2" name="tier"/>
    <tableColumn id="3" name="domain"/>
    <tableColumn id="4" name="allow_path_prefix"/>
    <tableColumn id="5" name="deny_path_prefix"/>
    <tableColumn id="6" name="enabled"/>
    <tableColumn id="7" name="license_notes"/>
    <tableColumn id="8" name="ow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SegmentRules" displayName="tblSegmentRules" ref="A4:H5" headerRowCount="1">
  <autoFilter ref="A4:H5"/>
  <tableColumns count="8">
    <tableColumn id="1" name="segment_id"/>
    <tableColumn id="2" name="segment_name"/>
    <tableColumn id="3" name="revenue_min_usd"/>
    <tableColumn id="4" name="revenue_max_usd"/>
    <tableColumn id="5" name="practice_size_min"/>
    <tableColumn id="6" name="practice_size_max"/>
    <tableColumn id="7" name="region_includes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FieldDictionary" displayName="tblFieldDictionary" ref="A4:I11" headerRowCount="1">
  <autoFilter ref="A4:I11"/>
  <tableColumns count="9">
    <tableColumn id="1" name="field_key"/>
    <tableColumn id="2" name="category"/>
    <tableColumn id="3" name="value_type"/>
    <tableColumn id="4" name="units"/>
    <tableColumn id="5" name="min_confidence"/>
    <tableColumn id="6" name="requires_tier1"/>
    <tableColumn id="7" name="promotion_rule"/>
    <tableColumn id="8" name="example_source"/>
    <tableColumn id="9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FeatureTaxonomy" displayName="tblFeatureTaxonomy" ref="A4:E204" headerRowCount="1">
  <autoFilter ref="A4:E204"/>
  <tableColumns count="5">
    <tableColumn id="1" name="feature_id"/>
    <tableColumn id="2" name="feature_name"/>
    <tableColumn id="3" name="category"/>
    <tableColumn id="4" name="synonyms_csv"/>
    <tableColumn id="5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Entities" displayName="tblEntities" ref="A6:L12" headerRowCount="1">
  <autoFilter ref="A6:L12"/>
  <tableColumns count="12">
    <tableColumn id="1" name="entity_id"/>
    <tableColumn id="2" name="canonical_name"/>
    <tableColumn id="3" name="domain"/>
    <tableColumn id="4" name="vertical"/>
    <tableColumn id="5" name="region"/>
    <tableColumn id="6" name="segment_id"/>
    <tableColumn id="7" name="discovered_via"/>
    <tableColumn id="8" name="discovered_at"/>
    <tableColumn id="9" name="status"/>
    <tableColumn id="10" name="hq_city"/>
    <tableColumn id="11" name="hq_state"/>
    <tableColumn id="12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Evidence" displayName="tblEvidence" ref="A17:K22" headerRowCount="1">
  <autoFilter ref="A17:I22"/>
  <tableColumns count="11">
    <tableColumn id="1" name="evidence_id"/>
    <tableColumn id="2" name="entity_id"/>
    <tableColumn id="3" name="source_key"/>
    <tableColumn id="4" name="tier"/>
    <tableColumn id="5" name="url"/>
    <tableColumn id="6" name="fetched_at"/>
    <tableColumn id="7" name="snippet"/>
    <tableColumn id="8" name="content_hash"/>
    <tableColumn id="9" name="text_hash"/>
    <tableColumn id="10" name="domain_calc"/>
    <tableColumn id="11" name="allowlist_o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laimCandidates" displayName="tblClaimCandidates" ref="A27:Q36" headerRowCount="1">
  <autoFilter ref="A27:N36"/>
  <tableColumns count="17">
    <tableColumn id="1" name="candidate_id"/>
    <tableColumn id="2" name="entity_id"/>
    <tableColumn id="3" name="segment_id"/>
    <tableColumn id="4" name="field_key"/>
    <tableColumn id="5" name="value_text"/>
    <tableColumn id="6" name="value_num"/>
    <tableColumn id="7" name="units"/>
    <tableColumn id="8" name="confidence"/>
    <tableColumn id="9" name="evidence_id"/>
    <tableColumn id="10" name="span_start"/>
    <tableColumn id="11" name="span_end"/>
    <tableColumn id="12" name="tier"/>
    <tableColumn id="13" name="status_final"/>
    <tableColumn id="14" name="status_manual"/>
    <tableColumn id="15" name="status_auto"/>
    <tableColumn id="16" name="auto_reason"/>
    <tableColumn id="17" name="reviewer_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ClaimsCurrent" displayName="tblClaimsCurrent" ref="A4:N46" headerRowCount="1">
  <autoFilter ref="A4:N46"/>
  <tableColumns count="14">
    <tableColumn id="1" name="entity_id"/>
    <tableColumn id="2" name="canonical_name"/>
    <tableColumn id="3" name="segment_id"/>
    <tableColumn id="4" name="field_key"/>
    <tableColumn id="5" name="value_text"/>
    <tableColumn id="6" name="value_num"/>
    <tableColumn id="7" name="units"/>
    <tableColumn id="8" name="confidence"/>
    <tableColumn id="9" name="evidence_id"/>
    <tableColumn id="10" name="evidence_url"/>
    <tableColumn id="11" name="tier"/>
    <tableColumn id="12" name="status"/>
    <tableColumn id="13" name="last_updated"/>
    <tableColumn id="14" name="explai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Metrics" displayName="tblMetrics" ref="A7:R57" headerRowCount="1">
  <autoFilter ref="A7:O57"/>
  <tableColumns count="18">
    <tableColumn id="1" name="entity_id"/>
    <tableColumn id="2" name="canonical_name"/>
    <tableColumn id="3" name="known_claims"/>
    <tableColumn id="4" name="unknown_claims"/>
    <tableColumn id="5" name="coverage_pct"/>
    <tableColumn id="6" name="avg_conf"/>
    <tableColumn id="7" name="acv_usd"/>
    <tableColumn id="8" name="acv_band"/>
    <tableColumn id="9" name="features_text"/>
    <tableColumn id="10" name="feature_count"/>
    <tableColumn id="11" name="segment_fit"/>
    <tableColumn id="12" name="funding_present"/>
    <tableColumn id="13" name="threat_score"/>
    <tableColumn id="14" name="opportunity_score"/>
    <tableColumn id="15" name="flags"/>
    <tableColumn id="16" name="segment_id"/>
    <tableColumn id="17" name="vertical"/>
    <tableColumn id="18" name="in_sco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ReviewQueue" displayName="tblReviewQueue" ref="A4:O7" headerRowCount="1">
  <autoFilter ref="A4:O7"/>
  <tableColumns count="15">
    <tableColumn id="1" name="task_id"/>
    <tableColumn id="2" name="created_at"/>
    <tableColumn id="3" name="task_type"/>
    <tableColumn id="4" name="priority"/>
    <tableColumn id="5" name="entity_id"/>
    <tableColumn id="6" name="canonical_name"/>
    <tableColumn id="7" name="field_key"/>
    <tableColumn id="8" name="value_text"/>
    <tableColumn id="9" name="value_num"/>
    <tableColumn id="10" name="confidence"/>
    <tableColumn id="11" name="evidence_id"/>
    <tableColumn id="12" name="evidence_url"/>
    <tableColumn id="13" name="reason"/>
    <tableColumn id="14" name="status"/>
    <tableColumn id="15" name="resolution_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Logs" displayName="tblLogs" ref="A5:I6" headerRowCount="1">
  <autoFilter ref="A5:I6"/>
  <tableColumns count="9">
    <tableColumn id="1" name="run_id"/>
    <tableColumn id="2" name="started_at"/>
    <tableColumn id="3" name="ended_at"/>
    <tableColumn id="4" name="mode"/>
    <tableColumn id="5" name="entities_imported"/>
    <tableColumn id="6" name="evidence_imported"/>
    <tableColumn id="7" name="claims_promoted"/>
    <tableColumn id="8" name="review_tasks_opened"/>
    <tableColumn id="9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ClaimVersions" displayName="tblClaimVersions" ref="A4:T204" headerRowCount="1">
  <autoFilter ref="A4:T204"/>
  <tableColumns count="20">
    <tableColumn id="1" name="version_id"/>
    <tableColumn id="2" name="claim_id"/>
    <tableColumn id="3" name="entity_id"/>
    <tableColumn id="4" name="field_key"/>
    <tableColumn id="5" name="value_type"/>
    <tableColumn id="6" name="value_num"/>
    <tableColumn id="7" name="value_text"/>
    <tableColumn id="8" name="value_bool"/>
    <tableColumn id="9" name="confidence"/>
    <tableColumn id="10" name="tier"/>
    <tableColumn id="11" name="evidence_id"/>
    <tableColumn id="12" name="evidence_url"/>
    <tableColumn id="13" name="span_start"/>
    <tableColumn id="14" name="span_end"/>
    <tableColumn id="15" name="snippet"/>
    <tableColumn id="16" name="segment_id"/>
    <tableColumn id="17" name="created_at_utc"/>
    <tableColumn id="18" name="created_by"/>
    <tableColumn id="19" name="reason"/>
    <tableColumn id="20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EvidenceSnapshots" displayName="tblEvidenceSnapshots" ref="A4:K204" headerRowCount="1">
  <autoFilter ref="A4:K204"/>
  <tableColumns count="11">
    <tableColumn id="1" name="snapshot_id"/>
    <tableColumn id="2" name="url"/>
    <tableColumn id="3" name="domain"/>
    <tableColumn id="4" name="source_key"/>
    <tableColumn id="5" name="entity_id"/>
    <tableColumn id="6" name="fetched_at_utc"/>
    <tableColumn id="7" name="http_status"/>
    <tableColumn id="8" name="content_hash"/>
    <tableColumn id="9" name="text_hash"/>
    <tableColumn id="10" name="text_len"/>
    <tableColumn id="11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Events" displayName="tblEvents" ref="A4:L204" headerRowCount="1">
  <autoFilter ref="A4:L204"/>
  <tableColumns count="12">
    <tableColumn id="1" name="event_id"/>
    <tableColumn id="2" name="event_type"/>
    <tableColumn id="3" name="severity"/>
    <tableColumn id="4" name="entity_id"/>
    <tableColumn id="5" name="url"/>
    <tableColumn id="6" name="detected_at_utc"/>
    <tableColumn id="7" name="prev_text_hash"/>
    <tableColumn id="8" name="new_text_hash"/>
    <tableColumn id="9" name="summary"/>
    <tableColumn id="10" name="evidence_id"/>
    <tableColumn id="11" name="review_task_id"/>
    <tableColumn id="12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Alerts" displayName="tblAlerts" ref="A4:I204" headerRowCount="1">
  <autoFilter ref="A4:I204"/>
  <tableColumns count="9">
    <tableColumn id="1" name="alert_id"/>
    <tableColumn id="2" name="rule_key"/>
    <tableColumn id="3" name="enabled"/>
    <tableColumn id="4" name="severity"/>
    <tableColumn id="5" name="scope"/>
    <tableColumn id="6" name="condition"/>
    <tableColumn id="7" name="message_template"/>
    <tableColumn id="8" name="last_fired_at_utc"/>
    <tableColumn id="9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blRunLog" displayName="tblRunLog" ref="A4:M204" headerRowCount="1">
  <autoFilter ref="A4:M204"/>
  <tableColumns count="13">
    <tableColumn id="1" name="run_id"/>
    <tableColumn id="2" name="started_at_utc"/>
    <tableColumn id="3" name="ended_at_utc"/>
    <tableColumn id="4" name="mode"/>
    <tableColumn id="5" name="status"/>
    <tableColumn id="6" name="discovered_candidates"/>
    <tableColumn id="7" name="evidence_fetched"/>
    <tableColumn id="8" name="candidates_written"/>
    <tableColumn id="9" name="promoted_versions"/>
    <tableColumn id="10" name="events_created"/>
    <tableColumn id="11" name="alerts_fired"/>
    <tableColumn id="12" name="unknowns_created"/>
    <tableColumn id="13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blFeatureMatrix" displayName="tblFeatureMatrix" ref="A3:U103" headerRowCount="1">
  <autoFilter ref="A3:U103"/>
  <tableColumns count="21">
    <tableColumn id="1" name="Competitor"/>
    <tableColumn id="2" name="=IFERROR(INDEX(Feature_Taxonomy!tblFeatureTaxonomy[feature_name],1),&quot;&quot;)"/>
    <tableColumn id="3" name="=IFERROR(INDEX(Feature_Taxonomy!tblFeatureTaxonomy[feature_name],2),&quot;&quot;)"/>
    <tableColumn id="4" name="=IFERROR(INDEX(Feature_Taxonomy!tblFeatureTaxonomy[feature_name],3),&quot;&quot;)"/>
    <tableColumn id="5" name="=IFERROR(INDEX(Feature_Taxonomy!tblFeatureTaxonomy[feature_name],4),&quot;&quot;)"/>
    <tableColumn id="6" name="=IFERROR(INDEX(Feature_Taxonomy!tblFeatureTaxonomy[feature_name],5),&quot;&quot;)"/>
    <tableColumn id="7" name="=IFERROR(INDEX(Feature_Taxonomy!tblFeatureTaxonomy[feature_name],6),&quot;&quot;)"/>
    <tableColumn id="8" name="=IFERROR(INDEX(Feature_Taxonomy!tblFeatureTaxonomy[feature_name],7),&quot;&quot;)"/>
    <tableColumn id="9" name="=IFERROR(INDEX(Feature_Taxonomy!tblFeatureTaxonomy[feature_name],8),&quot;&quot;)"/>
    <tableColumn id="10" name="=IFERROR(INDEX(Feature_Taxonomy!tblFeatureTaxonomy[feature_name],9),&quot;&quot;)"/>
    <tableColumn id="11" name="=IFERROR(INDEX(Feature_Taxonomy!tblFeatureTaxonomy[feature_name],10),&quot;&quot;)"/>
    <tableColumn id="12" name="=IFERROR(INDEX(Feature_Taxonomy!tblFeatureTaxonomy[feature_name],11),&quot;&quot;)"/>
    <tableColumn id="13" name="=IFERROR(INDEX(Feature_Taxonomy!tblFeatureTaxonomy[feature_name],12),&quot;&quot;)"/>
    <tableColumn id="14" name="=IFERROR(INDEX(Feature_Taxonomy!tblFeatureTaxonomy[feature_name],13),&quot;&quot;)"/>
    <tableColumn id="15" name="=IFERROR(INDEX(Feature_Taxonomy!tblFeatureTaxonomy[feature_name],14),&quot;&quot;)"/>
    <tableColumn id="16" name="=IFERROR(INDEX(Feature_Taxonomy!tblFeatureTaxonomy[feature_name],15),&quot;&quot;)"/>
    <tableColumn id="17" name="=IFERROR(INDEX(Feature_Taxonomy!tblFeatureTaxonomy[feature_name],16),&quot;&quot;)"/>
    <tableColumn id="18" name="=IFERROR(INDEX(Feature_Taxonomy!tblFeatureTaxonomy[feature_name],17),&quot;&quot;)"/>
    <tableColumn id="19" name="=IFERROR(INDEX(Feature_Taxonomy!tblFeatureTaxonomy[feature_name],18),&quot;&quot;)"/>
    <tableColumn id="20" name="=IFERROR(INDEX(Feature_Taxonomy!tblFeatureTaxonomy[feature_name],19),&quot;&quot;)"/>
    <tableColumn id="21" name="=IFERROR(INDEX(Feature_Taxonomy!tblFeatureTaxonomy[feature_name],20),&quot;&quot;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9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table" Target="/xl/tables/table10.xml" Id="rId2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table" Target="/xl/tables/table11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table" Target="/xl/tables/table12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Relationship Type="http://schemas.openxmlformats.org/officeDocument/2006/relationships/table" Target="/xl/tables/table13.xml" Id="rId2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Relationship Type="http://schemas.openxmlformats.org/officeDocument/2006/relationships/table" Target="/xl/tables/table14.xml" Id="rId2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Relationship Type="http://schemas.openxmlformats.org/officeDocument/2006/relationships/table" Target="/xl/tables/table15.xml" Id="rId2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Relationship Type="http://schemas.openxmlformats.org/officeDocument/2006/relationships/table" Target="/xl/tables/table16.xml" Id="rId2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Relationship Type="http://schemas.openxmlformats.org/officeDocument/2006/relationships/table" Target="/xl/tables/table1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" customWidth="1" min="3" max="3"/>
    <col width="14" customWidth="1" min="4" max="4"/>
    <col width="2" customWidth="1" min="5" max="5"/>
    <col width="60" customWidth="1" min="6" max="6"/>
  </cols>
  <sheetData>
    <row r="1">
      <c r="A1" s="65" t="inlineStr">
        <is>
          <t>Certify Intel v1 — Excel-Only (Brand Kit)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7" t="inlineStr">
        <is>
          <t>PLACEHOLDER BRANDING: Replace with official Certify Health assets (logo + hex colors).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8" t="inlineStr">
        <is>
          <t>Logo (placeholder):</t>
        </is>
      </c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146" t="inlineStr">
        <is>
          <t>Colors</t>
        </is>
      </c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147" t="inlineStr">
        <is>
          <t>Name</t>
        </is>
      </c>
      <c r="B13" s="147" t="inlineStr">
        <is>
          <t>Hex</t>
        </is>
      </c>
      <c r="C13" s="66" t="n"/>
      <c r="D13" s="147" t="inlineStr">
        <is>
          <t>Swatch</t>
        </is>
      </c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9" t="inlineStr">
        <is>
          <t>Primary</t>
        </is>
      </c>
      <c r="B14" s="70" t="inlineStr">
        <is>
          <t>#0B2E4A</t>
        </is>
      </c>
      <c r="C14" s="66" t="n"/>
      <c r="D14" s="148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9" t="inlineStr">
        <is>
          <t>Secondary</t>
        </is>
      </c>
      <c r="B15" s="70" t="inlineStr">
        <is>
          <t>#1E9FB3</t>
        </is>
      </c>
      <c r="C15" s="66" t="n"/>
      <c r="D15" s="148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9" t="inlineStr">
        <is>
          <t>Accent</t>
        </is>
      </c>
      <c r="B16" s="70" t="inlineStr">
        <is>
          <t>#F2A900</t>
        </is>
      </c>
      <c r="C16" s="66" t="n"/>
      <c r="D16" s="148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9" t="inlineStr">
        <is>
          <t>Background</t>
        </is>
      </c>
      <c r="B17" s="70" t="inlineStr">
        <is>
          <t>#F5F7FA</t>
        </is>
      </c>
      <c r="C17" s="66" t="n"/>
      <c r="D17" s="148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9" t="inlineStr">
        <is>
          <t>Border</t>
        </is>
      </c>
      <c r="B18" s="70" t="inlineStr">
        <is>
          <t>#D0D7DE</t>
        </is>
      </c>
      <c r="C18" s="66" t="n"/>
      <c r="D18" s="148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146" t="inlineStr">
        <is>
          <t>Typography</t>
        </is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9" t="inlineStr">
        <is>
          <t>Header Font</t>
        </is>
      </c>
      <c r="B21" s="70" t="inlineStr">
        <is>
          <t>Aptos Display</t>
        </is>
      </c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9" t="inlineStr">
        <is>
          <t>Body Font</t>
        </is>
      </c>
      <c r="B22" s="70" t="inlineStr">
        <is>
          <t>Aptos</t>
        </is>
      </c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" customWidth="1" min="3" max="3"/>
    <col width="30" customWidth="1" min="4" max="4"/>
    <col width="30" customWidth="1" min="5" max="5"/>
    <col width="30" customWidth="1" min="6" max="6"/>
  </cols>
  <sheetData>
    <row r="1">
      <c r="A1" s="146" t="inlineStr">
        <is>
          <t>Config (Inputs in BLUE)</t>
        </is>
      </c>
      <c r="B1" s="112" t="n"/>
      <c r="C1" s="112" t="n"/>
      <c r="D1" s="112" t="n"/>
      <c r="E1" s="112" t="n"/>
      <c r="F1" s="112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68" t="inlineStr">
        <is>
          <t>API Keys (optional; for autonomous competitor discovery via web search APIs)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66" t="inlineStr">
        <is>
          <t>Bing Search API Key</t>
        </is>
      </c>
      <c r="B4" s="76" t="inlineStr">
        <is>
          <t>ENTER_KEY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66" t="inlineStr">
        <is>
          <t>SerpAPI Key</t>
        </is>
      </c>
      <c r="B5" s="76" t="inlineStr">
        <is>
          <t>ENTER_KEY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66" t="inlineStr">
        <is>
          <t>Max Competitors to Import</t>
        </is>
      </c>
      <c r="B6" s="76" t="n">
        <v>50</v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68" t="inlineStr">
        <is>
          <t>Refresh Settings</t>
        </is>
      </c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66" t="inlineStr">
        <is>
          <t>Evidence freshness threshold (days)</t>
        </is>
      </c>
      <c r="B9" s="76" t="n">
        <v>30</v>
      </c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66" t="inlineStr">
        <is>
          <t>Minimum allowed known-coverage (fail closed below)</t>
        </is>
      </c>
      <c r="B10" s="77" t="n">
        <v>0.6</v>
      </c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68" t="inlineStr">
        <is>
          <t>Scoring Weights (editable)</t>
        </is>
      </c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47" t="inlineStr">
        <is>
          <t>Weight</t>
        </is>
      </c>
      <c r="B13" s="147" t="inlineStr">
        <is>
          <t>Value</t>
        </is>
      </c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78" t="inlineStr">
        <is>
          <t>Threat_FeatureOverlap</t>
        </is>
      </c>
      <c r="B14" s="79" t="n">
        <v>0.35</v>
      </c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78" t="inlineStr">
        <is>
          <t>Threat_PricingAggressive</t>
        </is>
      </c>
      <c r="B15" s="79" t="n">
        <v>0.25</v>
      </c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78" t="inlineStr">
        <is>
          <t>Threat_FundingVelocity</t>
        </is>
      </c>
      <c r="B16" s="79" t="n">
        <v>0.2</v>
      </c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78" t="inlineStr">
        <is>
          <t>Threat_SegmentFit</t>
        </is>
      </c>
      <c r="B17" s="79" t="n">
        <v>0.2</v>
      </c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78" t="inlineStr">
        <is>
          <t>Opp_FeatureGap</t>
        </is>
      </c>
      <c r="B18" s="79" t="n">
        <v>0.5</v>
      </c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78" t="inlineStr">
        <is>
          <t>Opp_WeakSegmentFit</t>
        </is>
      </c>
      <c r="B19" s="79" t="n">
        <v>0.25</v>
      </c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78" t="inlineStr">
        <is>
          <t>Opp_LowCoverage</t>
        </is>
      </c>
      <c r="B20" s="79" t="n">
        <v>0.25</v>
      </c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2" customWidth="1" min="4" max="4"/>
    <col width="18" customWidth="1" min="5" max="5"/>
    <col width="10" customWidth="1" min="6" max="6"/>
    <col width="40" customWidth="1" min="7" max="7"/>
    <col width="12" customWidth="1" min="8" max="8"/>
  </cols>
  <sheetData>
    <row r="1">
      <c r="A1" s="146" t="inlineStr">
        <is>
          <t>Sources Allowlist (Fail-Closed)</t>
        </is>
      </c>
      <c r="B1" s="112" t="n"/>
      <c r="C1" s="112" t="n"/>
      <c r="D1" s="112" t="n"/>
      <c r="E1" s="112" t="n"/>
      <c r="F1" s="112" t="n"/>
      <c r="G1" s="112" t="n"/>
      <c r="H1" s="112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80" t="inlineStr">
        <is>
          <t>Only allowlisted domains/paths can be ingested. Non-allowlisted URLs must be BLOCKED and reviewed.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source_key</t>
        </is>
      </c>
      <c r="B4" s="147" t="inlineStr">
        <is>
          <t>tier</t>
        </is>
      </c>
      <c r="C4" s="147" t="inlineStr">
        <is>
          <t>domain</t>
        </is>
      </c>
      <c r="D4" s="147" t="inlineStr">
        <is>
          <t>allow_path_prefix</t>
        </is>
      </c>
      <c r="E4" s="147" t="inlineStr">
        <is>
          <t>deny_path_prefix</t>
        </is>
      </c>
      <c r="F4" s="147" t="inlineStr">
        <is>
          <t>enabled</t>
        </is>
      </c>
      <c r="G4" s="147" t="inlineStr">
        <is>
          <t>license_notes</t>
        </is>
      </c>
      <c r="H4" s="147" t="inlineStr">
        <is>
          <t>owner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DEMO</t>
        </is>
      </c>
      <c r="B5" s="81" t="inlineStr">
        <is>
          <t>TIER1</t>
        </is>
      </c>
      <c r="C5" s="81" t="inlineStr">
        <is>
          <t>file</t>
        </is>
      </c>
      <c r="D5" s="81" t="inlineStr">
        <is>
          <t>/</t>
        </is>
      </c>
      <c r="E5" s="81" t="inlineStr"/>
      <c r="F5" s="81" t="inlineStr">
        <is>
          <t>TRUE</t>
        </is>
      </c>
      <c r="G5" s="81" t="inlineStr">
        <is>
          <t>Local demo evidence (offline)</t>
        </is>
      </c>
      <c r="H5" s="81" t="inlineStr">
        <is>
          <t>system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SEC_EDGAR</t>
        </is>
      </c>
      <c r="B6" s="81" t="inlineStr">
        <is>
          <t>TIER1</t>
        </is>
      </c>
      <c r="C6" s="81" t="inlineStr">
        <is>
          <t>www.sec.gov</t>
        </is>
      </c>
      <c r="D6" s="81" t="inlineStr">
        <is>
          <t>/Archives</t>
        </is>
      </c>
      <c r="E6" s="81" t="inlineStr">
        <is>
          <t>/cgi-bin</t>
        </is>
      </c>
      <c r="F6" s="81" t="inlineStr">
        <is>
          <t>FALSE</t>
        </is>
      </c>
      <c r="G6" s="81" t="inlineStr">
        <is>
          <t>Public filings; respect ToS/rate limits</t>
        </is>
      </c>
      <c r="H6" s="81" t="inlineStr">
        <is>
          <t>system</t>
        </is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Company_PR</t>
        </is>
      </c>
      <c r="B7" s="81" t="inlineStr">
        <is>
          <t>TIER2</t>
        </is>
      </c>
      <c r="C7" s="81" t="inlineStr"/>
      <c r="D7" s="81" t="inlineStr"/>
      <c r="E7" s="81" t="inlineStr"/>
      <c r="F7" s="81" t="inlineStr">
        <is>
          <t>FALSE</t>
        </is>
      </c>
      <c r="G7" s="81" t="inlineStr">
        <is>
          <t>Per-entity allowlist required</t>
        </is>
      </c>
      <c r="H7" s="81" t="inlineStr">
        <is>
          <t>user</t>
        </is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 t="inlineStr">
        <is>
          <t>G2</t>
        </is>
      </c>
      <c r="B8" s="81" t="inlineStr">
        <is>
          <t>SIGNAL</t>
        </is>
      </c>
      <c r="C8" s="81" t="inlineStr">
        <is>
          <t>www.g2.com</t>
        </is>
      </c>
      <c r="D8" s="81" t="inlineStr">
        <is>
          <t>/products</t>
        </is>
      </c>
      <c r="E8" s="81" t="inlineStr">
        <is>
          <t>/</t>
        </is>
      </c>
      <c r="F8" s="81" t="inlineStr">
        <is>
          <t>FALSE</t>
        </is>
      </c>
      <c r="G8" s="81" t="inlineStr">
        <is>
          <t>Requires license / ToS review</t>
        </is>
      </c>
      <c r="H8" s="81" t="inlineStr">
        <is>
          <t>user</t>
        </is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 t="inlineStr">
        <is>
          <t>Capterra</t>
        </is>
      </c>
      <c r="B9" s="81" t="inlineStr">
        <is>
          <t>SIGNAL</t>
        </is>
      </c>
      <c r="C9" s="81" t="inlineStr">
        <is>
          <t>www.capterra.com</t>
        </is>
      </c>
      <c r="D9" s="81" t="inlineStr">
        <is>
          <t>/</t>
        </is>
      </c>
      <c r="E9" s="81" t="inlineStr">
        <is>
          <t>/</t>
        </is>
      </c>
      <c r="F9" s="81" t="inlineStr">
        <is>
          <t>FALSE</t>
        </is>
      </c>
      <c r="G9" s="81" t="inlineStr">
        <is>
          <t>Requires license / ToS review</t>
        </is>
      </c>
      <c r="H9" s="81" t="inlineStr">
        <is>
          <t>user</t>
        </is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42" customWidth="1" min="8" max="8"/>
  </cols>
  <sheetData>
    <row r="1">
      <c r="A1" s="146" t="inlineStr">
        <is>
          <t>Middle Market Segmentation Rules (Always Applied)</t>
        </is>
      </c>
      <c r="B1" s="112" t="n"/>
      <c r="C1" s="112" t="n"/>
      <c r="D1" s="112" t="n"/>
      <c r="E1" s="112" t="n"/>
      <c r="F1" s="112" t="n"/>
      <c r="G1" s="112" t="n"/>
      <c r="H1" s="112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80" t="inlineStr">
        <is>
          <t>Edit thresholds in BLUE. All metrics and dashboards must filter to this segment.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segment_id</t>
        </is>
      </c>
      <c r="B4" s="147" t="inlineStr">
        <is>
          <t>segment_name</t>
        </is>
      </c>
      <c r="C4" s="147" t="inlineStr">
        <is>
          <t>revenue_min_usd</t>
        </is>
      </c>
      <c r="D4" s="147" t="inlineStr">
        <is>
          <t>revenue_max_usd</t>
        </is>
      </c>
      <c r="E4" s="147" t="inlineStr">
        <is>
          <t>practice_size_min</t>
        </is>
      </c>
      <c r="F4" s="147" t="inlineStr">
        <is>
          <t>practice_size_max</t>
        </is>
      </c>
      <c r="G4" s="147" t="inlineStr">
        <is>
          <t>region_includes</t>
        </is>
      </c>
      <c r="H4" s="147" t="inlineStr">
        <is>
          <t>notes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9" t="inlineStr">
        <is>
          <t>SEG_MM</t>
        </is>
      </c>
      <c r="B5" s="69" t="inlineStr">
        <is>
          <t>Middle Market</t>
        </is>
      </c>
      <c r="C5" s="82" t="n">
        <v>5000000</v>
      </c>
      <c r="D5" s="82" t="n">
        <v>200000000</v>
      </c>
      <c r="E5" s="82" t="n">
        <v>5</v>
      </c>
      <c r="F5" s="82" t="n">
        <v>200</v>
      </c>
      <c r="G5" s="69" t="inlineStr">
        <is>
          <t>US (all)</t>
        </is>
      </c>
      <c r="H5" s="69" t="inlineStr">
        <is>
          <t>Placeholder thresholds; replace with Certify definition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6" customWidth="1" min="7" max="7"/>
    <col width="18" customWidth="1" min="8" max="8"/>
    <col width="44" customWidth="1" min="9" max="9"/>
  </cols>
  <sheetData>
    <row r="1">
      <c r="A1" s="146" t="inlineStr">
        <is>
          <t>Field Dictionary (Claim Keys + Quality Gates)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80" t="inlineStr">
        <is>
          <t>Fail-closed: missing/ambiguous evidence must output UNKNOWN and create review tasks.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field_key</t>
        </is>
      </c>
      <c r="B4" s="147" t="inlineStr">
        <is>
          <t>category</t>
        </is>
      </c>
      <c r="C4" s="147" t="inlineStr">
        <is>
          <t>value_type</t>
        </is>
      </c>
      <c r="D4" s="147" t="inlineStr">
        <is>
          <t>units</t>
        </is>
      </c>
      <c r="E4" s="147" t="inlineStr">
        <is>
          <t>min_confidence</t>
        </is>
      </c>
      <c r="F4" s="147" t="inlineStr">
        <is>
          <t>requires_tier1</t>
        </is>
      </c>
      <c r="G4" s="147" t="inlineStr">
        <is>
          <t>promotion_rule</t>
        </is>
      </c>
      <c r="H4" s="147" t="inlineStr">
        <is>
          <t>example_source</t>
        </is>
      </c>
      <c r="I4" s="147" t="inlineStr">
        <is>
          <t>notes</t>
        </is>
      </c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pricing_acv_mid_market</t>
        </is>
      </c>
      <c r="B5" s="81" t="inlineStr">
        <is>
          <t>Pricing</t>
        </is>
      </c>
      <c r="C5" s="81" t="inlineStr">
        <is>
          <t>number</t>
        </is>
      </c>
      <c r="D5" s="81" t="inlineStr">
        <is>
          <t>USD/year</t>
        </is>
      </c>
      <c r="E5" s="83" t="n">
        <v>0.8</v>
      </c>
      <c r="F5" s="84" t="inlineStr">
        <is>
          <t>TRUE</t>
        </is>
      </c>
      <c r="G5" s="81" t="inlineStr">
        <is>
          <t>PROMOTE_IF&gt;=MINCONF_AND_TIER</t>
        </is>
      </c>
      <c r="H5" s="81" t="inlineStr">
        <is>
          <t>pricing page</t>
        </is>
      </c>
      <c r="I5" s="81" t="inlineStr">
        <is>
          <t>Explicit annual price or ACV</t>
        </is>
      </c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arr_estimate</t>
        </is>
      </c>
      <c r="B6" s="81" t="inlineStr">
        <is>
          <t>Financial</t>
        </is>
      </c>
      <c r="C6" s="81" t="inlineStr">
        <is>
          <t>number</t>
        </is>
      </c>
      <c r="D6" s="81" t="inlineStr">
        <is>
          <t>USD/year</t>
        </is>
      </c>
      <c r="E6" s="83" t="n">
        <v>0.85</v>
      </c>
      <c r="F6" s="84" t="inlineStr">
        <is>
          <t>TRUE</t>
        </is>
      </c>
      <c r="G6" s="81" t="inlineStr">
        <is>
          <t>PROMOTE_IF_TIER1_ONLY</t>
        </is>
      </c>
      <c r="H6" s="81" t="inlineStr">
        <is>
          <t>10-K/press</t>
        </is>
      </c>
      <c r="I6" s="81" t="inlineStr">
        <is>
          <t>Only explicit ARR mention</t>
        </is>
      </c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contract_terms</t>
        </is>
      </c>
      <c r="B7" s="81" t="inlineStr">
        <is>
          <t>Pricing</t>
        </is>
      </c>
      <c r="C7" s="81" t="inlineStr">
        <is>
          <t>text</t>
        </is>
      </c>
      <c r="D7" s="81" t="inlineStr"/>
      <c r="E7" s="83" t="n">
        <v>0.7</v>
      </c>
      <c r="F7" s="84" t="inlineStr">
        <is>
          <t>FALSE</t>
        </is>
      </c>
      <c r="G7" s="81" t="inlineStr">
        <is>
          <t>PROMOTE_IF&gt;=MINCONF</t>
        </is>
      </c>
      <c r="H7" s="81" t="inlineStr">
        <is>
          <t>pricing/terms</t>
        </is>
      </c>
      <c r="I7" s="81" t="inlineStr">
        <is>
          <t>Explicit contract duration/cancellation</t>
        </is>
      </c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 t="inlineStr">
        <is>
          <t>features</t>
        </is>
      </c>
      <c r="B8" s="81" t="inlineStr">
        <is>
          <t>Product</t>
        </is>
      </c>
      <c r="C8" s="81" t="inlineStr">
        <is>
          <t>text</t>
        </is>
      </c>
      <c r="D8" s="81" t="inlineStr"/>
      <c r="E8" s="83" t="n">
        <v>0.65</v>
      </c>
      <c r="F8" s="84" t="inlineStr">
        <is>
          <t>FALSE</t>
        </is>
      </c>
      <c r="G8" s="81" t="inlineStr">
        <is>
          <t>PROMOTE_IF&gt;=MINCONF</t>
        </is>
      </c>
      <c r="H8" s="81" t="inlineStr">
        <is>
          <t>product page</t>
        </is>
      </c>
      <c r="I8" s="81" t="inlineStr">
        <is>
          <t>Semicolon-separated feature tags</t>
        </is>
      </c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 t="inlineStr">
        <is>
          <t>funding_round</t>
        </is>
      </c>
      <c r="B9" s="81" t="inlineStr">
        <is>
          <t>Funding</t>
        </is>
      </c>
      <c r="C9" s="81" t="inlineStr">
        <is>
          <t>text</t>
        </is>
      </c>
      <c r="D9" s="81" t="inlineStr"/>
      <c r="E9" s="83" t="n">
        <v>0.8</v>
      </c>
      <c r="F9" s="84" t="inlineStr">
        <is>
          <t>TRUE</t>
        </is>
      </c>
      <c r="G9" s="81" t="inlineStr">
        <is>
          <t>PROMOTE_IF_TIER1_ONLY</t>
        </is>
      </c>
      <c r="H9" s="81" t="inlineStr">
        <is>
          <t>filings/press</t>
        </is>
      </c>
      <c r="I9" s="81" t="inlineStr">
        <is>
          <t>Explicit round amount and date</t>
        </is>
      </c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1" t="inlineStr">
        <is>
          <t>geo_coverage</t>
        </is>
      </c>
      <c r="B10" s="81" t="inlineStr">
        <is>
          <t>Market</t>
        </is>
      </c>
      <c r="C10" s="81" t="inlineStr">
        <is>
          <t>text</t>
        </is>
      </c>
      <c r="D10" s="81" t="inlineStr"/>
      <c r="E10" s="83" t="n">
        <v>0.7</v>
      </c>
      <c r="F10" s="84" t="inlineStr">
        <is>
          <t>FALSE</t>
        </is>
      </c>
      <c r="G10" s="81" t="inlineStr">
        <is>
          <t>PROMOTE_IF&gt;=MINCONF</t>
        </is>
      </c>
      <c r="H10" s="81" t="inlineStr">
        <is>
          <t>about page</t>
        </is>
      </c>
      <c r="I10" s="81" t="inlineStr">
        <is>
          <t>Regions served</t>
        </is>
      </c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1" t="inlineStr">
        <is>
          <t>practice_size_target</t>
        </is>
      </c>
      <c r="B11" s="81" t="inlineStr">
        <is>
          <t>Market</t>
        </is>
      </c>
      <c r="C11" s="81" t="inlineStr">
        <is>
          <t>text</t>
        </is>
      </c>
      <c r="D11" s="81" t="inlineStr"/>
      <c r="E11" s="83" t="n">
        <v>0.7</v>
      </c>
      <c r="F11" s="84" t="inlineStr">
        <is>
          <t>FALSE</t>
        </is>
      </c>
      <c r="G11" s="81" t="inlineStr">
        <is>
          <t>PROMOTE_IF&gt;=MINCONF</t>
        </is>
      </c>
      <c r="H11" s="81" t="inlineStr">
        <is>
          <t>case studies</t>
        </is>
      </c>
      <c r="I11" s="81" t="inlineStr">
        <is>
          <t>Explicit ICP statements</t>
        </is>
      </c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44" t="inlineStr">
        <is>
          <t>Feature Taxonomy (canonical features + synonyms)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feature_id</t>
        </is>
      </c>
      <c r="B4" s="149" t="inlineStr">
        <is>
          <t>feature_name</t>
        </is>
      </c>
      <c r="C4" s="149" t="inlineStr">
        <is>
          <t>category</t>
        </is>
      </c>
      <c r="D4" s="149" t="inlineStr">
        <is>
          <t>synonyms_csv</t>
        </is>
      </c>
      <c r="E4" s="149" t="inlineStr">
        <is>
          <t>notes</t>
        </is>
      </c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>
        <is>
          <t>F001</t>
        </is>
      </c>
      <c r="B5" s="143" t="inlineStr">
        <is>
          <t>Eligibility Verification</t>
        </is>
      </c>
      <c r="C5" s="143" t="inlineStr">
        <is>
          <t>Revenue Cycle</t>
        </is>
      </c>
      <c r="D5" s="143" t="inlineStr">
        <is>
          <t>eligibility check;insurance eligibility</t>
        </is>
      </c>
      <c r="E5" s="143" t="inlineStr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>
        <is>
          <t>F002</t>
        </is>
      </c>
      <c r="B6" s="143" t="inlineStr">
        <is>
          <t>Prior Authorization</t>
        </is>
      </c>
      <c r="C6" s="143" t="inlineStr">
        <is>
          <t>Revenue Cycle</t>
        </is>
      </c>
      <c r="D6" s="143" t="inlineStr">
        <is>
          <t>prior auth;pre-authorization</t>
        </is>
      </c>
      <c r="E6" s="143" t="inlineStr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>
        <is>
          <t>F003</t>
        </is>
      </c>
      <c r="B7" s="143" t="inlineStr">
        <is>
          <t>Patient Payments</t>
        </is>
      </c>
      <c r="C7" s="143" t="inlineStr">
        <is>
          <t>Billing</t>
        </is>
      </c>
      <c r="D7" s="143" t="inlineStr">
        <is>
          <t>payment portal;online payments</t>
        </is>
      </c>
      <c r="E7" s="143" t="inlineStr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>
        <is>
          <t>F004</t>
        </is>
      </c>
      <c r="B8" s="143" t="inlineStr">
        <is>
          <t>Scheduling</t>
        </is>
      </c>
      <c r="C8" s="143" t="inlineStr">
        <is>
          <t>Front Office</t>
        </is>
      </c>
      <c r="D8" s="143" t="inlineStr">
        <is>
          <t>appointment scheduling;calendar</t>
        </is>
      </c>
      <c r="E8" s="143" t="inlineStr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12" t="n"/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12" t="n"/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12" t="n"/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12" t="n"/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12" t="n"/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12" t="n"/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12" t="n"/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12" t="n"/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12" t="n"/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12" t="n"/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12" t="n"/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12" t="n"/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12" t="n"/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12" t="n"/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12" t="n"/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12" t="n"/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12" t="n"/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12" t="n"/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12" t="n"/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12" t="n"/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12" t="n"/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12" t="n"/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12" t="n"/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12" t="n"/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12" t="n"/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12" t="n"/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12" t="n"/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12" t="n"/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12" t="n"/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12" t="n"/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12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12" t="n"/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12" t="n"/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12" t="n"/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12" t="n"/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12" t="n"/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40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6" customWidth="1" min="13" max="13"/>
    <col width="30" customWidth="1" min="14" max="14"/>
  </cols>
  <sheetData>
    <row r="1">
      <c r="A1" s="146" t="inlineStr">
        <is>
          <t>Input (Normalized; Evidence-Led)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Green = imported/linked; Blue = editable inputs; Yellow/Red = review required.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20" customHeight="1">
      <c r="A4" s="150" t="inlineStr">
        <is>
          <t>Entities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147" t="inlineStr">
        <is>
          <t>entity_id</t>
        </is>
      </c>
      <c r="B6" s="147" t="inlineStr">
        <is>
          <t>canonical_name</t>
        </is>
      </c>
      <c r="C6" s="147" t="inlineStr">
        <is>
          <t>domain</t>
        </is>
      </c>
      <c r="D6" s="147" t="inlineStr">
        <is>
          <t>vertical</t>
        </is>
      </c>
      <c r="E6" s="147" t="inlineStr">
        <is>
          <t>region</t>
        </is>
      </c>
      <c r="F6" s="147" t="inlineStr">
        <is>
          <t>segment_id</t>
        </is>
      </c>
      <c r="G6" s="147" t="inlineStr">
        <is>
          <t>discovered_via</t>
        </is>
      </c>
      <c r="H6" s="147" t="inlineStr">
        <is>
          <t>discovered_at</t>
        </is>
      </c>
      <c r="I6" s="147" t="inlineStr">
        <is>
          <t>status</t>
        </is>
      </c>
      <c r="J6" s="147" t="inlineStr">
        <is>
          <t>hq_city</t>
        </is>
      </c>
      <c r="K6" s="147" t="inlineStr">
        <is>
          <t>hq_state</t>
        </is>
      </c>
      <c r="L6" s="147" t="inlineStr">
        <is>
          <t>notes</t>
        </is>
      </c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5" t="inlineStr">
        <is>
          <t>E001</t>
        </is>
      </c>
      <c r="B7" s="85" t="inlineStr">
        <is>
          <t>AcmeRival</t>
        </is>
      </c>
      <c r="C7" s="85" t="inlineStr">
        <is>
          <t>acmerival.com</t>
        </is>
      </c>
      <c r="D7" s="85" t="inlineStr">
        <is>
          <t>Provider Credentialing</t>
        </is>
      </c>
      <c r="E7" s="85" t="inlineStr">
        <is>
          <t>US</t>
        </is>
      </c>
      <c r="F7" s="86" t="inlineStr">
        <is>
          <t>SEG_MM</t>
        </is>
      </c>
      <c r="G7" s="85" t="inlineStr">
        <is>
          <t>DEMO</t>
        </is>
      </c>
      <c r="H7" s="85" t="inlineStr">
        <is>
          <t>2026-01-12</t>
        </is>
      </c>
      <c r="I7" s="85" t="inlineStr">
        <is>
          <t>ACTIVE</t>
        </is>
      </c>
      <c r="J7" s="85" t="inlineStr">
        <is>
          <t>New York</t>
        </is>
      </c>
      <c r="K7" s="81" t="inlineStr">
        <is>
          <t>NY</t>
        </is>
      </c>
      <c r="L7" s="84" t="inlineStr">
        <is>
          <t>DEMO ROW</t>
        </is>
      </c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5" t="inlineStr">
        <is>
          <t>E002</t>
        </is>
      </c>
      <c r="B8" s="85" t="inlineStr">
        <is>
          <t>EnrollPro</t>
        </is>
      </c>
      <c r="C8" s="85" t="inlineStr">
        <is>
          <t>enrollpro.io</t>
        </is>
      </c>
      <c r="D8" s="85" t="inlineStr">
        <is>
          <t>Provider Enrollment</t>
        </is>
      </c>
      <c r="E8" s="85" t="inlineStr">
        <is>
          <t>US</t>
        </is>
      </c>
      <c r="F8" s="86" t="inlineStr">
        <is>
          <t>SEG_MM</t>
        </is>
      </c>
      <c r="G8" s="85" t="inlineStr">
        <is>
          <t>DEMO</t>
        </is>
      </c>
      <c r="H8" s="85" t="inlineStr">
        <is>
          <t>2026-01-12</t>
        </is>
      </c>
      <c r="I8" s="85" t="inlineStr">
        <is>
          <t>ACTIVE</t>
        </is>
      </c>
      <c r="J8" s="85" t="inlineStr">
        <is>
          <t>Austin</t>
        </is>
      </c>
      <c r="K8" s="81" t="inlineStr">
        <is>
          <t>TX</t>
        </is>
      </c>
      <c r="L8" s="84" t="inlineStr">
        <is>
          <t>DEMO ROW</t>
        </is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5" t="inlineStr">
        <is>
          <t>E003</t>
        </is>
      </c>
      <c r="B9" s="85" t="inlineStr">
        <is>
          <t>ComplianceFlow</t>
        </is>
      </c>
      <c r="C9" s="85" t="inlineStr">
        <is>
          <t>complianceflow.health</t>
        </is>
      </c>
      <c r="D9" s="85" t="inlineStr">
        <is>
          <t>Compliance Automation</t>
        </is>
      </c>
      <c r="E9" s="85" t="inlineStr">
        <is>
          <t>US</t>
        </is>
      </c>
      <c r="F9" s="86" t="inlineStr">
        <is>
          <t>SEG_MM</t>
        </is>
      </c>
      <c r="G9" s="85" t="inlineStr">
        <is>
          <t>DEMO</t>
        </is>
      </c>
      <c r="H9" s="85" t="inlineStr">
        <is>
          <t>2026-01-12</t>
        </is>
      </c>
      <c r="I9" s="85" t="inlineStr">
        <is>
          <t>ACTIVE</t>
        </is>
      </c>
      <c r="J9" s="85" t="inlineStr">
        <is>
          <t>Chicago</t>
        </is>
      </c>
      <c r="K9" s="81" t="inlineStr">
        <is>
          <t>IL</t>
        </is>
      </c>
      <c r="L9" s="84" t="inlineStr">
        <is>
          <t>DEMO ROW</t>
        </is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5" t="inlineStr">
        <is>
          <t>E004</t>
        </is>
      </c>
      <c r="B10" s="85" t="inlineStr">
        <is>
          <t>CredentiSure</t>
        </is>
      </c>
      <c r="C10" s="85" t="inlineStr">
        <is>
          <t>credentisure.com</t>
        </is>
      </c>
      <c r="D10" s="85" t="inlineStr">
        <is>
          <t>Credentialing</t>
        </is>
      </c>
      <c r="E10" s="85" t="inlineStr">
        <is>
          <t>US</t>
        </is>
      </c>
      <c r="F10" s="86" t="inlineStr">
        <is>
          <t>SEG_MM</t>
        </is>
      </c>
      <c r="G10" s="85" t="inlineStr">
        <is>
          <t>DEMO</t>
        </is>
      </c>
      <c r="H10" s="85" t="inlineStr">
        <is>
          <t>2026-01-12</t>
        </is>
      </c>
      <c r="I10" s="85" t="inlineStr">
        <is>
          <t>ACTIVE</t>
        </is>
      </c>
      <c r="J10" s="85" t="inlineStr">
        <is>
          <t>Boston</t>
        </is>
      </c>
      <c r="K10" s="81" t="inlineStr">
        <is>
          <t>MA</t>
        </is>
      </c>
      <c r="L10" s="84" t="inlineStr">
        <is>
          <t>DEMO ROW</t>
        </is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5" t="inlineStr">
        <is>
          <t>E005</t>
        </is>
      </c>
      <c r="B11" s="85" t="inlineStr">
        <is>
          <t>PracticeOps</t>
        </is>
      </c>
      <c r="C11" s="85" t="inlineStr">
        <is>
          <t>practiceops.com</t>
        </is>
      </c>
      <c r="D11" s="85" t="inlineStr">
        <is>
          <t>Practice Ops Suite</t>
        </is>
      </c>
      <c r="E11" s="85" t="inlineStr">
        <is>
          <t>US</t>
        </is>
      </c>
      <c r="F11" s="86" t="inlineStr">
        <is>
          <t>SEG_MM</t>
        </is>
      </c>
      <c r="G11" s="85" t="inlineStr">
        <is>
          <t>DEMO</t>
        </is>
      </c>
      <c r="H11" s="85" t="inlineStr">
        <is>
          <t>2026-01-12</t>
        </is>
      </c>
      <c r="I11" s="85" t="inlineStr">
        <is>
          <t>ACTIVE</t>
        </is>
      </c>
      <c r="J11" s="85" t="inlineStr">
        <is>
          <t>Miami</t>
        </is>
      </c>
      <c r="K11" s="81" t="inlineStr">
        <is>
          <t>FL</t>
        </is>
      </c>
      <c r="L11" s="84" t="inlineStr">
        <is>
          <t>DEMO ROW</t>
        </is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85" t="inlineStr">
        <is>
          <t>E006</t>
        </is>
      </c>
      <c r="B12" s="85" t="inlineStr">
        <is>
          <t>MidMarketMedTech</t>
        </is>
      </c>
      <c r="C12" s="85" t="inlineStr">
        <is>
          <t>mmmedtech.com</t>
        </is>
      </c>
      <c r="D12" s="85" t="inlineStr">
        <is>
          <t>Healthcare IT</t>
        </is>
      </c>
      <c r="E12" s="85" t="inlineStr">
        <is>
          <t>US</t>
        </is>
      </c>
      <c r="F12" s="86" t="inlineStr">
        <is>
          <t>SEG_MM</t>
        </is>
      </c>
      <c r="G12" s="85" t="inlineStr">
        <is>
          <t>DEMO</t>
        </is>
      </c>
      <c r="H12" s="85" t="inlineStr">
        <is>
          <t>2026-01-12</t>
        </is>
      </c>
      <c r="I12" s="85" t="inlineStr">
        <is>
          <t>ACTIVE</t>
        </is>
      </c>
      <c r="J12" s="85" t="inlineStr">
        <is>
          <t>Seattle</t>
        </is>
      </c>
      <c r="K12" s="81" t="inlineStr">
        <is>
          <t>WA</t>
        </is>
      </c>
      <c r="L12" s="84" t="inlineStr">
        <is>
          <t>DEMO ROW</t>
        </is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20" customHeight="1">
      <c r="A15" s="150" t="inlineStr">
        <is>
          <t>Evidence (Claims must link here)</t>
        </is>
      </c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147" t="inlineStr">
        <is>
          <t>evidence_id</t>
        </is>
      </c>
      <c r="B17" s="147" t="inlineStr">
        <is>
          <t>entity_id</t>
        </is>
      </c>
      <c r="C17" s="147" t="inlineStr">
        <is>
          <t>source_key</t>
        </is>
      </c>
      <c r="D17" s="147" t="inlineStr">
        <is>
          <t>tier</t>
        </is>
      </c>
      <c r="E17" s="147" t="inlineStr">
        <is>
          <t>url</t>
        </is>
      </c>
      <c r="F17" s="147" t="inlineStr">
        <is>
          <t>fetched_at</t>
        </is>
      </c>
      <c r="G17" s="147" t="inlineStr">
        <is>
          <t>snippet</t>
        </is>
      </c>
      <c r="H17" s="147" t="inlineStr">
        <is>
          <t>content_hash</t>
        </is>
      </c>
      <c r="I17" s="147" t="inlineStr">
        <is>
          <t>text_hash</t>
        </is>
      </c>
      <c r="J17" s="66" t="inlineStr">
        <is>
          <t>domain_calc</t>
        </is>
      </c>
      <c r="K17" s="66" t="inlineStr">
        <is>
          <t>allowlist_ok</t>
        </is>
      </c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85" t="inlineStr">
        <is>
          <t>EV001</t>
        </is>
      </c>
      <c r="B18" s="85" t="inlineStr">
        <is>
          <t>E001</t>
        </is>
      </c>
      <c r="C18" s="85" t="inlineStr">
        <is>
          <t>DEMO</t>
        </is>
      </c>
      <c r="D18" s="85" t="inlineStr">
        <is>
          <t>TIER1</t>
        </is>
      </c>
      <c r="E18" s="85" t="inlineStr">
        <is>
          <t>file://docs/demo_sources/E001_pricing.html</t>
        </is>
      </c>
      <c r="F18" s="85" t="inlineStr">
        <is>
          <t>2026-01-12</t>
        </is>
      </c>
      <c r="G18" s="85" t="inlineStr">
        <is>
          <t>DEMO evidence placeholder. Replace with allowlisted URL + snippet.</t>
        </is>
      </c>
      <c r="H18" s="85" t="inlineStr">
        <is>
          <t>0217e879a9ae84b4</t>
        </is>
      </c>
      <c r="I18" s="85" t="inlineStr">
        <is>
          <t>46aae5c96408e7ec</t>
        </is>
      </c>
      <c r="J18" s="66">
        <f>IF(LEFT([@url],7)="file://","file",LOWER(TEXTBEFORE(TEXTAFTER([@url],"//"),"/")))</f>
        <v/>
      </c>
      <c r="K18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85" t="inlineStr">
        <is>
          <t>EV002</t>
        </is>
      </c>
      <c r="B19" s="85" t="inlineStr">
        <is>
          <t>E002</t>
        </is>
      </c>
      <c r="C19" s="85" t="inlineStr">
        <is>
          <t>DEMO</t>
        </is>
      </c>
      <c r="D19" s="85" t="inlineStr">
        <is>
          <t>TIER1</t>
        </is>
      </c>
      <c r="E19" s="85" t="inlineStr">
        <is>
          <t>file://docs/demo_sources/E002_pricing.html</t>
        </is>
      </c>
      <c r="F19" s="85" t="inlineStr">
        <is>
          <t>2026-01-12</t>
        </is>
      </c>
      <c r="G19" s="85" t="inlineStr">
        <is>
          <t>DEMO evidence placeholder. Replace with allowlisted URL + snippet.</t>
        </is>
      </c>
      <c r="H19" s="85" t="inlineStr">
        <is>
          <t>3deb1e85e3854868</t>
        </is>
      </c>
      <c r="I19" s="85" t="inlineStr">
        <is>
          <t>46aae5c96408e7ec</t>
        </is>
      </c>
      <c r="J19" s="66">
        <f>IF(LEFT([@url],7)="file://","file",LOWER(TEXTBEFORE(TEXTAFTER([@url],"//"),"/")))</f>
        <v/>
      </c>
      <c r="K19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85" t="inlineStr">
        <is>
          <t>EV003</t>
        </is>
      </c>
      <c r="B20" s="85" t="inlineStr">
        <is>
          <t>E003</t>
        </is>
      </c>
      <c r="C20" s="85" t="inlineStr">
        <is>
          <t>DEMO</t>
        </is>
      </c>
      <c r="D20" s="85" t="inlineStr">
        <is>
          <t>TIER1</t>
        </is>
      </c>
      <c r="E20" s="85" t="inlineStr">
        <is>
          <t>file://docs/demo_sources/E003_pricing.html</t>
        </is>
      </c>
      <c r="F20" s="85" t="inlineStr">
        <is>
          <t>2026-01-12</t>
        </is>
      </c>
      <c r="G20" s="85" t="inlineStr">
        <is>
          <t>DEMO evidence placeholder. Replace with allowlisted URL + snippet.</t>
        </is>
      </c>
      <c r="H20" s="85" t="inlineStr">
        <is>
          <t>d42285f8d1a9736f</t>
        </is>
      </c>
      <c r="I20" s="85" t="inlineStr">
        <is>
          <t>46aae5c96408e7ec</t>
        </is>
      </c>
      <c r="J20" s="66">
        <f>IF(LEFT([@url],7)="file://","file",LOWER(TEXTBEFORE(TEXTAFTER([@url],"//"),"/")))</f>
        <v/>
      </c>
      <c r="K20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85" t="inlineStr">
        <is>
          <t>EV004</t>
        </is>
      </c>
      <c r="B21" s="85" t="inlineStr">
        <is>
          <t>E004</t>
        </is>
      </c>
      <c r="C21" s="85" t="inlineStr">
        <is>
          <t>DEMO</t>
        </is>
      </c>
      <c r="D21" s="85" t="inlineStr">
        <is>
          <t>TIER1</t>
        </is>
      </c>
      <c r="E21" s="85" t="inlineStr">
        <is>
          <t>file://docs/demo_sources/E004_pricing.html</t>
        </is>
      </c>
      <c r="F21" s="85" t="inlineStr">
        <is>
          <t>2026-01-12</t>
        </is>
      </c>
      <c r="G21" s="85" t="inlineStr">
        <is>
          <t>DEMO evidence placeholder. Replace with allowlisted URL + snippet.</t>
        </is>
      </c>
      <c r="H21" s="85" t="inlineStr">
        <is>
          <t>b1e3c58050111249</t>
        </is>
      </c>
      <c r="I21" s="85" t="inlineStr">
        <is>
          <t>46aae5c96408e7ec</t>
        </is>
      </c>
      <c r="J21" s="66">
        <f>IF(LEFT([@url],7)="file://","file",LOWER(TEXTBEFORE(TEXTAFTER([@url],"//"),"/")))</f>
        <v/>
      </c>
      <c r="K21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85" t="inlineStr">
        <is>
          <t>EV005</t>
        </is>
      </c>
      <c r="B22" s="85" t="inlineStr">
        <is>
          <t>E001</t>
        </is>
      </c>
      <c r="C22" s="85" t="inlineStr">
        <is>
          <t>DEMO</t>
        </is>
      </c>
      <c r="D22" s="85" t="inlineStr">
        <is>
          <t>SIGNAL</t>
        </is>
      </c>
      <c r="E22" s="85" t="inlineStr">
        <is>
          <t>file://docs/demo_sources/E001_pr.html</t>
        </is>
      </c>
      <c r="F22" s="85" t="inlineStr">
        <is>
          <t>2026-01-12</t>
        </is>
      </c>
      <c r="G22" s="85" t="inlineStr">
        <is>
          <t>DEMO PR mention (signal only).</t>
        </is>
      </c>
      <c r="H22" s="85" t="inlineStr">
        <is>
          <t>0510eddd78110203</t>
        </is>
      </c>
      <c r="I22" s="85" t="inlineStr">
        <is>
          <t>41bfa2f2111d7821</t>
        </is>
      </c>
      <c r="J22" s="66">
        <f>IF(LEFT([@url],7)="file://","file",LOWER(TEXTBEFORE(TEXTAFTER([@url],"//"),"/")))</f>
        <v/>
      </c>
      <c r="K22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20" customHeight="1">
      <c r="A25" s="150" t="inlineStr">
        <is>
          <t>Claim Candidates (Fail-Closed; UNKNOWN → Review)</t>
        </is>
      </c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147" t="inlineStr">
        <is>
          <t>candidate_id</t>
        </is>
      </c>
      <c r="B27" s="147" t="inlineStr">
        <is>
          <t>entity_id</t>
        </is>
      </c>
      <c r="C27" s="147" t="inlineStr">
        <is>
          <t>segment_id</t>
        </is>
      </c>
      <c r="D27" s="147" t="inlineStr">
        <is>
          <t>field_key</t>
        </is>
      </c>
      <c r="E27" s="147" t="inlineStr">
        <is>
          <t>value_text</t>
        </is>
      </c>
      <c r="F27" s="147" t="inlineStr">
        <is>
          <t>value_num</t>
        </is>
      </c>
      <c r="G27" s="147" t="inlineStr">
        <is>
          <t>units</t>
        </is>
      </c>
      <c r="H27" s="147" t="inlineStr">
        <is>
          <t>confidence</t>
        </is>
      </c>
      <c r="I27" s="147" t="inlineStr">
        <is>
          <t>evidence_id</t>
        </is>
      </c>
      <c r="J27" s="147" t="inlineStr">
        <is>
          <t>span_start</t>
        </is>
      </c>
      <c r="K27" s="147" t="inlineStr">
        <is>
          <t>span_end</t>
        </is>
      </c>
      <c r="L27" s="147" t="inlineStr">
        <is>
          <t>tier</t>
        </is>
      </c>
      <c r="M27" s="147" t="inlineStr">
        <is>
          <t>status_final</t>
        </is>
      </c>
      <c r="N27" s="147" t="inlineStr">
        <is>
          <t>status_manual</t>
        </is>
      </c>
      <c r="O27" s="66" t="inlineStr">
        <is>
          <t>status_auto</t>
        </is>
      </c>
      <c r="P27" s="66" t="inlineStr">
        <is>
          <t>auto_reason</t>
        </is>
      </c>
      <c r="Q27" s="66" t="inlineStr">
        <is>
          <t>reviewer_notes</t>
        </is>
      </c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85" t="inlineStr">
        <is>
          <t>C001</t>
        </is>
      </c>
      <c r="B28" s="85" t="inlineStr">
        <is>
          <t>E001</t>
        </is>
      </c>
      <c r="C28" s="86" t="inlineStr">
        <is>
          <t>SEG_MM</t>
        </is>
      </c>
      <c r="D28" s="85" t="inlineStr">
        <is>
          <t>pricing_acv_mid_market</t>
        </is>
      </c>
      <c r="E28" s="85" t="inlineStr"/>
      <c r="F28" s="85" t="n">
        <v>12000</v>
      </c>
      <c r="G28" s="81" t="inlineStr">
        <is>
          <t>USD/year</t>
        </is>
      </c>
      <c r="H28" s="85" t="n">
        <v>0.9</v>
      </c>
      <c r="I28" s="81" t="inlineStr">
        <is>
          <t>EV001</t>
        </is>
      </c>
      <c r="J28" s="81" t="n">
        <v>0</v>
      </c>
      <c r="K28" s="81" t="n">
        <v>200</v>
      </c>
      <c r="L28" s="81" t="inlineStr">
        <is>
          <t>TIER1</t>
        </is>
      </c>
      <c r="M28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28" s="84" t="inlineStr">
        <is>
          <t>PROMOTED</t>
        </is>
      </c>
      <c r="O28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28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85" t="inlineStr">
        <is>
          <t>C002</t>
        </is>
      </c>
      <c r="B29" s="85" t="inlineStr">
        <is>
          <t>E001</t>
        </is>
      </c>
      <c r="C29" s="86" t="inlineStr">
        <is>
          <t>SEG_MM</t>
        </is>
      </c>
      <c r="D29" s="85" t="inlineStr">
        <is>
          <t>contract_terms</t>
        </is>
      </c>
      <c r="E29" s="85" t="inlineStr">
        <is>
          <t>Annual contract, cancel with 30 days notice</t>
        </is>
      </c>
      <c r="F29" s="85" t="n"/>
      <c r="G29" s="81" t="inlineStr"/>
      <c r="H29" s="85" t="n">
        <v>0.75</v>
      </c>
      <c r="I29" s="81" t="inlineStr">
        <is>
          <t>EV001</t>
        </is>
      </c>
      <c r="J29" s="81" t="n">
        <v>201</v>
      </c>
      <c r="K29" s="81" t="n">
        <v>320</v>
      </c>
      <c r="L29" s="81" t="inlineStr">
        <is>
          <t>TIER1</t>
        </is>
      </c>
      <c r="M29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29" s="84" t="inlineStr">
        <is>
          <t>PROMOTED</t>
        </is>
      </c>
      <c r="O29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29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85" t="inlineStr">
        <is>
          <t>C003</t>
        </is>
      </c>
      <c r="B30" s="85" t="inlineStr">
        <is>
          <t>E001</t>
        </is>
      </c>
      <c r="C30" s="86" t="inlineStr">
        <is>
          <t>SEG_MM</t>
        </is>
      </c>
      <c r="D30" s="85" t="inlineStr">
        <is>
          <t>features</t>
        </is>
      </c>
      <c r="E30" s="85" t="inlineStr">
        <is>
          <t>Credentialing; Enrollment; Payer Roster</t>
        </is>
      </c>
      <c r="F30" s="85" t="n"/>
      <c r="G30" s="81" t="inlineStr"/>
      <c r="H30" s="85" t="n">
        <v>0.7</v>
      </c>
      <c r="I30" s="81" t="inlineStr">
        <is>
          <t>EV001</t>
        </is>
      </c>
      <c r="J30" s="81" t="n">
        <v>321</v>
      </c>
      <c r="K30" s="81" t="n">
        <v>520</v>
      </c>
      <c r="L30" s="81" t="inlineStr">
        <is>
          <t>TIER1</t>
        </is>
      </c>
      <c r="M30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0" s="84" t="inlineStr">
        <is>
          <t>PROMOTED</t>
        </is>
      </c>
      <c r="O30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0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85" t="inlineStr">
        <is>
          <t>C004</t>
        </is>
      </c>
      <c r="B31" s="85" t="inlineStr">
        <is>
          <t>E002</t>
        </is>
      </c>
      <c r="C31" s="86" t="inlineStr">
        <is>
          <t>SEG_MM</t>
        </is>
      </c>
      <c r="D31" s="85" t="inlineStr">
        <is>
          <t>pricing_acv_mid_market</t>
        </is>
      </c>
      <c r="E31" s="85" t="inlineStr">
        <is>
          <t>UNKNOWN</t>
        </is>
      </c>
      <c r="F31" s="85" t="n"/>
      <c r="G31" s="81" t="inlineStr">
        <is>
          <t>USD/year</t>
        </is>
      </c>
      <c r="H31" s="85" t="n">
        <v>0.2</v>
      </c>
      <c r="I31" s="81" t="inlineStr">
        <is>
          <t>EV002</t>
        </is>
      </c>
      <c r="J31" s="81" t="n">
        <v>0</v>
      </c>
      <c r="K31" s="81" t="n">
        <v>180</v>
      </c>
      <c r="L31" s="81" t="inlineStr">
        <is>
          <t>TIER1</t>
        </is>
      </c>
      <c r="M31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1" s="84" t="inlineStr">
        <is>
          <t>REVIEW_REQUIRED</t>
        </is>
      </c>
      <c r="O31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1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1" s="66" t="inlineStr">
        <is>
          <t>No explicit ACV on page</t>
        </is>
      </c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85" t="inlineStr">
        <is>
          <t>C005</t>
        </is>
      </c>
      <c r="B32" s="85" t="inlineStr">
        <is>
          <t>E002</t>
        </is>
      </c>
      <c r="C32" s="86" t="inlineStr">
        <is>
          <t>SEG_MM</t>
        </is>
      </c>
      <c r="D32" s="85" t="inlineStr">
        <is>
          <t>features</t>
        </is>
      </c>
      <c r="E32" s="85" t="inlineStr">
        <is>
          <t>Enrollment; Automated forms; Integrations</t>
        </is>
      </c>
      <c r="F32" s="85" t="n"/>
      <c r="G32" s="81" t="inlineStr"/>
      <c r="H32" s="85" t="n">
        <v>0.7</v>
      </c>
      <c r="I32" s="81" t="inlineStr">
        <is>
          <t>EV002</t>
        </is>
      </c>
      <c r="J32" s="81" t="n">
        <v>181</v>
      </c>
      <c r="K32" s="81" t="n">
        <v>420</v>
      </c>
      <c r="L32" s="81" t="inlineStr">
        <is>
          <t>TIER1</t>
        </is>
      </c>
      <c r="M32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2" s="84" t="inlineStr">
        <is>
          <t>PROMOTED</t>
        </is>
      </c>
      <c r="O32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2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85" t="inlineStr">
        <is>
          <t>C006</t>
        </is>
      </c>
      <c r="B33" s="85" t="inlineStr">
        <is>
          <t>E003</t>
        </is>
      </c>
      <c r="C33" s="86" t="inlineStr">
        <is>
          <t>SEG_MM</t>
        </is>
      </c>
      <c r="D33" s="85" t="inlineStr">
        <is>
          <t>funding_round</t>
        </is>
      </c>
      <c r="E33" s="85" t="inlineStr">
        <is>
          <t>UNKNOWN</t>
        </is>
      </c>
      <c r="F33" s="85" t="n"/>
      <c r="G33" s="81" t="inlineStr"/>
      <c r="H33" s="85" t="n">
        <v>0.1</v>
      </c>
      <c r="I33" s="81" t="inlineStr">
        <is>
          <t>EV003</t>
        </is>
      </c>
      <c r="J33" s="81" t="n">
        <v>0</v>
      </c>
      <c r="K33" s="81" t="n">
        <v>250</v>
      </c>
      <c r="L33" s="81" t="inlineStr">
        <is>
          <t>SIGNAL</t>
        </is>
      </c>
      <c r="M33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3" s="84" t="inlineStr">
        <is>
          <t>REVIEW_REQUIRED</t>
        </is>
      </c>
      <c r="O33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3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3" s="66" t="inlineStr">
        <is>
          <t>Signal only; needs tier-1 corroboration</t>
        </is>
      </c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85" t="inlineStr">
        <is>
          <t>C007</t>
        </is>
      </c>
      <c r="B34" s="85" t="inlineStr">
        <is>
          <t>E004</t>
        </is>
      </c>
      <c r="C34" s="86" t="inlineStr">
        <is>
          <t>SEG_MM</t>
        </is>
      </c>
      <c r="D34" s="85" t="inlineStr">
        <is>
          <t>pricing_acv_mid_market</t>
        </is>
      </c>
      <c r="E34" s="85" t="inlineStr"/>
      <c r="F34" s="85" t="n">
        <v>18000</v>
      </c>
      <c r="G34" s="81" t="inlineStr">
        <is>
          <t>USD/year</t>
        </is>
      </c>
      <c r="H34" s="85" t="n">
        <v>0.82</v>
      </c>
      <c r="I34" s="81" t="inlineStr">
        <is>
          <t>EV004</t>
        </is>
      </c>
      <c r="J34" s="81" t="n">
        <v>0</v>
      </c>
      <c r="K34" s="81" t="n">
        <v>210</v>
      </c>
      <c r="L34" s="81" t="inlineStr">
        <is>
          <t>TIER1</t>
        </is>
      </c>
      <c r="M34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4" s="84" t="inlineStr">
        <is>
          <t>PROMOTED</t>
        </is>
      </c>
      <c r="O34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4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85" t="inlineStr">
        <is>
          <t>C008</t>
        </is>
      </c>
      <c r="B35" s="85" t="inlineStr">
        <is>
          <t>E004</t>
        </is>
      </c>
      <c r="C35" s="86" t="inlineStr">
        <is>
          <t>SEG_MM</t>
        </is>
      </c>
      <c r="D35" s="85" t="inlineStr">
        <is>
          <t>features</t>
        </is>
      </c>
      <c r="E35" s="85" t="inlineStr">
        <is>
          <t>Credentialing; Compliance; Analytics</t>
        </is>
      </c>
      <c r="F35" s="85" t="n"/>
      <c r="G35" s="81" t="inlineStr"/>
      <c r="H35" s="85" t="n">
        <v>0.68</v>
      </c>
      <c r="I35" s="81" t="inlineStr">
        <is>
          <t>EV004</t>
        </is>
      </c>
      <c r="J35" s="81" t="n">
        <v>211</v>
      </c>
      <c r="K35" s="81" t="n">
        <v>400</v>
      </c>
      <c r="L35" s="81" t="inlineStr">
        <is>
          <t>TIER1</t>
        </is>
      </c>
      <c r="M35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5" s="84" t="inlineStr">
        <is>
          <t>PROMOTED</t>
        </is>
      </c>
      <c r="O35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5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85" t="inlineStr">
        <is>
          <t>C009</t>
        </is>
      </c>
      <c r="B36" s="85" t="inlineStr">
        <is>
          <t>E005</t>
        </is>
      </c>
      <c r="C36" s="86" t="inlineStr">
        <is>
          <t>SEG_MM</t>
        </is>
      </c>
      <c r="D36" s="85" t="inlineStr">
        <is>
          <t>pricing_acv_mid_market</t>
        </is>
      </c>
      <c r="E36" s="85" t="inlineStr"/>
      <c r="F36" s="85" t="n">
        <v>9000</v>
      </c>
      <c r="G36" s="81" t="inlineStr">
        <is>
          <t>USD/year</t>
        </is>
      </c>
      <c r="H36" s="85" t="n">
        <v>0.8</v>
      </c>
      <c r="I36" s="81" t="inlineStr">
        <is>
          <t>EV005</t>
        </is>
      </c>
      <c r="J36" s="81" t="n">
        <v>0</v>
      </c>
      <c r="K36" s="81" t="n">
        <v>200</v>
      </c>
      <c r="L36" s="81" t="inlineStr">
        <is>
          <t>SIGNAL</t>
        </is>
      </c>
      <c r="M36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6" s="84" t="inlineStr">
        <is>
          <t>REVIEW_REQUIRED</t>
        </is>
      </c>
      <c r="O36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6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6" s="66" t="inlineStr">
        <is>
          <t>Pricing from signal source; needs tier-1</t>
        </is>
      </c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4">
    <mergeCell ref="A15:N15"/>
    <mergeCell ref="A25:N25"/>
    <mergeCell ref="A4:N4"/>
    <mergeCell ref="A1:N1"/>
  </mergeCells>
  <dataValidations count="6">
    <dataValidation sqref="C18:C200" showDropDown="0" showInputMessage="0" showErrorMessage="0" allowBlank="0" type="list">
      <formula1>=Sources_Allowlist!$A$5:$A$200</formula1>
    </dataValidation>
    <dataValidation sqref="D18:D200" showDropDown="0" showInputMessage="0" showErrorMessage="0" allowBlank="0" type="list">
      <formula1>"TIER1,TIER2,SIGNAL"</formula1>
    </dataValidation>
    <dataValidation sqref="C28:C200" showDropDown="0" showInputMessage="0" showErrorMessage="0" allowBlank="0" type="list">
      <formula1>=Segment_Rules!$A$5:$A$200</formula1>
    </dataValidation>
    <dataValidation sqref="L28:L200" showDropDown="0" showInputMessage="0" showErrorMessage="0" allowBlank="0" type="list">
      <formula1>"TIER1,TIER2,SIGNAL"</formula1>
    </dataValidation>
    <dataValidation sqref="I28:I200" showDropDown="0" showInputMessage="0" showErrorMessage="0" allowBlank="0" type="list">
      <formula1>=Input!$A$18:$A$200</formula1>
    </dataValidation>
    <dataValidation sqref="N28:N200" showDropDown="0" showInputMessage="0" showErrorMessage="0" allowBlank="1" type="custom">
      <formula1>=OR(N28="",N28="REJECTED",N28="IN_REVIEW",AND(N28="PROMOTED",$O28="PROMOTABLE"))</formula1>
    </dataValidation>
  </dataValidation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2" customWidth="1" min="4" max="4"/>
    <col width="40" customWidth="1" min="5" max="5"/>
    <col width="14" customWidth="1" min="6" max="6"/>
    <col width="12" customWidth="1" min="7" max="7"/>
    <col width="10" customWidth="1" min="8" max="8"/>
    <col width="10" customWidth="1" min="9" max="9"/>
    <col width="38" customWidth="1" min="10" max="10"/>
    <col width="10" customWidth="1" min="11" max="11"/>
    <col width="12" customWidth="1" min="12" max="12"/>
    <col width="12" customWidth="1" min="13" max="13"/>
    <col width="22" customWidth="1" min="14" max="14"/>
  </cols>
  <sheetData>
    <row r="1">
      <c r="A1" s="146" t="inlineStr">
        <is>
          <t>Claims_Current (Normalized Claims; Versioned via Review Workflow)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This sheet is the contract consumed by Metrics and Dashboards. Values must be evidence-backed; missing/uncertain → UNKNOWN.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entity_id</t>
        </is>
      </c>
      <c r="B4" s="147" t="inlineStr">
        <is>
          <t>canonical_name</t>
        </is>
      </c>
      <c r="C4" s="147" t="inlineStr">
        <is>
          <t>segment_id</t>
        </is>
      </c>
      <c r="D4" s="147" t="inlineStr">
        <is>
          <t>field_key</t>
        </is>
      </c>
      <c r="E4" s="147" t="inlineStr">
        <is>
          <t>value_text</t>
        </is>
      </c>
      <c r="F4" s="147" t="inlineStr">
        <is>
          <t>value_num</t>
        </is>
      </c>
      <c r="G4" s="147" t="inlineStr">
        <is>
          <t>units</t>
        </is>
      </c>
      <c r="H4" s="147" t="inlineStr">
        <is>
          <t>confidence</t>
        </is>
      </c>
      <c r="I4" s="147" t="inlineStr">
        <is>
          <t>evidence_id</t>
        </is>
      </c>
      <c r="J4" s="147" t="inlineStr">
        <is>
          <t>evidence_url</t>
        </is>
      </c>
      <c r="K4" s="147" t="inlineStr">
        <is>
          <t>tier</t>
        </is>
      </c>
      <c r="L4" s="147" t="inlineStr">
        <is>
          <t>status</t>
        </is>
      </c>
      <c r="M4" s="147" t="inlineStr">
        <is>
          <t>last_updated</t>
        </is>
      </c>
      <c r="N4" s="147" t="inlineStr">
        <is>
          <t>explain</t>
        </is>
      </c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E001</t>
        </is>
      </c>
      <c r="B5" s="81" t="inlineStr">
        <is>
          <t>AcmeRival</t>
        </is>
      </c>
      <c r="C5" s="81" t="inlineStr">
        <is>
          <t>SEG_MM</t>
        </is>
      </c>
      <c r="D5" s="81" t="inlineStr">
        <is>
          <t>pricing_acv_mid_market</t>
        </is>
      </c>
      <c r="E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5" s="69">
        <f>IFERROR(XLOOKUP([@field_key],tblFieldDictionary[field_key],tblFieldDictionary[units]),"")</f>
        <v/>
      </c>
      <c r="H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5" s="81">
        <f>IFERROR(LOOKUP(2,1/((tblClaimCandidates[entity_id]=[@entity_id])*(tblClaimCandidates[field_key]=[@field_key])*(tblClaimCandidates[status_final]="PROMOTED")),tblClaimCandidates[evidence_id]),"")</f>
        <v/>
      </c>
      <c r="J5" s="81">
        <f>IF([@evidence_id]="","",IFERROR(XLOOKUP([@evidence_id],tblEvidence[evidence_id],tblEvidence[url],""),""))</f>
        <v/>
      </c>
      <c r="K5" s="81">
        <f>IFERROR(LOOKUP(2,1/((tblClaimCandidates[entity_id]=[@entity_id])*(tblClaimCandidates[field_key]=[@field_key])*(tblClaimCandidates[status_final]="PROMOTED")),tblClaimCandidates[tier]),"")</f>
        <v/>
      </c>
      <c r="L5" s="143">
        <f>IF([@value_text]="UNKNOWN","UNKNOWN","PROMOTED")</f>
        <v/>
      </c>
      <c r="M5" s="89">
        <f>IF([@status]="PROMOTED",TODAY(),"")</f>
        <v/>
      </c>
      <c r="N5" s="81">
        <f>IF([@status]="PROMOTED","evidence_linked","UNKNOWN_or_unverified")</f>
        <v/>
      </c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E001</t>
        </is>
      </c>
      <c r="B6" s="81" t="inlineStr">
        <is>
          <t>AcmeRival</t>
        </is>
      </c>
      <c r="C6" s="81" t="inlineStr">
        <is>
          <t>SEG_MM</t>
        </is>
      </c>
      <c r="D6" s="81" t="inlineStr">
        <is>
          <t>arr_estimate</t>
        </is>
      </c>
      <c r="E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6" s="69">
        <f>IFERROR(XLOOKUP([@field_key],tblFieldDictionary[field_key],tblFieldDictionary[units]),"")</f>
        <v/>
      </c>
      <c r="H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6" s="81">
        <f>IFERROR(LOOKUP(2,1/((tblClaimCandidates[entity_id]=[@entity_id])*(tblClaimCandidates[field_key]=[@field_key])*(tblClaimCandidates[status_final]="PROMOTED")),tblClaimCandidates[evidence_id]),"")</f>
        <v/>
      </c>
      <c r="J6" s="81">
        <f>IF([@evidence_id]="","",IFERROR(XLOOKUP([@evidence_id],tblEvidence[evidence_id],tblEvidence[url],""),""))</f>
        <v/>
      </c>
      <c r="K6" s="81">
        <f>IFERROR(LOOKUP(2,1/((tblClaimCandidates[entity_id]=[@entity_id])*(tblClaimCandidates[field_key]=[@field_key])*(tblClaimCandidates[status_final]="PROMOTED")),tblClaimCandidates[tier]),"")</f>
        <v/>
      </c>
      <c r="L6" s="143">
        <f>IF([@value_text]="UNKNOWN","UNKNOWN","PROMOTED")</f>
        <v/>
      </c>
      <c r="M6" s="89">
        <f>IF([@status]="PROMOTED",TODAY(),"")</f>
        <v/>
      </c>
      <c r="N6" s="81">
        <f>IF([@status]="PROMOTED","evidence_linked","UNKNOWN_or_unverified")</f>
        <v/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E001</t>
        </is>
      </c>
      <c r="B7" s="81" t="inlineStr">
        <is>
          <t>AcmeRival</t>
        </is>
      </c>
      <c r="C7" s="81" t="inlineStr">
        <is>
          <t>SEG_MM</t>
        </is>
      </c>
      <c r="D7" s="81" t="inlineStr">
        <is>
          <t>contract_terms</t>
        </is>
      </c>
      <c r="E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7" s="69">
        <f>IFERROR(XLOOKUP([@field_key],tblFieldDictionary[field_key],tblFieldDictionary[units]),"")</f>
        <v/>
      </c>
      <c r="H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7" s="81">
        <f>IFERROR(LOOKUP(2,1/((tblClaimCandidates[entity_id]=[@entity_id])*(tblClaimCandidates[field_key]=[@field_key])*(tblClaimCandidates[status_final]="PROMOTED")),tblClaimCandidates[evidence_id]),"")</f>
        <v/>
      </c>
      <c r="J7" s="81">
        <f>IF([@evidence_id]="","",IFERROR(XLOOKUP([@evidence_id],tblEvidence[evidence_id],tblEvidence[url],""),""))</f>
        <v/>
      </c>
      <c r="K7" s="81">
        <f>IFERROR(LOOKUP(2,1/((tblClaimCandidates[entity_id]=[@entity_id])*(tblClaimCandidates[field_key]=[@field_key])*(tblClaimCandidates[status_final]="PROMOTED")),tblClaimCandidates[tier]),"")</f>
        <v/>
      </c>
      <c r="L7" s="143">
        <f>IF([@value_text]="UNKNOWN","UNKNOWN","PROMOTED")</f>
        <v/>
      </c>
      <c r="M7" s="89">
        <f>IF([@status]="PROMOTED",TODAY(),"")</f>
        <v/>
      </c>
      <c r="N7" s="81">
        <f>IF([@status]="PROMOTED","evidence_linked","UNKNOWN_or_unverified")</f>
        <v/>
      </c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 t="inlineStr">
        <is>
          <t>E001</t>
        </is>
      </c>
      <c r="B8" s="81" t="inlineStr">
        <is>
          <t>AcmeRival</t>
        </is>
      </c>
      <c r="C8" s="81" t="inlineStr">
        <is>
          <t>SEG_MM</t>
        </is>
      </c>
      <c r="D8" s="81" t="inlineStr">
        <is>
          <t>features</t>
        </is>
      </c>
      <c r="E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8" s="81">
        <f>IFERROR(XLOOKUP([@field_key],tblFieldDictionary[field_key],tblFieldDictionary[units]),"")</f>
        <v/>
      </c>
      <c r="H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8" s="81">
        <f>IFERROR(LOOKUP(2,1/((tblClaimCandidates[entity_id]=[@entity_id])*(tblClaimCandidates[field_key]=[@field_key])*(tblClaimCandidates[status_final]="PROMOTED")),tblClaimCandidates[evidence_id]),"")</f>
        <v/>
      </c>
      <c r="J8" s="81">
        <f>IF([@evidence_id]="","",IFERROR(XLOOKUP([@evidence_id],tblEvidence[evidence_id],tblEvidence[url],""),""))</f>
        <v/>
      </c>
      <c r="K8" s="81">
        <f>IFERROR(LOOKUP(2,1/((tblClaimCandidates[entity_id]=[@entity_id])*(tblClaimCandidates[field_key]=[@field_key])*(tblClaimCandidates[status_final]="PROMOTED")),tblClaimCandidates[tier]),"")</f>
        <v/>
      </c>
      <c r="L8" s="143">
        <f>IF([@value_text]="UNKNOWN","UNKNOWN","PROMOTED")</f>
        <v/>
      </c>
      <c r="M8" s="89">
        <f>IF([@status]="PROMOTED",TODAY(),"")</f>
        <v/>
      </c>
      <c r="N8" s="81">
        <f>IF([@status]="PROMOTED","evidence_linked","UNKNOWN_or_unverified")</f>
        <v/>
      </c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 t="inlineStr">
        <is>
          <t>E001</t>
        </is>
      </c>
      <c r="B9" s="81" t="inlineStr">
        <is>
          <t>AcmeRival</t>
        </is>
      </c>
      <c r="C9" s="81" t="inlineStr">
        <is>
          <t>SEG_MM</t>
        </is>
      </c>
      <c r="D9" s="81" t="inlineStr">
        <is>
          <t>funding_round</t>
        </is>
      </c>
      <c r="E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9" s="81">
        <f>IFERROR(XLOOKUP([@field_key],tblFieldDictionary[field_key],tblFieldDictionary[units]),"")</f>
        <v/>
      </c>
      <c r="H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9" s="81">
        <f>IFERROR(LOOKUP(2,1/((tblClaimCandidates[entity_id]=[@entity_id])*(tblClaimCandidates[field_key]=[@field_key])*(tblClaimCandidates[status_final]="PROMOTED")),tblClaimCandidates[evidence_id]),"")</f>
        <v/>
      </c>
      <c r="J9" s="81">
        <f>IF([@evidence_id]="","",IFERROR(XLOOKUP([@evidence_id],tblEvidence[evidence_id],tblEvidence[url],""),""))</f>
        <v/>
      </c>
      <c r="K9" s="81">
        <f>IFERROR(LOOKUP(2,1/((tblClaimCandidates[entity_id]=[@entity_id])*(tblClaimCandidates[field_key]=[@field_key])*(tblClaimCandidates[status_final]="PROMOTED")),tblClaimCandidates[tier]),"")</f>
        <v/>
      </c>
      <c r="L9" s="143">
        <f>IF([@value_text]="UNKNOWN","UNKNOWN","PROMOTED")</f>
        <v/>
      </c>
      <c r="M9" s="89">
        <f>IF([@status]="PROMOTED",TODAY(),"")</f>
        <v/>
      </c>
      <c r="N9" s="81">
        <f>IF([@status]="PROMOTED","evidence_linked","UNKNOWN_or_unverified")</f>
        <v/>
      </c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1" t="inlineStr">
        <is>
          <t>E001</t>
        </is>
      </c>
      <c r="B10" s="81" t="inlineStr">
        <is>
          <t>AcmeRival</t>
        </is>
      </c>
      <c r="C10" s="81" t="inlineStr">
        <is>
          <t>SEG_MM</t>
        </is>
      </c>
      <c r="D10" s="81" t="inlineStr">
        <is>
          <t>geo_coverage</t>
        </is>
      </c>
      <c r="E1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0" s="81">
        <f>IFERROR(XLOOKUP([@field_key],tblFieldDictionary[field_key],tblFieldDictionary[units]),"")</f>
        <v/>
      </c>
      <c r="H1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0" s="81">
        <f>IFERROR(LOOKUP(2,1/((tblClaimCandidates[entity_id]=[@entity_id])*(tblClaimCandidates[field_key]=[@field_key])*(tblClaimCandidates[status_final]="PROMOTED")),tblClaimCandidates[evidence_id]),"")</f>
        <v/>
      </c>
      <c r="J10" s="81">
        <f>IF([@evidence_id]="","",IFERROR(XLOOKUP([@evidence_id],tblEvidence[evidence_id],tblEvidence[url],""),""))</f>
        <v/>
      </c>
      <c r="K10" s="81">
        <f>IFERROR(LOOKUP(2,1/((tblClaimCandidates[entity_id]=[@entity_id])*(tblClaimCandidates[field_key]=[@field_key])*(tblClaimCandidates[status_final]="PROMOTED")),tblClaimCandidates[tier]),"")</f>
        <v/>
      </c>
      <c r="L10" s="143">
        <f>IF([@value_text]="UNKNOWN","UNKNOWN","PROMOTED")</f>
        <v/>
      </c>
      <c r="M10" s="89">
        <f>IF([@status]="PROMOTED",TODAY(),"")</f>
        <v/>
      </c>
      <c r="N10" s="81">
        <f>IF([@status]="PROMOTED","evidence_linked","UNKNOWN_or_unverified")</f>
        <v/>
      </c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1" t="inlineStr">
        <is>
          <t>E001</t>
        </is>
      </c>
      <c r="B11" s="81" t="inlineStr">
        <is>
          <t>AcmeRival</t>
        </is>
      </c>
      <c r="C11" s="81" t="inlineStr">
        <is>
          <t>SEG_MM</t>
        </is>
      </c>
      <c r="D11" s="81" t="inlineStr">
        <is>
          <t>practice_size_target</t>
        </is>
      </c>
      <c r="E1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1" s="81">
        <f>IFERROR(XLOOKUP([@field_key],tblFieldDictionary[field_key],tblFieldDictionary[units]),"")</f>
        <v/>
      </c>
      <c r="H1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1" s="81">
        <f>IFERROR(LOOKUP(2,1/((tblClaimCandidates[entity_id]=[@entity_id])*(tblClaimCandidates[field_key]=[@field_key])*(tblClaimCandidates[status_final]="PROMOTED")),tblClaimCandidates[evidence_id]),"")</f>
        <v/>
      </c>
      <c r="J11" s="81">
        <f>IF([@evidence_id]="","",IFERROR(XLOOKUP([@evidence_id],tblEvidence[evidence_id],tblEvidence[url],""),""))</f>
        <v/>
      </c>
      <c r="K11" s="81">
        <f>IFERROR(LOOKUP(2,1/((tblClaimCandidates[entity_id]=[@entity_id])*(tblClaimCandidates[field_key]=[@field_key])*(tblClaimCandidates[status_final]="PROMOTED")),tblClaimCandidates[tier]),"")</f>
        <v/>
      </c>
      <c r="L11" s="143">
        <f>IF([@value_text]="UNKNOWN","UNKNOWN","PROMOTED")</f>
        <v/>
      </c>
      <c r="M11" s="89">
        <f>IF([@status]="PROMOTED",TODAY(),"")</f>
        <v/>
      </c>
      <c r="N11" s="81">
        <f>IF([@status]="PROMOTED","evidence_linked","UNKNOWN_or_unverified")</f>
        <v/>
      </c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81" t="inlineStr">
        <is>
          <t>E002</t>
        </is>
      </c>
      <c r="B12" s="81" t="inlineStr">
        <is>
          <t>EnrollPro</t>
        </is>
      </c>
      <c r="C12" s="81" t="inlineStr">
        <is>
          <t>SEG_MM</t>
        </is>
      </c>
      <c r="D12" s="81" t="inlineStr">
        <is>
          <t>pricing_acv_mid_market</t>
        </is>
      </c>
      <c r="E1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2" s="81">
        <f>IFERROR(XLOOKUP([@field_key],tblFieldDictionary[field_key],tblFieldDictionary[units]),"")</f>
        <v/>
      </c>
      <c r="H1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2" s="81">
        <f>IFERROR(LOOKUP(2,1/((tblClaimCandidates[entity_id]=[@entity_id])*(tblClaimCandidates[field_key]=[@field_key])*(tblClaimCandidates[status_final]="PROMOTED")),tblClaimCandidates[evidence_id]),"")</f>
        <v/>
      </c>
      <c r="J12" s="81">
        <f>IF([@evidence_id]="","",IFERROR(XLOOKUP([@evidence_id],tblEvidence[evidence_id],tblEvidence[url],""),""))</f>
        <v/>
      </c>
      <c r="K12" s="81">
        <f>IFERROR(LOOKUP(2,1/((tblClaimCandidates[entity_id]=[@entity_id])*(tblClaimCandidates[field_key]=[@field_key])*(tblClaimCandidates[status_final]="PROMOTED")),tblClaimCandidates[tier]),"")</f>
        <v/>
      </c>
      <c r="L12" s="143">
        <f>IF([@value_text]="UNKNOWN","UNKNOWN","PROMOTED")</f>
        <v/>
      </c>
      <c r="M12" s="89">
        <f>IF([@status]="PROMOTED",TODAY(),"")</f>
        <v/>
      </c>
      <c r="N12" s="81">
        <f>IF([@status]="PROMOTED","evidence_linked","UNKNOWN_or_unverified")</f>
        <v/>
      </c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81" t="inlineStr">
        <is>
          <t>E002</t>
        </is>
      </c>
      <c r="B13" s="81" t="inlineStr">
        <is>
          <t>EnrollPro</t>
        </is>
      </c>
      <c r="C13" s="81" t="inlineStr">
        <is>
          <t>SEG_MM</t>
        </is>
      </c>
      <c r="D13" s="81" t="inlineStr">
        <is>
          <t>arr_estimate</t>
        </is>
      </c>
      <c r="E1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3" s="81">
        <f>IFERROR(XLOOKUP([@field_key],tblFieldDictionary[field_key],tblFieldDictionary[units]),"")</f>
        <v/>
      </c>
      <c r="H1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3" s="81">
        <f>IFERROR(LOOKUP(2,1/((tblClaimCandidates[entity_id]=[@entity_id])*(tblClaimCandidates[field_key]=[@field_key])*(tblClaimCandidates[status_final]="PROMOTED")),tblClaimCandidates[evidence_id]),"")</f>
        <v/>
      </c>
      <c r="J13" s="81">
        <f>IF([@evidence_id]="","",IFERROR(XLOOKUP([@evidence_id],tblEvidence[evidence_id],tblEvidence[url],""),""))</f>
        <v/>
      </c>
      <c r="K13" s="81">
        <f>IFERROR(LOOKUP(2,1/((tblClaimCandidates[entity_id]=[@entity_id])*(tblClaimCandidates[field_key]=[@field_key])*(tblClaimCandidates[status_final]="PROMOTED")),tblClaimCandidates[tier]),"")</f>
        <v/>
      </c>
      <c r="L13" s="143">
        <f>IF([@value_text]="UNKNOWN","UNKNOWN","PROMOTED")</f>
        <v/>
      </c>
      <c r="M13" s="89">
        <f>IF([@status]="PROMOTED",TODAY(),"")</f>
        <v/>
      </c>
      <c r="N13" s="81">
        <f>IF([@status]="PROMOTED","evidence_linked","UNKNOWN_or_unverified")</f>
        <v/>
      </c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81" t="inlineStr">
        <is>
          <t>E002</t>
        </is>
      </c>
      <c r="B14" s="81" t="inlineStr">
        <is>
          <t>EnrollPro</t>
        </is>
      </c>
      <c r="C14" s="81" t="inlineStr">
        <is>
          <t>SEG_MM</t>
        </is>
      </c>
      <c r="D14" s="81" t="inlineStr">
        <is>
          <t>contract_terms</t>
        </is>
      </c>
      <c r="E1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4" s="81">
        <f>IFERROR(XLOOKUP([@field_key],tblFieldDictionary[field_key],tblFieldDictionary[units]),"")</f>
        <v/>
      </c>
      <c r="H1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4" s="81">
        <f>IFERROR(LOOKUP(2,1/((tblClaimCandidates[entity_id]=[@entity_id])*(tblClaimCandidates[field_key]=[@field_key])*(tblClaimCandidates[status_final]="PROMOTED")),tblClaimCandidates[evidence_id]),"")</f>
        <v/>
      </c>
      <c r="J14" s="81">
        <f>IF([@evidence_id]="","",IFERROR(XLOOKUP([@evidence_id],tblEvidence[evidence_id],tblEvidence[url],""),""))</f>
        <v/>
      </c>
      <c r="K14" s="81">
        <f>IFERROR(LOOKUP(2,1/((tblClaimCandidates[entity_id]=[@entity_id])*(tblClaimCandidates[field_key]=[@field_key])*(tblClaimCandidates[status_final]="PROMOTED")),tblClaimCandidates[tier]),"")</f>
        <v/>
      </c>
      <c r="L14" s="143">
        <f>IF([@value_text]="UNKNOWN","UNKNOWN","PROMOTED")</f>
        <v/>
      </c>
      <c r="M14" s="89">
        <f>IF([@status]="PROMOTED",TODAY(),"")</f>
        <v/>
      </c>
      <c r="N14" s="81">
        <f>IF([@status]="PROMOTED","evidence_linked","UNKNOWN_or_unverified")</f>
        <v/>
      </c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81" t="inlineStr">
        <is>
          <t>E002</t>
        </is>
      </c>
      <c r="B15" s="81" t="inlineStr">
        <is>
          <t>EnrollPro</t>
        </is>
      </c>
      <c r="C15" s="81" t="inlineStr">
        <is>
          <t>SEG_MM</t>
        </is>
      </c>
      <c r="D15" s="81" t="inlineStr">
        <is>
          <t>features</t>
        </is>
      </c>
      <c r="E1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5" s="81">
        <f>IFERROR(XLOOKUP([@field_key],tblFieldDictionary[field_key],tblFieldDictionary[units]),"")</f>
        <v/>
      </c>
      <c r="H1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5" s="81">
        <f>IFERROR(LOOKUP(2,1/((tblClaimCandidates[entity_id]=[@entity_id])*(tblClaimCandidates[field_key]=[@field_key])*(tblClaimCandidates[status_final]="PROMOTED")),tblClaimCandidates[evidence_id]),"")</f>
        <v/>
      </c>
      <c r="J15" s="81">
        <f>IF([@evidence_id]="","",IFERROR(XLOOKUP([@evidence_id],tblEvidence[evidence_id],tblEvidence[url],""),""))</f>
        <v/>
      </c>
      <c r="K15" s="81">
        <f>IFERROR(LOOKUP(2,1/((tblClaimCandidates[entity_id]=[@entity_id])*(tblClaimCandidates[field_key]=[@field_key])*(tblClaimCandidates[status_final]="PROMOTED")),tblClaimCandidates[tier]),"")</f>
        <v/>
      </c>
      <c r="L15" s="143">
        <f>IF([@value_text]="UNKNOWN","UNKNOWN","PROMOTED")</f>
        <v/>
      </c>
      <c r="M15" s="89">
        <f>IF([@status]="PROMOTED",TODAY(),"")</f>
        <v/>
      </c>
      <c r="N15" s="81">
        <f>IF([@status]="PROMOTED","evidence_linked","UNKNOWN_or_unverified")</f>
        <v/>
      </c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81" t="inlineStr">
        <is>
          <t>E002</t>
        </is>
      </c>
      <c r="B16" s="81" t="inlineStr">
        <is>
          <t>EnrollPro</t>
        </is>
      </c>
      <c r="C16" s="81" t="inlineStr">
        <is>
          <t>SEG_MM</t>
        </is>
      </c>
      <c r="D16" s="81" t="inlineStr">
        <is>
          <t>funding_round</t>
        </is>
      </c>
      <c r="E1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6" s="81">
        <f>IFERROR(XLOOKUP([@field_key],tblFieldDictionary[field_key],tblFieldDictionary[units]),"")</f>
        <v/>
      </c>
      <c r="H1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6" s="81">
        <f>IFERROR(LOOKUP(2,1/((tblClaimCandidates[entity_id]=[@entity_id])*(tblClaimCandidates[field_key]=[@field_key])*(tblClaimCandidates[status_final]="PROMOTED")),tblClaimCandidates[evidence_id]),"")</f>
        <v/>
      </c>
      <c r="J16" s="81">
        <f>IF([@evidence_id]="","",IFERROR(XLOOKUP([@evidence_id],tblEvidence[evidence_id],tblEvidence[url],""),""))</f>
        <v/>
      </c>
      <c r="K16" s="81">
        <f>IFERROR(LOOKUP(2,1/((tblClaimCandidates[entity_id]=[@entity_id])*(tblClaimCandidates[field_key]=[@field_key])*(tblClaimCandidates[status_final]="PROMOTED")),tblClaimCandidates[tier]),"")</f>
        <v/>
      </c>
      <c r="L16" s="143">
        <f>IF([@value_text]="UNKNOWN","UNKNOWN","PROMOTED")</f>
        <v/>
      </c>
      <c r="M16" s="89">
        <f>IF([@status]="PROMOTED",TODAY(),"")</f>
        <v/>
      </c>
      <c r="N16" s="81">
        <f>IF([@status]="PROMOTED","evidence_linked","UNKNOWN_or_unverified")</f>
        <v/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81" t="inlineStr">
        <is>
          <t>E002</t>
        </is>
      </c>
      <c r="B17" s="81" t="inlineStr">
        <is>
          <t>EnrollPro</t>
        </is>
      </c>
      <c r="C17" s="81" t="inlineStr">
        <is>
          <t>SEG_MM</t>
        </is>
      </c>
      <c r="D17" s="81" t="inlineStr">
        <is>
          <t>geo_coverage</t>
        </is>
      </c>
      <c r="E1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7" s="81">
        <f>IFERROR(XLOOKUP([@field_key],tblFieldDictionary[field_key],tblFieldDictionary[units]),"")</f>
        <v/>
      </c>
      <c r="H1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7" s="81">
        <f>IFERROR(LOOKUP(2,1/((tblClaimCandidates[entity_id]=[@entity_id])*(tblClaimCandidates[field_key]=[@field_key])*(tblClaimCandidates[status_final]="PROMOTED")),tblClaimCandidates[evidence_id]),"")</f>
        <v/>
      </c>
      <c r="J17" s="81">
        <f>IF([@evidence_id]="","",IFERROR(XLOOKUP([@evidence_id],tblEvidence[evidence_id],tblEvidence[url],""),""))</f>
        <v/>
      </c>
      <c r="K17" s="81">
        <f>IFERROR(LOOKUP(2,1/((tblClaimCandidates[entity_id]=[@entity_id])*(tblClaimCandidates[field_key]=[@field_key])*(tblClaimCandidates[status_final]="PROMOTED")),tblClaimCandidates[tier]),"")</f>
        <v/>
      </c>
      <c r="L17" s="143">
        <f>IF([@value_text]="UNKNOWN","UNKNOWN","PROMOTED")</f>
        <v/>
      </c>
      <c r="M17" s="89">
        <f>IF([@status]="PROMOTED",TODAY(),"")</f>
        <v/>
      </c>
      <c r="N17" s="81">
        <f>IF([@status]="PROMOTED","evidence_linked","UNKNOWN_or_unverified")</f>
        <v/>
      </c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81" t="inlineStr">
        <is>
          <t>E002</t>
        </is>
      </c>
      <c r="B18" s="81" t="inlineStr">
        <is>
          <t>EnrollPro</t>
        </is>
      </c>
      <c r="C18" s="81" t="inlineStr">
        <is>
          <t>SEG_MM</t>
        </is>
      </c>
      <c r="D18" s="81" t="inlineStr">
        <is>
          <t>practice_size_target</t>
        </is>
      </c>
      <c r="E1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8" s="81">
        <f>IFERROR(XLOOKUP([@field_key],tblFieldDictionary[field_key],tblFieldDictionary[units]),"")</f>
        <v/>
      </c>
      <c r="H1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8" s="81">
        <f>IFERROR(LOOKUP(2,1/((tblClaimCandidates[entity_id]=[@entity_id])*(tblClaimCandidates[field_key]=[@field_key])*(tblClaimCandidates[status_final]="PROMOTED")),tblClaimCandidates[evidence_id]),"")</f>
        <v/>
      </c>
      <c r="J18" s="81">
        <f>IF([@evidence_id]="","",IFERROR(XLOOKUP([@evidence_id],tblEvidence[evidence_id],tblEvidence[url],""),""))</f>
        <v/>
      </c>
      <c r="K18" s="81">
        <f>IFERROR(LOOKUP(2,1/((tblClaimCandidates[entity_id]=[@entity_id])*(tblClaimCandidates[field_key]=[@field_key])*(tblClaimCandidates[status_final]="PROMOTED")),tblClaimCandidates[tier]),"")</f>
        <v/>
      </c>
      <c r="L18" s="143">
        <f>IF([@value_text]="UNKNOWN","UNKNOWN","PROMOTED")</f>
        <v/>
      </c>
      <c r="M18" s="89">
        <f>IF([@status]="PROMOTED",TODAY(),"")</f>
        <v/>
      </c>
      <c r="N18" s="81">
        <f>IF([@status]="PROMOTED","evidence_linked","UNKNOWN_or_unverified")</f>
        <v/>
      </c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81" t="inlineStr">
        <is>
          <t>E003</t>
        </is>
      </c>
      <c r="B19" s="81" t="inlineStr">
        <is>
          <t>ComplianceFlow</t>
        </is>
      </c>
      <c r="C19" s="81" t="inlineStr">
        <is>
          <t>SEG_MM</t>
        </is>
      </c>
      <c r="D19" s="81" t="inlineStr">
        <is>
          <t>pricing_acv_mid_market</t>
        </is>
      </c>
      <c r="E1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9" s="81">
        <f>IFERROR(XLOOKUP([@field_key],tblFieldDictionary[field_key],tblFieldDictionary[units]),"")</f>
        <v/>
      </c>
      <c r="H1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9" s="81">
        <f>IFERROR(LOOKUP(2,1/((tblClaimCandidates[entity_id]=[@entity_id])*(tblClaimCandidates[field_key]=[@field_key])*(tblClaimCandidates[status_final]="PROMOTED")),tblClaimCandidates[evidence_id]),"")</f>
        <v/>
      </c>
      <c r="J19" s="81">
        <f>IF([@evidence_id]="","",IFERROR(XLOOKUP([@evidence_id],tblEvidence[evidence_id],tblEvidence[url],""),""))</f>
        <v/>
      </c>
      <c r="K19" s="81">
        <f>IFERROR(LOOKUP(2,1/((tblClaimCandidates[entity_id]=[@entity_id])*(tblClaimCandidates[field_key]=[@field_key])*(tblClaimCandidates[status_final]="PROMOTED")),tblClaimCandidates[tier]),"")</f>
        <v/>
      </c>
      <c r="L19" s="143">
        <f>IF([@value_text]="UNKNOWN","UNKNOWN","PROMOTED")</f>
        <v/>
      </c>
      <c r="M19" s="89">
        <f>IF([@status]="PROMOTED",TODAY(),"")</f>
        <v/>
      </c>
      <c r="N19" s="81">
        <f>IF([@status]="PROMOTED","evidence_linked","UNKNOWN_or_unverified")</f>
        <v/>
      </c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81" t="inlineStr">
        <is>
          <t>E003</t>
        </is>
      </c>
      <c r="B20" s="81" t="inlineStr">
        <is>
          <t>ComplianceFlow</t>
        </is>
      </c>
      <c r="C20" s="81" t="inlineStr">
        <is>
          <t>SEG_MM</t>
        </is>
      </c>
      <c r="D20" s="81" t="inlineStr">
        <is>
          <t>arr_estimate</t>
        </is>
      </c>
      <c r="E2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0" s="81">
        <f>IFERROR(XLOOKUP([@field_key],tblFieldDictionary[field_key],tblFieldDictionary[units]),"")</f>
        <v/>
      </c>
      <c r="H2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0" s="81">
        <f>IFERROR(LOOKUP(2,1/((tblClaimCandidates[entity_id]=[@entity_id])*(tblClaimCandidates[field_key]=[@field_key])*(tblClaimCandidates[status_final]="PROMOTED")),tblClaimCandidates[evidence_id]),"")</f>
        <v/>
      </c>
      <c r="J20" s="81">
        <f>IF([@evidence_id]="","",IFERROR(XLOOKUP([@evidence_id],tblEvidence[evidence_id],tblEvidence[url],""),""))</f>
        <v/>
      </c>
      <c r="K20" s="81">
        <f>IFERROR(LOOKUP(2,1/((tblClaimCandidates[entity_id]=[@entity_id])*(tblClaimCandidates[field_key]=[@field_key])*(tblClaimCandidates[status_final]="PROMOTED")),tblClaimCandidates[tier]),"")</f>
        <v/>
      </c>
      <c r="L20" s="143">
        <f>IF([@value_text]="UNKNOWN","UNKNOWN","PROMOTED")</f>
        <v/>
      </c>
      <c r="M20" s="89">
        <f>IF([@status]="PROMOTED",TODAY(),"")</f>
        <v/>
      </c>
      <c r="N20" s="81">
        <f>IF([@status]="PROMOTED","evidence_linked","UNKNOWN_or_unverified")</f>
        <v/>
      </c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81" t="inlineStr">
        <is>
          <t>E003</t>
        </is>
      </c>
      <c r="B21" s="81" t="inlineStr">
        <is>
          <t>ComplianceFlow</t>
        </is>
      </c>
      <c r="C21" s="81" t="inlineStr">
        <is>
          <t>SEG_MM</t>
        </is>
      </c>
      <c r="D21" s="81" t="inlineStr">
        <is>
          <t>contract_terms</t>
        </is>
      </c>
      <c r="E2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1" s="81">
        <f>IFERROR(XLOOKUP([@field_key],tblFieldDictionary[field_key],tblFieldDictionary[units]),"")</f>
        <v/>
      </c>
      <c r="H2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1" s="81">
        <f>IFERROR(LOOKUP(2,1/((tblClaimCandidates[entity_id]=[@entity_id])*(tblClaimCandidates[field_key]=[@field_key])*(tblClaimCandidates[status_final]="PROMOTED")),tblClaimCandidates[evidence_id]),"")</f>
        <v/>
      </c>
      <c r="J21" s="81">
        <f>IF([@evidence_id]="","",IFERROR(XLOOKUP([@evidence_id],tblEvidence[evidence_id],tblEvidence[url],""),""))</f>
        <v/>
      </c>
      <c r="K21" s="81">
        <f>IFERROR(LOOKUP(2,1/((tblClaimCandidates[entity_id]=[@entity_id])*(tblClaimCandidates[field_key]=[@field_key])*(tblClaimCandidates[status_final]="PROMOTED")),tblClaimCandidates[tier]),"")</f>
        <v/>
      </c>
      <c r="L21" s="143">
        <f>IF([@value_text]="UNKNOWN","UNKNOWN","PROMOTED")</f>
        <v/>
      </c>
      <c r="M21" s="89">
        <f>IF([@status]="PROMOTED",TODAY(),"")</f>
        <v/>
      </c>
      <c r="N21" s="81">
        <f>IF([@status]="PROMOTED","evidence_linked","UNKNOWN_or_unverified")</f>
        <v/>
      </c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81" t="inlineStr">
        <is>
          <t>E003</t>
        </is>
      </c>
      <c r="B22" s="81" t="inlineStr">
        <is>
          <t>ComplianceFlow</t>
        </is>
      </c>
      <c r="C22" s="81" t="inlineStr">
        <is>
          <t>SEG_MM</t>
        </is>
      </c>
      <c r="D22" s="81" t="inlineStr">
        <is>
          <t>features</t>
        </is>
      </c>
      <c r="E2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2" s="81">
        <f>IFERROR(XLOOKUP([@field_key],tblFieldDictionary[field_key],tblFieldDictionary[units]),"")</f>
        <v/>
      </c>
      <c r="H2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2" s="81">
        <f>IFERROR(LOOKUP(2,1/((tblClaimCandidates[entity_id]=[@entity_id])*(tblClaimCandidates[field_key]=[@field_key])*(tblClaimCandidates[status_final]="PROMOTED")),tblClaimCandidates[evidence_id]),"")</f>
        <v/>
      </c>
      <c r="J22" s="81">
        <f>IF([@evidence_id]="","",IFERROR(XLOOKUP([@evidence_id],tblEvidence[evidence_id],tblEvidence[url],""),""))</f>
        <v/>
      </c>
      <c r="K22" s="81">
        <f>IFERROR(LOOKUP(2,1/((tblClaimCandidates[entity_id]=[@entity_id])*(tblClaimCandidates[field_key]=[@field_key])*(tblClaimCandidates[status_final]="PROMOTED")),tblClaimCandidates[tier]),"")</f>
        <v/>
      </c>
      <c r="L22" s="143">
        <f>IF([@value_text]="UNKNOWN","UNKNOWN","PROMOTED")</f>
        <v/>
      </c>
      <c r="M22" s="89">
        <f>IF([@status]="PROMOTED",TODAY(),"")</f>
        <v/>
      </c>
      <c r="N22" s="81">
        <f>IF([@status]="PROMOTED","evidence_linked","UNKNOWN_or_unverified")</f>
        <v/>
      </c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81" t="inlineStr">
        <is>
          <t>E003</t>
        </is>
      </c>
      <c r="B23" s="81" t="inlineStr">
        <is>
          <t>ComplianceFlow</t>
        </is>
      </c>
      <c r="C23" s="81" t="inlineStr">
        <is>
          <t>SEG_MM</t>
        </is>
      </c>
      <c r="D23" s="81" t="inlineStr">
        <is>
          <t>funding_round</t>
        </is>
      </c>
      <c r="E2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3" s="81">
        <f>IFERROR(XLOOKUP([@field_key],tblFieldDictionary[field_key],tblFieldDictionary[units]),"")</f>
        <v/>
      </c>
      <c r="H2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3" s="81">
        <f>IFERROR(LOOKUP(2,1/((tblClaimCandidates[entity_id]=[@entity_id])*(tblClaimCandidates[field_key]=[@field_key])*(tblClaimCandidates[status_final]="PROMOTED")),tblClaimCandidates[evidence_id]),"")</f>
        <v/>
      </c>
      <c r="J23" s="81">
        <f>IF([@evidence_id]="","",IFERROR(XLOOKUP([@evidence_id],tblEvidence[evidence_id],tblEvidence[url],""),""))</f>
        <v/>
      </c>
      <c r="K23" s="81">
        <f>IFERROR(LOOKUP(2,1/((tblClaimCandidates[entity_id]=[@entity_id])*(tblClaimCandidates[field_key]=[@field_key])*(tblClaimCandidates[status_final]="PROMOTED")),tblClaimCandidates[tier]),"")</f>
        <v/>
      </c>
      <c r="L23" s="143">
        <f>IF([@value_text]="UNKNOWN","UNKNOWN","PROMOTED")</f>
        <v/>
      </c>
      <c r="M23" s="89">
        <f>IF([@status]="PROMOTED",TODAY(),"")</f>
        <v/>
      </c>
      <c r="N23" s="81">
        <f>IF([@status]="PROMOTED","evidence_linked","UNKNOWN_or_unverified")</f>
        <v/>
      </c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81" t="inlineStr">
        <is>
          <t>E003</t>
        </is>
      </c>
      <c r="B24" s="81" t="inlineStr">
        <is>
          <t>ComplianceFlow</t>
        </is>
      </c>
      <c r="C24" s="81" t="inlineStr">
        <is>
          <t>SEG_MM</t>
        </is>
      </c>
      <c r="D24" s="81" t="inlineStr">
        <is>
          <t>geo_coverage</t>
        </is>
      </c>
      <c r="E2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4" s="81">
        <f>IFERROR(XLOOKUP([@field_key],tblFieldDictionary[field_key],tblFieldDictionary[units]),"")</f>
        <v/>
      </c>
      <c r="H2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4" s="81">
        <f>IFERROR(LOOKUP(2,1/((tblClaimCandidates[entity_id]=[@entity_id])*(tblClaimCandidates[field_key]=[@field_key])*(tblClaimCandidates[status_final]="PROMOTED")),tblClaimCandidates[evidence_id]),"")</f>
        <v/>
      </c>
      <c r="J24" s="81">
        <f>IF([@evidence_id]="","",IFERROR(XLOOKUP([@evidence_id],tblEvidence[evidence_id],tblEvidence[url],""),""))</f>
        <v/>
      </c>
      <c r="K24" s="81">
        <f>IFERROR(LOOKUP(2,1/((tblClaimCandidates[entity_id]=[@entity_id])*(tblClaimCandidates[field_key]=[@field_key])*(tblClaimCandidates[status_final]="PROMOTED")),tblClaimCandidates[tier]),"")</f>
        <v/>
      </c>
      <c r="L24" s="143">
        <f>IF([@value_text]="UNKNOWN","UNKNOWN","PROMOTED")</f>
        <v/>
      </c>
      <c r="M24" s="89">
        <f>IF([@status]="PROMOTED",TODAY(),"")</f>
        <v/>
      </c>
      <c r="N24" s="81">
        <f>IF([@status]="PROMOTED","evidence_linked","UNKNOWN_or_unverified")</f>
        <v/>
      </c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81" t="inlineStr">
        <is>
          <t>E003</t>
        </is>
      </c>
      <c r="B25" s="81" t="inlineStr">
        <is>
          <t>ComplianceFlow</t>
        </is>
      </c>
      <c r="C25" s="81" t="inlineStr">
        <is>
          <t>SEG_MM</t>
        </is>
      </c>
      <c r="D25" s="81" t="inlineStr">
        <is>
          <t>practice_size_target</t>
        </is>
      </c>
      <c r="E2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5" s="81">
        <f>IFERROR(XLOOKUP([@field_key],tblFieldDictionary[field_key],tblFieldDictionary[units]),"")</f>
        <v/>
      </c>
      <c r="H2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5" s="81">
        <f>IFERROR(LOOKUP(2,1/((tblClaimCandidates[entity_id]=[@entity_id])*(tblClaimCandidates[field_key]=[@field_key])*(tblClaimCandidates[status_final]="PROMOTED")),tblClaimCandidates[evidence_id]),"")</f>
        <v/>
      </c>
      <c r="J25" s="81">
        <f>IF([@evidence_id]="","",IFERROR(XLOOKUP([@evidence_id],tblEvidence[evidence_id],tblEvidence[url],""),""))</f>
        <v/>
      </c>
      <c r="K25" s="81">
        <f>IFERROR(LOOKUP(2,1/((tblClaimCandidates[entity_id]=[@entity_id])*(tblClaimCandidates[field_key]=[@field_key])*(tblClaimCandidates[status_final]="PROMOTED")),tblClaimCandidates[tier]),"")</f>
        <v/>
      </c>
      <c r="L25" s="143">
        <f>IF([@value_text]="UNKNOWN","UNKNOWN","PROMOTED")</f>
        <v/>
      </c>
      <c r="M25" s="89">
        <f>IF([@status]="PROMOTED",TODAY(),"")</f>
        <v/>
      </c>
      <c r="N25" s="81">
        <f>IF([@status]="PROMOTED","evidence_linked","UNKNOWN_or_unverified")</f>
        <v/>
      </c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81" t="inlineStr">
        <is>
          <t>E004</t>
        </is>
      </c>
      <c r="B26" s="81" t="inlineStr">
        <is>
          <t>CredentiSure</t>
        </is>
      </c>
      <c r="C26" s="81" t="inlineStr">
        <is>
          <t>SEG_MM</t>
        </is>
      </c>
      <c r="D26" s="81" t="inlineStr">
        <is>
          <t>pricing_acv_mid_market</t>
        </is>
      </c>
      <c r="E2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6" s="81">
        <f>IFERROR(XLOOKUP([@field_key],tblFieldDictionary[field_key],tblFieldDictionary[units]),"")</f>
        <v/>
      </c>
      <c r="H2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6" s="81">
        <f>IFERROR(LOOKUP(2,1/((tblClaimCandidates[entity_id]=[@entity_id])*(tblClaimCandidates[field_key]=[@field_key])*(tblClaimCandidates[status_final]="PROMOTED")),tblClaimCandidates[evidence_id]),"")</f>
        <v/>
      </c>
      <c r="J26" s="81">
        <f>IF([@evidence_id]="","",IFERROR(XLOOKUP([@evidence_id],tblEvidence[evidence_id],tblEvidence[url],""),""))</f>
        <v/>
      </c>
      <c r="K26" s="81">
        <f>IFERROR(LOOKUP(2,1/((tblClaimCandidates[entity_id]=[@entity_id])*(tblClaimCandidates[field_key]=[@field_key])*(tblClaimCandidates[status_final]="PROMOTED")),tblClaimCandidates[tier]),"")</f>
        <v/>
      </c>
      <c r="L26" s="143">
        <f>IF([@value_text]="UNKNOWN","UNKNOWN","PROMOTED")</f>
        <v/>
      </c>
      <c r="M26" s="89">
        <f>IF([@status]="PROMOTED",TODAY(),"")</f>
        <v/>
      </c>
      <c r="N26" s="81">
        <f>IF([@status]="PROMOTED","evidence_linked","UNKNOWN_or_unverified")</f>
        <v/>
      </c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81" t="inlineStr">
        <is>
          <t>E004</t>
        </is>
      </c>
      <c r="B27" s="81" t="inlineStr">
        <is>
          <t>CredentiSure</t>
        </is>
      </c>
      <c r="C27" s="81" t="inlineStr">
        <is>
          <t>SEG_MM</t>
        </is>
      </c>
      <c r="D27" s="81" t="inlineStr">
        <is>
          <t>arr_estimate</t>
        </is>
      </c>
      <c r="E2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7" s="81">
        <f>IFERROR(XLOOKUP([@field_key],tblFieldDictionary[field_key],tblFieldDictionary[units]),"")</f>
        <v/>
      </c>
      <c r="H2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7" s="81">
        <f>IFERROR(LOOKUP(2,1/((tblClaimCandidates[entity_id]=[@entity_id])*(tblClaimCandidates[field_key]=[@field_key])*(tblClaimCandidates[status_final]="PROMOTED")),tblClaimCandidates[evidence_id]),"")</f>
        <v/>
      </c>
      <c r="J27" s="81">
        <f>IF([@evidence_id]="","",IFERROR(XLOOKUP([@evidence_id],tblEvidence[evidence_id],tblEvidence[url],""),""))</f>
        <v/>
      </c>
      <c r="K27" s="81">
        <f>IFERROR(LOOKUP(2,1/((tblClaimCandidates[entity_id]=[@entity_id])*(tblClaimCandidates[field_key]=[@field_key])*(tblClaimCandidates[status_final]="PROMOTED")),tblClaimCandidates[tier]),"")</f>
        <v/>
      </c>
      <c r="L27" s="143">
        <f>IF([@value_text]="UNKNOWN","UNKNOWN","PROMOTED")</f>
        <v/>
      </c>
      <c r="M27" s="89">
        <f>IF([@status]="PROMOTED",TODAY(),"")</f>
        <v/>
      </c>
      <c r="N27" s="81">
        <f>IF([@status]="PROMOTED","evidence_linked","UNKNOWN_or_unverified")</f>
        <v/>
      </c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81" t="inlineStr">
        <is>
          <t>E004</t>
        </is>
      </c>
      <c r="B28" s="81" t="inlineStr">
        <is>
          <t>CredentiSure</t>
        </is>
      </c>
      <c r="C28" s="81" t="inlineStr">
        <is>
          <t>SEG_MM</t>
        </is>
      </c>
      <c r="D28" s="81" t="inlineStr">
        <is>
          <t>contract_terms</t>
        </is>
      </c>
      <c r="E2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8" s="81">
        <f>IFERROR(XLOOKUP([@field_key],tblFieldDictionary[field_key],tblFieldDictionary[units]),"")</f>
        <v/>
      </c>
      <c r="H2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8" s="81">
        <f>IFERROR(LOOKUP(2,1/((tblClaimCandidates[entity_id]=[@entity_id])*(tblClaimCandidates[field_key]=[@field_key])*(tblClaimCandidates[status_final]="PROMOTED")),tblClaimCandidates[evidence_id]),"")</f>
        <v/>
      </c>
      <c r="J28" s="81">
        <f>IF([@evidence_id]="","",IFERROR(XLOOKUP([@evidence_id],tblEvidence[evidence_id],tblEvidence[url],""),""))</f>
        <v/>
      </c>
      <c r="K28" s="81">
        <f>IFERROR(LOOKUP(2,1/((tblClaimCandidates[entity_id]=[@entity_id])*(tblClaimCandidates[field_key]=[@field_key])*(tblClaimCandidates[status_final]="PROMOTED")),tblClaimCandidates[tier]),"")</f>
        <v/>
      </c>
      <c r="L28" s="143">
        <f>IF([@value_text]="UNKNOWN","UNKNOWN","PROMOTED")</f>
        <v/>
      </c>
      <c r="M28" s="89">
        <f>IF([@status]="PROMOTED",TODAY(),"")</f>
        <v/>
      </c>
      <c r="N28" s="81">
        <f>IF([@status]="PROMOTED","evidence_linked","UNKNOWN_or_unverified")</f>
        <v/>
      </c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81" t="inlineStr">
        <is>
          <t>E004</t>
        </is>
      </c>
      <c r="B29" s="81" t="inlineStr">
        <is>
          <t>CredentiSure</t>
        </is>
      </c>
      <c r="C29" s="81" t="inlineStr">
        <is>
          <t>SEG_MM</t>
        </is>
      </c>
      <c r="D29" s="81" t="inlineStr">
        <is>
          <t>features</t>
        </is>
      </c>
      <c r="E2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9" s="81">
        <f>IFERROR(XLOOKUP([@field_key],tblFieldDictionary[field_key],tblFieldDictionary[units]),"")</f>
        <v/>
      </c>
      <c r="H2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9" s="81">
        <f>IFERROR(LOOKUP(2,1/((tblClaimCandidates[entity_id]=[@entity_id])*(tblClaimCandidates[field_key]=[@field_key])*(tblClaimCandidates[status_final]="PROMOTED")),tblClaimCandidates[evidence_id]),"")</f>
        <v/>
      </c>
      <c r="J29" s="81">
        <f>IF([@evidence_id]="","",IFERROR(XLOOKUP([@evidence_id],tblEvidence[evidence_id],tblEvidence[url],""),""))</f>
        <v/>
      </c>
      <c r="K29" s="81">
        <f>IFERROR(LOOKUP(2,1/((tblClaimCandidates[entity_id]=[@entity_id])*(tblClaimCandidates[field_key]=[@field_key])*(tblClaimCandidates[status_final]="PROMOTED")),tblClaimCandidates[tier]),"")</f>
        <v/>
      </c>
      <c r="L29" s="143">
        <f>IF([@value_text]="UNKNOWN","UNKNOWN","PROMOTED")</f>
        <v/>
      </c>
      <c r="M29" s="89">
        <f>IF([@status]="PROMOTED",TODAY(),"")</f>
        <v/>
      </c>
      <c r="N29" s="81">
        <f>IF([@status]="PROMOTED","evidence_linked","UNKNOWN_or_unverified")</f>
        <v/>
      </c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81" t="inlineStr">
        <is>
          <t>E004</t>
        </is>
      </c>
      <c r="B30" s="81" t="inlineStr">
        <is>
          <t>CredentiSure</t>
        </is>
      </c>
      <c r="C30" s="81" t="inlineStr">
        <is>
          <t>SEG_MM</t>
        </is>
      </c>
      <c r="D30" s="81" t="inlineStr">
        <is>
          <t>funding_round</t>
        </is>
      </c>
      <c r="E3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0" s="81">
        <f>IFERROR(XLOOKUP([@field_key],tblFieldDictionary[field_key],tblFieldDictionary[units]),"")</f>
        <v/>
      </c>
      <c r="H3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0" s="81">
        <f>IFERROR(LOOKUP(2,1/((tblClaimCandidates[entity_id]=[@entity_id])*(tblClaimCandidates[field_key]=[@field_key])*(tblClaimCandidates[status_final]="PROMOTED")),tblClaimCandidates[evidence_id]),"")</f>
        <v/>
      </c>
      <c r="J30" s="81">
        <f>IF([@evidence_id]="","",IFERROR(XLOOKUP([@evidence_id],tblEvidence[evidence_id],tblEvidence[url],""),""))</f>
        <v/>
      </c>
      <c r="K30" s="81">
        <f>IFERROR(LOOKUP(2,1/((tblClaimCandidates[entity_id]=[@entity_id])*(tblClaimCandidates[field_key]=[@field_key])*(tblClaimCandidates[status_final]="PROMOTED")),tblClaimCandidates[tier]),"")</f>
        <v/>
      </c>
      <c r="L30" s="143">
        <f>IF([@value_text]="UNKNOWN","UNKNOWN","PROMOTED")</f>
        <v/>
      </c>
      <c r="M30" s="89">
        <f>IF([@status]="PROMOTED",TODAY(),"")</f>
        <v/>
      </c>
      <c r="N30" s="81">
        <f>IF([@status]="PROMOTED","evidence_linked","UNKNOWN_or_unverified")</f>
        <v/>
      </c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81" t="inlineStr">
        <is>
          <t>E004</t>
        </is>
      </c>
      <c r="B31" s="81" t="inlineStr">
        <is>
          <t>CredentiSure</t>
        </is>
      </c>
      <c r="C31" s="81" t="inlineStr">
        <is>
          <t>SEG_MM</t>
        </is>
      </c>
      <c r="D31" s="81" t="inlineStr">
        <is>
          <t>geo_coverage</t>
        </is>
      </c>
      <c r="E3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1" s="81">
        <f>IFERROR(XLOOKUP([@field_key],tblFieldDictionary[field_key],tblFieldDictionary[units]),"")</f>
        <v/>
      </c>
      <c r="H3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1" s="81">
        <f>IFERROR(LOOKUP(2,1/((tblClaimCandidates[entity_id]=[@entity_id])*(tblClaimCandidates[field_key]=[@field_key])*(tblClaimCandidates[status_final]="PROMOTED")),tblClaimCandidates[evidence_id]),"")</f>
        <v/>
      </c>
      <c r="J31" s="81">
        <f>IF([@evidence_id]="","",IFERROR(XLOOKUP([@evidence_id],tblEvidence[evidence_id],tblEvidence[url],""),""))</f>
        <v/>
      </c>
      <c r="K31" s="81">
        <f>IFERROR(LOOKUP(2,1/((tblClaimCandidates[entity_id]=[@entity_id])*(tblClaimCandidates[field_key]=[@field_key])*(tblClaimCandidates[status_final]="PROMOTED")),tblClaimCandidates[tier]),"")</f>
        <v/>
      </c>
      <c r="L31" s="143">
        <f>IF([@value_text]="UNKNOWN","UNKNOWN","PROMOTED")</f>
        <v/>
      </c>
      <c r="M31" s="89">
        <f>IF([@status]="PROMOTED",TODAY(),"")</f>
        <v/>
      </c>
      <c r="N31" s="81">
        <f>IF([@status]="PROMOTED","evidence_linked","UNKNOWN_or_unverified")</f>
        <v/>
      </c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81" t="inlineStr">
        <is>
          <t>E004</t>
        </is>
      </c>
      <c r="B32" s="81" t="inlineStr">
        <is>
          <t>CredentiSure</t>
        </is>
      </c>
      <c r="C32" s="81" t="inlineStr">
        <is>
          <t>SEG_MM</t>
        </is>
      </c>
      <c r="D32" s="81" t="inlineStr">
        <is>
          <t>practice_size_target</t>
        </is>
      </c>
      <c r="E3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2" s="81">
        <f>IFERROR(XLOOKUP([@field_key],tblFieldDictionary[field_key],tblFieldDictionary[units]),"")</f>
        <v/>
      </c>
      <c r="H3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2" s="81">
        <f>IFERROR(LOOKUP(2,1/((tblClaimCandidates[entity_id]=[@entity_id])*(tblClaimCandidates[field_key]=[@field_key])*(tblClaimCandidates[status_final]="PROMOTED")),tblClaimCandidates[evidence_id]),"")</f>
        <v/>
      </c>
      <c r="J32" s="81">
        <f>IF([@evidence_id]="","",IFERROR(XLOOKUP([@evidence_id],tblEvidence[evidence_id],tblEvidence[url],""),""))</f>
        <v/>
      </c>
      <c r="K32" s="81">
        <f>IFERROR(LOOKUP(2,1/((tblClaimCandidates[entity_id]=[@entity_id])*(tblClaimCandidates[field_key]=[@field_key])*(tblClaimCandidates[status_final]="PROMOTED")),tblClaimCandidates[tier]),"")</f>
        <v/>
      </c>
      <c r="L32" s="143">
        <f>IF([@value_text]="UNKNOWN","UNKNOWN","PROMOTED")</f>
        <v/>
      </c>
      <c r="M32" s="89">
        <f>IF([@status]="PROMOTED",TODAY(),"")</f>
        <v/>
      </c>
      <c r="N32" s="81">
        <f>IF([@status]="PROMOTED","evidence_linked","UNKNOWN_or_unverified")</f>
        <v/>
      </c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81" t="inlineStr">
        <is>
          <t>E005</t>
        </is>
      </c>
      <c r="B33" s="81" t="inlineStr">
        <is>
          <t>PracticeOps</t>
        </is>
      </c>
      <c r="C33" s="81" t="inlineStr">
        <is>
          <t>SEG_MM</t>
        </is>
      </c>
      <c r="D33" s="81" t="inlineStr">
        <is>
          <t>pricing_acv_mid_market</t>
        </is>
      </c>
      <c r="E3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3" s="81">
        <f>IFERROR(XLOOKUP([@field_key],tblFieldDictionary[field_key],tblFieldDictionary[units]),"")</f>
        <v/>
      </c>
      <c r="H3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3" s="81">
        <f>IFERROR(LOOKUP(2,1/((tblClaimCandidates[entity_id]=[@entity_id])*(tblClaimCandidates[field_key]=[@field_key])*(tblClaimCandidates[status_final]="PROMOTED")),tblClaimCandidates[evidence_id]),"")</f>
        <v/>
      </c>
      <c r="J33" s="81">
        <f>IF([@evidence_id]="","",IFERROR(XLOOKUP([@evidence_id],tblEvidence[evidence_id],tblEvidence[url],""),""))</f>
        <v/>
      </c>
      <c r="K33" s="81">
        <f>IFERROR(LOOKUP(2,1/((tblClaimCandidates[entity_id]=[@entity_id])*(tblClaimCandidates[field_key]=[@field_key])*(tblClaimCandidates[status_final]="PROMOTED")),tblClaimCandidates[tier]),"")</f>
        <v/>
      </c>
      <c r="L33" s="143">
        <f>IF([@value_text]="UNKNOWN","UNKNOWN","PROMOTED")</f>
        <v/>
      </c>
      <c r="M33" s="89">
        <f>IF([@status]="PROMOTED",TODAY(),"")</f>
        <v/>
      </c>
      <c r="N33" s="81">
        <f>IF([@status]="PROMOTED","evidence_linked","UNKNOWN_or_unverified")</f>
        <v/>
      </c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81" t="inlineStr">
        <is>
          <t>E005</t>
        </is>
      </c>
      <c r="B34" s="81" t="inlineStr">
        <is>
          <t>PracticeOps</t>
        </is>
      </c>
      <c r="C34" s="81" t="inlineStr">
        <is>
          <t>SEG_MM</t>
        </is>
      </c>
      <c r="D34" s="81" t="inlineStr">
        <is>
          <t>arr_estimate</t>
        </is>
      </c>
      <c r="E3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4" s="81">
        <f>IFERROR(XLOOKUP([@field_key],tblFieldDictionary[field_key],tblFieldDictionary[units]),"")</f>
        <v/>
      </c>
      <c r="H3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4" s="81">
        <f>IFERROR(LOOKUP(2,1/((tblClaimCandidates[entity_id]=[@entity_id])*(tblClaimCandidates[field_key]=[@field_key])*(tblClaimCandidates[status_final]="PROMOTED")),tblClaimCandidates[evidence_id]),"")</f>
        <v/>
      </c>
      <c r="J34" s="81">
        <f>IF([@evidence_id]="","",IFERROR(XLOOKUP([@evidence_id],tblEvidence[evidence_id],tblEvidence[url],""),""))</f>
        <v/>
      </c>
      <c r="K34" s="81">
        <f>IFERROR(LOOKUP(2,1/((tblClaimCandidates[entity_id]=[@entity_id])*(tblClaimCandidates[field_key]=[@field_key])*(tblClaimCandidates[status_final]="PROMOTED")),tblClaimCandidates[tier]),"")</f>
        <v/>
      </c>
      <c r="L34" s="143">
        <f>IF([@value_text]="UNKNOWN","UNKNOWN","PROMOTED")</f>
        <v/>
      </c>
      <c r="M34" s="89">
        <f>IF([@status]="PROMOTED",TODAY(),"")</f>
        <v/>
      </c>
      <c r="N34" s="81">
        <f>IF([@status]="PROMOTED","evidence_linked","UNKNOWN_or_unverified")</f>
        <v/>
      </c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81" t="inlineStr">
        <is>
          <t>E005</t>
        </is>
      </c>
      <c r="B35" s="81" t="inlineStr">
        <is>
          <t>PracticeOps</t>
        </is>
      </c>
      <c r="C35" s="81" t="inlineStr">
        <is>
          <t>SEG_MM</t>
        </is>
      </c>
      <c r="D35" s="81" t="inlineStr">
        <is>
          <t>contract_terms</t>
        </is>
      </c>
      <c r="E3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5" s="81">
        <f>IFERROR(XLOOKUP([@field_key],tblFieldDictionary[field_key],tblFieldDictionary[units]),"")</f>
        <v/>
      </c>
      <c r="H3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5" s="81">
        <f>IFERROR(LOOKUP(2,1/((tblClaimCandidates[entity_id]=[@entity_id])*(tblClaimCandidates[field_key]=[@field_key])*(tblClaimCandidates[status_final]="PROMOTED")),tblClaimCandidates[evidence_id]),"")</f>
        <v/>
      </c>
      <c r="J35" s="81">
        <f>IF([@evidence_id]="","",IFERROR(XLOOKUP([@evidence_id],tblEvidence[evidence_id],tblEvidence[url],""),""))</f>
        <v/>
      </c>
      <c r="K35" s="81">
        <f>IFERROR(LOOKUP(2,1/((tblClaimCandidates[entity_id]=[@entity_id])*(tblClaimCandidates[field_key]=[@field_key])*(tblClaimCandidates[status_final]="PROMOTED")),tblClaimCandidates[tier]),"")</f>
        <v/>
      </c>
      <c r="L35" s="143">
        <f>IF([@value_text]="UNKNOWN","UNKNOWN","PROMOTED")</f>
        <v/>
      </c>
      <c r="M35" s="89">
        <f>IF([@status]="PROMOTED",TODAY(),"")</f>
        <v/>
      </c>
      <c r="N35" s="81">
        <f>IF([@status]="PROMOTED","evidence_linked","UNKNOWN_or_unverified")</f>
        <v/>
      </c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81" t="inlineStr">
        <is>
          <t>E005</t>
        </is>
      </c>
      <c r="B36" s="81" t="inlineStr">
        <is>
          <t>PracticeOps</t>
        </is>
      </c>
      <c r="C36" s="81" t="inlineStr">
        <is>
          <t>SEG_MM</t>
        </is>
      </c>
      <c r="D36" s="81" t="inlineStr">
        <is>
          <t>features</t>
        </is>
      </c>
      <c r="E3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6" s="81">
        <f>IFERROR(XLOOKUP([@field_key],tblFieldDictionary[field_key],tblFieldDictionary[units]),"")</f>
        <v/>
      </c>
      <c r="H3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6" s="81">
        <f>IFERROR(LOOKUP(2,1/((tblClaimCandidates[entity_id]=[@entity_id])*(tblClaimCandidates[field_key]=[@field_key])*(tblClaimCandidates[status_final]="PROMOTED")),tblClaimCandidates[evidence_id]),"")</f>
        <v/>
      </c>
      <c r="J36" s="81">
        <f>IF([@evidence_id]="","",IFERROR(XLOOKUP([@evidence_id],tblEvidence[evidence_id],tblEvidence[url],""),""))</f>
        <v/>
      </c>
      <c r="K36" s="81">
        <f>IFERROR(LOOKUP(2,1/((tblClaimCandidates[entity_id]=[@entity_id])*(tblClaimCandidates[field_key]=[@field_key])*(tblClaimCandidates[status_final]="PROMOTED")),tblClaimCandidates[tier]),"")</f>
        <v/>
      </c>
      <c r="L36" s="143">
        <f>IF([@value_text]="UNKNOWN","UNKNOWN","PROMOTED")</f>
        <v/>
      </c>
      <c r="M36" s="89">
        <f>IF([@status]="PROMOTED",TODAY(),"")</f>
        <v/>
      </c>
      <c r="N36" s="81">
        <f>IF([@status]="PROMOTED","evidence_linked","UNKNOWN_or_unverified")</f>
        <v/>
      </c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81" t="inlineStr">
        <is>
          <t>E005</t>
        </is>
      </c>
      <c r="B37" s="81" t="inlineStr">
        <is>
          <t>PracticeOps</t>
        </is>
      </c>
      <c r="C37" s="81" t="inlineStr">
        <is>
          <t>SEG_MM</t>
        </is>
      </c>
      <c r="D37" s="81" t="inlineStr">
        <is>
          <t>funding_round</t>
        </is>
      </c>
      <c r="E3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7" s="81">
        <f>IFERROR(XLOOKUP([@field_key],tblFieldDictionary[field_key],tblFieldDictionary[units]),"")</f>
        <v/>
      </c>
      <c r="H3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7" s="81">
        <f>IFERROR(LOOKUP(2,1/((tblClaimCandidates[entity_id]=[@entity_id])*(tblClaimCandidates[field_key]=[@field_key])*(tblClaimCandidates[status_final]="PROMOTED")),tblClaimCandidates[evidence_id]),"")</f>
        <v/>
      </c>
      <c r="J37" s="81">
        <f>IF([@evidence_id]="","",IFERROR(XLOOKUP([@evidence_id],tblEvidence[evidence_id],tblEvidence[url],""),""))</f>
        <v/>
      </c>
      <c r="K37" s="81">
        <f>IFERROR(LOOKUP(2,1/((tblClaimCandidates[entity_id]=[@entity_id])*(tblClaimCandidates[field_key]=[@field_key])*(tblClaimCandidates[status_final]="PROMOTED")),tblClaimCandidates[tier]),"")</f>
        <v/>
      </c>
      <c r="L37" s="143">
        <f>IF([@value_text]="UNKNOWN","UNKNOWN","PROMOTED")</f>
        <v/>
      </c>
      <c r="M37" s="89">
        <f>IF([@status]="PROMOTED",TODAY(),"")</f>
        <v/>
      </c>
      <c r="N37" s="81">
        <f>IF([@status]="PROMOTED","evidence_linked","UNKNOWN_or_unverified")</f>
        <v/>
      </c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81" t="inlineStr">
        <is>
          <t>E005</t>
        </is>
      </c>
      <c r="B38" s="81" t="inlineStr">
        <is>
          <t>PracticeOps</t>
        </is>
      </c>
      <c r="C38" s="81" t="inlineStr">
        <is>
          <t>SEG_MM</t>
        </is>
      </c>
      <c r="D38" s="81" t="inlineStr">
        <is>
          <t>geo_coverage</t>
        </is>
      </c>
      <c r="E3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8" s="81">
        <f>IFERROR(XLOOKUP([@field_key],tblFieldDictionary[field_key],tblFieldDictionary[units]),"")</f>
        <v/>
      </c>
      <c r="H3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8" s="81">
        <f>IFERROR(LOOKUP(2,1/((tblClaimCandidates[entity_id]=[@entity_id])*(tblClaimCandidates[field_key]=[@field_key])*(tblClaimCandidates[status_final]="PROMOTED")),tblClaimCandidates[evidence_id]),"")</f>
        <v/>
      </c>
      <c r="J38" s="81">
        <f>IF([@evidence_id]="","",IFERROR(XLOOKUP([@evidence_id],tblEvidence[evidence_id],tblEvidence[url],""),""))</f>
        <v/>
      </c>
      <c r="K38" s="81">
        <f>IFERROR(LOOKUP(2,1/((tblClaimCandidates[entity_id]=[@entity_id])*(tblClaimCandidates[field_key]=[@field_key])*(tblClaimCandidates[status_final]="PROMOTED")),tblClaimCandidates[tier]),"")</f>
        <v/>
      </c>
      <c r="L38" s="143">
        <f>IF([@value_text]="UNKNOWN","UNKNOWN","PROMOTED")</f>
        <v/>
      </c>
      <c r="M38" s="89">
        <f>IF([@status]="PROMOTED",TODAY(),"")</f>
        <v/>
      </c>
      <c r="N38" s="81">
        <f>IF([@status]="PROMOTED","evidence_linked","UNKNOWN_or_unverified")</f>
        <v/>
      </c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81" t="inlineStr">
        <is>
          <t>E005</t>
        </is>
      </c>
      <c r="B39" s="81" t="inlineStr">
        <is>
          <t>PracticeOps</t>
        </is>
      </c>
      <c r="C39" s="81" t="inlineStr">
        <is>
          <t>SEG_MM</t>
        </is>
      </c>
      <c r="D39" s="81" t="inlineStr">
        <is>
          <t>practice_size_target</t>
        </is>
      </c>
      <c r="E3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9" s="81">
        <f>IFERROR(XLOOKUP([@field_key],tblFieldDictionary[field_key],tblFieldDictionary[units]),"")</f>
        <v/>
      </c>
      <c r="H3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9" s="81">
        <f>IFERROR(LOOKUP(2,1/((tblClaimCandidates[entity_id]=[@entity_id])*(tblClaimCandidates[field_key]=[@field_key])*(tblClaimCandidates[status_final]="PROMOTED")),tblClaimCandidates[evidence_id]),"")</f>
        <v/>
      </c>
      <c r="J39" s="81">
        <f>IF([@evidence_id]="","",IFERROR(XLOOKUP([@evidence_id],tblEvidence[evidence_id],tblEvidence[url],""),""))</f>
        <v/>
      </c>
      <c r="K39" s="81">
        <f>IFERROR(LOOKUP(2,1/((tblClaimCandidates[entity_id]=[@entity_id])*(tblClaimCandidates[field_key]=[@field_key])*(tblClaimCandidates[status_final]="PROMOTED")),tblClaimCandidates[tier]),"")</f>
        <v/>
      </c>
      <c r="L39" s="143">
        <f>IF([@value_text]="UNKNOWN","UNKNOWN","PROMOTED")</f>
        <v/>
      </c>
      <c r="M39" s="89">
        <f>IF([@status]="PROMOTED",TODAY(),"")</f>
        <v/>
      </c>
      <c r="N39" s="81">
        <f>IF([@status]="PROMOTED","evidence_linked","UNKNOWN_or_unverified")</f>
        <v/>
      </c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81" t="inlineStr">
        <is>
          <t>E006</t>
        </is>
      </c>
      <c r="B40" s="81" t="inlineStr">
        <is>
          <t>MidMarketMedTech</t>
        </is>
      </c>
      <c r="C40" s="81" t="inlineStr">
        <is>
          <t>SEG_MM</t>
        </is>
      </c>
      <c r="D40" s="81" t="inlineStr">
        <is>
          <t>pricing_acv_mid_market</t>
        </is>
      </c>
      <c r="E4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0" s="81">
        <f>IFERROR(XLOOKUP([@field_key],tblFieldDictionary[field_key],tblFieldDictionary[units]),"")</f>
        <v/>
      </c>
      <c r="H4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0" s="81">
        <f>IFERROR(LOOKUP(2,1/((tblClaimCandidates[entity_id]=[@entity_id])*(tblClaimCandidates[field_key]=[@field_key])*(tblClaimCandidates[status_final]="PROMOTED")),tblClaimCandidates[evidence_id]),"")</f>
        <v/>
      </c>
      <c r="J40" s="81">
        <f>IF([@evidence_id]="","",IFERROR(XLOOKUP([@evidence_id],tblEvidence[evidence_id],tblEvidence[url],""),""))</f>
        <v/>
      </c>
      <c r="K40" s="81">
        <f>IFERROR(LOOKUP(2,1/((tblClaimCandidates[entity_id]=[@entity_id])*(tblClaimCandidates[field_key]=[@field_key])*(tblClaimCandidates[status_final]="PROMOTED")),tblClaimCandidates[tier]),"")</f>
        <v/>
      </c>
      <c r="L40" s="143">
        <f>IF([@value_text]="UNKNOWN","UNKNOWN","PROMOTED")</f>
        <v/>
      </c>
      <c r="M40" s="89">
        <f>IF([@status]="PROMOTED",TODAY(),"")</f>
        <v/>
      </c>
      <c r="N40" s="81">
        <f>IF([@status]="PROMOTED","evidence_linked","UNKNOWN_or_unverified")</f>
        <v/>
      </c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81" t="inlineStr">
        <is>
          <t>E006</t>
        </is>
      </c>
      <c r="B41" s="81" t="inlineStr">
        <is>
          <t>MidMarketMedTech</t>
        </is>
      </c>
      <c r="C41" s="81" t="inlineStr">
        <is>
          <t>SEG_MM</t>
        </is>
      </c>
      <c r="D41" s="81" t="inlineStr">
        <is>
          <t>arr_estimate</t>
        </is>
      </c>
      <c r="E4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1" s="81">
        <f>IFERROR(XLOOKUP([@field_key],tblFieldDictionary[field_key],tblFieldDictionary[units]),"")</f>
        <v/>
      </c>
      <c r="H4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1" s="81">
        <f>IFERROR(LOOKUP(2,1/((tblClaimCandidates[entity_id]=[@entity_id])*(tblClaimCandidates[field_key]=[@field_key])*(tblClaimCandidates[status_final]="PROMOTED")),tblClaimCandidates[evidence_id]),"")</f>
        <v/>
      </c>
      <c r="J41" s="81">
        <f>IF([@evidence_id]="","",IFERROR(XLOOKUP([@evidence_id],tblEvidence[evidence_id],tblEvidence[url],""),""))</f>
        <v/>
      </c>
      <c r="K41" s="81">
        <f>IFERROR(LOOKUP(2,1/((tblClaimCandidates[entity_id]=[@entity_id])*(tblClaimCandidates[field_key]=[@field_key])*(tblClaimCandidates[status_final]="PROMOTED")),tblClaimCandidates[tier]),"")</f>
        <v/>
      </c>
      <c r="L41" s="143">
        <f>IF([@value_text]="UNKNOWN","UNKNOWN","PROMOTED")</f>
        <v/>
      </c>
      <c r="M41" s="89">
        <f>IF([@status]="PROMOTED",TODAY(),"")</f>
        <v/>
      </c>
      <c r="N41" s="81">
        <f>IF([@status]="PROMOTED","evidence_linked","UNKNOWN_or_unverified")</f>
        <v/>
      </c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81" t="inlineStr">
        <is>
          <t>E006</t>
        </is>
      </c>
      <c r="B42" s="81" t="inlineStr">
        <is>
          <t>MidMarketMedTech</t>
        </is>
      </c>
      <c r="C42" s="81" t="inlineStr">
        <is>
          <t>SEG_MM</t>
        </is>
      </c>
      <c r="D42" s="81" t="inlineStr">
        <is>
          <t>contract_terms</t>
        </is>
      </c>
      <c r="E4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2" s="81">
        <f>IFERROR(XLOOKUP([@field_key],tblFieldDictionary[field_key],tblFieldDictionary[units]),"")</f>
        <v/>
      </c>
      <c r="H4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2" s="81">
        <f>IFERROR(LOOKUP(2,1/((tblClaimCandidates[entity_id]=[@entity_id])*(tblClaimCandidates[field_key]=[@field_key])*(tblClaimCandidates[status_final]="PROMOTED")),tblClaimCandidates[evidence_id]),"")</f>
        <v/>
      </c>
      <c r="J42" s="81">
        <f>IF([@evidence_id]="","",IFERROR(XLOOKUP([@evidence_id],tblEvidence[evidence_id],tblEvidence[url],""),""))</f>
        <v/>
      </c>
      <c r="K42" s="81">
        <f>IFERROR(LOOKUP(2,1/((tblClaimCandidates[entity_id]=[@entity_id])*(tblClaimCandidates[field_key]=[@field_key])*(tblClaimCandidates[status_final]="PROMOTED")),tblClaimCandidates[tier]),"")</f>
        <v/>
      </c>
      <c r="L42" s="143">
        <f>IF([@value_text]="UNKNOWN","UNKNOWN","PROMOTED")</f>
        <v/>
      </c>
      <c r="M42" s="89">
        <f>IF([@status]="PROMOTED",TODAY(),"")</f>
        <v/>
      </c>
      <c r="N42" s="81">
        <f>IF([@status]="PROMOTED","evidence_linked","UNKNOWN_or_unverified")</f>
        <v/>
      </c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81" t="inlineStr">
        <is>
          <t>E006</t>
        </is>
      </c>
      <c r="B43" s="81" t="inlineStr">
        <is>
          <t>MidMarketMedTech</t>
        </is>
      </c>
      <c r="C43" s="81" t="inlineStr">
        <is>
          <t>SEG_MM</t>
        </is>
      </c>
      <c r="D43" s="81" t="inlineStr">
        <is>
          <t>features</t>
        </is>
      </c>
      <c r="E4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3" s="81">
        <f>IFERROR(XLOOKUP([@field_key],tblFieldDictionary[field_key],tblFieldDictionary[units]),"")</f>
        <v/>
      </c>
      <c r="H4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3" s="81">
        <f>IFERROR(LOOKUP(2,1/((tblClaimCandidates[entity_id]=[@entity_id])*(tblClaimCandidates[field_key]=[@field_key])*(tblClaimCandidates[status_final]="PROMOTED")),tblClaimCandidates[evidence_id]),"")</f>
        <v/>
      </c>
      <c r="J43" s="81">
        <f>IF([@evidence_id]="","",IFERROR(XLOOKUP([@evidence_id],tblEvidence[evidence_id],tblEvidence[url],""),""))</f>
        <v/>
      </c>
      <c r="K43" s="81">
        <f>IFERROR(LOOKUP(2,1/((tblClaimCandidates[entity_id]=[@entity_id])*(tblClaimCandidates[field_key]=[@field_key])*(tblClaimCandidates[status_final]="PROMOTED")),tblClaimCandidates[tier]),"")</f>
        <v/>
      </c>
      <c r="L43" s="143">
        <f>IF([@value_text]="UNKNOWN","UNKNOWN","PROMOTED")</f>
        <v/>
      </c>
      <c r="M43" s="89">
        <f>IF([@status]="PROMOTED",TODAY(),"")</f>
        <v/>
      </c>
      <c r="N43" s="81">
        <f>IF([@status]="PROMOTED","evidence_linked","UNKNOWN_or_unverified")</f>
        <v/>
      </c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81" t="inlineStr">
        <is>
          <t>E006</t>
        </is>
      </c>
      <c r="B44" s="81" t="inlineStr">
        <is>
          <t>MidMarketMedTech</t>
        </is>
      </c>
      <c r="C44" s="81" t="inlineStr">
        <is>
          <t>SEG_MM</t>
        </is>
      </c>
      <c r="D44" s="81" t="inlineStr">
        <is>
          <t>funding_round</t>
        </is>
      </c>
      <c r="E4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4" s="81">
        <f>IFERROR(XLOOKUP([@field_key],tblFieldDictionary[field_key],tblFieldDictionary[units]),"")</f>
        <v/>
      </c>
      <c r="H4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4" s="81">
        <f>IFERROR(LOOKUP(2,1/((tblClaimCandidates[entity_id]=[@entity_id])*(tblClaimCandidates[field_key]=[@field_key])*(tblClaimCandidates[status_final]="PROMOTED")),tblClaimCandidates[evidence_id]),"")</f>
        <v/>
      </c>
      <c r="J44" s="81">
        <f>IF([@evidence_id]="","",IFERROR(XLOOKUP([@evidence_id],tblEvidence[evidence_id],tblEvidence[url],""),""))</f>
        <v/>
      </c>
      <c r="K44" s="81">
        <f>IFERROR(LOOKUP(2,1/((tblClaimCandidates[entity_id]=[@entity_id])*(tblClaimCandidates[field_key]=[@field_key])*(tblClaimCandidates[status_final]="PROMOTED")),tblClaimCandidates[tier]),"")</f>
        <v/>
      </c>
      <c r="L44" s="143">
        <f>IF([@value_text]="UNKNOWN","UNKNOWN","PROMOTED")</f>
        <v/>
      </c>
      <c r="M44" s="89">
        <f>IF([@status]="PROMOTED",TODAY(),"")</f>
        <v/>
      </c>
      <c r="N44" s="81">
        <f>IF([@status]="PROMOTED","evidence_linked","UNKNOWN_or_unverified")</f>
        <v/>
      </c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81" t="inlineStr">
        <is>
          <t>E006</t>
        </is>
      </c>
      <c r="B45" s="81" t="inlineStr">
        <is>
          <t>MidMarketMedTech</t>
        </is>
      </c>
      <c r="C45" s="81" t="inlineStr">
        <is>
          <t>SEG_MM</t>
        </is>
      </c>
      <c r="D45" s="81" t="inlineStr">
        <is>
          <t>geo_coverage</t>
        </is>
      </c>
      <c r="E4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5" s="81">
        <f>IFERROR(XLOOKUP([@field_key],tblFieldDictionary[field_key],tblFieldDictionary[units]),"")</f>
        <v/>
      </c>
      <c r="H4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5" s="81">
        <f>IFERROR(LOOKUP(2,1/((tblClaimCandidates[entity_id]=[@entity_id])*(tblClaimCandidates[field_key]=[@field_key])*(tblClaimCandidates[status_final]="PROMOTED")),tblClaimCandidates[evidence_id]),"")</f>
        <v/>
      </c>
      <c r="J45" s="81">
        <f>IF([@evidence_id]="","",IFERROR(XLOOKUP([@evidence_id],tblEvidence[evidence_id],tblEvidence[url],""),""))</f>
        <v/>
      </c>
      <c r="K45" s="81">
        <f>IFERROR(LOOKUP(2,1/((tblClaimCandidates[entity_id]=[@entity_id])*(tblClaimCandidates[field_key]=[@field_key])*(tblClaimCandidates[status_final]="PROMOTED")),tblClaimCandidates[tier]),"")</f>
        <v/>
      </c>
      <c r="L45" s="143">
        <f>IF([@value_text]="UNKNOWN","UNKNOWN","PROMOTED")</f>
        <v/>
      </c>
      <c r="M45" s="89">
        <f>IF([@status]="PROMOTED",TODAY(),"")</f>
        <v/>
      </c>
      <c r="N45" s="81">
        <f>IF([@status]="PROMOTED","evidence_linked","UNKNOWN_or_unverified")</f>
        <v/>
      </c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81" t="inlineStr">
        <is>
          <t>E006</t>
        </is>
      </c>
      <c r="B46" s="81" t="inlineStr">
        <is>
          <t>MidMarketMedTech</t>
        </is>
      </c>
      <c r="C46" s="81" t="inlineStr">
        <is>
          <t>SEG_MM</t>
        </is>
      </c>
      <c r="D46" s="81" t="inlineStr">
        <is>
          <t>practice_size_target</t>
        </is>
      </c>
      <c r="E4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6" s="81">
        <f>IFERROR(XLOOKUP([@field_key],tblFieldDictionary[field_key],tblFieldDictionary[units]),"")</f>
        <v/>
      </c>
      <c r="H4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6" s="81">
        <f>IFERROR(LOOKUP(2,1/((tblClaimCandidates[entity_id]=[@entity_id])*(tblClaimCandidates[field_key]=[@field_key])*(tblClaimCandidates[status_final]="PROMOTED")),tblClaimCandidates[evidence_id]),"")</f>
        <v/>
      </c>
      <c r="J46" s="81">
        <f>IF([@evidence_id]="","",IFERROR(XLOOKUP([@evidence_id],tblEvidence[evidence_id],tblEvidence[url],""),""))</f>
        <v/>
      </c>
      <c r="K46" s="81">
        <f>IFERROR(LOOKUP(2,1/((tblClaimCandidates[entity_id]=[@entity_id])*(tblClaimCandidates[field_key]=[@field_key])*(tblClaimCandidates[status_final]="PROMOTED")),tblClaimCandidates[tier]),"")</f>
        <v/>
      </c>
      <c r="L46" s="143">
        <f>IF([@value_text]="UNKNOWN","UNKNOWN","PROMOTED")</f>
        <v/>
      </c>
      <c r="M46" s="89">
        <f>IF([@status]="PROMOTED",TODAY(),"")</f>
        <v/>
      </c>
      <c r="N46" s="81">
        <f>IF([@status]="PROMOTED","evidence_linked","UNKNOWN_or_unverified")</f>
        <v/>
      </c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  <col width="40" customWidth="1" min="9" max="9"/>
    <col width="12" customWidth="1" min="10" max="10"/>
    <col width="10" customWidth="1" min="11" max="11"/>
    <col width="14" customWidth="1" min="12" max="12"/>
    <col width="12" customWidth="1" min="13" max="13"/>
    <col width="16" customWidth="1" min="14" max="14"/>
    <col width="28" customWidth="1" min="15" max="15"/>
    <col width="2" customWidth="1" min="16" max="16"/>
    <col width="12" customWidth="1" min="17" max="17"/>
  </cols>
  <sheetData>
    <row r="1">
      <c r="A1" s="146" t="inlineStr">
        <is>
          <t>Metrics (Derived; Formula-Driven)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All figures are derived from Claims_Current (which must be evidence-backed). UNKNOWN propagates to Review Queue and fail-closed flags.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6" t="inlineStr">
        <is>
          <t>Global Drivers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8" t="inlineStr">
        <is>
          <t>Median ACV (USD/year)</t>
        </is>
      </c>
      <c r="B5" s="90">
        <f>IFERROR(MEDIAN(FILTER($G$8:$G$57,ISNUMBER($G$8:$G$57))),"")</f>
        <v/>
      </c>
      <c r="C5" s="66" t="n"/>
      <c r="D5" s="68" t="inlineStr">
        <is>
          <t>Evidence Freshness Threshold (days)</t>
        </is>
      </c>
      <c r="E5" s="91">
        <f>Config!$B$9</f>
        <v/>
      </c>
      <c r="F5" s="66" t="n"/>
      <c r="G5" s="68" t="inlineStr">
        <is>
          <t>Min Coverage (fail-closed)</t>
        </is>
      </c>
      <c r="H5" s="92">
        <f>Config!$B$10</f>
        <v/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147" t="inlineStr">
        <is>
          <t>entity_id</t>
        </is>
      </c>
      <c r="B7" s="147" t="inlineStr">
        <is>
          <t>canonical_name</t>
        </is>
      </c>
      <c r="C7" s="147" t="inlineStr">
        <is>
          <t>known_claims</t>
        </is>
      </c>
      <c r="D7" s="147" t="inlineStr">
        <is>
          <t>unknown_claims</t>
        </is>
      </c>
      <c r="E7" s="147" t="inlineStr">
        <is>
          <t>coverage_pct</t>
        </is>
      </c>
      <c r="F7" s="147" t="inlineStr">
        <is>
          <t>avg_conf</t>
        </is>
      </c>
      <c r="G7" s="147" t="inlineStr">
        <is>
          <t>acv_usd</t>
        </is>
      </c>
      <c r="H7" s="147" t="inlineStr">
        <is>
          <t>acv_band</t>
        </is>
      </c>
      <c r="I7" s="147" t="inlineStr">
        <is>
          <t>features_text</t>
        </is>
      </c>
      <c r="J7" s="147" t="inlineStr">
        <is>
          <t>feature_count</t>
        </is>
      </c>
      <c r="K7" s="147" t="inlineStr">
        <is>
          <t>segment_fit</t>
        </is>
      </c>
      <c r="L7" s="147" t="inlineStr">
        <is>
          <t>funding_present</t>
        </is>
      </c>
      <c r="M7" s="147" t="inlineStr">
        <is>
          <t>threat_score</t>
        </is>
      </c>
      <c r="N7" s="147" t="inlineStr">
        <is>
          <t>opportunity_score</t>
        </is>
      </c>
      <c r="O7" s="147" t="inlineStr">
        <is>
          <t>flags</t>
        </is>
      </c>
      <c r="P7" s="66" t="inlineStr">
        <is>
          <t>segment_id</t>
        </is>
      </c>
      <c r="Q7" s="66" t="inlineStr">
        <is>
          <t>vertical</t>
        </is>
      </c>
      <c r="R7" s="66" t="inlineStr">
        <is>
          <t>in_scope</t>
        </is>
      </c>
      <c r="S7" s="66" t="n"/>
      <c r="T7" s="66" t="n"/>
      <c r="U7" s="66" t="n"/>
      <c r="V7" s="66" t="n"/>
      <c r="W7" s="66" t="n"/>
      <c r="X7" s="66" t="n"/>
      <c r="Y7" s="66" t="n"/>
      <c r="Z7" s="66" t="n"/>
      <c r="AA7" s="66" t="inlineStr">
        <is>
          <t>competitors_in_scope</t>
        </is>
      </c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>
        <f>IF(Input!$A$7="","",Input!$A$7)</f>
        <v/>
      </c>
      <c r="B8" s="81">
        <f>IFERROR(XLOOKUP([@entity_id],tblEntities[entity_id],tblEntities[canonical_name]),"")</f>
        <v/>
      </c>
      <c r="C8" s="81">
        <f>IF([@entity_id]="","",COUNTIFS(tblClaimsCurrent[entity_id],[@entity_id],tblClaimsCurrent[status],"PROMOTED"))</f>
        <v/>
      </c>
      <c r="D8" s="81">
        <f>IF([@entity_id]="","",COUNTIFS(tblClaimsCurrent[entity_id],[@entity_id],tblClaimsCurrent[status],"UNKNOWN"))</f>
        <v/>
      </c>
      <c r="E8" s="88">
        <f>LET(t,[@known_claims]+[@unknown_claims],IF(t=0,NA(),[@known_claims]/t))</f>
        <v/>
      </c>
      <c r="F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8" s="81">
        <f>IF(OR(NOT(ISNUMBER([@acv_usd])),$B$5=""),"UNKNOWN",IF([@acv_usd]&lt;=($B$5*0.85),"Low",IF([@acv_usd]&gt;=($B$5*1.15),"High","Mid")))</f>
        <v/>
      </c>
      <c r="I8" s="81">
        <f>LET(v,IFERROR(LOOKUP(2,1/((tblClaimsCurrent[entity_id]=[@entity_id])*(tblClaimsCurrent[field_key]="features")*(tblClaimsCurrent[status]="PROMOTED")),tblClaimsCurrent[value_text]),"UNKNOWN"),IF(v="","UNKNOWN",v))</f>
        <v/>
      </c>
      <c r="J8" s="81">
        <f>IF(OR([@features_text]="UNKNOWN",[@features_text]=""),NA(),1+LEN([@features_text])-LEN(SUBSTITUTE([@features_text],";","")))</f>
        <v/>
      </c>
      <c r="K8" s="93">
        <f>IF([@segment_id]="",NA(),IF([@segment_id]="SEG_MM",1,0))</f>
        <v/>
      </c>
      <c r="L8" s="93">
        <f>IF([@entity_id]="","",IF(COUNTIFS(tblClaimsCurrent[entity_id],[@entity_id],tblClaimsCurrent[field_key],"funding_round",tblClaimsCurrent[status],"PROMOTED")&gt;0,1,0))</f>
        <v/>
      </c>
      <c r="M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8" s="88">
        <f>IF(OR([@in_scope]=FALSE,ISNA([@coverage_pct]),ISNA([@feature_count]),ISNA([@segment_fit])),NA(),MIN(1,Config!$B$18*(1-MIN(1,[@feature_count]/10))+Config!$B$19*(1-[@segment_fit])+Config!$B$20*(1-[@coverage_pct])))</f>
        <v/>
      </c>
      <c r="O8" s="81">
        <f>IF([@in_scope]=FALSE,"OUT_OF_SCOPE",IF(ISNA([@coverage_pct]),"UNKNOWN",IF([@coverage_pct]&lt;Config!$B$10,"FAIL_CLOSED_LOW_COVERAGE","OK")))</f>
        <v/>
      </c>
      <c r="P8" s="66">
        <f>IFERROR(XLOOKUP([@entity_id],tblEntities[entity_id],tblEntities[segment_id]),"")</f>
        <v/>
      </c>
      <c r="Q8" s="66">
        <f>IFERROR(XLOOKUP([@entity_id],tblEntities[entity_id],tblEntities[vertical]),"")</f>
        <v/>
      </c>
      <c r="R8" s="66">
        <f>AND([@segment_id]=Dashboard!$E$2,IF(Dashboard!$E$3="All",TRUE,[@vertical]=Dashboard!$E$3))</f>
        <v/>
      </c>
      <c r="S8" s="66" t="n"/>
      <c r="T8" s="66" t="n"/>
      <c r="U8" s="66" t="n"/>
      <c r="V8" s="66" t="n"/>
      <c r="W8" s="66" t="n"/>
      <c r="X8" s="66" t="n"/>
      <c r="Y8" s="66" t="n"/>
      <c r="Z8" s="66" t="n"/>
      <c r="AA8" s="66">
        <f>LET(seg,Dashboard!$E$2,vert,Dashboard!$E$3,n,FILTER(tblEntities[canonical_name],(tblEntities[segment_id]=seg)*IF(vert="All",1,(tblEntities[vertical]=vert))*(tblEntities[status]&lt;&gt;"ARCHIVED")),IFERROR(SORT(n),""))</f>
        <v/>
      </c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>
        <f>IF(Input!$A$8="","",Input!$A$8)</f>
        <v/>
      </c>
      <c r="B9" s="81">
        <f>IFERROR(XLOOKUP([@entity_id],tblEntities[entity_id],tblEntities[canonical_name]),"")</f>
        <v/>
      </c>
      <c r="C9" s="81">
        <f>IF([@entity_id]="","",COUNTIFS(tblClaimsCurrent[entity_id],[@entity_id],tblClaimsCurrent[status],"PROMOTED"))</f>
        <v/>
      </c>
      <c r="D9" s="81">
        <f>IF([@entity_id]="","",COUNTIFS(tblClaimsCurrent[entity_id],[@entity_id],tblClaimsCurrent[status],"UNKNOWN"))</f>
        <v/>
      </c>
      <c r="E9" s="88">
        <f>LET(t,[@known_claims]+[@unknown_claims],IF(t=0,NA(),[@known_claims]/t))</f>
        <v/>
      </c>
      <c r="F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9" s="81">
        <f>IF(OR(NOT(ISNUMBER([@acv_usd])),$B$5=""),"UNKNOWN",IF([@acv_usd]&lt;=($B$5*0.85),"Low",IF([@acv_usd]&gt;=($B$5*1.15),"High","Mid")))</f>
        <v/>
      </c>
      <c r="I9" s="81">
        <f>LET(v,IFERROR(LOOKUP(2,1/((tblClaimsCurrent[entity_id]=[@entity_id])*(tblClaimsCurrent[field_key]="features")*(tblClaimsCurrent[status]="PROMOTED")),tblClaimsCurrent[value_text]),"UNKNOWN"),IF(v="","UNKNOWN",v))</f>
        <v/>
      </c>
      <c r="J9" s="81">
        <f>IF(OR([@features_text]="UNKNOWN",[@features_text]=""),NA(),1+LEN([@features_text])-LEN(SUBSTITUTE([@features_text],";","")))</f>
        <v/>
      </c>
      <c r="K9" s="93">
        <f>IF([@segment_id]="",NA(),IF([@segment_id]="SEG_MM",1,0))</f>
        <v/>
      </c>
      <c r="L9" s="93">
        <f>IF([@entity_id]="","",IF(COUNTIFS(tblClaimsCurrent[entity_id],[@entity_id],tblClaimsCurrent[field_key],"funding_round",tblClaimsCurrent[status],"PROMOTED")&gt;0,1,0))</f>
        <v/>
      </c>
      <c r="M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9" s="88">
        <f>IF(OR([@in_scope]=FALSE,ISNA([@coverage_pct]),ISNA([@feature_count]),ISNA([@segment_fit])),NA(),MIN(1,Config!$B$18*(1-MIN(1,[@feature_count]/10))+Config!$B$19*(1-[@segment_fit])+Config!$B$20*(1-[@coverage_pct])))</f>
        <v/>
      </c>
      <c r="O9" s="81">
        <f>IF([@in_scope]=FALSE,"OUT_OF_SCOPE",IF(ISNA([@coverage_pct]),"UNKNOWN",IF([@coverage_pct]&lt;Config!$B$10,"FAIL_CLOSED_LOW_COVERAGE","OK")))</f>
        <v/>
      </c>
      <c r="P9" s="66">
        <f>IFERROR(XLOOKUP([@entity_id],tblEntities[entity_id],tblEntities[segment_id]),"")</f>
        <v/>
      </c>
      <c r="Q9" s="66">
        <f>IFERROR(XLOOKUP([@entity_id],tblEntities[entity_id],tblEntities[vertical]),"")</f>
        <v/>
      </c>
      <c r="R9" s="66">
        <f>AND([@segment_id]=Dashboard!$E$2,IF(Dashboard!$E$3="All",TRUE,[@vertical]=Dashboard!$E$3))</f>
        <v/>
      </c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1">
        <f>IF(Input!$A$9="","",Input!$A$9)</f>
        <v/>
      </c>
      <c r="B10" s="81">
        <f>IFERROR(XLOOKUP([@entity_id],tblEntities[entity_id],tblEntities[canonical_name]),"")</f>
        <v/>
      </c>
      <c r="C10" s="81">
        <f>IF([@entity_id]="","",COUNTIFS(tblClaimsCurrent[entity_id],[@entity_id],tblClaimsCurrent[status],"PROMOTED"))</f>
        <v/>
      </c>
      <c r="D10" s="81">
        <f>IF([@entity_id]="","",COUNTIFS(tblClaimsCurrent[entity_id],[@entity_id],tblClaimsCurrent[status],"UNKNOWN"))</f>
        <v/>
      </c>
      <c r="E10" s="88">
        <f>LET(t,[@known_claims]+[@unknown_claims],IF(t=0,NA(),[@known_claims]/t))</f>
        <v/>
      </c>
      <c r="F1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0" s="81">
        <f>IF(OR(NOT(ISNUMBER([@acv_usd])),$B$5=""),"UNKNOWN",IF([@acv_usd]&lt;=($B$5*0.85),"Low",IF([@acv_usd]&gt;=($B$5*1.15),"High","Mid")))</f>
        <v/>
      </c>
      <c r="I10" s="81">
        <f>LET(v,IFERROR(LOOKUP(2,1/((tblClaimsCurrent[entity_id]=[@entity_id])*(tblClaimsCurrent[field_key]="features")*(tblClaimsCurrent[status]="PROMOTED")),tblClaimsCurrent[value_text]),"UNKNOWN"),IF(v="","UNKNOWN",v))</f>
        <v/>
      </c>
      <c r="J10" s="81">
        <f>IF(OR([@features_text]="UNKNOWN",[@features_text]=""),NA(),1+LEN([@features_text])-LEN(SUBSTITUTE([@features_text],";","")))</f>
        <v/>
      </c>
      <c r="K10" s="93">
        <f>IF([@segment_id]="",NA(),IF([@segment_id]="SEG_MM",1,0))</f>
        <v/>
      </c>
      <c r="L10" s="93">
        <f>IF([@entity_id]="","",IF(COUNTIFS(tblClaimsCurrent[entity_id],[@entity_id],tblClaimsCurrent[field_key],"funding_round",tblClaimsCurrent[status],"PROMOTED")&gt;0,1,0))</f>
        <v/>
      </c>
      <c r="M1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0" s="88">
        <f>IF(OR([@in_scope]=FALSE,ISNA([@coverage_pct]),ISNA([@feature_count]),ISNA([@segment_fit])),NA(),MIN(1,Config!$B$18*(1-MIN(1,[@feature_count]/10))+Config!$B$19*(1-[@segment_fit])+Config!$B$20*(1-[@coverage_pct])))</f>
        <v/>
      </c>
      <c r="O10" s="81">
        <f>IF([@in_scope]=FALSE,"OUT_OF_SCOPE",IF(ISNA([@coverage_pct]),"UNKNOWN",IF([@coverage_pct]&lt;Config!$B$10,"FAIL_CLOSED_LOW_COVERAGE","OK")))</f>
        <v/>
      </c>
      <c r="P10" s="66">
        <f>IFERROR(XLOOKUP([@entity_id],tblEntities[entity_id],tblEntities[segment_id]),"")</f>
        <v/>
      </c>
      <c r="Q10" s="66">
        <f>IFERROR(XLOOKUP([@entity_id],tblEntities[entity_id],tblEntities[vertical]),"")</f>
        <v/>
      </c>
      <c r="R10" s="66">
        <f>AND([@segment_id]=Dashboard!$E$2,IF(Dashboard!$E$3="All",TRUE,[@vertical]=Dashboard!$E$3))</f>
        <v/>
      </c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1">
        <f>IF(Input!$A$10="","",Input!$A$10)</f>
        <v/>
      </c>
      <c r="B11" s="81">
        <f>IFERROR(XLOOKUP([@entity_id],tblEntities[entity_id],tblEntities[canonical_name]),"")</f>
        <v/>
      </c>
      <c r="C11" s="81">
        <f>IF([@entity_id]="","",COUNTIFS(tblClaimsCurrent[entity_id],[@entity_id],tblClaimsCurrent[status],"PROMOTED"))</f>
        <v/>
      </c>
      <c r="D11" s="81">
        <f>IF([@entity_id]="","",COUNTIFS(tblClaimsCurrent[entity_id],[@entity_id],tblClaimsCurrent[status],"UNKNOWN"))</f>
        <v/>
      </c>
      <c r="E11" s="88">
        <f>LET(t,[@known_claims]+[@unknown_claims],IF(t=0,NA(),[@known_claims]/t))</f>
        <v/>
      </c>
      <c r="F1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1" s="81">
        <f>IF(OR(NOT(ISNUMBER([@acv_usd])),$B$5=""),"UNKNOWN",IF([@acv_usd]&lt;=($B$5*0.85),"Low",IF([@acv_usd]&gt;=($B$5*1.15),"High","Mid")))</f>
        <v/>
      </c>
      <c r="I11" s="81">
        <f>LET(v,IFERROR(LOOKUP(2,1/((tblClaimsCurrent[entity_id]=[@entity_id])*(tblClaimsCurrent[field_key]="features")*(tblClaimsCurrent[status]="PROMOTED")),tblClaimsCurrent[value_text]),"UNKNOWN"),IF(v="","UNKNOWN",v))</f>
        <v/>
      </c>
      <c r="J11" s="81">
        <f>IF(OR([@features_text]="UNKNOWN",[@features_text]=""),NA(),1+LEN([@features_text])-LEN(SUBSTITUTE([@features_text],";","")))</f>
        <v/>
      </c>
      <c r="K11" s="93">
        <f>IF([@segment_id]="",NA(),IF([@segment_id]="SEG_MM",1,0))</f>
        <v/>
      </c>
      <c r="L11" s="93">
        <f>IF([@entity_id]="","",IF(COUNTIFS(tblClaimsCurrent[entity_id],[@entity_id],tblClaimsCurrent[field_key],"funding_round",tblClaimsCurrent[status],"PROMOTED")&gt;0,1,0))</f>
        <v/>
      </c>
      <c r="M1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1" s="88">
        <f>IF(OR([@in_scope]=FALSE,ISNA([@coverage_pct]),ISNA([@feature_count]),ISNA([@segment_fit])),NA(),MIN(1,Config!$B$18*(1-MIN(1,[@feature_count]/10))+Config!$B$19*(1-[@segment_fit])+Config!$B$20*(1-[@coverage_pct])))</f>
        <v/>
      </c>
      <c r="O11" s="81">
        <f>IF([@in_scope]=FALSE,"OUT_OF_SCOPE",IF(ISNA([@coverage_pct]),"UNKNOWN",IF([@coverage_pct]&lt;Config!$B$10,"FAIL_CLOSED_LOW_COVERAGE","OK")))</f>
        <v/>
      </c>
      <c r="P11" s="66">
        <f>IFERROR(XLOOKUP([@entity_id],tblEntities[entity_id],tblEntities[segment_id]),"")</f>
        <v/>
      </c>
      <c r="Q11" s="66">
        <f>IFERROR(XLOOKUP([@entity_id],tblEntities[entity_id],tblEntities[vertical]),"")</f>
        <v/>
      </c>
      <c r="R11" s="66">
        <f>AND([@segment_id]=Dashboard!$E$2,IF(Dashboard!$E$3="All",TRUE,[@vertical]=Dashboard!$E$3))</f>
        <v/>
      </c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81">
        <f>IF(Input!$A$11="","",Input!$A$11)</f>
        <v/>
      </c>
      <c r="B12" s="81">
        <f>IFERROR(XLOOKUP([@entity_id],tblEntities[entity_id],tblEntities[canonical_name]),"")</f>
        <v/>
      </c>
      <c r="C12" s="81">
        <f>IF([@entity_id]="","",COUNTIFS(tblClaimsCurrent[entity_id],[@entity_id],tblClaimsCurrent[status],"PROMOTED"))</f>
        <v/>
      </c>
      <c r="D12" s="81">
        <f>IF([@entity_id]="","",COUNTIFS(tblClaimsCurrent[entity_id],[@entity_id],tblClaimsCurrent[status],"UNKNOWN"))</f>
        <v/>
      </c>
      <c r="E12" s="88">
        <f>LET(t,[@known_claims]+[@unknown_claims],IF(t=0,NA(),[@known_claims]/t))</f>
        <v/>
      </c>
      <c r="F1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2" s="81">
        <f>IF(OR(NOT(ISNUMBER([@acv_usd])),$B$5=""),"UNKNOWN",IF([@acv_usd]&lt;=($B$5*0.85),"Low",IF([@acv_usd]&gt;=($B$5*1.15),"High","Mid")))</f>
        <v/>
      </c>
      <c r="I12" s="81">
        <f>LET(v,IFERROR(LOOKUP(2,1/((tblClaimsCurrent[entity_id]=[@entity_id])*(tblClaimsCurrent[field_key]="features")*(tblClaimsCurrent[status]="PROMOTED")),tblClaimsCurrent[value_text]),"UNKNOWN"),IF(v="","UNKNOWN",v))</f>
        <v/>
      </c>
      <c r="J12" s="81">
        <f>IF(OR([@features_text]="UNKNOWN",[@features_text]=""),NA(),1+LEN([@features_text])-LEN(SUBSTITUTE([@features_text],";","")))</f>
        <v/>
      </c>
      <c r="K12" s="93">
        <f>IF([@segment_id]="",NA(),IF([@segment_id]="SEG_MM",1,0))</f>
        <v/>
      </c>
      <c r="L12" s="93">
        <f>IF([@entity_id]="","",IF(COUNTIFS(tblClaimsCurrent[entity_id],[@entity_id],tblClaimsCurrent[field_key],"funding_round",tblClaimsCurrent[status],"PROMOTED")&gt;0,1,0))</f>
        <v/>
      </c>
      <c r="M1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2" s="88">
        <f>IF(OR([@in_scope]=FALSE,ISNA([@coverage_pct]),ISNA([@feature_count]),ISNA([@segment_fit])),NA(),MIN(1,Config!$B$18*(1-MIN(1,[@feature_count]/10))+Config!$B$19*(1-[@segment_fit])+Config!$B$20*(1-[@coverage_pct])))</f>
        <v/>
      </c>
      <c r="O12" s="81">
        <f>IF([@in_scope]=FALSE,"OUT_OF_SCOPE",IF(ISNA([@coverage_pct]),"UNKNOWN",IF([@coverage_pct]&lt;Config!$B$10,"FAIL_CLOSED_LOW_COVERAGE","OK")))</f>
        <v/>
      </c>
      <c r="P12" s="66">
        <f>IFERROR(XLOOKUP([@entity_id],tblEntities[entity_id],tblEntities[segment_id]),"")</f>
        <v/>
      </c>
      <c r="Q12" s="66">
        <f>IFERROR(XLOOKUP([@entity_id],tblEntities[entity_id],tblEntities[vertical]),"")</f>
        <v/>
      </c>
      <c r="R12" s="66">
        <f>AND([@segment_id]=Dashboard!$E$2,IF(Dashboard!$E$3="All",TRUE,[@vertical]=Dashboard!$E$3))</f>
        <v/>
      </c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81">
        <f>IF(Input!$A$12="","",Input!$A$12)</f>
        <v/>
      </c>
      <c r="B13" s="81">
        <f>IFERROR(XLOOKUP([@entity_id],tblEntities[entity_id],tblEntities[canonical_name]),"")</f>
        <v/>
      </c>
      <c r="C13" s="81">
        <f>IF([@entity_id]="","",COUNTIFS(tblClaimsCurrent[entity_id],[@entity_id],tblClaimsCurrent[status],"PROMOTED"))</f>
        <v/>
      </c>
      <c r="D13" s="81">
        <f>IF([@entity_id]="","",COUNTIFS(tblClaimsCurrent[entity_id],[@entity_id],tblClaimsCurrent[status],"UNKNOWN"))</f>
        <v/>
      </c>
      <c r="E13" s="88">
        <f>LET(t,[@known_claims]+[@unknown_claims],IF(t=0,NA(),[@known_claims]/t))</f>
        <v/>
      </c>
      <c r="F1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3" s="81">
        <f>IF(OR(NOT(ISNUMBER([@acv_usd])),$B$5=""),"UNKNOWN",IF([@acv_usd]&lt;=($B$5*0.85),"Low",IF([@acv_usd]&gt;=($B$5*1.15),"High","Mid")))</f>
        <v/>
      </c>
      <c r="I13" s="81">
        <f>LET(v,IFERROR(LOOKUP(2,1/((tblClaimsCurrent[entity_id]=[@entity_id])*(tblClaimsCurrent[field_key]="features")*(tblClaimsCurrent[status]="PROMOTED")),tblClaimsCurrent[value_text]),"UNKNOWN"),IF(v="","UNKNOWN",v))</f>
        <v/>
      </c>
      <c r="J13" s="81">
        <f>IF(OR([@features_text]="UNKNOWN",[@features_text]=""),NA(),1+LEN([@features_text])-LEN(SUBSTITUTE([@features_text],";","")))</f>
        <v/>
      </c>
      <c r="K13" s="93">
        <f>IF([@segment_id]="",NA(),IF([@segment_id]="SEG_MM",1,0))</f>
        <v/>
      </c>
      <c r="L13" s="93">
        <f>IF([@entity_id]="","",IF(COUNTIFS(tblClaimsCurrent[entity_id],[@entity_id],tblClaimsCurrent[field_key],"funding_round",tblClaimsCurrent[status],"PROMOTED")&gt;0,1,0))</f>
        <v/>
      </c>
      <c r="M1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3" s="88">
        <f>IF(OR([@in_scope]=FALSE,ISNA([@coverage_pct]),ISNA([@feature_count]),ISNA([@segment_fit])),NA(),MIN(1,Config!$B$18*(1-MIN(1,[@feature_count]/10))+Config!$B$19*(1-[@segment_fit])+Config!$B$20*(1-[@coverage_pct])))</f>
        <v/>
      </c>
      <c r="O13" s="81">
        <f>IF([@in_scope]=FALSE,"OUT_OF_SCOPE",IF(ISNA([@coverage_pct]),"UNKNOWN",IF([@coverage_pct]&lt;Config!$B$10,"FAIL_CLOSED_LOW_COVERAGE","OK")))</f>
        <v/>
      </c>
      <c r="P13" s="66">
        <f>IFERROR(XLOOKUP([@entity_id],tblEntities[entity_id],tblEntities[segment_id]),"")</f>
        <v/>
      </c>
      <c r="Q13" s="66">
        <f>IFERROR(XLOOKUP([@entity_id],tblEntities[entity_id],tblEntities[vertical]),"")</f>
        <v/>
      </c>
      <c r="R13" s="66">
        <f>AND([@segment_id]=Dashboard!$E$2,IF(Dashboard!$E$3="All",TRUE,[@vertical]=Dashboard!$E$3))</f>
        <v/>
      </c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81">
        <f>IF(Input!$A$13="","",Input!$A$13)</f>
        <v/>
      </c>
      <c r="B14" s="81">
        <f>IFERROR(XLOOKUP([@entity_id],tblEntities[entity_id],tblEntities[canonical_name]),"")</f>
        <v/>
      </c>
      <c r="C14" s="81">
        <f>IF([@entity_id]="","",COUNTIFS(tblClaimsCurrent[entity_id],[@entity_id],tblClaimsCurrent[status],"PROMOTED"))</f>
        <v/>
      </c>
      <c r="D14" s="81">
        <f>IF([@entity_id]="","",COUNTIFS(tblClaimsCurrent[entity_id],[@entity_id],tblClaimsCurrent[status],"UNKNOWN"))</f>
        <v/>
      </c>
      <c r="E14" s="88">
        <f>LET(t,[@known_claims]+[@unknown_claims],IF(t=0,NA(),[@known_claims]/t))</f>
        <v/>
      </c>
      <c r="F1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4" s="81">
        <f>IF(OR(NOT(ISNUMBER([@acv_usd])),$B$5=""),"UNKNOWN",IF([@acv_usd]&lt;=($B$5*0.85),"Low",IF([@acv_usd]&gt;=($B$5*1.15),"High","Mid")))</f>
        <v/>
      </c>
      <c r="I14" s="81">
        <f>LET(v,IFERROR(LOOKUP(2,1/((tblClaimsCurrent[entity_id]=[@entity_id])*(tblClaimsCurrent[field_key]="features")*(tblClaimsCurrent[status]="PROMOTED")),tblClaimsCurrent[value_text]),"UNKNOWN"),IF(v="","UNKNOWN",v))</f>
        <v/>
      </c>
      <c r="J14" s="81">
        <f>IF(OR([@features_text]="UNKNOWN",[@features_text]=""),NA(),1+LEN([@features_text])-LEN(SUBSTITUTE([@features_text],";","")))</f>
        <v/>
      </c>
      <c r="K14" s="93">
        <f>IF([@segment_id]="",NA(),IF([@segment_id]="SEG_MM",1,0))</f>
        <v/>
      </c>
      <c r="L14" s="93">
        <f>IF([@entity_id]="","",IF(COUNTIFS(tblClaimsCurrent[entity_id],[@entity_id],tblClaimsCurrent[field_key],"funding_round",tblClaimsCurrent[status],"PROMOTED")&gt;0,1,0))</f>
        <v/>
      </c>
      <c r="M1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4" s="88">
        <f>IF(OR([@in_scope]=FALSE,ISNA([@coverage_pct]),ISNA([@feature_count]),ISNA([@segment_fit])),NA(),MIN(1,Config!$B$18*(1-MIN(1,[@feature_count]/10))+Config!$B$19*(1-[@segment_fit])+Config!$B$20*(1-[@coverage_pct])))</f>
        <v/>
      </c>
      <c r="O14" s="81">
        <f>IF([@in_scope]=FALSE,"OUT_OF_SCOPE",IF(ISNA([@coverage_pct]),"UNKNOWN",IF([@coverage_pct]&lt;Config!$B$10,"FAIL_CLOSED_LOW_COVERAGE","OK")))</f>
        <v/>
      </c>
      <c r="P14" s="66">
        <f>IFERROR(XLOOKUP([@entity_id],tblEntities[entity_id],tblEntities[segment_id]),"")</f>
        <v/>
      </c>
      <c r="Q14" s="66">
        <f>IFERROR(XLOOKUP([@entity_id],tblEntities[entity_id],tblEntities[vertical]),"")</f>
        <v/>
      </c>
      <c r="R14" s="66">
        <f>AND([@segment_id]=Dashboard!$E$2,IF(Dashboard!$E$3="All",TRUE,[@vertical]=Dashboard!$E$3))</f>
        <v/>
      </c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81">
        <f>IF(Input!$A$14="","",Input!$A$14)</f>
        <v/>
      </c>
      <c r="B15" s="81">
        <f>IFERROR(XLOOKUP([@entity_id],tblEntities[entity_id],tblEntities[canonical_name]),"")</f>
        <v/>
      </c>
      <c r="C15" s="81">
        <f>IF([@entity_id]="","",COUNTIFS(tblClaimsCurrent[entity_id],[@entity_id],tblClaimsCurrent[status],"PROMOTED"))</f>
        <v/>
      </c>
      <c r="D15" s="81">
        <f>IF([@entity_id]="","",COUNTIFS(tblClaimsCurrent[entity_id],[@entity_id],tblClaimsCurrent[status],"UNKNOWN"))</f>
        <v/>
      </c>
      <c r="E15" s="88">
        <f>LET(t,[@known_claims]+[@unknown_claims],IF(t=0,NA(),[@known_claims]/t))</f>
        <v/>
      </c>
      <c r="F1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5" s="81">
        <f>IF(OR(NOT(ISNUMBER([@acv_usd])),$B$5=""),"UNKNOWN",IF([@acv_usd]&lt;=($B$5*0.85),"Low",IF([@acv_usd]&gt;=($B$5*1.15),"High","Mid")))</f>
        <v/>
      </c>
      <c r="I15" s="81">
        <f>LET(v,IFERROR(LOOKUP(2,1/((tblClaimsCurrent[entity_id]=[@entity_id])*(tblClaimsCurrent[field_key]="features")*(tblClaimsCurrent[status]="PROMOTED")),tblClaimsCurrent[value_text]),"UNKNOWN"),IF(v="","UNKNOWN",v))</f>
        <v/>
      </c>
      <c r="J15" s="81">
        <f>IF(OR([@features_text]="UNKNOWN",[@features_text]=""),NA(),1+LEN([@features_text])-LEN(SUBSTITUTE([@features_text],";","")))</f>
        <v/>
      </c>
      <c r="K15" s="93">
        <f>IF([@segment_id]="",NA(),IF([@segment_id]="SEG_MM",1,0))</f>
        <v/>
      </c>
      <c r="L15" s="93">
        <f>IF([@entity_id]="","",IF(COUNTIFS(tblClaimsCurrent[entity_id],[@entity_id],tblClaimsCurrent[field_key],"funding_round",tblClaimsCurrent[status],"PROMOTED")&gt;0,1,0))</f>
        <v/>
      </c>
      <c r="M1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5" s="88">
        <f>IF(OR([@in_scope]=FALSE,ISNA([@coverage_pct]),ISNA([@feature_count]),ISNA([@segment_fit])),NA(),MIN(1,Config!$B$18*(1-MIN(1,[@feature_count]/10))+Config!$B$19*(1-[@segment_fit])+Config!$B$20*(1-[@coverage_pct])))</f>
        <v/>
      </c>
      <c r="O15" s="81">
        <f>IF([@in_scope]=FALSE,"OUT_OF_SCOPE",IF(ISNA([@coverage_pct]),"UNKNOWN",IF([@coverage_pct]&lt;Config!$B$10,"FAIL_CLOSED_LOW_COVERAGE","OK")))</f>
        <v/>
      </c>
      <c r="P15" s="66">
        <f>IFERROR(XLOOKUP([@entity_id],tblEntities[entity_id],tblEntities[segment_id]),"")</f>
        <v/>
      </c>
      <c r="Q15" s="66">
        <f>IFERROR(XLOOKUP([@entity_id],tblEntities[entity_id],tblEntities[vertical]),"")</f>
        <v/>
      </c>
      <c r="R15" s="66">
        <f>AND([@segment_id]=Dashboard!$E$2,IF(Dashboard!$E$3="All",TRUE,[@vertical]=Dashboard!$E$3))</f>
        <v/>
      </c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81">
        <f>IF(Input!$A$15="","",Input!$A$15)</f>
        <v/>
      </c>
      <c r="B16" s="81">
        <f>IFERROR(XLOOKUP([@entity_id],tblEntities[entity_id],tblEntities[canonical_name]),"")</f>
        <v/>
      </c>
      <c r="C16" s="81">
        <f>IF([@entity_id]="","",COUNTIFS(tblClaimsCurrent[entity_id],[@entity_id],tblClaimsCurrent[status],"PROMOTED"))</f>
        <v/>
      </c>
      <c r="D16" s="81">
        <f>IF([@entity_id]="","",COUNTIFS(tblClaimsCurrent[entity_id],[@entity_id],tblClaimsCurrent[status],"UNKNOWN"))</f>
        <v/>
      </c>
      <c r="E16" s="88">
        <f>LET(t,[@known_claims]+[@unknown_claims],IF(t=0,NA(),[@known_claims]/t))</f>
        <v/>
      </c>
      <c r="F1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6" s="81">
        <f>IF(OR(NOT(ISNUMBER([@acv_usd])),$B$5=""),"UNKNOWN",IF([@acv_usd]&lt;=($B$5*0.85),"Low",IF([@acv_usd]&gt;=($B$5*1.15),"High","Mid")))</f>
        <v/>
      </c>
      <c r="I16" s="81">
        <f>LET(v,IFERROR(LOOKUP(2,1/((tblClaimsCurrent[entity_id]=[@entity_id])*(tblClaimsCurrent[field_key]="features")*(tblClaimsCurrent[status]="PROMOTED")),tblClaimsCurrent[value_text]),"UNKNOWN"),IF(v="","UNKNOWN",v))</f>
        <v/>
      </c>
      <c r="J16" s="81">
        <f>IF(OR([@features_text]="UNKNOWN",[@features_text]=""),NA(),1+LEN([@features_text])-LEN(SUBSTITUTE([@features_text],";","")))</f>
        <v/>
      </c>
      <c r="K16" s="93">
        <f>IF([@segment_id]="",NA(),IF([@segment_id]="SEG_MM",1,0))</f>
        <v/>
      </c>
      <c r="L16" s="93">
        <f>IF([@entity_id]="","",IF(COUNTIFS(tblClaimsCurrent[entity_id],[@entity_id],tblClaimsCurrent[field_key],"funding_round",tblClaimsCurrent[status],"PROMOTED")&gt;0,1,0))</f>
        <v/>
      </c>
      <c r="M1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6" s="88">
        <f>IF(OR([@in_scope]=FALSE,ISNA([@coverage_pct]),ISNA([@feature_count]),ISNA([@segment_fit])),NA(),MIN(1,Config!$B$18*(1-MIN(1,[@feature_count]/10))+Config!$B$19*(1-[@segment_fit])+Config!$B$20*(1-[@coverage_pct])))</f>
        <v/>
      </c>
      <c r="O16" s="81">
        <f>IF([@in_scope]=FALSE,"OUT_OF_SCOPE",IF(ISNA([@coverage_pct]),"UNKNOWN",IF([@coverage_pct]&lt;Config!$B$10,"FAIL_CLOSED_LOW_COVERAGE","OK")))</f>
        <v/>
      </c>
      <c r="P16" s="66">
        <f>IFERROR(XLOOKUP([@entity_id],tblEntities[entity_id],tblEntities[segment_id]),"")</f>
        <v/>
      </c>
      <c r="Q16" s="66">
        <f>IFERROR(XLOOKUP([@entity_id],tblEntities[entity_id],tblEntities[vertical]),"")</f>
        <v/>
      </c>
      <c r="R16" s="66">
        <f>AND([@segment_id]=Dashboard!$E$2,IF(Dashboard!$E$3="All",TRUE,[@vertical]=Dashboard!$E$3))</f>
        <v/>
      </c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81">
        <f>IF(Input!$A$16="","",Input!$A$16)</f>
        <v/>
      </c>
      <c r="B17" s="81">
        <f>IFERROR(XLOOKUP([@entity_id],tblEntities[entity_id],tblEntities[canonical_name]),"")</f>
        <v/>
      </c>
      <c r="C17" s="81">
        <f>IF([@entity_id]="","",COUNTIFS(tblClaimsCurrent[entity_id],[@entity_id],tblClaimsCurrent[status],"PROMOTED"))</f>
        <v/>
      </c>
      <c r="D17" s="81">
        <f>IF([@entity_id]="","",COUNTIFS(tblClaimsCurrent[entity_id],[@entity_id],tblClaimsCurrent[status],"UNKNOWN"))</f>
        <v/>
      </c>
      <c r="E17" s="88">
        <f>LET(t,[@known_claims]+[@unknown_claims],IF(t=0,NA(),[@known_claims]/t))</f>
        <v/>
      </c>
      <c r="F1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7" s="81">
        <f>IF(OR(NOT(ISNUMBER([@acv_usd])),$B$5=""),"UNKNOWN",IF([@acv_usd]&lt;=($B$5*0.85),"Low",IF([@acv_usd]&gt;=($B$5*1.15),"High","Mid")))</f>
        <v/>
      </c>
      <c r="I17" s="81">
        <f>LET(v,IFERROR(LOOKUP(2,1/((tblClaimsCurrent[entity_id]=[@entity_id])*(tblClaimsCurrent[field_key]="features")*(tblClaimsCurrent[status]="PROMOTED")),tblClaimsCurrent[value_text]),"UNKNOWN"),IF(v="","UNKNOWN",v))</f>
        <v/>
      </c>
      <c r="J17" s="81">
        <f>IF(OR([@features_text]="UNKNOWN",[@features_text]=""),NA(),1+LEN([@features_text])-LEN(SUBSTITUTE([@features_text],";","")))</f>
        <v/>
      </c>
      <c r="K17" s="93">
        <f>IF([@segment_id]="",NA(),IF([@segment_id]="SEG_MM",1,0))</f>
        <v/>
      </c>
      <c r="L17" s="93">
        <f>IF([@entity_id]="","",IF(COUNTIFS(tblClaimsCurrent[entity_id],[@entity_id],tblClaimsCurrent[field_key],"funding_round",tblClaimsCurrent[status],"PROMOTED")&gt;0,1,0))</f>
        <v/>
      </c>
      <c r="M1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7" s="88">
        <f>IF(OR([@in_scope]=FALSE,ISNA([@coverage_pct]),ISNA([@feature_count]),ISNA([@segment_fit])),NA(),MIN(1,Config!$B$18*(1-MIN(1,[@feature_count]/10))+Config!$B$19*(1-[@segment_fit])+Config!$B$20*(1-[@coverage_pct])))</f>
        <v/>
      </c>
      <c r="O17" s="81">
        <f>IF([@in_scope]=FALSE,"OUT_OF_SCOPE",IF(ISNA([@coverage_pct]),"UNKNOWN",IF([@coverage_pct]&lt;Config!$B$10,"FAIL_CLOSED_LOW_COVERAGE","OK")))</f>
        <v/>
      </c>
      <c r="P17" s="66">
        <f>IFERROR(XLOOKUP([@entity_id],tblEntities[entity_id],tblEntities[segment_id]),"")</f>
        <v/>
      </c>
      <c r="Q17" s="66">
        <f>IFERROR(XLOOKUP([@entity_id],tblEntities[entity_id],tblEntities[vertical]),"")</f>
        <v/>
      </c>
      <c r="R17" s="66">
        <f>AND([@segment_id]=Dashboard!$E$2,IF(Dashboard!$E$3="All",TRUE,[@vertical]=Dashboard!$E$3))</f>
        <v/>
      </c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81">
        <f>IF(Input!$A$17="","",Input!$A$17)</f>
        <v/>
      </c>
      <c r="B18" s="81">
        <f>IFERROR(XLOOKUP([@entity_id],tblEntities[entity_id],tblEntities[canonical_name]),"")</f>
        <v/>
      </c>
      <c r="C18" s="81">
        <f>IF([@entity_id]="","",COUNTIFS(tblClaimsCurrent[entity_id],[@entity_id],tblClaimsCurrent[status],"PROMOTED"))</f>
        <v/>
      </c>
      <c r="D18" s="81">
        <f>IF([@entity_id]="","",COUNTIFS(tblClaimsCurrent[entity_id],[@entity_id],tblClaimsCurrent[status],"UNKNOWN"))</f>
        <v/>
      </c>
      <c r="E18" s="88">
        <f>LET(t,[@known_claims]+[@unknown_claims],IF(t=0,NA(),[@known_claims]/t))</f>
        <v/>
      </c>
      <c r="F1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8" s="81">
        <f>IF(OR(NOT(ISNUMBER([@acv_usd])),$B$5=""),"UNKNOWN",IF([@acv_usd]&lt;=($B$5*0.85),"Low",IF([@acv_usd]&gt;=($B$5*1.15),"High","Mid")))</f>
        <v/>
      </c>
      <c r="I18" s="81">
        <f>LET(v,IFERROR(LOOKUP(2,1/((tblClaimsCurrent[entity_id]=[@entity_id])*(tblClaimsCurrent[field_key]="features")*(tblClaimsCurrent[status]="PROMOTED")),tblClaimsCurrent[value_text]),"UNKNOWN"),IF(v="","UNKNOWN",v))</f>
        <v/>
      </c>
      <c r="J18" s="81">
        <f>IF(OR([@features_text]="UNKNOWN",[@features_text]=""),NA(),1+LEN([@features_text])-LEN(SUBSTITUTE([@features_text],";","")))</f>
        <v/>
      </c>
      <c r="K18" s="93">
        <f>IF([@segment_id]="",NA(),IF([@segment_id]="SEG_MM",1,0))</f>
        <v/>
      </c>
      <c r="L18" s="93">
        <f>IF([@entity_id]="","",IF(COUNTIFS(tblClaimsCurrent[entity_id],[@entity_id],tblClaimsCurrent[field_key],"funding_round",tblClaimsCurrent[status],"PROMOTED")&gt;0,1,0))</f>
        <v/>
      </c>
      <c r="M1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8" s="88">
        <f>IF(OR([@in_scope]=FALSE,ISNA([@coverage_pct]),ISNA([@feature_count]),ISNA([@segment_fit])),NA(),MIN(1,Config!$B$18*(1-MIN(1,[@feature_count]/10))+Config!$B$19*(1-[@segment_fit])+Config!$B$20*(1-[@coverage_pct])))</f>
        <v/>
      </c>
      <c r="O18" s="81">
        <f>IF([@in_scope]=FALSE,"OUT_OF_SCOPE",IF(ISNA([@coverage_pct]),"UNKNOWN",IF([@coverage_pct]&lt;Config!$B$10,"FAIL_CLOSED_LOW_COVERAGE","OK")))</f>
        <v/>
      </c>
      <c r="P18" s="66">
        <f>IFERROR(XLOOKUP([@entity_id],tblEntities[entity_id],tblEntities[segment_id]),"")</f>
        <v/>
      </c>
      <c r="Q18" s="66">
        <f>IFERROR(XLOOKUP([@entity_id],tblEntities[entity_id],tblEntities[vertical]),"")</f>
        <v/>
      </c>
      <c r="R18" s="66">
        <f>AND([@segment_id]=Dashboard!$E$2,IF(Dashboard!$E$3="All",TRUE,[@vertical]=Dashboard!$E$3))</f>
        <v/>
      </c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81">
        <f>IF(Input!$A$18="","",Input!$A$18)</f>
        <v/>
      </c>
      <c r="B19" s="81">
        <f>IFERROR(XLOOKUP([@entity_id],tblEntities[entity_id],tblEntities[canonical_name]),"")</f>
        <v/>
      </c>
      <c r="C19" s="81">
        <f>IF([@entity_id]="","",COUNTIFS(tblClaimsCurrent[entity_id],[@entity_id],tblClaimsCurrent[status],"PROMOTED"))</f>
        <v/>
      </c>
      <c r="D19" s="81">
        <f>IF([@entity_id]="","",COUNTIFS(tblClaimsCurrent[entity_id],[@entity_id],tblClaimsCurrent[status],"UNKNOWN"))</f>
        <v/>
      </c>
      <c r="E19" s="88">
        <f>LET(t,[@known_claims]+[@unknown_claims],IF(t=0,NA(),[@known_claims]/t))</f>
        <v/>
      </c>
      <c r="F1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9" s="81">
        <f>IF(OR(NOT(ISNUMBER([@acv_usd])),$B$5=""),"UNKNOWN",IF([@acv_usd]&lt;=($B$5*0.85),"Low",IF([@acv_usd]&gt;=($B$5*1.15),"High","Mid")))</f>
        <v/>
      </c>
      <c r="I19" s="81">
        <f>LET(v,IFERROR(LOOKUP(2,1/((tblClaimsCurrent[entity_id]=[@entity_id])*(tblClaimsCurrent[field_key]="features")*(tblClaimsCurrent[status]="PROMOTED")),tblClaimsCurrent[value_text]),"UNKNOWN"),IF(v="","UNKNOWN",v))</f>
        <v/>
      </c>
      <c r="J19" s="81">
        <f>IF(OR([@features_text]="UNKNOWN",[@features_text]=""),NA(),1+LEN([@features_text])-LEN(SUBSTITUTE([@features_text],";","")))</f>
        <v/>
      </c>
      <c r="K19" s="93">
        <f>IF([@segment_id]="",NA(),IF([@segment_id]="SEG_MM",1,0))</f>
        <v/>
      </c>
      <c r="L19" s="93">
        <f>IF([@entity_id]="","",IF(COUNTIFS(tblClaimsCurrent[entity_id],[@entity_id],tblClaimsCurrent[field_key],"funding_round",tblClaimsCurrent[status],"PROMOTED")&gt;0,1,0))</f>
        <v/>
      </c>
      <c r="M1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9" s="88">
        <f>IF(OR([@in_scope]=FALSE,ISNA([@coverage_pct]),ISNA([@feature_count]),ISNA([@segment_fit])),NA(),MIN(1,Config!$B$18*(1-MIN(1,[@feature_count]/10))+Config!$B$19*(1-[@segment_fit])+Config!$B$20*(1-[@coverage_pct])))</f>
        <v/>
      </c>
      <c r="O19" s="81">
        <f>IF([@in_scope]=FALSE,"OUT_OF_SCOPE",IF(ISNA([@coverage_pct]),"UNKNOWN",IF([@coverage_pct]&lt;Config!$B$10,"FAIL_CLOSED_LOW_COVERAGE","OK")))</f>
        <v/>
      </c>
      <c r="P19" s="66">
        <f>IFERROR(XLOOKUP([@entity_id],tblEntities[entity_id],tblEntities[segment_id]),"")</f>
        <v/>
      </c>
      <c r="Q19" s="66">
        <f>IFERROR(XLOOKUP([@entity_id],tblEntities[entity_id],tblEntities[vertical]),"")</f>
        <v/>
      </c>
      <c r="R19" s="66">
        <f>AND([@segment_id]=Dashboard!$E$2,IF(Dashboard!$E$3="All",TRUE,[@vertical]=Dashboard!$E$3))</f>
        <v/>
      </c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81">
        <f>IF(Input!$A$19="","",Input!$A$19)</f>
        <v/>
      </c>
      <c r="B20" s="81">
        <f>IFERROR(XLOOKUP([@entity_id],tblEntities[entity_id],tblEntities[canonical_name]),"")</f>
        <v/>
      </c>
      <c r="C20" s="81">
        <f>IF([@entity_id]="","",COUNTIFS(tblClaimsCurrent[entity_id],[@entity_id],tblClaimsCurrent[status],"PROMOTED"))</f>
        <v/>
      </c>
      <c r="D20" s="81">
        <f>IF([@entity_id]="","",COUNTIFS(tblClaimsCurrent[entity_id],[@entity_id],tblClaimsCurrent[status],"UNKNOWN"))</f>
        <v/>
      </c>
      <c r="E20" s="88">
        <f>LET(t,[@known_claims]+[@unknown_claims],IF(t=0,NA(),[@known_claims]/t))</f>
        <v/>
      </c>
      <c r="F2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0" s="81">
        <f>IF(OR(NOT(ISNUMBER([@acv_usd])),$B$5=""),"UNKNOWN",IF([@acv_usd]&lt;=($B$5*0.85),"Low",IF([@acv_usd]&gt;=($B$5*1.15),"High","Mid")))</f>
        <v/>
      </c>
      <c r="I20" s="81">
        <f>LET(v,IFERROR(LOOKUP(2,1/((tblClaimsCurrent[entity_id]=[@entity_id])*(tblClaimsCurrent[field_key]="features")*(tblClaimsCurrent[status]="PROMOTED")),tblClaimsCurrent[value_text]),"UNKNOWN"),IF(v="","UNKNOWN",v))</f>
        <v/>
      </c>
      <c r="J20" s="81">
        <f>IF(OR([@features_text]="UNKNOWN",[@features_text]=""),NA(),1+LEN([@features_text])-LEN(SUBSTITUTE([@features_text],";","")))</f>
        <v/>
      </c>
      <c r="K20" s="93">
        <f>IF([@segment_id]="",NA(),IF([@segment_id]="SEG_MM",1,0))</f>
        <v/>
      </c>
      <c r="L20" s="93">
        <f>IF([@entity_id]="","",IF(COUNTIFS(tblClaimsCurrent[entity_id],[@entity_id],tblClaimsCurrent[field_key],"funding_round",tblClaimsCurrent[status],"PROMOTED")&gt;0,1,0))</f>
        <v/>
      </c>
      <c r="M2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0" s="88">
        <f>IF(OR([@in_scope]=FALSE,ISNA([@coverage_pct]),ISNA([@feature_count]),ISNA([@segment_fit])),NA(),MIN(1,Config!$B$18*(1-MIN(1,[@feature_count]/10))+Config!$B$19*(1-[@segment_fit])+Config!$B$20*(1-[@coverage_pct])))</f>
        <v/>
      </c>
      <c r="O20" s="81">
        <f>IF([@in_scope]=FALSE,"OUT_OF_SCOPE",IF(ISNA([@coverage_pct]),"UNKNOWN",IF([@coverage_pct]&lt;Config!$B$10,"FAIL_CLOSED_LOW_COVERAGE","OK")))</f>
        <v/>
      </c>
      <c r="P20" s="66">
        <f>IFERROR(XLOOKUP([@entity_id],tblEntities[entity_id],tblEntities[segment_id]),"")</f>
        <v/>
      </c>
      <c r="Q20" s="66">
        <f>IFERROR(XLOOKUP([@entity_id],tblEntities[entity_id],tblEntities[vertical]),"")</f>
        <v/>
      </c>
      <c r="R20" s="66">
        <f>AND([@segment_id]=Dashboard!$E$2,IF(Dashboard!$E$3="All",TRUE,[@vertical]=Dashboard!$E$3))</f>
        <v/>
      </c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81">
        <f>IF(Input!$A$20="","",Input!$A$20)</f>
        <v/>
      </c>
      <c r="B21" s="81">
        <f>IFERROR(XLOOKUP([@entity_id],tblEntities[entity_id],tblEntities[canonical_name]),"")</f>
        <v/>
      </c>
      <c r="C21" s="81">
        <f>IF([@entity_id]="","",COUNTIFS(tblClaimsCurrent[entity_id],[@entity_id],tblClaimsCurrent[status],"PROMOTED"))</f>
        <v/>
      </c>
      <c r="D21" s="81">
        <f>IF([@entity_id]="","",COUNTIFS(tblClaimsCurrent[entity_id],[@entity_id],tblClaimsCurrent[status],"UNKNOWN"))</f>
        <v/>
      </c>
      <c r="E21" s="88">
        <f>LET(t,[@known_claims]+[@unknown_claims],IF(t=0,NA(),[@known_claims]/t))</f>
        <v/>
      </c>
      <c r="F2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1" s="81">
        <f>IF(OR(NOT(ISNUMBER([@acv_usd])),$B$5=""),"UNKNOWN",IF([@acv_usd]&lt;=($B$5*0.85),"Low",IF([@acv_usd]&gt;=($B$5*1.15),"High","Mid")))</f>
        <v/>
      </c>
      <c r="I21" s="81">
        <f>LET(v,IFERROR(LOOKUP(2,1/((tblClaimsCurrent[entity_id]=[@entity_id])*(tblClaimsCurrent[field_key]="features")*(tblClaimsCurrent[status]="PROMOTED")),tblClaimsCurrent[value_text]),"UNKNOWN"),IF(v="","UNKNOWN",v))</f>
        <v/>
      </c>
      <c r="J21" s="81">
        <f>IF(OR([@features_text]="UNKNOWN",[@features_text]=""),NA(),1+LEN([@features_text])-LEN(SUBSTITUTE([@features_text],";","")))</f>
        <v/>
      </c>
      <c r="K21" s="93">
        <f>IF([@segment_id]="",NA(),IF([@segment_id]="SEG_MM",1,0))</f>
        <v/>
      </c>
      <c r="L21" s="93">
        <f>IF([@entity_id]="","",IF(COUNTIFS(tblClaimsCurrent[entity_id],[@entity_id],tblClaimsCurrent[field_key],"funding_round",tblClaimsCurrent[status],"PROMOTED")&gt;0,1,0))</f>
        <v/>
      </c>
      <c r="M2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1" s="88">
        <f>IF(OR([@in_scope]=FALSE,ISNA([@coverage_pct]),ISNA([@feature_count]),ISNA([@segment_fit])),NA(),MIN(1,Config!$B$18*(1-MIN(1,[@feature_count]/10))+Config!$B$19*(1-[@segment_fit])+Config!$B$20*(1-[@coverage_pct])))</f>
        <v/>
      </c>
      <c r="O21" s="81">
        <f>IF([@in_scope]=FALSE,"OUT_OF_SCOPE",IF(ISNA([@coverage_pct]),"UNKNOWN",IF([@coverage_pct]&lt;Config!$B$10,"FAIL_CLOSED_LOW_COVERAGE","OK")))</f>
        <v/>
      </c>
      <c r="P21" s="66">
        <f>IFERROR(XLOOKUP([@entity_id],tblEntities[entity_id],tblEntities[segment_id]),"")</f>
        <v/>
      </c>
      <c r="Q21" s="66">
        <f>IFERROR(XLOOKUP([@entity_id],tblEntities[entity_id],tblEntities[vertical]),"")</f>
        <v/>
      </c>
      <c r="R21" s="66">
        <f>AND([@segment_id]=Dashboard!$E$2,IF(Dashboard!$E$3="All",TRUE,[@vertical]=Dashboard!$E$3))</f>
        <v/>
      </c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81">
        <f>IF(Input!$A$21="","",Input!$A$21)</f>
        <v/>
      </c>
      <c r="B22" s="81">
        <f>IFERROR(XLOOKUP([@entity_id],tblEntities[entity_id],tblEntities[canonical_name]),"")</f>
        <v/>
      </c>
      <c r="C22" s="81">
        <f>IF([@entity_id]="","",COUNTIFS(tblClaimsCurrent[entity_id],[@entity_id],tblClaimsCurrent[status],"PROMOTED"))</f>
        <v/>
      </c>
      <c r="D22" s="81">
        <f>IF([@entity_id]="","",COUNTIFS(tblClaimsCurrent[entity_id],[@entity_id],tblClaimsCurrent[status],"UNKNOWN"))</f>
        <v/>
      </c>
      <c r="E22" s="88">
        <f>LET(t,[@known_claims]+[@unknown_claims],IF(t=0,NA(),[@known_claims]/t))</f>
        <v/>
      </c>
      <c r="F2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2" s="81">
        <f>IF(OR(NOT(ISNUMBER([@acv_usd])),$B$5=""),"UNKNOWN",IF([@acv_usd]&lt;=($B$5*0.85),"Low",IF([@acv_usd]&gt;=($B$5*1.15),"High","Mid")))</f>
        <v/>
      </c>
      <c r="I22" s="81">
        <f>LET(v,IFERROR(LOOKUP(2,1/((tblClaimsCurrent[entity_id]=[@entity_id])*(tblClaimsCurrent[field_key]="features")*(tblClaimsCurrent[status]="PROMOTED")),tblClaimsCurrent[value_text]),"UNKNOWN"),IF(v="","UNKNOWN",v))</f>
        <v/>
      </c>
      <c r="J22" s="81">
        <f>IF(OR([@features_text]="UNKNOWN",[@features_text]=""),NA(),1+LEN([@features_text])-LEN(SUBSTITUTE([@features_text],";","")))</f>
        <v/>
      </c>
      <c r="K22" s="93">
        <f>IF([@segment_id]="",NA(),IF([@segment_id]="SEG_MM",1,0))</f>
        <v/>
      </c>
      <c r="L22" s="93">
        <f>IF([@entity_id]="","",IF(COUNTIFS(tblClaimsCurrent[entity_id],[@entity_id],tblClaimsCurrent[field_key],"funding_round",tblClaimsCurrent[status],"PROMOTED")&gt;0,1,0))</f>
        <v/>
      </c>
      <c r="M2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2" s="88">
        <f>IF(OR([@in_scope]=FALSE,ISNA([@coverage_pct]),ISNA([@feature_count]),ISNA([@segment_fit])),NA(),MIN(1,Config!$B$18*(1-MIN(1,[@feature_count]/10))+Config!$B$19*(1-[@segment_fit])+Config!$B$20*(1-[@coverage_pct])))</f>
        <v/>
      </c>
      <c r="O22" s="81">
        <f>IF([@in_scope]=FALSE,"OUT_OF_SCOPE",IF(ISNA([@coverage_pct]),"UNKNOWN",IF([@coverage_pct]&lt;Config!$B$10,"FAIL_CLOSED_LOW_COVERAGE","OK")))</f>
        <v/>
      </c>
      <c r="P22" s="66">
        <f>IFERROR(XLOOKUP([@entity_id],tblEntities[entity_id],tblEntities[segment_id]),"")</f>
        <v/>
      </c>
      <c r="Q22" s="66">
        <f>IFERROR(XLOOKUP([@entity_id],tblEntities[entity_id],tblEntities[vertical]),"")</f>
        <v/>
      </c>
      <c r="R22" s="66">
        <f>AND([@segment_id]=Dashboard!$E$2,IF(Dashboard!$E$3="All",TRUE,[@vertical]=Dashboard!$E$3))</f>
        <v/>
      </c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81">
        <f>IF(Input!$A$22="","",Input!$A$22)</f>
        <v/>
      </c>
      <c r="B23" s="81">
        <f>IFERROR(XLOOKUP([@entity_id],tblEntities[entity_id],tblEntities[canonical_name]),"")</f>
        <v/>
      </c>
      <c r="C23" s="81">
        <f>IF([@entity_id]="","",COUNTIFS(tblClaimsCurrent[entity_id],[@entity_id],tblClaimsCurrent[status],"PROMOTED"))</f>
        <v/>
      </c>
      <c r="D23" s="81">
        <f>IF([@entity_id]="","",COUNTIFS(tblClaimsCurrent[entity_id],[@entity_id],tblClaimsCurrent[status],"UNKNOWN"))</f>
        <v/>
      </c>
      <c r="E23" s="88">
        <f>LET(t,[@known_claims]+[@unknown_claims],IF(t=0,NA(),[@known_claims]/t))</f>
        <v/>
      </c>
      <c r="F2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3" s="81">
        <f>IF(OR(NOT(ISNUMBER([@acv_usd])),$B$5=""),"UNKNOWN",IF([@acv_usd]&lt;=($B$5*0.85),"Low",IF([@acv_usd]&gt;=($B$5*1.15),"High","Mid")))</f>
        <v/>
      </c>
      <c r="I23" s="81">
        <f>LET(v,IFERROR(LOOKUP(2,1/((tblClaimsCurrent[entity_id]=[@entity_id])*(tblClaimsCurrent[field_key]="features")*(tblClaimsCurrent[status]="PROMOTED")),tblClaimsCurrent[value_text]),"UNKNOWN"),IF(v="","UNKNOWN",v))</f>
        <v/>
      </c>
      <c r="J23" s="81">
        <f>IF(OR([@features_text]="UNKNOWN",[@features_text]=""),NA(),1+LEN([@features_text])-LEN(SUBSTITUTE([@features_text],";","")))</f>
        <v/>
      </c>
      <c r="K23" s="93">
        <f>IF([@segment_id]="",NA(),IF([@segment_id]="SEG_MM",1,0))</f>
        <v/>
      </c>
      <c r="L23" s="93">
        <f>IF([@entity_id]="","",IF(COUNTIFS(tblClaimsCurrent[entity_id],[@entity_id],tblClaimsCurrent[field_key],"funding_round",tblClaimsCurrent[status],"PROMOTED")&gt;0,1,0))</f>
        <v/>
      </c>
      <c r="M2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3" s="88">
        <f>IF(OR([@in_scope]=FALSE,ISNA([@coverage_pct]),ISNA([@feature_count]),ISNA([@segment_fit])),NA(),MIN(1,Config!$B$18*(1-MIN(1,[@feature_count]/10))+Config!$B$19*(1-[@segment_fit])+Config!$B$20*(1-[@coverage_pct])))</f>
        <v/>
      </c>
      <c r="O23" s="81">
        <f>IF([@in_scope]=FALSE,"OUT_OF_SCOPE",IF(ISNA([@coverage_pct]),"UNKNOWN",IF([@coverage_pct]&lt;Config!$B$10,"FAIL_CLOSED_LOW_COVERAGE","OK")))</f>
        <v/>
      </c>
      <c r="P23" s="66">
        <f>IFERROR(XLOOKUP([@entity_id],tblEntities[entity_id],tblEntities[segment_id]),"")</f>
        <v/>
      </c>
      <c r="Q23" s="66">
        <f>IFERROR(XLOOKUP([@entity_id],tblEntities[entity_id],tblEntities[vertical]),"")</f>
        <v/>
      </c>
      <c r="R23" s="66">
        <f>AND([@segment_id]=Dashboard!$E$2,IF(Dashboard!$E$3="All",TRUE,[@vertical]=Dashboard!$E$3))</f>
        <v/>
      </c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81">
        <f>IF(Input!$A$23="","",Input!$A$23)</f>
        <v/>
      </c>
      <c r="B24" s="81">
        <f>IFERROR(XLOOKUP([@entity_id],tblEntities[entity_id],tblEntities[canonical_name]),"")</f>
        <v/>
      </c>
      <c r="C24" s="81">
        <f>IF([@entity_id]="","",COUNTIFS(tblClaimsCurrent[entity_id],[@entity_id],tblClaimsCurrent[status],"PROMOTED"))</f>
        <v/>
      </c>
      <c r="D24" s="81">
        <f>IF([@entity_id]="","",COUNTIFS(tblClaimsCurrent[entity_id],[@entity_id],tblClaimsCurrent[status],"UNKNOWN"))</f>
        <v/>
      </c>
      <c r="E24" s="88">
        <f>LET(t,[@known_claims]+[@unknown_claims],IF(t=0,NA(),[@known_claims]/t))</f>
        <v/>
      </c>
      <c r="F2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4" s="81">
        <f>IF(OR(NOT(ISNUMBER([@acv_usd])),$B$5=""),"UNKNOWN",IF([@acv_usd]&lt;=($B$5*0.85),"Low",IF([@acv_usd]&gt;=($B$5*1.15),"High","Mid")))</f>
        <v/>
      </c>
      <c r="I24" s="81">
        <f>LET(v,IFERROR(LOOKUP(2,1/((tblClaimsCurrent[entity_id]=[@entity_id])*(tblClaimsCurrent[field_key]="features")*(tblClaimsCurrent[status]="PROMOTED")),tblClaimsCurrent[value_text]),"UNKNOWN"),IF(v="","UNKNOWN",v))</f>
        <v/>
      </c>
      <c r="J24" s="81">
        <f>IF(OR([@features_text]="UNKNOWN",[@features_text]=""),NA(),1+LEN([@features_text])-LEN(SUBSTITUTE([@features_text],";","")))</f>
        <v/>
      </c>
      <c r="K24" s="93">
        <f>IF([@segment_id]="",NA(),IF([@segment_id]="SEG_MM",1,0))</f>
        <v/>
      </c>
      <c r="L24" s="93">
        <f>IF([@entity_id]="","",IF(COUNTIFS(tblClaimsCurrent[entity_id],[@entity_id],tblClaimsCurrent[field_key],"funding_round",tblClaimsCurrent[status],"PROMOTED")&gt;0,1,0))</f>
        <v/>
      </c>
      <c r="M2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4" s="88">
        <f>IF(OR([@in_scope]=FALSE,ISNA([@coverage_pct]),ISNA([@feature_count]),ISNA([@segment_fit])),NA(),MIN(1,Config!$B$18*(1-MIN(1,[@feature_count]/10))+Config!$B$19*(1-[@segment_fit])+Config!$B$20*(1-[@coverage_pct])))</f>
        <v/>
      </c>
      <c r="O24" s="81">
        <f>IF([@in_scope]=FALSE,"OUT_OF_SCOPE",IF(ISNA([@coverage_pct]),"UNKNOWN",IF([@coverage_pct]&lt;Config!$B$10,"FAIL_CLOSED_LOW_COVERAGE","OK")))</f>
        <v/>
      </c>
      <c r="P24" s="66">
        <f>IFERROR(XLOOKUP([@entity_id],tblEntities[entity_id],tblEntities[segment_id]),"")</f>
        <v/>
      </c>
      <c r="Q24" s="66">
        <f>IFERROR(XLOOKUP([@entity_id],tblEntities[entity_id],tblEntities[vertical]),"")</f>
        <v/>
      </c>
      <c r="R24" s="66">
        <f>AND([@segment_id]=Dashboard!$E$2,IF(Dashboard!$E$3="All",TRUE,[@vertical]=Dashboard!$E$3))</f>
        <v/>
      </c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81">
        <f>IF(Input!$A$24="","",Input!$A$24)</f>
        <v/>
      </c>
      <c r="B25" s="81">
        <f>IFERROR(XLOOKUP([@entity_id],tblEntities[entity_id],tblEntities[canonical_name]),"")</f>
        <v/>
      </c>
      <c r="C25" s="81">
        <f>IF([@entity_id]="","",COUNTIFS(tblClaimsCurrent[entity_id],[@entity_id],tblClaimsCurrent[status],"PROMOTED"))</f>
        <v/>
      </c>
      <c r="D25" s="81">
        <f>IF([@entity_id]="","",COUNTIFS(tblClaimsCurrent[entity_id],[@entity_id],tblClaimsCurrent[status],"UNKNOWN"))</f>
        <v/>
      </c>
      <c r="E25" s="88">
        <f>LET(t,[@known_claims]+[@unknown_claims],IF(t=0,NA(),[@known_claims]/t))</f>
        <v/>
      </c>
      <c r="F2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5" s="81">
        <f>IF(OR(NOT(ISNUMBER([@acv_usd])),$B$5=""),"UNKNOWN",IF([@acv_usd]&lt;=($B$5*0.85),"Low",IF([@acv_usd]&gt;=($B$5*1.15),"High","Mid")))</f>
        <v/>
      </c>
      <c r="I25" s="81">
        <f>LET(v,IFERROR(LOOKUP(2,1/((tblClaimsCurrent[entity_id]=[@entity_id])*(tblClaimsCurrent[field_key]="features")*(tblClaimsCurrent[status]="PROMOTED")),tblClaimsCurrent[value_text]),"UNKNOWN"),IF(v="","UNKNOWN",v))</f>
        <v/>
      </c>
      <c r="J25" s="81">
        <f>IF(OR([@features_text]="UNKNOWN",[@features_text]=""),NA(),1+LEN([@features_text])-LEN(SUBSTITUTE([@features_text],";","")))</f>
        <v/>
      </c>
      <c r="K25" s="93">
        <f>IF([@segment_id]="",NA(),IF([@segment_id]="SEG_MM",1,0))</f>
        <v/>
      </c>
      <c r="L25" s="93">
        <f>IF([@entity_id]="","",IF(COUNTIFS(tblClaimsCurrent[entity_id],[@entity_id],tblClaimsCurrent[field_key],"funding_round",tblClaimsCurrent[status],"PROMOTED")&gt;0,1,0))</f>
        <v/>
      </c>
      <c r="M2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5" s="88">
        <f>IF(OR([@in_scope]=FALSE,ISNA([@coverage_pct]),ISNA([@feature_count]),ISNA([@segment_fit])),NA(),MIN(1,Config!$B$18*(1-MIN(1,[@feature_count]/10))+Config!$B$19*(1-[@segment_fit])+Config!$B$20*(1-[@coverage_pct])))</f>
        <v/>
      </c>
      <c r="O25" s="81">
        <f>IF([@in_scope]=FALSE,"OUT_OF_SCOPE",IF(ISNA([@coverage_pct]),"UNKNOWN",IF([@coverage_pct]&lt;Config!$B$10,"FAIL_CLOSED_LOW_COVERAGE","OK")))</f>
        <v/>
      </c>
      <c r="P25" s="66">
        <f>IFERROR(XLOOKUP([@entity_id],tblEntities[entity_id],tblEntities[segment_id]),"")</f>
        <v/>
      </c>
      <c r="Q25" s="66">
        <f>IFERROR(XLOOKUP([@entity_id],tblEntities[entity_id],tblEntities[vertical]),"")</f>
        <v/>
      </c>
      <c r="R25" s="66">
        <f>AND([@segment_id]=Dashboard!$E$2,IF(Dashboard!$E$3="All",TRUE,[@vertical]=Dashboard!$E$3))</f>
        <v/>
      </c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81">
        <f>IF(Input!$A$25="","",Input!$A$25)</f>
        <v/>
      </c>
      <c r="B26" s="81">
        <f>IFERROR(XLOOKUP([@entity_id],tblEntities[entity_id],tblEntities[canonical_name]),"")</f>
        <v/>
      </c>
      <c r="C26" s="81">
        <f>IF([@entity_id]="","",COUNTIFS(tblClaimsCurrent[entity_id],[@entity_id],tblClaimsCurrent[status],"PROMOTED"))</f>
        <v/>
      </c>
      <c r="D26" s="81">
        <f>IF([@entity_id]="","",COUNTIFS(tblClaimsCurrent[entity_id],[@entity_id],tblClaimsCurrent[status],"UNKNOWN"))</f>
        <v/>
      </c>
      <c r="E26" s="88">
        <f>LET(t,[@known_claims]+[@unknown_claims],IF(t=0,NA(),[@known_claims]/t))</f>
        <v/>
      </c>
      <c r="F2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6" s="81">
        <f>IF(OR(NOT(ISNUMBER([@acv_usd])),$B$5=""),"UNKNOWN",IF([@acv_usd]&lt;=($B$5*0.85),"Low",IF([@acv_usd]&gt;=($B$5*1.15),"High","Mid")))</f>
        <v/>
      </c>
      <c r="I26" s="81">
        <f>LET(v,IFERROR(LOOKUP(2,1/((tblClaimsCurrent[entity_id]=[@entity_id])*(tblClaimsCurrent[field_key]="features")*(tblClaimsCurrent[status]="PROMOTED")),tblClaimsCurrent[value_text]),"UNKNOWN"),IF(v="","UNKNOWN",v))</f>
        <v/>
      </c>
      <c r="J26" s="81">
        <f>IF(OR([@features_text]="UNKNOWN",[@features_text]=""),NA(),1+LEN([@features_text])-LEN(SUBSTITUTE([@features_text],";","")))</f>
        <v/>
      </c>
      <c r="K26" s="93">
        <f>IF([@segment_id]="",NA(),IF([@segment_id]="SEG_MM",1,0))</f>
        <v/>
      </c>
      <c r="L26" s="93">
        <f>IF([@entity_id]="","",IF(COUNTIFS(tblClaimsCurrent[entity_id],[@entity_id],tblClaimsCurrent[field_key],"funding_round",tblClaimsCurrent[status],"PROMOTED")&gt;0,1,0))</f>
        <v/>
      </c>
      <c r="M2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6" s="88">
        <f>IF(OR([@in_scope]=FALSE,ISNA([@coverage_pct]),ISNA([@feature_count]),ISNA([@segment_fit])),NA(),MIN(1,Config!$B$18*(1-MIN(1,[@feature_count]/10))+Config!$B$19*(1-[@segment_fit])+Config!$B$20*(1-[@coverage_pct])))</f>
        <v/>
      </c>
      <c r="O26" s="81">
        <f>IF([@in_scope]=FALSE,"OUT_OF_SCOPE",IF(ISNA([@coverage_pct]),"UNKNOWN",IF([@coverage_pct]&lt;Config!$B$10,"FAIL_CLOSED_LOW_COVERAGE","OK")))</f>
        <v/>
      </c>
      <c r="P26" s="66">
        <f>IFERROR(XLOOKUP([@entity_id],tblEntities[entity_id],tblEntities[segment_id]),"")</f>
        <v/>
      </c>
      <c r="Q26" s="66">
        <f>IFERROR(XLOOKUP([@entity_id],tblEntities[entity_id],tblEntities[vertical]),"")</f>
        <v/>
      </c>
      <c r="R26" s="66">
        <f>AND([@segment_id]=Dashboard!$E$2,IF(Dashboard!$E$3="All",TRUE,[@vertical]=Dashboard!$E$3))</f>
        <v/>
      </c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81">
        <f>IF(Input!$A$26="","",Input!$A$26)</f>
        <v/>
      </c>
      <c r="B27" s="81">
        <f>IFERROR(XLOOKUP([@entity_id],tblEntities[entity_id],tblEntities[canonical_name]),"")</f>
        <v/>
      </c>
      <c r="C27" s="81">
        <f>IF([@entity_id]="","",COUNTIFS(tblClaimsCurrent[entity_id],[@entity_id],tblClaimsCurrent[status],"PROMOTED"))</f>
        <v/>
      </c>
      <c r="D27" s="81">
        <f>IF([@entity_id]="","",COUNTIFS(tblClaimsCurrent[entity_id],[@entity_id],tblClaimsCurrent[status],"UNKNOWN"))</f>
        <v/>
      </c>
      <c r="E27" s="88">
        <f>LET(t,[@known_claims]+[@unknown_claims],IF(t=0,NA(),[@known_claims]/t))</f>
        <v/>
      </c>
      <c r="F2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7" s="81">
        <f>IF(OR(NOT(ISNUMBER([@acv_usd])),$B$5=""),"UNKNOWN",IF([@acv_usd]&lt;=($B$5*0.85),"Low",IF([@acv_usd]&gt;=($B$5*1.15),"High","Mid")))</f>
        <v/>
      </c>
      <c r="I27" s="81">
        <f>LET(v,IFERROR(LOOKUP(2,1/((tblClaimsCurrent[entity_id]=[@entity_id])*(tblClaimsCurrent[field_key]="features")*(tblClaimsCurrent[status]="PROMOTED")),tblClaimsCurrent[value_text]),"UNKNOWN"),IF(v="","UNKNOWN",v))</f>
        <v/>
      </c>
      <c r="J27" s="81">
        <f>IF(OR([@features_text]="UNKNOWN",[@features_text]=""),NA(),1+LEN([@features_text])-LEN(SUBSTITUTE([@features_text],";","")))</f>
        <v/>
      </c>
      <c r="K27" s="93">
        <f>IF([@segment_id]="",NA(),IF([@segment_id]="SEG_MM",1,0))</f>
        <v/>
      </c>
      <c r="L27" s="93">
        <f>IF([@entity_id]="","",IF(COUNTIFS(tblClaimsCurrent[entity_id],[@entity_id],tblClaimsCurrent[field_key],"funding_round",tblClaimsCurrent[status],"PROMOTED")&gt;0,1,0))</f>
        <v/>
      </c>
      <c r="M2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7" s="88">
        <f>IF(OR([@in_scope]=FALSE,ISNA([@coverage_pct]),ISNA([@feature_count]),ISNA([@segment_fit])),NA(),MIN(1,Config!$B$18*(1-MIN(1,[@feature_count]/10))+Config!$B$19*(1-[@segment_fit])+Config!$B$20*(1-[@coverage_pct])))</f>
        <v/>
      </c>
      <c r="O27" s="81">
        <f>IF([@in_scope]=FALSE,"OUT_OF_SCOPE",IF(ISNA([@coverage_pct]),"UNKNOWN",IF([@coverage_pct]&lt;Config!$B$10,"FAIL_CLOSED_LOW_COVERAGE","OK")))</f>
        <v/>
      </c>
      <c r="P27" s="66">
        <f>IFERROR(XLOOKUP([@entity_id],tblEntities[entity_id],tblEntities[segment_id]),"")</f>
        <v/>
      </c>
      <c r="Q27" s="66">
        <f>IFERROR(XLOOKUP([@entity_id],tblEntities[entity_id],tblEntities[vertical]),"")</f>
        <v/>
      </c>
      <c r="R27" s="66">
        <f>AND([@segment_id]=Dashboard!$E$2,IF(Dashboard!$E$3="All",TRUE,[@vertical]=Dashboard!$E$3))</f>
        <v/>
      </c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81">
        <f>IF(Input!$A$27="","",Input!$A$27)</f>
        <v/>
      </c>
      <c r="B28" s="81">
        <f>IFERROR(XLOOKUP([@entity_id],tblEntities[entity_id],tblEntities[canonical_name]),"")</f>
        <v/>
      </c>
      <c r="C28" s="81">
        <f>IF([@entity_id]="","",COUNTIFS(tblClaimsCurrent[entity_id],[@entity_id],tblClaimsCurrent[status],"PROMOTED"))</f>
        <v/>
      </c>
      <c r="D28" s="81">
        <f>IF([@entity_id]="","",COUNTIFS(tblClaimsCurrent[entity_id],[@entity_id],tblClaimsCurrent[status],"UNKNOWN"))</f>
        <v/>
      </c>
      <c r="E28" s="88">
        <f>LET(t,[@known_claims]+[@unknown_claims],IF(t=0,NA(),[@known_claims]/t))</f>
        <v/>
      </c>
      <c r="F2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8" s="81">
        <f>IF(OR(NOT(ISNUMBER([@acv_usd])),$B$5=""),"UNKNOWN",IF([@acv_usd]&lt;=($B$5*0.85),"Low",IF([@acv_usd]&gt;=($B$5*1.15),"High","Mid")))</f>
        <v/>
      </c>
      <c r="I28" s="81">
        <f>LET(v,IFERROR(LOOKUP(2,1/((tblClaimsCurrent[entity_id]=[@entity_id])*(tblClaimsCurrent[field_key]="features")*(tblClaimsCurrent[status]="PROMOTED")),tblClaimsCurrent[value_text]),"UNKNOWN"),IF(v="","UNKNOWN",v))</f>
        <v/>
      </c>
      <c r="J28" s="81">
        <f>IF(OR([@features_text]="UNKNOWN",[@features_text]=""),NA(),1+LEN([@features_text])-LEN(SUBSTITUTE([@features_text],";","")))</f>
        <v/>
      </c>
      <c r="K28" s="93">
        <f>IF([@segment_id]="",NA(),IF([@segment_id]="SEG_MM",1,0))</f>
        <v/>
      </c>
      <c r="L28" s="93">
        <f>IF([@entity_id]="","",IF(COUNTIFS(tblClaimsCurrent[entity_id],[@entity_id],tblClaimsCurrent[field_key],"funding_round",tblClaimsCurrent[status],"PROMOTED")&gt;0,1,0))</f>
        <v/>
      </c>
      <c r="M2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8" s="88">
        <f>IF(OR([@in_scope]=FALSE,ISNA([@coverage_pct]),ISNA([@feature_count]),ISNA([@segment_fit])),NA(),MIN(1,Config!$B$18*(1-MIN(1,[@feature_count]/10))+Config!$B$19*(1-[@segment_fit])+Config!$B$20*(1-[@coverage_pct])))</f>
        <v/>
      </c>
      <c r="O28" s="81">
        <f>IF([@in_scope]=FALSE,"OUT_OF_SCOPE",IF(ISNA([@coverage_pct]),"UNKNOWN",IF([@coverage_pct]&lt;Config!$B$10,"FAIL_CLOSED_LOW_COVERAGE","OK")))</f>
        <v/>
      </c>
      <c r="P28" s="66">
        <f>IFERROR(XLOOKUP([@entity_id],tblEntities[entity_id],tblEntities[segment_id]),"")</f>
        <v/>
      </c>
      <c r="Q28" s="66">
        <f>IFERROR(XLOOKUP([@entity_id],tblEntities[entity_id],tblEntities[vertical]),"")</f>
        <v/>
      </c>
      <c r="R28" s="66">
        <f>AND([@segment_id]=Dashboard!$E$2,IF(Dashboard!$E$3="All",TRUE,[@vertical]=Dashboard!$E$3))</f>
        <v/>
      </c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81">
        <f>IF(Input!$A$28="","",Input!$A$28)</f>
        <v/>
      </c>
      <c r="B29" s="81">
        <f>IFERROR(XLOOKUP([@entity_id],tblEntities[entity_id],tblEntities[canonical_name]),"")</f>
        <v/>
      </c>
      <c r="C29" s="81">
        <f>IF([@entity_id]="","",COUNTIFS(tblClaimsCurrent[entity_id],[@entity_id],tblClaimsCurrent[status],"PROMOTED"))</f>
        <v/>
      </c>
      <c r="D29" s="81">
        <f>IF([@entity_id]="","",COUNTIFS(tblClaimsCurrent[entity_id],[@entity_id],tblClaimsCurrent[status],"UNKNOWN"))</f>
        <v/>
      </c>
      <c r="E29" s="88">
        <f>LET(t,[@known_claims]+[@unknown_claims],IF(t=0,NA(),[@known_claims]/t))</f>
        <v/>
      </c>
      <c r="F2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9" s="81">
        <f>IF(OR(NOT(ISNUMBER([@acv_usd])),$B$5=""),"UNKNOWN",IF([@acv_usd]&lt;=($B$5*0.85),"Low",IF([@acv_usd]&gt;=($B$5*1.15),"High","Mid")))</f>
        <v/>
      </c>
      <c r="I29" s="81">
        <f>LET(v,IFERROR(LOOKUP(2,1/((tblClaimsCurrent[entity_id]=[@entity_id])*(tblClaimsCurrent[field_key]="features")*(tblClaimsCurrent[status]="PROMOTED")),tblClaimsCurrent[value_text]),"UNKNOWN"),IF(v="","UNKNOWN",v))</f>
        <v/>
      </c>
      <c r="J29" s="81">
        <f>IF(OR([@features_text]="UNKNOWN",[@features_text]=""),NA(),1+LEN([@features_text])-LEN(SUBSTITUTE([@features_text],";","")))</f>
        <v/>
      </c>
      <c r="K29" s="93">
        <f>IF([@segment_id]="",NA(),IF([@segment_id]="SEG_MM",1,0))</f>
        <v/>
      </c>
      <c r="L29" s="93">
        <f>IF([@entity_id]="","",IF(COUNTIFS(tblClaimsCurrent[entity_id],[@entity_id],tblClaimsCurrent[field_key],"funding_round",tblClaimsCurrent[status],"PROMOTED")&gt;0,1,0))</f>
        <v/>
      </c>
      <c r="M2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9" s="88">
        <f>IF(OR([@in_scope]=FALSE,ISNA([@coverage_pct]),ISNA([@feature_count]),ISNA([@segment_fit])),NA(),MIN(1,Config!$B$18*(1-MIN(1,[@feature_count]/10))+Config!$B$19*(1-[@segment_fit])+Config!$B$20*(1-[@coverage_pct])))</f>
        <v/>
      </c>
      <c r="O29" s="81">
        <f>IF([@in_scope]=FALSE,"OUT_OF_SCOPE",IF(ISNA([@coverage_pct]),"UNKNOWN",IF([@coverage_pct]&lt;Config!$B$10,"FAIL_CLOSED_LOW_COVERAGE","OK")))</f>
        <v/>
      </c>
      <c r="P29" s="66">
        <f>IFERROR(XLOOKUP([@entity_id],tblEntities[entity_id],tblEntities[segment_id]),"")</f>
        <v/>
      </c>
      <c r="Q29" s="66">
        <f>IFERROR(XLOOKUP([@entity_id],tblEntities[entity_id],tblEntities[vertical]),"")</f>
        <v/>
      </c>
      <c r="R29" s="66">
        <f>AND([@segment_id]=Dashboard!$E$2,IF(Dashboard!$E$3="All",TRUE,[@vertical]=Dashboard!$E$3))</f>
        <v/>
      </c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81">
        <f>IF(Input!$A$29="","",Input!$A$29)</f>
        <v/>
      </c>
      <c r="B30" s="81">
        <f>IFERROR(XLOOKUP([@entity_id],tblEntities[entity_id],tblEntities[canonical_name]),"")</f>
        <v/>
      </c>
      <c r="C30" s="81">
        <f>IF([@entity_id]="","",COUNTIFS(tblClaimsCurrent[entity_id],[@entity_id],tblClaimsCurrent[status],"PROMOTED"))</f>
        <v/>
      </c>
      <c r="D30" s="81">
        <f>IF([@entity_id]="","",COUNTIFS(tblClaimsCurrent[entity_id],[@entity_id],tblClaimsCurrent[status],"UNKNOWN"))</f>
        <v/>
      </c>
      <c r="E30" s="88">
        <f>LET(t,[@known_claims]+[@unknown_claims],IF(t=0,NA(),[@known_claims]/t))</f>
        <v/>
      </c>
      <c r="F3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0" s="81">
        <f>IF(OR(NOT(ISNUMBER([@acv_usd])),$B$5=""),"UNKNOWN",IF([@acv_usd]&lt;=($B$5*0.85),"Low",IF([@acv_usd]&gt;=($B$5*1.15),"High","Mid")))</f>
        <v/>
      </c>
      <c r="I30" s="81">
        <f>LET(v,IFERROR(LOOKUP(2,1/((tblClaimsCurrent[entity_id]=[@entity_id])*(tblClaimsCurrent[field_key]="features")*(tblClaimsCurrent[status]="PROMOTED")),tblClaimsCurrent[value_text]),"UNKNOWN"),IF(v="","UNKNOWN",v))</f>
        <v/>
      </c>
      <c r="J30" s="81">
        <f>IF(OR([@features_text]="UNKNOWN",[@features_text]=""),NA(),1+LEN([@features_text])-LEN(SUBSTITUTE([@features_text],";","")))</f>
        <v/>
      </c>
      <c r="K30" s="93">
        <f>IF([@segment_id]="",NA(),IF([@segment_id]="SEG_MM",1,0))</f>
        <v/>
      </c>
      <c r="L30" s="93">
        <f>IF([@entity_id]="","",IF(COUNTIFS(tblClaimsCurrent[entity_id],[@entity_id],tblClaimsCurrent[field_key],"funding_round",tblClaimsCurrent[status],"PROMOTED")&gt;0,1,0))</f>
        <v/>
      </c>
      <c r="M3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0" s="88">
        <f>IF(OR([@in_scope]=FALSE,ISNA([@coverage_pct]),ISNA([@feature_count]),ISNA([@segment_fit])),NA(),MIN(1,Config!$B$18*(1-MIN(1,[@feature_count]/10))+Config!$B$19*(1-[@segment_fit])+Config!$B$20*(1-[@coverage_pct])))</f>
        <v/>
      </c>
      <c r="O30" s="81">
        <f>IF([@in_scope]=FALSE,"OUT_OF_SCOPE",IF(ISNA([@coverage_pct]),"UNKNOWN",IF([@coverage_pct]&lt;Config!$B$10,"FAIL_CLOSED_LOW_COVERAGE","OK")))</f>
        <v/>
      </c>
      <c r="P30" s="66">
        <f>IFERROR(XLOOKUP([@entity_id],tblEntities[entity_id],tblEntities[segment_id]),"")</f>
        <v/>
      </c>
      <c r="Q30" s="66">
        <f>IFERROR(XLOOKUP([@entity_id],tblEntities[entity_id],tblEntities[vertical]),"")</f>
        <v/>
      </c>
      <c r="R30" s="66">
        <f>AND([@segment_id]=Dashboard!$E$2,IF(Dashboard!$E$3="All",TRUE,[@vertical]=Dashboard!$E$3))</f>
        <v/>
      </c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81">
        <f>IF(Input!$A$30="","",Input!$A$30)</f>
        <v/>
      </c>
      <c r="B31" s="81">
        <f>IFERROR(XLOOKUP([@entity_id],tblEntities[entity_id],tblEntities[canonical_name]),"")</f>
        <v/>
      </c>
      <c r="C31" s="81">
        <f>IF([@entity_id]="","",COUNTIFS(tblClaimsCurrent[entity_id],[@entity_id],tblClaimsCurrent[status],"PROMOTED"))</f>
        <v/>
      </c>
      <c r="D31" s="81">
        <f>IF([@entity_id]="","",COUNTIFS(tblClaimsCurrent[entity_id],[@entity_id],tblClaimsCurrent[status],"UNKNOWN"))</f>
        <v/>
      </c>
      <c r="E31" s="88">
        <f>LET(t,[@known_claims]+[@unknown_claims],IF(t=0,NA(),[@known_claims]/t))</f>
        <v/>
      </c>
      <c r="F3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1" s="81">
        <f>IF(OR(NOT(ISNUMBER([@acv_usd])),$B$5=""),"UNKNOWN",IF([@acv_usd]&lt;=($B$5*0.85),"Low",IF([@acv_usd]&gt;=($B$5*1.15),"High","Mid")))</f>
        <v/>
      </c>
      <c r="I31" s="81">
        <f>LET(v,IFERROR(LOOKUP(2,1/((tblClaimsCurrent[entity_id]=[@entity_id])*(tblClaimsCurrent[field_key]="features")*(tblClaimsCurrent[status]="PROMOTED")),tblClaimsCurrent[value_text]),"UNKNOWN"),IF(v="","UNKNOWN",v))</f>
        <v/>
      </c>
      <c r="J31" s="81">
        <f>IF(OR([@features_text]="UNKNOWN",[@features_text]=""),NA(),1+LEN([@features_text])-LEN(SUBSTITUTE([@features_text],";","")))</f>
        <v/>
      </c>
      <c r="K31" s="93">
        <f>IF([@segment_id]="",NA(),IF([@segment_id]="SEG_MM",1,0))</f>
        <v/>
      </c>
      <c r="L31" s="93">
        <f>IF([@entity_id]="","",IF(COUNTIFS(tblClaimsCurrent[entity_id],[@entity_id],tblClaimsCurrent[field_key],"funding_round",tblClaimsCurrent[status],"PROMOTED")&gt;0,1,0))</f>
        <v/>
      </c>
      <c r="M3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1" s="88">
        <f>IF(OR([@in_scope]=FALSE,ISNA([@coverage_pct]),ISNA([@feature_count]),ISNA([@segment_fit])),NA(),MIN(1,Config!$B$18*(1-MIN(1,[@feature_count]/10))+Config!$B$19*(1-[@segment_fit])+Config!$B$20*(1-[@coverage_pct])))</f>
        <v/>
      </c>
      <c r="O31" s="81">
        <f>IF([@in_scope]=FALSE,"OUT_OF_SCOPE",IF(ISNA([@coverage_pct]),"UNKNOWN",IF([@coverage_pct]&lt;Config!$B$10,"FAIL_CLOSED_LOW_COVERAGE","OK")))</f>
        <v/>
      </c>
      <c r="P31" s="66">
        <f>IFERROR(XLOOKUP([@entity_id],tblEntities[entity_id],tblEntities[segment_id]),"")</f>
        <v/>
      </c>
      <c r="Q31" s="66">
        <f>IFERROR(XLOOKUP([@entity_id],tblEntities[entity_id],tblEntities[vertical]),"")</f>
        <v/>
      </c>
      <c r="R31" s="66">
        <f>AND([@segment_id]=Dashboard!$E$2,IF(Dashboard!$E$3="All",TRUE,[@vertical]=Dashboard!$E$3))</f>
        <v/>
      </c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81">
        <f>IF(Input!$A$31="","",Input!$A$31)</f>
        <v/>
      </c>
      <c r="B32" s="81">
        <f>IFERROR(XLOOKUP([@entity_id],tblEntities[entity_id],tblEntities[canonical_name]),"")</f>
        <v/>
      </c>
      <c r="C32" s="81">
        <f>IF([@entity_id]="","",COUNTIFS(tblClaimsCurrent[entity_id],[@entity_id],tblClaimsCurrent[status],"PROMOTED"))</f>
        <v/>
      </c>
      <c r="D32" s="81">
        <f>IF([@entity_id]="","",COUNTIFS(tblClaimsCurrent[entity_id],[@entity_id],tblClaimsCurrent[status],"UNKNOWN"))</f>
        <v/>
      </c>
      <c r="E32" s="88">
        <f>LET(t,[@known_claims]+[@unknown_claims],IF(t=0,NA(),[@known_claims]/t))</f>
        <v/>
      </c>
      <c r="F3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2" s="81">
        <f>IF(OR(NOT(ISNUMBER([@acv_usd])),$B$5=""),"UNKNOWN",IF([@acv_usd]&lt;=($B$5*0.85),"Low",IF([@acv_usd]&gt;=($B$5*1.15),"High","Mid")))</f>
        <v/>
      </c>
      <c r="I32" s="81">
        <f>LET(v,IFERROR(LOOKUP(2,1/((tblClaimsCurrent[entity_id]=[@entity_id])*(tblClaimsCurrent[field_key]="features")*(tblClaimsCurrent[status]="PROMOTED")),tblClaimsCurrent[value_text]),"UNKNOWN"),IF(v="","UNKNOWN",v))</f>
        <v/>
      </c>
      <c r="J32" s="81">
        <f>IF(OR([@features_text]="UNKNOWN",[@features_text]=""),NA(),1+LEN([@features_text])-LEN(SUBSTITUTE([@features_text],";","")))</f>
        <v/>
      </c>
      <c r="K32" s="93">
        <f>IF([@segment_id]="",NA(),IF([@segment_id]="SEG_MM",1,0))</f>
        <v/>
      </c>
      <c r="L32" s="93">
        <f>IF([@entity_id]="","",IF(COUNTIFS(tblClaimsCurrent[entity_id],[@entity_id],tblClaimsCurrent[field_key],"funding_round",tblClaimsCurrent[status],"PROMOTED")&gt;0,1,0))</f>
        <v/>
      </c>
      <c r="M3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2" s="88">
        <f>IF(OR([@in_scope]=FALSE,ISNA([@coverage_pct]),ISNA([@feature_count]),ISNA([@segment_fit])),NA(),MIN(1,Config!$B$18*(1-MIN(1,[@feature_count]/10))+Config!$B$19*(1-[@segment_fit])+Config!$B$20*(1-[@coverage_pct])))</f>
        <v/>
      </c>
      <c r="O32" s="81">
        <f>IF([@in_scope]=FALSE,"OUT_OF_SCOPE",IF(ISNA([@coverage_pct]),"UNKNOWN",IF([@coverage_pct]&lt;Config!$B$10,"FAIL_CLOSED_LOW_COVERAGE","OK")))</f>
        <v/>
      </c>
      <c r="P32" s="66">
        <f>IFERROR(XLOOKUP([@entity_id],tblEntities[entity_id],tblEntities[segment_id]),"")</f>
        <v/>
      </c>
      <c r="Q32" s="66">
        <f>IFERROR(XLOOKUP([@entity_id],tblEntities[entity_id],tblEntities[vertical]),"")</f>
        <v/>
      </c>
      <c r="R32" s="66">
        <f>AND([@segment_id]=Dashboard!$E$2,IF(Dashboard!$E$3="All",TRUE,[@vertical]=Dashboard!$E$3))</f>
        <v/>
      </c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81">
        <f>IF(Input!$A$32="","",Input!$A$32)</f>
        <v/>
      </c>
      <c r="B33" s="81">
        <f>IFERROR(XLOOKUP([@entity_id],tblEntities[entity_id],tblEntities[canonical_name]),"")</f>
        <v/>
      </c>
      <c r="C33" s="81">
        <f>IF([@entity_id]="","",COUNTIFS(tblClaimsCurrent[entity_id],[@entity_id],tblClaimsCurrent[status],"PROMOTED"))</f>
        <v/>
      </c>
      <c r="D33" s="81">
        <f>IF([@entity_id]="","",COUNTIFS(tblClaimsCurrent[entity_id],[@entity_id],tblClaimsCurrent[status],"UNKNOWN"))</f>
        <v/>
      </c>
      <c r="E33" s="88">
        <f>LET(t,[@known_claims]+[@unknown_claims],IF(t=0,NA(),[@known_claims]/t))</f>
        <v/>
      </c>
      <c r="F3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3" s="81">
        <f>IF(OR(NOT(ISNUMBER([@acv_usd])),$B$5=""),"UNKNOWN",IF([@acv_usd]&lt;=($B$5*0.85),"Low",IF([@acv_usd]&gt;=($B$5*1.15),"High","Mid")))</f>
        <v/>
      </c>
      <c r="I33" s="81">
        <f>LET(v,IFERROR(LOOKUP(2,1/((tblClaimsCurrent[entity_id]=[@entity_id])*(tblClaimsCurrent[field_key]="features")*(tblClaimsCurrent[status]="PROMOTED")),tblClaimsCurrent[value_text]),"UNKNOWN"),IF(v="","UNKNOWN",v))</f>
        <v/>
      </c>
      <c r="J33" s="81">
        <f>IF(OR([@features_text]="UNKNOWN",[@features_text]=""),NA(),1+LEN([@features_text])-LEN(SUBSTITUTE([@features_text],";","")))</f>
        <v/>
      </c>
      <c r="K33" s="93">
        <f>IF([@segment_id]="",NA(),IF([@segment_id]="SEG_MM",1,0))</f>
        <v/>
      </c>
      <c r="L33" s="93">
        <f>IF([@entity_id]="","",IF(COUNTIFS(tblClaimsCurrent[entity_id],[@entity_id],tblClaimsCurrent[field_key],"funding_round",tblClaimsCurrent[status],"PROMOTED")&gt;0,1,0))</f>
        <v/>
      </c>
      <c r="M3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3" s="88">
        <f>IF(OR([@in_scope]=FALSE,ISNA([@coverage_pct]),ISNA([@feature_count]),ISNA([@segment_fit])),NA(),MIN(1,Config!$B$18*(1-MIN(1,[@feature_count]/10))+Config!$B$19*(1-[@segment_fit])+Config!$B$20*(1-[@coverage_pct])))</f>
        <v/>
      </c>
      <c r="O33" s="81">
        <f>IF([@in_scope]=FALSE,"OUT_OF_SCOPE",IF(ISNA([@coverage_pct]),"UNKNOWN",IF([@coverage_pct]&lt;Config!$B$10,"FAIL_CLOSED_LOW_COVERAGE","OK")))</f>
        <v/>
      </c>
      <c r="P33" s="66">
        <f>IFERROR(XLOOKUP([@entity_id],tblEntities[entity_id],tblEntities[segment_id]),"")</f>
        <v/>
      </c>
      <c r="Q33" s="66">
        <f>IFERROR(XLOOKUP([@entity_id],tblEntities[entity_id],tblEntities[vertical]),"")</f>
        <v/>
      </c>
      <c r="R33" s="66">
        <f>AND([@segment_id]=Dashboard!$E$2,IF(Dashboard!$E$3="All",TRUE,[@vertical]=Dashboard!$E$3))</f>
        <v/>
      </c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81">
        <f>IF(Input!$A$33="","",Input!$A$33)</f>
        <v/>
      </c>
      <c r="B34" s="81">
        <f>IFERROR(XLOOKUP([@entity_id],tblEntities[entity_id],tblEntities[canonical_name]),"")</f>
        <v/>
      </c>
      <c r="C34" s="81">
        <f>IF([@entity_id]="","",COUNTIFS(tblClaimsCurrent[entity_id],[@entity_id],tblClaimsCurrent[status],"PROMOTED"))</f>
        <v/>
      </c>
      <c r="D34" s="81">
        <f>IF([@entity_id]="","",COUNTIFS(tblClaimsCurrent[entity_id],[@entity_id],tblClaimsCurrent[status],"UNKNOWN"))</f>
        <v/>
      </c>
      <c r="E34" s="88">
        <f>LET(t,[@known_claims]+[@unknown_claims],IF(t=0,NA(),[@known_claims]/t))</f>
        <v/>
      </c>
      <c r="F3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4" s="81">
        <f>IF(OR(NOT(ISNUMBER([@acv_usd])),$B$5=""),"UNKNOWN",IF([@acv_usd]&lt;=($B$5*0.85),"Low",IF([@acv_usd]&gt;=($B$5*1.15),"High","Mid")))</f>
        <v/>
      </c>
      <c r="I34" s="81">
        <f>LET(v,IFERROR(LOOKUP(2,1/((tblClaimsCurrent[entity_id]=[@entity_id])*(tblClaimsCurrent[field_key]="features")*(tblClaimsCurrent[status]="PROMOTED")),tblClaimsCurrent[value_text]),"UNKNOWN"),IF(v="","UNKNOWN",v))</f>
        <v/>
      </c>
      <c r="J34" s="81">
        <f>IF(OR([@features_text]="UNKNOWN",[@features_text]=""),NA(),1+LEN([@features_text])-LEN(SUBSTITUTE([@features_text],";","")))</f>
        <v/>
      </c>
      <c r="K34" s="93">
        <f>IF([@segment_id]="",NA(),IF([@segment_id]="SEG_MM",1,0))</f>
        <v/>
      </c>
      <c r="L34" s="93">
        <f>IF([@entity_id]="","",IF(COUNTIFS(tblClaimsCurrent[entity_id],[@entity_id],tblClaimsCurrent[field_key],"funding_round",tblClaimsCurrent[status],"PROMOTED")&gt;0,1,0))</f>
        <v/>
      </c>
      <c r="M3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4" s="88">
        <f>IF(OR([@in_scope]=FALSE,ISNA([@coverage_pct]),ISNA([@feature_count]),ISNA([@segment_fit])),NA(),MIN(1,Config!$B$18*(1-MIN(1,[@feature_count]/10))+Config!$B$19*(1-[@segment_fit])+Config!$B$20*(1-[@coverage_pct])))</f>
        <v/>
      </c>
      <c r="O34" s="81">
        <f>IF([@in_scope]=FALSE,"OUT_OF_SCOPE",IF(ISNA([@coverage_pct]),"UNKNOWN",IF([@coverage_pct]&lt;Config!$B$10,"FAIL_CLOSED_LOW_COVERAGE","OK")))</f>
        <v/>
      </c>
      <c r="P34" s="66">
        <f>IFERROR(XLOOKUP([@entity_id],tblEntities[entity_id],tblEntities[segment_id]),"")</f>
        <v/>
      </c>
      <c r="Q34" s="66">
        <f>IFERROR(XLOOKUP([@entity_id],tblEntities[entity_id],tblEntities[vertical]),"")</f>
        <v/>
      </c>
      <c r="R34" s="66">
        <f>AND([@segment_id]=Dashboard!$E$2,IF(Dashboard!$E$3="All",TRUE,[@vertical]=Dashboard!$E$3))</f>
        <v/>
      </c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81">
        <f>IF(Input!$A$34="","",Input!$A$34)</f>
        <v/>
      </c>
      <c r="B35" s="81">
        <f>IFERROR(XLOOKUP([@entity_id],tblEntities[entity_id],tblEntities[canonical_name]),"")</f>
        <v/>
      </c>
      <c r="C35" s="81">
        <f>IF([@entity_id]="","",COUNTIFS(tblClaimsCurrent[entity_id],[@entity_id],tblClaimsCurrent[status],"PROMOTED"))</f>
        <v/>
      </c>
      <c r="D35" s="81">
        <f>IF([@entity_id]="","",COUNTIFS(tblClaimsCurrent[entity_id],[@entity_id],tblClaimsCurrent[status],"UNKNOWN"))</f>
        <v/>
      </c>
      <c r="E35" s="88">
        <f>LET(t,[@known_claims]+[@unknown_claims],IF(t=0,NA(),[@known_claims]/t))</f>
        <v/>
      </c>
      <c r="F3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5" s="81">
        <f>IF(OR(NOT(ISNUMBER([@acv_usd])),$B$5=""),"UNKNOWN",IF([@acv_usd]&lt;=($B$5*0.85),"Low",IF([@acv_usd]&gt;=($B$5*1.15),"High","Mid")))</f>
        <v/>
      </c>
      <c r="I35" s="81">
        <f>LET(v,IFERROR(LOOKUP(2,1/((tblClaimsCurrent[entity_id]=[@entity_id])*(tblClaimsCurrent[field_key]="features")*(tblClaimsCurrent[status]="PROMOTED")),tblClaimsCurrent[value_text]),"UNKNOWN"),IF(v="","UNKNOWN",v))</f>
        <v/>
      </c>
      <c r="J35" s="81">
        <f>IF(OR([@features_text]="UNKNOWN",[@features_text]=""),NA(),1+LEN([@features_text])-LEN(SUBSTITUTE([@features_text],";","")))</f>
        <v/>
      </c>
      <c r="K35" s="93">
        <f>IF([@segment_id]="",NA(),IF([@segment_id]="SEG_MM",1,0))</f>
        <v/>
      </c>
      <c r="L35" s="93">
        <f>IF([@entity_id]="","",IF(COUNTIFS(tblClaimsCurrent[entity_id],[@entity_id],tblClaimsCurrent[field_key],"funding_round",tblClaimsCurrent[status],"PROMOTED")&gt;0,1,0))</f>
        <v/>
      </c>
      <c r="M3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5" s="88">
        <f>IF(OR([@in_scope]=FALSE,ISNA([@coverage_pct]),ISNA([@feature_count]),ISNA([@segment_fit])),NA(),MIN(1,Config!$B$18*(1-MIN(1,[@feature_count]/10))+Config!$B$19*(1-[@segment_fit])+Config!$B$20*(1-[@coverage_pct])))</f>
        <v/>
      </c>
      <c r="O35" s="81">
        <f>IF([@in_scope]=FALSE,"OUT_OF_SCOPE",IF(ISNA([@coverage_pct]),"UNKNOWN",IF([@coverage_pct]&lt;Config!$B$10,"FAIL_CLOSED_LOW_COVERAGE","OK")))</f>
        <v/>
      </c>
      <c r="P35" s="66">
        <f>IFERROR(XLOOKUP([@entity_id],tblEntities[entity_id],tblEntities[segment_id]),"")</f>
        <v/>
      </c>
      <c r="Q35" s="66">
        <f>IFERROR(XLOOKUP([@entity_id],tblEntities[entity_id],tblEntities[vertical]),"")</f>
        <v/>
      </c>
      <c r="R35" s="66">
        <f>AND([@segment_id]=Dashboard!$E$2,IF(Dashboard!$E$3="All",TRUE,[@vertical]=Dashboard!$E$3))</f>
        <v/>
      </c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81">
        <f>IF(Input!$A$35="","",Input!$A$35)</f>
        <v/>
      </c>
      <c r="B36" s="81">
        <f>IFERROR(XLOOKUP([@entity_id],tblEntities[entity_id],tblEntities[canonical_name]),"")</f>
        <v/>
      </c>
      <c r="C36" s="81">
        <f>IF([@entity_id]="","",COUNTIFS(tblClaimsCurrent[entity_id],[@entity_id],tblClaimsCurrent[status],"PROMOTED"))</f>
        <v/>
      </c>
      <c r="D36" s="81">
        <f>IF([@entity_id]="","",COUNTIFS(tblClaimsCurrent[entity_id],[@entity_id],tblClaimsCurrent[status],"UNKNOWN"))</f>
        <v/>
      </c>
      <c r="E36" s="88">
        <f>LET(t,[@known_claims]+[@unknown_claims],IF(t=0,NA(),[@known_claims]/t))</f>
        <v/>
      </c>
      <c r="F3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6" s="81">
        <f>IF(OR(NOT(ISNUMBER([@acv_usd])),$B$5=""),"UNKNOWN",IF([@acv_usd]&lt;=($B$5*0.85),"Low",IF([@acv_usd]&gt;=($B$5*1.15),"High","Mid")))</f>
        <v/>
      </c>
      <c r="I36" s="81">
        <f>LET(v,IFERROR(LOOKUP(2,1/((tblClaimsCurrent[entity_id]=[@entity_id])*(tblClaimsCurrent[field_key]="features")*(tblClaimsCurrent[status]="PROMOTED")),tblClaimsCurrent[value_text]),"UNKNOWN"),IF(v="","UNKNOWN",v))</f>
        <v/>
      </c>
      <c r="J36" s="81">
        <f>IF(OR([@features_text]="UNKNOWN",[@features_text]=""),NA(),1+LEN([@features_text])-LEN(SUBSTITUTE([@features_text],";","")))</f>
        <v/>
      </c>
      <c r="K36" s="93">
        <f>IF([@segment_id]="",NA(),IF([@segment_id]="SEG_MM",1,0))</f>
        <v/>
      </c>
      <c r="L36" s="93">
        <f>IF([@entity_id]="","",IF(COUNTIFS(tblClaimsCurrent[entity_id],[@entity_id],tblClaimsCurrent[field_key],"funding_round",tblClaimsCurrent[status],"PROMOTED")&gt;0,1,0))</f>
        <v/>
      </c>
      <c r="M3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6" s="88">
        <f>IF(OR([@in_scope]=FALSE,ISNA([@coverage_pct]),ISNA([@feature_count]),ISNA([@segment_fit])),NA(),MIN(1,Config!$B$18*(1-MIN(1,[@feature_count]/10))+Config!$B$19*(1-[@segment_fit])+Config!$B$20*(1-[@coverage_pct])))</f>
        <v/>
      </c>
      <c r="O36" s="81">
        <f>IF([@in_scope]=FALSE,"OUT_OF_SCOPE",IF(ISNA([@coverage_pct]),"UNKNOWN",IF([@coverage_pct]&lt;Config!$B$10,"FAIL_CLOSED_LOW_COVERAGE","OK")))</f>
        <v/>
      </c>
      <c r="P36" s="66">
        <f>IFERROR(XLOOKUP([@entity_id],tblEntities[entity_id],tblEntities[segment_id]),"")</f>
        <v/>
      </c>
      <c r="Q36" s="66">
        <f>IFERROR(XLOOKUP([@entity_id],tblEntities[entity_id],tblEntities[vertical]),"")</f>
        <v/>
      </c>
      <c r="R36" s="66">
        <f>AND([@segment_id]=Dashboard!$E$2,IF(Dashboard!$E$3="All",TRUE,[@vertical]=Dashboard!$E$3))</f>
        <v/>
      </c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81">
        <f>IF(Input!$A$36="","",Input!$A$36)</f>
        <v/>
      </c>
      <c r="B37" s="81">
        <f>IFERROR(XLOOKUP([@entity_id],tblEntities[entity_id],tblEntities[canonical_name]),"")</f>
        <v/>
      </c>
      <c r="C37" s="81">
        <f>IF([@entity_id]="","",COUNTIFS(tblClaimsCurrent[entity_id],[@entity_id],tblClaimsCurrent[status],"PROMOTED"))</f>
        <v/>
      </c>
      <c r="D37" s="81">
        <f>IF([@entity_id]="","",COUNTIFS(tblClaimsCurrent[entity_id],[@entity_id],tblClaimsCurrent[status],"UNKNOWN"))</f>
        <v/>
      </c>
      <c r="E37" s="88">
        <f>LET(t,[@known_claims]+[@unknown_claims],IF(t=0,NA(),[@known_claims]/t))</f>
        <v/>
      </c>
      <c r="F3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7" s="81">
        <f>IF(OR(NOT(ISNUMBER([@acv_usd])),$B$5=""),"UNKNOWN",IF([@acv_usd]&lt;=($B$5*0.85),"Low",IF([@acv_usd]&gt;=($B$5*1.15),"High","Mid")))</f>
        <v/>
      </c>
      <c r="I37" s="81">
        <f>LET(v,IFERROR(LOOKUP(2,1/((tblClaimsCurrent[entity_id]=[@entity_id])*(tblClaimsCurrent[field_key]="features")*(tblClaimsCurrent[status]="PROMOTED")),tblClaimsCurrent[value_text]),"UNKNOWN"),IF(v="","UNKNOWN",v))</f>
        <v/>
      </c>
      <c r="J37" s="81">
        <f>IF(OR([@features_text]="UNKNOWN",[@features_text]=""),NA(),1+LEN([@features_text])-LEN(SUBSTITUTE([@features_text],";","")))</f>
        <v/>
      </c>
      <c r="K37" s="93">
        <f>IF([@segment_id]="",NA(),IF([@segment_id]="SEG_MM",1,0))</f>
        <v/>
      </c>
      <c r="L37" s="93">
        <f>IF([@entity_id]="","",IF(COUNTIFS(tblClaimsCurrent[entity_id],[@entity_id],tblClaimsCurrent[field_key],"funding_round",tblClaimsCurrent[status],"PROMOTED")&gt;0,1,0))</f>
        <v/>
      </c>
      <c r="M3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7" s="88">
        <f>IF(OR([@in_scope]=FALSE,ISNA([@coverage_pct]),ISNA([@feature_count]),ISNA([@segment_fit])),NA(),MIN(1,Config!$B$18*(1-MIN(1,[@feature_count]/10))+Config!$B$19*(1-[@segment_fit])+Config!$B$20*(1-[@coverage_pct])))</f>
        <v/>
      </c>
      <c r="O37" s="81">
        <f>IF([@in_scope]=FALSE,"OUT_OF_SCOPE",IF(ISNA([@coverage_pct]),"UNKNOWN",IF([@coverage_pct]&lt;Config!$B$10,"FAIL_CLOSED_LOW_COVERAGE","OK")))</f>
        <v/>
      </c>
      <c r="P37" s="66">
        <f>IFERROR(XLOOKUP([@entity_id],tblEntities[entity_id],tblEntities[segment_id]),"")</f>
        <v/>
      </c>
      <c r="Q37" s="66">
        <f>IFERROR(XLOOKUP([@entity_id],tblEntities[entity_id],tblEntities[vertical]),"")</f>
        <v/>
      </c>
      <c r="R37" s="66">
        <f>AND([@segment_id]=Dashboard!$E$2,IF(Dashboard!$E$3="All",TRUE,[@vertical]=Dashboard!$E$3))</f>
        <v/>
      </c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81">
        <f>IF(Input!$A$37="","",Input!$A$37)</f>
        <v/>
      </c>
      <c r="B38" s="81">
        <f>IFERROR(XLOOKUP([@entity_id],tblEntities[entity_id],tblEntities[canonical_name]),"")</f>
        <v/>
      </c>
      <c r="C38" s="81">
        <f>IF([@entity_id]="","",COUNTIFS(tblClaimsCurrent[entity_id],[@entity_id],tblClaimsCurrent[status],"PROMOTED"))</f>
        <v/>
      </c>
      <c r="D38" s="81">
        <f>IF([@entity_id]="","",COUNTIFS(tblClaimsCurrent[entity_id],[@entity_id],tblClaimsCurrent[status],"UNKNOWN"))</f>
        <v/>
      </c>
      <c r="E38" s="88">
        <f>LET(t,[@known_claims]+[@unknown_claims],IF(t=0,NA(),[@known_claims]/t))</f>
        <v/>
      </c>
      <c r="F3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8" s="81">
        <f>IF(OR(NOT(ISNUMBER([@acv_usd])),$B$5=""),"UNKNOWN",IF([@acv_usd]&lt;=($B$5*0.85),"Low",IF([@acv_usd]&gt;=($B$5*1.15),"High","Mid")))</f>
        <v/>
      </c>
      <c r="I38" s="81">
        <f>LET(v,IFERROR(LOOKUP(2,1/((tblClaimsCurrent[entity_id]=[@entity_id])*(tblClaimsCurrent[field_key]="features")*(tblClaimsCurrent[status]="PROMOTED")),tblClaimsCurrent[value_text]),"UNKNOWN"),IF(v="","UNKNOWN",v))</f>
        <v/>
      </c>
      <c r="J38" s="81">
        <f>IF(OR([@features_text]="UNKNOWN",[@features_text]=""),NA(),1+LEN([@features_text])-LEN(SUBSTITUTE([@features_text],";","")))</f>
        <v/>
      </c>
      <c r="K38" s="93">
        <f>IF([@segment_id]="",NA(),IF([@segment_id]="SEG_MM",1,0))</f>
        <v/>
      </c>
      <c r="L38" s="93">
        <f>IF([@entity_id]="","",IF(COUNTIFS(tblClaimsCurrent[entity_id],[@entity_id],tblClaimsCurrent[field_key],"funding_round",tblClaimsCurrent[status],"PROMOTED")&gt;0,1,0))</f>
        <v/>
      </c>
      <c r="M3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8" s="88">
        <f>IF(OR([@in_scope]=FALSE,ISNA([@coverage_pct]),ISNA([@feature_count]),ISNA([@segment_fit])),NA(),MIN(1,Config!$B$18*(1-MIN(1,[@feature_count]/10))+Config!$B$19*(1-[@segment_fit])+Config!$B$20*(1-[@coverage_pct])))</f>
        <v/>
      </c>
      <c r="O38" s="81">
        <f>IF([@in_scope]=FALSE,"OUT_OF_SCOPE",IF(ISNA([@coverage_pct]),"UNKNOWN",IF([@coverage_pct]&lt;Config!$B$10,"FAIL_CLOSED_LOW_COVERAGE","OK")))</f>
        <v/>
      </c>
      <c r="P38" s="66">
        <f>IFERROR(XLOOKUP([@entity_id],tblEntities[entity_id],tblEntities[segment_id]),"")</f>
        <v/>
      </c>
      <c r="Q38" s="66">
        <f>IFERROR(XLOOKUP([@entity_id],tblEntities[entity_id],tblEntities[vertical]),"")</f>
        <v/>
      </c>
      <c r="R38" s="66">
        <f>AND([@segment_id]=Dashboard!$E$2,IF(Dashboard!$E$3="All",TRUE,[@vertical]=Dashboard!$E$3))</f>
        <v/>
      </c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81">
        <f>IF(Input!$A$38="","",Input!$A$38)</f>
        <v/>
      </c>
      <c r="B39" s="81">
        <f>IFERROR(XLOOKUP([@entity_id],tblEntities[entity_id],tblEntities[canonical_name]),"")</f>
        <v/>
      </c>
      <c r="C39" s="81">
        <f>IF([@entity_id]="","",COUNTIFS(tblClaimsCurrent[entity_id],[@entity_id],tblClaimsCurrent[status],"PROMOTED"))</f>
        <v/>
      </c>
      <c r="D39" s="81">
        <f>IF([@entity_id]="","",COUNTIFS(tblClaimsCurrent[entity_id],[@entity_id],tblClaimsCurrent[status],"UNKNOWN"))</f>
        <v/>
      </c>
      <c r="E39" s="88">
        <f>LET(t,[@known_claims]+[@unknown_claims],IF(t=0,NA(),[@known_claims]/t))</f>
        <v/>
      </c>
      <c r="F3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9" s="81">
        <f>IF(OR(NOT(ISNUMBER([@acv_usd])),$B$5=""),"UNKNOWN",IF([@acv_usd]&lt;=($B$5*0.85),"Low",IF([@acv_usd]&gt;=($B$5*1.15),"High","Mid")))</f>
        <v/>
      </c>
      <c r="I39" s="81">
        <f>LET(v,IFERROR(LOOKUP(2,1/((tblClaimsCurrent[entity_id]=[@entity_id])*(tblClaimsCurrent[field_key]="features")*(tblClaimsCurrent[status]="PROMOTED")),tblClaimsCurrent[value_text]),"UNKNOWN"),IF(v="","UNKNOWN",v))</f>
        <v/>
      </c>
      <c r="J39" s="81">
        <f>IF(OR([@features_text]="UNKNOWN",[@features_text]=""),NA(),1+LEN([@features_text])-LEN(SUBSTITUTE([@features_text],";","")))</f>
        <v/>
      </c>
      <c r="K39" s="93">
        <f>IF([@segment_id]="",NA(),IF([@segment_id]="SEG_MM",1,0))</f>
        <v/>
      </c>
      <c r="L39" s="93">
        <f>IF([@entity_id]="","",IF(COUNTIFS(tblClaimsCurrent[entity_id],[@entity_id],tblClaimsCurrent[field_key],"funding_round",tblClaimsCurrent[status],"PROMOTED")&gt;0,1,0))</f>
        <v/>
      </c>
      <c r="M3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9" s="88">
        <f>IF(OR([@in_scope]=FALSE,ISNA([@coverage_pct]),ISNA([@feature_count]),ISNA([@segment_fit])),NA(),MIN(1,Config!$B$18*(1-MIN(1,[@feature_count]/10))+Config!$B$19*(1-[@segment_fit])+Config!$B$20*(1-[@coverage_pct])))</f>
        <v/>
      </c>
      <c r="O39" s="81">
        <f>IF([@in_scope]=FALSE,"OUT_OF_SCOPE",IF(ISNA([@coverage_pct]),"UNKNOWN",IF([@coverage_pct]&lt;Config!$B$10,"FAIL_CLOSED_LOW_COVERAGE","OK")))</f>
        <v/>
      </c>
      <c r="P39" s="66">
        <f>IFERROR(XLOOKUP([@entity_id],tblEntities[entity_id],tblEntities[segment_id]),"")</f>
        <v/>
      </c>
      <c r="Q39" s="66">
        <f>IFERROR(XLOOKUP([@entity_id],tblEntities[entity_id],tblEntities[vertical]),"")</f>
        <v/>
      </c>
      <c r="R39" s="66">
        <f>AND([@segment_id]=Dashboard!$E$2,IF(Dashboard!$E$3="All",TRUE,[@vertical]=Dashboard!$E$3))</f>
        <v/>
      </c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81">
        <f>IF(Input!$A$39="","",Input!$A$39)</f>
        <v/>
      </c>
      <c r="B40" s="81">
        <f>IFERROR(XLOOKUP([@entity_id],tblEntities[entity_id],tblEntities[canonical_name]),"")</f>
        <v/>
      </c>
      <c r="C40" s="81">
        <f>IF([@entity_id]="","",COUNTIFS(tblClaimsCurrent[entity_id],[@entity_id],tblClaimsCurrent[status],"PROMOTED"))</f>
        <v/>
      </c>
      <c r="D40" s="81">
        <f>IF([@entity_id]="","",COUNTIFS(tblClaimsCurrent[entity_id],[@entity_id],tblClaimsCurrent[status],"UNKNOWN"))</f>
        <v/>
      </c>
      <c r="E40" s="88">
        <f>LET(t,[@known_claims]+[@unknown_claims],IF(t=0,NA(),[@known_claims]/t))</f>
        <v/>
      </c>
      <c r="F4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0" s="81">
        <f>IF(OR(NOT(ISNUMBER([@acv_usd])),$B$5=""),"UNKNOWN",IF([@acv_usd]&lt;=($B$5*0.85),"Low",IF([@acv_usd]&gt;=($B$5*1.15),"High","Mid")))</f>
        <v/>
      </c>
      <c r="I40" s="81">
        <f>LET(v,IFERROR(LOOKUP(2,1/((tblClaimsCurrent[entity_id]=[@entity_id])*(tblClaimsCurrent[field_key]="features")*(tblClaimsCurrent[status]="PROMOTED")),tblClaimsCurrent[value_text]),"UNKNOWN"),IF(v="","UNKNOWN",v))</f>
        <v/>
      </c>
      <c r="J40" s="81">
        <f>IF(OR([@features_text]="UNKNOWN",[@features_text]=""),NA(),1+LEN([@features_text])-LEN(SUBSTITUTE([@features_text],";","")))</f>
        <v/>
      </c>
      <c r="K40" s="93">
        <f>IF([@segment_id]="",NA(),IF([@segment_id]="SEG_MM",1,0))</f>
        <v/>
      </c>
      <c r="L40" s="93">
        <f>IF([@entity_id]="","",IF(COUNTIFS(tblClaimsCurrent[entity_id],[@entity_id],tblClaimsCurrent[field_key],"funding_round",tblClaimsCurrent[status],"PROMOTED")&gt;0,1,0))</f>
        <v/>
      </c>
      <c r="M4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0" s="88">
        <f>IF(OR([@in_scope]=FALSE,ISNA([@coverage_pct]),ISNA([@feature_count]),ISNA([@segment_fit])),NA(),MIN(1,Config!$B$18*(1-MIN(1,[@feature_count]/10))+Config!$B$19*(1-[@segment_fit])+Config!$B$20*(1-[@coverage_pct])))</f>
        <v/>
      </c>
      <c r="O40" s="81">
        <f>IF([@in_scope]=FALSE,"OUT_OF_SCOPE",IF(ISNA([@coverage_pct]),"UNKNOWN",IF([@coverage_pct]&lt;Config!$B$10,"FAIL_CLOSED_LOW_COVERAGE","OK")))</f>
        <v/>
      </c>
      <c r="P40" s="66">
        <f>IFERROR(XLOOKUP([@entity_id],tblEntities[entity_id],tblEntities[segment_id]),"")</f>
        <v/>
      </c>
      <c r="Q40" s="66">
        <f>IFERROR(XLOOKUP([@entity_id],tblEntities[entity_id],tblEntities[vertical]),"")</f>
        <v/>
      </c>
      <c r="R40" s="66">
        <f>AND([@segment_id]=Dashboard!$E$2,IF(Dashboard!$E$3="All",TRUE,[@vertical]=Dashboard!$E$3))</f>
        <v/>
      </c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81">
        <f>IF(Input!$A$40="","",Input!$A$40)</f>
        <v/>
      </c>
      <c r="B41" s="81">
        <f>IFERROR(XLOOKUP([@entity_id],tblEntities[entity_id],tblEntities[canonical_name]),"")</f>
        <v/>
      </c>
      <c r="C41" s="81">
        <f>IF([@entity_id]="","",COUNTIFS(tblClaimsCurrent[entity_id],[@entity_id],tblClaimsCurrent[status],"PROMOTED"))</f>
        <v/>
      </c>
      <c r="D41" s="81">
        <f>IF([@entity_id]="","",COUNTIFS(tblClaimsCurrent[entity_id],[@entity_id],tblClaimsCurrent[status],"UNKNOWN"))</f>
        <v/>
      </c>
      <c r="E41" s="88">
        <f>LET(t,[@known_claims]+[@unknown_claims],IF(t=0,NA(),[@known_claims]/t))</f>
        <v/>
      </c>
      <c r="F4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1" s="81">
        <f>IF(OR(NOT(ISNUMBER([@acv_usd])),$B$5=""),"UNKNOWN",IF([@acv_usd]&lt;=($B$5*0.85),"Low",IF([@acv_usd]&gt;=($B$5*1.15),"High","Mid")))</f>
        <v/>
      </c>
      <c r="I41" s="81">
        <f>LET(v,IFERROR(LOOKUP(2,1/((tblClaimsCurrent[entity_id]=[@entity_id])*(tblClaimsCurrent[field_key]="features")*(tblClaimsCurrent[status]="PROMOTED")),tblClaimsCurrent[value_text]),"UNKNOWN"),IF(v="","UNKNOWN",v))</f>
        <v/>
      </c>
      <c r="J41" s="81">
        <f>IF(OR([@features_text]="UNKNOWN",[@features_text]=""),NA(),1+LEN([@features_text])-LEN(SUBSTITUTE([@features_text],";","")))</f>
        <v/>
      </c>
      <c r="K41" s="93">
        <f>IF([@segment_id]="",NA(),IF([@segment_id]="SEG_MM",1,0))</f>
        <v/>
      </c>
      <c r="L41" s="93">
        <f>IF([@entity_id]="","",IF(COUNTIFS(tblClaimsCurrent[entity_id],[@entity_id],tblClaimsCurrent[field_key],"funding_round",tblClaimsCurrent[status],"PROMOTED")&gt;0,1,0))</f>
        <v/>
      </c>
      <c r="M4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1" s="88">
        <f>IF(OR([@in_scope]=FALSE,ISNA([@coverage_pct]),ISNA([@feature_count]),ISNA([@segment_fit])),NA(),MIN(1,Config!$B$18*(1-MIN(1,[@feature_count]/10))+Config!$B$19*(1-[@segment_fit])+Config!$B$20*(1-[@coverage_pct])))</f>
        <v/>
      </c>
      <c r="O41" s="81">
        <f>IF([@in_scope]=FALSE,"OUT_OF_SCOPE",IF(ISNA([@coverage_pct]),"UNKNOWN",IF([@coverage_pct]&lt;Config!$B$10,"FAIL_CLOSED_LOW_COVERAGE","OK")))</f>
        <v/>
      </c>
      <c r="P41" s="66">
        <f>IFERROR(XLOOKUP([@entity_id],tblEntities[entity_id],tblEntities[segment_id]),"")</f>
        <v/>
      </c>
      <c r="Q41" s="66">
        <f>IFERROR(XLOOKUP([@entity_id],tblEntities[entity_id],tblEntities[vertical]),"")</f>
        <v/>
      </c>
      <c r="R41" s="66">
        <f>AND([@segment_id]=Dashboard!$E$2,IF(Dashboard!$E$3="All",TRUE,[@vertical]=Dashboard!$E$3))</f>
        <v/>
      </c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81">
        <f>IF(Input!$A$41="","",Input!$A$41)</f>
        <v/>
      </c>
      <c r="B42" s="81">
        <f>IFERROR(XLOOKUP([@entity_id],tblEntities[entity_id],tblEntities[canonical_name]),"")</f>
        <v/>
      </c>
      <c r="C42" s="81">
        <f>IF([@entity_id]="","",COUNTIFS(tblClaimsCurrent[entity_id],[@entity_id],tblClaimsCurrent[status],"PROMOTED"))</f>
        <v/>
      </c>
      <c r="D42" s="81">
        <f>IF([@entity_id]="","",COUNTIFS(tblClaimsCurrent[entity_id],[@entity_id],tblClaimsCurrent[status],"UNKNOWN"))</f>
        <v/>
      </c>
      <c r="E42" s="88">
        <f>LET(t,[@known_claims]+[@unknown_claims],IF(t=0,NA(),[@known_claims]/t))</f>
        <v/>
      </c>
      <c r="F4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2" s="81">
        <f>IF(OR(NOT(ISNUMBER([@acv_usd])),$B$5=""),"UNKNOWN",IF([@acv_usd]&lt;=($B$5*0.85),"Low",IF([@acv_usd]&gt;=($B$5*1.15),"High","Mid")))</f>
        <v/>
      </c>
      <c r="I42" s="81">
        <f>LET(v,IFERROR(LOOKUP(2,1/((tblClaimsCurrent[entity_id]=[@entity_id])*(tblClaimsCurrent[field_key]="features")*(tblClaimsCurrent[status]="PROMOTED")),tblClaimsCurrent[value_text]),"UNKNOWN"),IF(v="","UNKNOWN",v))</f>
        <v/>
      </c>
      <c r="J42" s="81">
        <f>IF(OR([@features_text]="UNKNOWN",[@features_text]=""),NA(),1+LEN([@features_text])-LEN(SUBSTITUTE([@features_text],";","")))</f>
        <v/>
      </c>
      <c r="K42" s="93">
        <f>IF([@segment_id]="",NA(),IF([@segment_id]="SEG_MM",1,0))</f>
        <v/>
      </c>
      <c r="L42" s="93">
        <f>IF([@entity_id]="","",IF(COUNTIFS(tblClaimsCurrent[entity_id],[@entity_id],tblClaimsCurrent[field_key],"funding_round",tblClaimsCurrent[status],"PROMOTED")&gt;0,1,0))</f>
        <v/>
      </c>
      <c r="M4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2" s="88">
        <f>IF(OR([@in_scope]=FALSE,ISNA([@coverage_pct]),ISNA([@feature_count]),ISNA([@segment_fit])),NA(),MIN(1,Config!$B$18*(1-MIN(1,[@feature_count]/10))+Config!$B$19*(1-[@segment_fit])+Config!$B$20*(1-[@coverage_pct])))</f>
        <v/>
      </c>
      <c r="O42" s="81">
        <f>IF([@in_scope]=FALSE,"OUT_OF_SCOPE",IF(ISNA([@coverage_pct]),"UNKNOWN",IF([@coverage_pct]&lt;Config!$B$10,"FAIL_CLOSED_LOW_COVERAGE","OK")))</f>
        <v/>
      </c>
      <c r="P42" s="66">
        <f>IFERROR(XLOOKUP([@entity_id],tblEntities[entity_id],tblEntities[segment_id]),"")</f>
        <v/>
      </c>
      <c r="Q42" s="66">
        <f>IFERROR(XLOOKUP([@entity_id],tblEntities[entity_id],tblEntities[vertical]),"")</f>
        <v/>
      </c>
      <c r="R42" s="66">
        <f>AND([@segment_id]=Dashboard!$E$2,IF(Dashboard!$E$3="All",TRUE,[@vertical]=Dashboard!$E$3))</f>
        <v/>
      </c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81">
        <f>IF(Input!$A$42="","",Input!$A$42)</f>
        <v/>
      </c>
      <c r="B43" s="81">
        <f>IFERROR(XLOOKUP([@entity_id],tblEntities[entity_id],tblEntities[canonical_name]),"")</f>
        <v/>
      </c>
      <c r="C43" s="81">
        <f>IF([@entity_id]="","",COUNTIFS(tblClaimsCurrent[entity_id],[@entity_id],tblClaimsCurrent[status],"PROMOTED"))</f>
        <v/>
      </c>
      <c r="D43" s="81">
        <f>IF([@entity_id]="","",COUNTIFS(tblClaimsCurrent[entity_id],[@entity_id],tblClaimsCurrent[status],"UNKNOWN"))</f>
        <v/>
      </c>
      <c r="E43" s="88">
        <f>LET(t,[@known_claims]+[@unknown_claims],IF(t=0,NA(),[@known_claims]/t))</f>
        <v/>
      </c>
      <c r="F4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3" s="81">
        <f>IF(OR(NOT(ISNUMBER([@acv_usd])),$B$5=""),"UNKNOWN",IF([@acv_usd]&lt;=($B$5*0.85),"Low",IF([@acv_usd]&gt;=($B$5*1.15),"High","Mid")))</f>
        <v/>
      </c>
      <c r="I43" s="81">
        <f>LET(v,IFERROR(LOOKUP(2,1/((tblClaimsCurrent[entity_id]=[@entity_id])*(tblClaimsCurrent[field_key]="features")*(tblClaimsCurrent[status]="PROMOTED")),tblClaimsCurrent[value_text]),"UNKNOWN"),IF(v="","UNKNOWN",v))</f>
        <v/>
      </c>
      <c r="J43" s="81">
        <f>IF(OR([@features_text]="UNKNOWN",[@features_text]=""),NA(),1+LEN([@features_text])-LEN(SUBSTITUTE([@features_text],";","")))</f>
        <v/>
      </c>
      <c r="K43" s="93">
        <f>IF([@segment_id]="",NA(),IF([@segment_id]="SEG_MM",1,0))</f>
        <v/>
      </c>
      <c r="L43" s="93">
        <f>IF([@entity_id]="","",IF(COUNTIFS(tblClaimsCurrent[entity_id],[@entity_id],tblClaimsCurrent[field_key],"funding_round",tblClaimsCurrent[status],"PROMOTED")&gt;0,1,0))</f>
        <v/>
      </c>
      <c r="M4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3" s="88">
        <f>IF(OR([@in_scope]=FALSE,ISNA([@coverage_pct]),ISNA([@feature_count]),ISNA([@segment_fit])),NA(),MIN(1,Config!$B$18*(1-MIN(1,[@feature_count]/10))+Config!$B$19*(1-[@segment_fit])+Config!$B$20*(1-[@coverage_pct])))</f>
        <v/>
      </c>
      <c r="O43" s="81">
        <f>IF([@in_scope]=FALSE,"OUT_OF_SCOPE",IF(ISNA([@coverage_pct]),"UNKNOWN",IF([@coverage_pct]&lt;Config!$B$10,"FAIL_CLOSED_LOW_COVERAGE","OK")))</f>
        <v/>
      </c>
      <c r="P43" s="66">
        <f>IFERROR(XLOOKUP([@entity_id],tblEntities[entity_id],tblEntities[segment_id]),"")</f>
        <v/>
      </c>
      <c r="Q43" s="66">
        <f>IFERROR(XLOOKUP([@entity_id],tblEntities[entity_id],tblEntities[vertical]),"")</f>
        <v/>
      </c>
      <c r="R43" s="66">
        <f>AND([@segment_id]=Dashboard!$E$2,IF(Dashboard!$E$3="All",TRUE,[@vertical]=Dashboard!$E$3))</f>
        <v/>
      </c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81">
        <f>IF(Input!$A$43="","",Input!$A$43)</f>
        <v/>
      </c>
      <c r="B44" s="81">
        <f>IFERROR(XLOOKUP([@entity_id],tblEntities[entity_id],tblEntities[canonical_name]),"")</f>
        <v/>
      </c>
      <c r="C44" s="81">
        <f>IF([@entity_id]="","",COUNTIFS(tblClaimsCurrent[entity_id],[@entity_id],tblClaimsCurrent[status],"PROMOTED"))</f>
        <v/>
      </c>
      <c r="D44" s="81">
        <f>IF([@entity_id]="","",COUNTIFS(tblClaimsCurrent[entity_id],[@entity_id],tblClaimsCurrent[status],"UNKNOWN"))</f>
        <v/>
      </c>
      <c r="E44" s="88">
        <f>LET(t,[@known_claims]+[@unknown_claims],IF(t=0,NA(),[@known_claims]/t))</f>
        <v/>
      </c>
      <c r="F4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4" s="81">
        <f>IF(OR(NOT(ISNUMBER([@acv_usd])),$B$5=""),"UNKNOWN",IF([@acv_usd]&lt;=($B$5*0.85),"Low",IF([@acv_usd]&gt;=($B$5*1.15),"High","Mid")))</f>
        <v/>
      </c>
      <c r="I44" s="81">
        <f>LET(v,IFERROR(LOOKUP(2,1/((tblClaimsCurrent[entity_id]=[@entity_id])*(tblClaimsCurrent[field_key]="features")*(tblClaimsCurrent[status]="PROMOTED")),tblClaimsCurrent[value_text]),"UNKNOWN"),IF(v="","UNKNOWN",v))</f>
        <v/>
      </c>
      <c r="J44" s="81">
        <f>IF(OR([@features_text]="UNKNOWN",[@features_text]=""),NA(),1+LEN([@features_text])-LEN(SUBSTITUTE([@features_text],";","")))</f>
        <v/>
      </c>
      <c r="K44" s="93">
        <f>IF([@segment_id]="",NA(),IF([@segment_id]="SEG_MM",1,0))</f>
        <v/>
      </c>
      <c r="L44" s="93">
        <f>IF([@entity_id]="","",IF(COUNTIFS(tblClaimsCurrent[entity_id],[@entity_id],tblClaimsCurrent[field_key],"funding_round",tblClaimsCurrent[status],"PROMOTED")&gt;0,1,0))</f>
        <v/>
      </c>
      <c r="M4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4" s="88">
        <f>IF(OR([@in_scope]=FALSE,ISNA([@coverage_pct]),ISNA([@feature_count]),ISNA([@segment_fit])),NA(),MIN(1,Config!$B$18*(1-MIN(1,[@feature_count]/10))+Config!$B$19*(1-[@segment_fit])+Config!$B$20*(1-[@coverage_pct])))</f>
        <v/>
      </c>
      <c r="O44" s="81">
        <f>IF([@in_scope]=FALSE,"OUT_OF_SCOPE",IF(ISNA([@coverage_pct]),"UNKNOWN",IF([@coverage_pct]&lt;Config!$B$10,"FAIL_CLOSED_LOW_COVERAGE","OK")))</f>
        <v/>
      </c>
      <c r="P44" s="66">
        <f>IFERROR(XLOOKUP([@entity_id],tblEntities[entity_id],tblEntities[segment_id]),"")</f>
        <v/>
      </c>
      <c r="Q44" s="66">
        <f>IFERROR(XLOOKUP([@entity_id],tblEntities[entity_id],tblEntities[vertical]),"")</f>
        <v/>
      </c>
      <c r="R44" s="66">
        <f>AND([@segment_id]=Dashboard!$E$2,IF(Dashboard!$E$3="All",TRUE,[@vertical]=Dashboard!$E$3))</f>
        <v/>
      </c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81">
        <f>IF(Input!$A$44="","",Input!$A$44)</f>
        <v/>
      </c>
      <c r="B45" s="81">
        <f>IFERROR(XLOOKUP([@entity_id],tblEntities[entity_id],tblEntities[canonical_name]),"")</f>
        <v/>
      </c>
      <c r="C45" s="81">
        <f>IF([@entity_id]="","",COUNTIFS(tblClaimsCurrent[entity_id],[@entity_id],tblClaimsCurrent[status],"PROMOTED"))</f>
        <v/>
      </c>
      <c r="D45" s="81">
        <f>IF([@entity_id]="","",COUNTIFS(tblClaimsCurrent[entity_id],[@entity_id],tblClaimsCurrent[status],"UNKNOWN"))</f>
        <v/>
      </c>
      <c r="E45" s="88">
        <f>LET(t,[@known_claims]+[@unknown_claims],IF(t=0,NA(),[@known_claims]/t))</f>
        <v/>
      </c>
      <c r="F4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5" s="81">
        <f>IF(OR(NOT(ISNUMBER([@acv_usd])),$B$5=""),"UNKNOWN",IF([@acv_usd]&lt;=($B$5*0.85),"Low",IF([@acv_usd]&gt;=($B$5*1.15),"High","Mid")))</f>
        <v/>
      </c>
      <c r="I45" s="81">
        <f>LET(v,IFERROR(LOOKUP(2,1/((tblClaimsCurrent[entity_id]=[@entity_id])*(tblClaimsCurrent[field_key]="features")*(tblClaimsCurrent[status]="PROMOTED")),tblClaimsCurrent[value_text]),"UNKNOWN"),IF(v="","UNKNOWN",v))</f>
        <v/>
      </c>
      <c r="J45" s="81">
        <f>IF(OR([@features_text]="UNKNOWN",[@features_text]=""),NA(),1+LEN([@features_text])-LEN(SUBSTITUTE([@features_text],";","")))</f>
        <v/>
      </c>
      <c r="K45" s="93">
        <f>IF([@segment_id]="",NA(),IF([@segment_id]="SEG_MM",1,0))</f>
        <v/>
      </c>
      <c r="L45" s="93">
        <f>IF([@entity_id]="","",IF(COUNTIFS(tblClaimsCurrent[entity_id],[@entity_id],tblClaimsCurrent[field_key],"funding_round",tblClaimsCurrent[status],"PROMOTED")&gt;0,1,0))</f>
        <v/>
      </c>
      <c r="M4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5" s="88">
        <f>IF(OR([@in_scope]=FALSE,ISNA([@coverage_pct]),ISNA([@feature_count]),ISNA([@segment_fit])),NA(),MIN(1,Config!$B$18*(1-MIN(1,[@feature_count]/10))+Config!$B$19*(1-[@segment_fit])+Config!$B$20*(1-[@coverage_pct])))</f>
        <v/>
      </c>
      <c r="O45" s="81">
        <f>IF([@in_scope]=FALSE,"OUT_OF_SCOPE",IF(ISNA([@coverage_pct]),"UNKNOWN",IF([@coverage_pct]&lt;Config!$B$10,"FAIL_CLOSED_LOW_COVERAGE","OK")))</f>
        <v/>
      </c>
      <c r="P45" s="66">
        <f>IFERROR(XLOOKUP([@entity_id],tblEntities[entity_id],tblEntities[segment_id]),"")</f>
        <v/>
      </c>
      <c r="Q45" s="66">
        <f>IFERROR(XLOOKUP([@entity_id],tblEntities[entity_id],tblEntities[vertical]),"")</f>
        <v/>
      </c>
      <c r="R45" s="66">
        <f>AND([@segment_id]=Dashboard!$E$2,IF(Dashboard!$E$3="All",TRUE,[@vertical]=Dashboard!$E$3))</f>
        <v/>
      </c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81">
        <f>IF(Input!$A$45="","",Input!$A$45)</f>
        <v/>
      </c>
      <c r="B46" s="81">
        <f>IFERROR(XLOOKUP([@entity_id],tblEntities[entity_id],tblEntities[canonical_name]),"")</f>
        <v/>
      </c>
      <c r="C46" s="81">
        <f>IF([@entity_id]="","",COUNTIFS(tblClaimsCurrent[entity_id],[@entity_id],tblClaimsCurrent[status],"PROMOTED"))</f>
        <v/>
      </c>
      <c r="D46" s="81">
        <f>IF([@entity_id]="","",COUNTIFS(tblClaimsCurrent[entity_id],[@entity_id],tblClaimsCurrent[status],"UNKNOWN"))</f>
        <v/>
      </c>
      <c r="E46" s="88">
        <f>LET(t,[@known_claims]+[@unknown_claims],IF(t=0,NA(),[@known_claims]/t))</f>
        <v/>
      </c>
      <c r="F4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6" s="81">
        <f>IF(OR(NOT(ISNUMBER([@acv_usd])),$B$5=""),"UNKNOWN",IF([@acv_usd]&lt;=($B$5*0.85),"Low",IF([@acv_usd]&gt;=($B$5*1.15),"High","Mid")))</f>
        <v/>
      </c>
      <c r="I46" s="81">
        <f>LET(v,IFERROR(LOOKUP(2,1/((tblClaimsCurrent[entity_id]=[@entity_id])*(tblClaimsCurrent[field_key]="features")*(tblClaimsCurrent[status]="PROMOTED")),tblClaimsCurrent[value_text]),"UNKNOWN"),IF(v="","UNKNOWN",v))</f>
        <v/>
      </c>
      <c r="J46" s="81">
        <f>IF(OR([@features_text]="UNKNOWN",[@features_text]=""),NA(),1+LEN([@features_text])-LEN(SUBSTITUTE([@features_text],";","")))</f>
        <v/>
      </c>
      <c r="K46" s="93">
        <f>IF([@segment_id]="",NA(),IF([@segment_id]="SEG_MM",1,0))</f>
        <v/>
      </c>
      <c r="L46" s="93">
        <f>IF([@entity_id]="","",IF(COUNTIFS(tblClaimsCurrent[entity_id],[@entity_id],tblClaimsCurrent[field_key],"funding_round",tblClaimsCurrent[status],"PROMOTED")&gt;0,1,0))</f>
        <v/>
      </c>
      <c r="M4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6" s="88">
        <f>IF(OR([@in_scope]=FALSE,ISNA([@coverage_pct]),ISNA([@feature_count]),ISNA([@segment_fit])),NA(),MIN(1,Config!$B$18*(1-MIN(1,[@feature_count]/10))+Config!$B$19*(1-[@segment_fit])+Config!$B$20*(1-[@coverage_pct])))</f>
        <v/>
      </c>
      <c r="O46" s="81">
        <f>IF([@in_scope]=FALSE,"OUT_OF_SCOPE",IF(ISNA([@coverage_pct]),"UNKNOWN",IF([@coverage_pct]&lt;Config!$B$10,"FAIL_CLOSED_LOW_COVERAGE","OK")))</f>
        <v/>
      </c>
      <c r="P46" s="66">
        <f>IFERROR(XLOOKUP([@entity_id],tblEntities[entity_id],tblEntities[segment_id]),"")</f>
        <v/>
      </c>
      <c r="Q46" s="66">
        <f>IFERROR(XLOOKUP([@entity_id],tblEntities[entity_id],tblEntities[vertical]),"")</f>
        <v/>
      </c>
      <c r="R46" s="66">
        <f>AND([@segment_id]=Dashboard!$E$2,IF(Dashboard!$E$3="All",TRUE,[@vertical]=Dashboard!$E$3))</f>
        <v/>
      </c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81">
        <f>IF(Input!$A$46="","",Input!$A$46)</f>
        <v/>
      </c>
      <c r="B47" s="81">
        <f>IFERROR(XLOOKUP([@entity_id],tblEntities[entity_id],tblEntities[canonical_name]),"")</f>
        <v/>
      </c>
      <c r="C47" s="81">
        <f>IF([@entity_id]="","",COUNTIFS(tblClaimsCurrent[entity_id],[@entity_id],tblClaimsCurrent[status],"PROMOTED"))</f>
        <v/>
      </c>
      <c r="D47" s="81">
        <f>IF([@entity_id]="","",COUNTIFS(tblClaimsCurrent[entity_id],[@entity_id],tblClaimsCurrent[status],"UNKNOWN"))</f>
        <v/>
      </c>
      <c r="E47" s="88">
        <f>LET(t,[@known_claims]+[@unknown_claims],IF(t=0,NA(),[@known_claims]/t))</f>
        <v/>
      </c>
      <c r="F4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7" s="81">
        <f>IF(OR(NOT(ISNUMBER([@acv_usd])),$B$5=""),"UNKNOWN",IF([@acv_usd]&lt;=($B$5*0.85),"Low",IF([@acv_usd]&gt;=($B$5*1.15),"High","Mid")))</f>
        <v/>
      </c>
      <c r="I47" s="81">
        <f>LET(v,IFERROR(LOOKUP(2,1/((tblClaimsCurrent[entity_id]=[@entity_id])*(tblClaimsCurrent[field_key]="features")*(tblClaimsCurrent[status]="PROMOTED")),tblClaimsCurrent[value_text]),"UNKNOWN"),IF(v="","UNKNOWN",v))</f>
        <v/>
      </c>
      <c r="J47" s="81">
        <f>IF(OR([@features_text]="UNKNOWN",[@features_text]=""),NA(),1+LEN([@features_text])-LEN(SUBSTITUTE([@features_text],";","")))</f>
        <v/>
      </c>
      <c r="K47" s="93">
        <f>IF([@segment_id]="",NA(),IF([@segment_id]="SEG_MM",1,0))</f>
        <v/>
      </c>
      <c r="L47" s="93">
        <f>IF([@entity_id]="","",IF(COUNTIFS(tblClaimsCurrent[entity_id],[@entity_id],tblClaimsCurrent[field_key],"funding_round",tblClaimsCurrent[status],"PROMOTED")&gt;0,1,0))</f>
        <v/>
      </c>
      <c r="M4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7" s="88">
        <f>IF(OR([@in_scope]=FALSE,ISNA([@coverage_pct]),ISNA([@feature_count]),ISNA([@segment_fit])),NA(),MIN(1,Config!$B$18*(1-MIN(1,[@feature_count]/10))+Config!$B$19*(1-[@segment_fit])+Config!$B$20*(1-[@coverage_pct])))</f>
        <v/>
      </c>
      <c r="O47" s="81">
        <f>IF([@in_scope]=FALSE,"OUT_OF_SCOPE",IF(ISNA([@coverage_pct]),"UNKNOWN",IF([@coverage_pct]&lt;Config!$B$10,"FAIL_CLOSED_LOW_COVERAGE","OK")))</f>
        <v/>
      </c>
      <c r="P47" s="66">
        <f>IFERROR(XLOOKUP([@entity_id],tblEntities[entity_id],tblEntities[segment_id]),"")</f>
        <v/>
      </c>
      <c r="Q47" s="66">
        <f>IFERROR(XLOOKUP([@entity_id],tblEntities[entity_id],tblEntities[vertical]),"")</f>
        <v/>
      </c>
      <c r="R47" s="66">
        <f>AND([@segment_id]=Dashboard!$E$2,IF(Dashboard!$E$3="All",TRUE,[@vertical]=Dashboard!$E$3))</f>
        <v/>
      </c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81">
        <f>IF(Input!$A$47="","",Input!$A$47)</f>
        <v/>
      </c>
      <c r="B48" s="81">
        <f>IFERROR(XLOOKUP([@entity_id],tblEntities[entity_id],tblEntities[canonical_name]),"")</f>
        <v/>
      </c>
      <c r="C48" s="81">
        <f>IF([@entity_id]="","",COUNTIFS(tblClaimsCurrent[entity_id],[@entity_id],tblClaimsCurrent[status],"PROMOTED"))</f>
        <v/>
      </c>
      <c r="D48" s="81">
        <f>IF([@entity_id]="","",COUNTIFS(tblClaimsCurrent[entity_id],[@entity_id],tblClaimsCurrent[status],"UNKNOWN"))</f>
        <v/>
      </c>
      <c r="E48" s="88">
        <f>LET(t,[@known_claims]+[@unknown_claims],IF(t=0,NA(),[@known_claims]/t))</f>
        <v/>
      </c>
      <c r="F4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8" s="81">
        <f>IF(OR(NOT(ISNUMBER([@acv_usd])),$B$5=""),"UNKNOWN",IF([@acv_usd]&lt;=($B$5*0.85),"Low",IF([@acv_usd]&gt;=($B$5*1.15),"High","Mid")))</f>
        <v/>
      </c>
      <c r="I48" s="81">
        <f>LET(v,IFERROR(LOOKUP(2,1/((tblClaimsCurrent[entity_id]=[@entity_id])*(tblClaimsCurrent[field_key]="features")*(tblClaimsCurrent[status]="PROMOTED")),tblClaimsCurrent[value_text]),"UNKNOWN"),IF(v="","UNKNOWN",v))</f>
        <v/>
      </c>
      <c r="J48" s="81">
        <f>IF(OR([@features_text]="UNKNOWN",[@features_text]=""),NA(),1+LEN([@features_text])-LEN(SUBSTITUTE([@features_text],";","")))</f>
        <v/>
      </c>
      <c r="K48" s="93">
        <f>IF([@segment_id]="",NA(),IF([@segment_id]="SEG_MM",1,0))</f>
        <v/>
      </c>
      <c r="L48" s="93">
        <f>IF([@entity_id]="","",IF(COUNTIFS(tblClaimsCurrent[entity_id],[@entity_id],tblClaimsCurrent[field_key],"funding_round",tblClaimsCurrent[status],"PROMOTED")&gt;0,1,0))</f>
        <v/>
      </c>
      <c r="M4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8" s="88">
        <f>IF(OR([@in_scope]=FALSE,ISNA([@coverage_pct]),ISNA([@feature_count]),ISNA([@segment_fit])),NA(),MIN(1,Config!$B$18*(1-MIN(1,[@feature_count]/10))+Config!$B$19*(1-[@segment_fit])+Config!$B$20*(1-[@coverage_pct])))</f>
        <v/>
      </c>
      <c r="O48" s="81">
        <f>IF([@in_scope]=FALSE,"OUT_OF_SCOPE",IF(ISNA([@coverage_pct]),"UNKNOWN",IF([@coverage_pct]&lt;Config!$B$10,"FAIL_CLOSED_LOW_COVERAGE","OK")))</f>
        <v/>
      </c>
      <c r="P48" s="66">
        <f>IFERROR(XLOOKUP([@entity_id],tblEntities[entity_id],tblEntities[segment_id]),"")</f>
        <v/>
      </c>
      <c r="Q48" s="66">
        <f>IFERROR(XLOOKUP([@entity_id],tblEntities[entity_id],tblEntities[vertical]),"")</f>
        <v/>
      </c>
      <c r="R48" s="66">
        <f>AND([@segment_id]=Dashboard!$E$2,IF(Dashboard!$E$3="All",TRUE,[@vertical]=Dashboard!$E$3))</f>
        <v/>
      </c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81">
        <f>IF(Input!$A$48="","",Input!$A$48)</f>
        <v/>
      </c>
      <c r="B49" s="81">
        <f>IFERROR(XLOOKUP([@entity_id],tblEntities[entity_id],tblEntities[canonical_name]),"")</f>
        <v/>
      </c>
      <c r="C49" s="81">
        <f>IF([@entity_id]="","",COUNTIFS(tblClaimsCurrent[entity_id],[@entity_id],tblClaimsCurrent[status],"PROMOTED"))</f>
        <v/>
      </c>
      <c r="D49" s="81">
        <f>IF([@entity_id]="","",COUNTIFS(tblClaimsCurrent[entity_id],[@entity_id],tblClaimsCurrent[status],"UNKNOWN"))</f>
        <v/>
      </c>
      <c r="E49" s="88">
        <f>LET(t,[@known_claims]+[@unknown_claims],IF(t=0,NA(),[@known_claims]/t))</f>
        <v/>
      </c>
      <c r="F4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9" s="81">
        <f>IF(OR(NOT(ISNUMBER([@acv_usd])),$B$5=""),"UNKNOWN",IF([@acv_usd]&lt;=($B$5*0.85),"Low",IF([@acv_usd]&gt;=($B$5*1.15),"High","Mid")))</f>
        <v/>
      </c>
      <c r="I49" s="81">
        <f>LET(v,IFERROR(LOOKUP(2,1/((tblClaimsCurrent[entity_id]=[@entity_id])*(tblClaimsCurrent[field_key]="features")*(tblClaimsCurrent[status]="PROMOTED")),tblClaimsCurrent[value_text]),"UNKNOWN"),IF(v="","UNKNOWN",v))</f>
        <v/>
      </c>
      <c r="J49" s="81">
        <f>IF(OR([@features_text]="UNKNOWN",[@features_text]=""),NA(),1+LEN([@features_text])-LEN(SUBSTITUTE([@features_text],";","")))</f>
        <v/>
      </c>
      <c r="K49" s="93">
        <f>IF([@segment_id]="",NA(),IF([@segment_id]="SEG_MM",1,0))</f>
        <v/>
      </c>
      <c r="L49" s="93">
        <f>IF([@entity_id]="","",IF(COUNTIFS(tblClaimsCurrent[entity_id],[@entity_id],tblClaimsCurrent[field_key],"funding_round",tblClaimsCurrent[status],"PROMOTED")&gt;0,1,0))</f>
        <v/>
      </c>
      <c r="M4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9" s="88">
        <f>IF(OR([@in_scope]=FALSE,ISNA([@coverage_pct]),ISNA([@feature_count]),ISNA([@segment_fit])),NA(),MIN(1,Config!$B$18*(1-MIN(1,[@feature_count]/10))+Config!$B$19*(1-[@segment_fit])+Config!$B$20*(1-[@coverage_pct])))</f>
        <v/>
      </c>
      <c r="O49" s="81">
        <f>IF([@in_scope]=FALSE,"OUT_OF_SCOPE",IF(ISNA([@coverage_pct]),"UNKNOWN",IF([@coverage_pct]&lt;Config!$B$10,"FAIL_CLOSED_LOW_COVERAGE","OK")))</f>
        <v/>
      </c>
      <c r="P49" s="66">
        <f>IFERROR(XLOOKUP([@entity_id],tblEntities[entity_id],tblEntities[segment_id]),"")</f>
        <v/>
      </c>
      <c r="Q49" s="66">
        <f>IFERROR(XLOOKUP([@entity_id],tblEntities[entity_id],tblEntities[vertical]),"")</f>
        <v/>
      </c>
      <c r="R49" s="66">
        <f>AND([@segment_id]=Dashboard!$E$2,IF(Dashboard!$E$3="All",TRUE,[@vertical]=Dashboard!$E$3))</f>
        <v/>
      </c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81">
        <f>IF(Input!$A$49="","",Input!$A$49)</f>
        <v/>
      </c>
      <c r="B50" s="81">
        <f>IFERROR(XLOOKUP([@entity_id],tblEntities[entity_id],tblEntities[canonical_name]),"")</f>
        <v/>
      </c>
      <c r="C50" s="81">
        <f>IF([@entity_id]="","",COUNTIFS(tblClaimsCurrent[entity_id],[@entity_id],tblClaimsCurrent[status],"PROMOTED"))</f>
        <v/>
      </c>
      <c r="D50" s="81">
        <f>IF([@entity_id]="","",COUNTIFS(tblClaimsCurrent[entity_id],[@entity_id],tblClaimsCurrent[status],"UNKNOWN"))</f>
        <v/>
      </c>
      <c r="E50" s="88">
        <f>LET(t,[@known_claims]+[@unknown_claims],IF(t=0,NA(),[@known_claims]/t))</f>
        <v/>
      </c>
      <c r="F5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0" s="81">
        <f>IF(OR(NOT(ISNUMBER([@acv_usd])),$B$5=""),"UNKNOWN",IF([@acv_usd]&lt;=($B$5*0.85),"Low",IF([@acv_usd]&gt;=($B$5*1.15),"High","Mid")))</f>
        <v/>
      </c>
      <c r="I50" s="81">
        <f>LET(v,IFERROR(LOOKUP(2,1/((tblClaimsCurrent[entity_id]=[@entity_id])*(tblClaimsCurrent[field_key]="features")*(tblClaimsCurrent[status]="PROMOTED")),tblClaimsCurrent[value_text]),"UNKNOWN"),IF(v="","UNKNOWN",v))</f>
        <v/>
      </c>
      <c r="J50" s="81">
        <f>IF(OR([@features_text]="UNKNOWN",[@features_text]=""),NA(),1+LEN([@features_text])-LEN(SUBSTITUTE([@features_text],";","")))</f>
        <v/>
      </c>
      <c r="K50" s="93">
        <f>IF([@segment_id]="",NA(),IF([@segment_id]="SEG_MM",1,0))</f>
        <v/>
      </c>
      <c r="L50" s="93">
        <f>IF([@entity_id]="","",IF(COUNTIFS(tblClaimsCurrent[entity_id],[@entity_id],tblClaimsCurrent[field_key],"funding_round",tblClaimsCurrent[status],"PROMOTED")&gt;0,1,0))</f>
        <v/>
      </c>
      <c r="M5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0" s="88">
        <f>IF(OR([@in_scope]=FALSE,ISNA([@coverage_pct]),ISNA([@feature_count]),ISNA([@segment_fit])),NA(),MIN(1,Config!$B$18*(1-MIN(1,[@feature_count]/10))+Config!$B$19*(1-[@segment_fit])+Config!$B$20*(1-[@coverage_pct])))</f>
        <v/>
      </c>
      <c r="O50" s="81">
        <f>IF([@in_scope]=FALSE,"OUT_OF_SCOPE",IF(ISNA([@coverage_pct]),"UNKNOWN",IF([@coverage_pct]&lt;Config!$B$10,"FAIL_CLOSED_LOW_COVERAGE","OK")))</f>
        <v/>
      </c>
      <c r="P50" s="66">
        <f>IFERROR(XLOOKUP([@entity_id],tblEntities[entity_id],tblEntities[segment_id]),"")</f>
        <v/>
      </c>
      <c r="Q50" s="66">
        <f>IFERROR(XLOOKUP([@entity_id],tblEntities[entity_id],tblEntities[vertical]),"")</f>
        <v/>
      </c>
      <c r="R50" s="66">
        <f>AND([@segment_id]=Dashboard!$E$2,IF(Dashboard!$E$3="All",TRUE,[@vertical]=Dashboard!$E$3))</f>
        <v/>
      </c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81">
        <f>IF(Input!$A$50="","",Input!$A$50)</f>
        <v/>
      </c>
      <c r="B51" s="81">
        <f>IFERROR(XLOOKUP([@entity_id],tblEntities[entity_id],tblEntities[canonical_name]),"")</f>
        <v/>
      </c>
      <c r="C51" s="81">
        <f>IF([@entity_id]="","",COUNTIFS(tblClaimsCurrent[entity_id],[@entity_id],tblClaimsCurrent[status],"PROMOTED"))</f>
        <v/>
      </c>
      <c r="D51" s="81">
        <f>IF([@entity_id]="","",COUNTIFS(tblClaimsCurrent[entity_id],[@entity_id],tblClaimsCurrent[status],"UNKNOWN"))</f>
        <v/>
      </c>
      <c r="E51" s="88">
        <f>LET(t,[@known_claims]+[@unknown_claims],IF(t=0,NA(),[@known_claims]/t))</f>
        <v/>
      </c>
      <c r="F5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1" s="81">
        <f>IF(OR(NOT(ISNUMBER([@acv_usd])),$B$5=""),"UNKNOWN",IF([@acv_usd]&lt;=($B$5*0.85),"Low",IF([@acv_usd]&gt;=($B$5*1.15),"High","Mid")))</f>
        <v/>
      </c>
      <c r="I51" s="81">
        <f>LET(v,IFERROR(LOOKUP(2,1/((tblClaimsCurrent[entity_id]=[@entity_id])*(tblClaimsCurrent[field_key]="features")*(tblClaimsCurrent[status]="PROMOTED")),tblClaimsCurrent[value_text]),"UNKNOWN"),IF(v="","UNKNOWN",v))</f>
        <v/>
      </c>
      <c r="J51" s="81">
        <f>IF(OR([@features_text]="UNKNOWN",[@features_text]=""),NA(),1+LEN([@features_text])-LEN(SUBSTITUTE([@features_text],";","")))</f>
        <v/>
      </c>
      <c r="K51" s="93">
        <f>IF([@segment_id]="",NA(),IF([@segment_id]="SEG_MM",1,0))</f>
        <v/>
      </c>
      <c r="L51" s="93">
        <f>IF([@entity_id]="","",IF(COUNTIFS(tblClaimsCurrent[entity_id],[@entity_id],tblClaimsCurrent[field_key],"funding_round",tblClaimsCurrent[status],"PROMOTED")&gt;0,1,0))</f>
        <v/>
      </c>
      <c r="M5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1" s="88">
        <f>IF(OR([@in_scope]=FALSE,ISNA([@coverage_pct]),ISNA([@feature_count]),ISNA([@segment_fit])),NA(),MIN(1,Config!$B$18*(1-MIN(1,[@feature_count]/10))+Config!$B$19*(1-[@segment_fit])+Config!$B$20*(1-[@coverage_pct])))</f>
        <v/>
      </c>
      <c r="O51" s="81">
        <f>IF([@in_scope]=FALSE,"OUT_OF_SCOPE",IF(ISNA([@coverage_pct]),"UNKNOWN",IF([@coverage_pct]&lt;Config!$B$10,"FAIL_CLOSED_LOW_COVERAGE","OK")))</f>
        <v/>
      </c>
      <c r="P51" s="66">
        <f>IFERROR(XLOOKUP([@entity_id],tblEntities[entity_id],tblEntities[segment_id]),"")</f>
        <v/>
      </c>
      <c r="Q51" s="66">
        <f>IFERROR(XLOOKUP([@entity_id],tblEntities[entity_id],tblEntities[vertical]),"")</f>
        <v/>
      </c>
      <c r="R51" s="66">
        <f>AND([@segment_id]=Dashboard!$E$2,IF(Dashboard!$E$3="All",TRUE,[@vertical]=Dashboard!$E$3))</f>
        <v/>
      </c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81">
        <f>IF(Input!$A$51="","",Input!$A$51)</f>
        <v/>
      </c>
      <c r="B52" s="81">
        <f>IFERROR(XLOOKUP([@entity_id],tblEntities[entity_id],tblEntities[canonical_name]),"")</f>
        <v/>
      </c>
      <c r="C52" s="81">
        <f>IF([@entity_id]="","",COUNTIFS(tblClaimsCurrent[entity_id],[@entity_id],tblClaimsCurrent[status],"PROMOTED"))</f>
        <v/>
      </c>
      <c r="D52" s="81">
        <f>IF([@entity_id]="","",COUNTIFS(tblClaimsCurrent[entity_id],[@entity_id],tblClaimsCurrent[status],"UNKNOWN"))</f>
        <v/>
      </c>
      <c r="E52" s="88">
        <f>LET(t,[@known_claims]+[@unknown_claims],IF(t=0,NA(),[@known_claims]/t))</f>
        <v/>
      </c>
      <c r="F5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2" s="81">
        <f>IF(OR(NOT(ISNUMBER([@acv_usd])),$B$5=""),"UNKNOWN",IF([@acv_usd]&lt;=($B$5*0.85),"Low",IF([@acv_usd]&gt;=($B$5*1.15),"High","Mid")))</f>
        <v/>
      </c>
      <c r="I52" s="81">
        <f>LET(v,IFERROR(LOOKUP(2,1/((tblClaimsCurrent[entity_id]=[@entity_id])*(tblClaimsCurrent[field_key]="features")*(tblClaimsCurrent[status]="PROMOTED")),tblClaimsCurrent[value_text]),"UNKNOWN"),IF(v="","UNKNOWN",v))</f>
        <v/>
      </c>
      <c r="J52" s="81">
        <f>IF(OR([@features_text]="UNKNOWN",[@features_text]=""),NA(),1+LEN([@features_text])-LEN(SUBSTITUTE([@features_text],";","")))</f>
        <v/>
      </c>
      <c r="K52" s="93">
        <f>IF([@segment_id]="",NA(),IF([@segment_id]="SEG_MM",1,0))</f>
        <v/>
      </c>
      <c r="L52" s="93">
        <f>IF([@entity_id]="","",IF(COUNTIFS(tblClaimsCurrent[entity_id],[@entity_id],tblClaimsCurrent[field_key],"funding_round",tblClaimsCurrent[status],"PROMOTED")&gt;0,1,0))</f>
        <v/>
      </c>
      <c r="M5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2" s="88">
        <f>IF(OR([@in_scope]=FALSE,ISNA([@coverage_pct]),ISNA([@feature_count]),ISNA([@segment_fit])),NA(),MIN(1,Config!$B$18*(1-MIN(1,[@feature_count]/10))+Config!$B$19*(1-[@segment_fit])+Config!$B$20*(1-[@coverage_pct])))</f>
        <v/>
      </c>
      <c r="O52" s="81">
        <f>IF([@in_scope]=FALSE,"OUT_OF_SCOPE",IF(ISNA([@coverage_pct]),"UNKNOWN",IF([@coverage_pct]&lt;Config!$B$10,"FAIL_CLOSED_LOW_COVERAGE","OK")))</f>
        <v/>
      </c>
      <c r="P52" s="66">
        <f>IFERROR(XLOOKUP([@entity_id],tblEntities[entity_id],tblEntities[segment_id]),"")</f>
        <v/>
      </c>
      <c r="Q52" s="66">
        <f>IFERROR(XLOOKUP([@entity_id],tblEntities[entity_id],tblEntities[vertical]),"")</f>
        <v/>
      </c>
      <c r="R52" s="66">
        <f>AND([@segment_id]=Dashboard!$E$2,IF(Dashboard!$E$3="All",TRUE,[@vertical]=Dashboard!$E$3))</f>
        <v/>
      </c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81">
        <f>IF(Input!$A$52="","",Input!$A$52)</f>
        <v/>
      </c>
      <c r="B53" s="81">
        <f>IFERROR(XLOOKUP([@entity_id],tblEntities[entity_id],tblEntities[canonical_name]),"")</f>
        <v/>
      </c>
      <c r="C53" s="81">
        <f>IF([@entity_id]="","",COUNTIFS(tblClaimsCurrent[entity_id],[@entity_id],tblClaimsCurrent[status],"PROMOTED"))</f>
        <v/>
      </c>
      <c r="D53" s="81">
        <f>IF([@entity_id]="","",COUNTIFS(tblClaimsCurrent[entity_id],[@entity_id],tblClaimsCurrent[status],"UNKNOWN"))</f>
        <v/>
      </c>
      <c r="E53" s="88">
        <f>LET(t,[@known_claims]+[@unknown_claims],IF(t=0,NA(),[@known_claims]/t))</f>
        <v/>
      </c>
      <c r="F5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3" s="81">
        <f>IF(OR(NOT(ISNUMBER([@acv_usd])),$B$5=""),"UNKNOWN",IF([@acv_usd]&lt;=($B$5*0.85),"Low",IF([@acv_usd]&gt;=($B$5*1.15),"High","Mid")))</f>
        <v/>
      </c>
      <c r="I53" s="81">
        <f>LET(v,IFERROR(LOOKUP(2,1/((tblClaimsCurrent[entity_id]=[@entity_id])*(tblClaimsCurrent[field_key]="features")*(tblClaimsCurrent[status]="PROMOTED")),tblClaimsCurrent[value_text]),"UNKNOWN"),IF(v="","UNKNOWN",v))</f>
        <v/>
      </c>
      <c r="J53" s="81">
        <f>IF(OR([@features_text]="UNKNOWN",[@features_text]=""),NA(),1+LEN([@features_text])-LEN(SUBSTITUTE([@features_text],";","")))</f>
        <v/>
      </c>
      <c r="K53" s="93">
        <f>IF([@segment_id]="",NA(),IF([@segment_id]="SEG_MM",1,0))</f>
        <v/>
      </c>
      <c r="L53" s="93">
        <f>IF([@entity_id]="","",IF(COUNTIFS(tblClaimsCurrent[entity_id],[@entity_id],tblClaimsCurrent[field_key],"funding_round",tblClaimsCurrent[status],"PROMOTED")&gt;0,1,0))</f>
        <v/>
      </c>
      <c r="M5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3" s="88">
        <f>IF(OR([@in_scope]=FALSE,ISNA([@coverage_pct]),ISNA([@feature_count]),ISNA([@segment_fit])),NA(),MIN(1,Config!$B$18*(1-MIN(1,[@feature_count]/10))+Config!$B$19*(1-[@segment_fit])+Config!$B$20*(1-[@coverage_pct])))</f>
        <v/>
      </c>
      <c r="O53" s="81">
        <f>IF([@in_scope]=FALSE,"OUT_OF_SCOPE",IF(ISNA([@coverage_pct]),"UNKNOWN",IF([@coverage_pct]&lt;Config!$B$10,"FAIL_CLOSED_LOW_COVERAGE","OK")))</f>
        <v/>
      </c>
      <c r="P53" s="66">
        <f>IFERROR(XLOOKUP([@entity_id],tblEntities[entity_id],tblEntities[segment_id]),"")</f>
        <v/>
      </c>
      <c r="Q53" s="66">
        <f>IFERROR(XLOOKUP([@entity_id],tblEntities[entity_id],tblEntities[vertical]),"")</f>
        <v/>
      </c>
      <c r="R53" s="66">
        <f>AND([@segment_id]=Dashboard!$E$2,IF(Dashboard!$E$3="All",TRUE,[@vertical]=Dashboard!$E$3))</f>
        <v/>
      </c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81">
        <f>IF(Input!$A$53="","",Input!$A$53)</f>
        <v/>
      </c>
      <c r="B54" s="81">
        <f>IFERROR(XLOOKUP([@entity_id],tblEntities[entity_id],tblEntities[canonical_name]),"")</f>
        <v/>
      </c>
      <c r="C54" s="81">
        <f>IF([@entity_id]="","",COUNTIFS(tblClaimsCurrent[entity_id],[@entity_id],tblClaimsCurrent[status],"PROMOTED"))</f>
        <v/>
      </c>
      <c r="D54" s="81">
        <f>IF([@entity_id]="","",COUNTIFS(tblClaimsCurrent[entity_id],[@entity_id],tblClaimsCurrent[status],"UNKNOWN"))</f>
        <v/>
      </c>
      <c r="E54" s="88">
        <f>LET(t,[@known_claims]+[@unknown_claims],IF(t=0,NA(),[@known_claims]/t))</f>
        <v/>
      </c>
      <c r="F5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4" s="81">
        <f>IF(OR(NOT(ISNUMBER([@acv_usd])),$B$5=""),"UNKNOWN",IF([@acv_usd]&lt;=($B$5*0.85),"Low",IF([@acv_usd]&gt;=($B$5*1.15),"High","Mid")))</f>
        <v/>
      </c>
      <c r="I54" s="81">
        <f>LET(v,IFERROR(LOOKUP(2,1/((tblClaimsCurrent[entity_id]=[@entity_id])*(tblClaimsCurrent[field_key]="features")*(tblClaimsCurrent[status]="PROMOTED")),tblClaimsCurrent[value_text]),"UNKNOWN"),IF(v="","UNKNOWN",v))</f>
        <v/>
      </c>
      <c r="J54" s="81">
        <f>IF(OR([@features_text]="UNKNOWN",[@features_text]=""),NA(),1+LEN([@features_text])-LEN(SUBSTITUTE([@features_text],";","")))</f>
        <v/>
      </c>
      <c r="K54" s="93">
        <f>IF([@segment_id]="",NA(),IF([@segment_id]="SEG_MM",1,0))</f>
        <v/>
      </c>
      <c r="L54" s="93">
        <f>IF([@entity_id]="","",IF(COUNTIFS(tblClaimsCurrent[entity_id],[@entity_id],tblClaimsCurrent[field_key],"funding_round",tblClaimsCurrent[status],"PROMOTED")&gt;0,1,0))</f>
        <v/>
      </c>
      <c r="M5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4" s="88">
        <f>IF(OR([@in_scope]=FALSE,ISNA([@coverage_pct]),ISNA([@feature_count]),ISNA([@segment_fit])),NA(),MIN(1,Config!$B$18*(1-MIN(1,[@feature_count]/10))+Config!$B$19*(1-[@segment_fit])+Config!$B$20*(1-[@coverage_pct])))</f>
        <v/>
      </c>
      <c r="O54" s="81">
        <f>IF([@in_scope]=FALSE,"OUT_OF_SCOPE",IF(ISNA([@coverage_pct]),"UNKNOWN",IF([@coverage_pct]&lt;Config!$B$10,"FAIL_CLOSED_LOW_COVERAGE","OK")))</f>
        <v/>
      </c>
      <c r="P54" s="66">
        <f>IFERROR(XLOOKUP([@entity_id],tblEntities[entity_id],tblEntities[segment_id]),"")</f>
        <v/>
      </c>
      <c r="Q54" s="66">
        <f>IFERROR(XLOOKUP([@entity_id],tblEntities[entity_id],tblEntities[vertical]),"")</f>
        <v/>
      </c>
      <c r="R54" s="66">
        <f>AND([@segment_id]=Dashboard!$E$2,IF(Dashboard!$E$3="All",TRUE,[@vertical]=Dashboard!$E$3))</f>
        <v/>
      </c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81">
        <f>IF(Input!$A$54="","",Input!$A$54)</f>
        <v/>
      </c>
      <c r="B55" s="81">
        <f>IFERROR(XLOOKUP([@entity_id],tblEntities[entity_id],tblEntities[canonical_name]),"")</f>
        <v/>
      </c>
      <c r="C55" s="81">
        <f>IF([@entity_id]="","",COUNTIFS(tblClaimsCurrent[entity_id],[@entity_id],tblClaimsCurrent[status],"PROMOTED"))</f>
        <v/>
      </c>
      <c r="D55" s="81">
        <f>IF([@entity_id]="","",COUNTIFS(tblClaimsCurrent[entity_id],[@entity_id],tblClaimsCurrent[status],"UNKNOWN"))</f>
        <v/>
      </c>
      <c r="E55" s="88">
        <f>LET(t,[@known_claims]+[@unknown_claims],IF(t=0,NA(),[@known_claims]/t))</f>
        <v/>
      </c>
      <c r="F5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5" s="81">
        <f>IF(OR(NOT(ISNUMBER([@acv_usd])),$B$5=""),"UNKNOWN",IF([@acv_usd]&lt;=($B$5*0.85),"Low",IF([@acv_usd]&gt;=($B$5*1.15),"High","Mid")))</f>
        <v/>
      </c>
      <c r="I55" s="81">
        <f>LET(v,IFERROR(LOOKUP(2,1/((tblClaimsCurrent[entity_id]=[@entity_id])*(tblClaimsCurrent[field_key]="features")*(tblClaimsCurrent[status]="PROMOTED")),tblClaimsCurrent[value_text]),"UNKNOWN"),IF(v="","UNKNOWN",v))</f>
        <v/>
      </c>
      <c r="J55" s="81">
        <f>IF(OR([@features_text]="UNKNOWN",[@features_text]=""),NA(),1+LEN([@features_text])-LEN(SUBSTITUTE([@features_text],";","")))</f>
        <v/>
      </c>
      <c r="K55" s="93">
        <f>IF([@segment_id]="",NA(),IF([@segment_id]="SEG_MM",1,0))</f>
        <v/>
      </c>
      <c r="L55" s="93">
        <f>IF([@entity_id]="","",IF(COUNTIFS(tblClaimsCurrent[entity_id],[@entity_id],tblClaimsCurrent[field_key],"funding_round",tblClaimsCurrent[status],"PROMOTED")&gt;0,1,0))</f>
        <v/>
      </c>
      <c r="M5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5" s="88">
        <f>IF(OR([@in_scope]=FALSE,ISNA([@coverage_pct]),ISNA([@feature_count]),ISNA([@segment_fit])),NA(),MIN(1,Config!$B$18*(1-MIN(1,[@feature_count]/10))+Config!$B$19*(1-[@segment_fit])+Config!$B$20*(1-[@coverage_pct])))</f>
        <v/>
      </c>
      <c r="O55" s="81">
        <f>IF([@in_scope]=FALSE,"OUT_OF_SCOPE",IF(ISNA([@coverage_pct]),"UNKNOWN",IF([@coverage_pct]&lt;Config!$B$10,"FAIL_CLOSED_LOW_COVERAGE","OK")))</f>
        <v/>
      </c>
      <c r="P55" s="66">
        <f>IFERROR(XLOOKUP([@entity_id],tblEntities[entity_id],tblEntities[segment_id]),"")</f>
        <v/>
      </c>
      <c r="Q55" s="66">
        <f>IFERROR(XLOOKUP([@entity_id],tblEntities[entity_id],tblEntities[vertical]),"")</f>
        <v/>
      </c>
      <c r="R55" s="66">
        <f>AND([@segment_id]=Dashboard!$E$2,IF(Dashboard!$E$3="All",TRUE,[@vertical]=Dashboard!$E$3))</f>
        <v/>
      </c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81">
        <f>IF(Input!$A$55="","",Input!$A$55)</f>
        <v/>
      </c>
      <c r="B56" s="81">
        <f>IFERROR(XLOOKUP([@entity_id],tblEntities[entity_id],tblEntities[canonical_name]),"")</f>
        <v/>
      </c>
      <c r="C56" s="81">
        <f>IF([@entity_id]="","",COUNTIFS(tblClaimsCurrent[entity_id],[@entity_id],tblClaimsCurrent[status],"PROMOTED"))</f>
        <v/>
      </c>
      <c r="D56" s="81">
        <f>IF([@entity_id]="","",COUNTIFS(tblClaimsCurrent[entity_id],[@entity_id],tblClaimsCurrent[status],"UNKNOWN"))</f>
        <v/>
      </c>
      <c r="E56" s="88">
        <f>LET(t,[@known_claims]+[@unknown_claims],IF(t=0,NA(),[@known_claims]/t))</f>
        <v/>
      </c>
      <c r="F5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6" s="81">
        <f>IF(OR(NOT(ISNUMBER([@acv_usd])),$B$5=""),"UNKNOWN",IF([@acv_usd]&lt;=($B$5*0.85),"Low",IF([@acv_usd]&gt;=($B$5*1.15),"High","Mid")))</f>
        <v/>
      </c>
      <c r="I56" s="81">
        <f>LET(v,IFERROR(LOOKUP(2,1/((tblClaimsCurrent[entity_id]=[@entity_id])*(tblClaimsCurrent[field_key]="features")*(tblClaimsCurrent[status]="PROMOTED")),tblClaimsCurrent[value_text]),"UNKNOWN"),IF(v="","UNKNOWN",v))</f>
        <v/>
      </c>
      <c r="J56" s="81">
        <f>IF(OR([@features_text]="UNKNOWN",[@features_text]=""),NA(),1+LEN([@features_text])-LEN(SUBSTITUTE([@features_text],";","")))</f>
        <v/>
      </c>
      <c r="K56" s="93">
        <f>IF([@segment_id]="",NA(),IF([@segment_id]="SEG_MM",1,0))</f>
        <v/>
      </c>
      <c r="L56" s="93">
        <f>IF([@entity_id]="","",IF(COUNTIFS(tblClaimsCurrent[entity_id],[@entity_id],tblClaimsCurrent[field_key],"funding_round",tblClaimsCurrent[status],"PROMOTED")&gt;0,1,0))</f>
        <v/>
      </c>
      <c r="M5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6" s="88">
        <f>IF(OR([@in_scope]=FALSE,ISNA([@coverage_pct]),ISNA([@feature_count]),ISNA([@segment_fit])),NA(),MIN(1,Config!$B$18*(1-MIN(1,[@feature_count]/10))+Config!$B$19*(1-[@segment_fit])+Config!$B$20*(1-[@coverage_pct])))</f>
        <v/>
      </c>
      <c r="O56" s="81">
        <f>IF([@in_scope]=FALSE,"OUT_OF_SCOPE",IF(ISNA([@coverage_pct]),"UNKNOWN",IF([@coverage_pct]&lt;Config!$B$10,"FAIL_CLOSED_LOW_COVERAGE","OK")))</f>
        <v/>
      </c>
      <c r="P56" s="66">
        <f>IFERROR(XLOOKUP([@entity_id],tblEntities[entity_id],tblEntities[segment_id]),"")</f>
        <v/>
      </c>
      <c r="Q56" s="66">
        <f>IFERROR(XLOOKUP([@entity_id],tblEntities[entity_id],tblEntities[vertical]),"")</f>
        <v/>
      </c>
      <c r="R56" s="66">
        <f>AND([@segment_id]=Dashboard!$E$2,IF(Dashboard!$E$3="All",TRUE,[@vertical]=Dashboard!$E$3))</f>
        <v/>
      </c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81">
        <f>IF(Input!$A$56="","",Input!$A$56)</f>
        <v/>
      </c>
      <c r="B57" s="81">
        <f>IFERROR(XLOOKUP([@entity_id],tblEntities[entity_id],tblEntities[canonical_name]),"")</f>
        <v/>
      </c>
      <c r="C57" s="81">
        <f>IF([@entity_id]="","",COUNTIFS(tblClaimsCurrent[entity_id],[@entity_id],tblClaimsCurrent[status],"PROMOTED"))</f>
        <v/>
      </c>
      <c r="D57" s="81">
        <f>IF([@entity_id]="","",COUNTIFS(tblClaimsCurrent[entity_id],[@entity_id],tblClaimsCurrent[status],"UNKNOWN"))</f>
        <v/>
      </c>
      <c r="E57" s="88">
        <f>LET(t,[@known_claims]+[@unknown_claims],IF(t=0,NA(),[@known_claims]/t))</f>
        <v/>
      </c>
      <c r="F5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7" s="81">
        <f>IF(OR(NOT(ISNUMBER([@acv_usd])),$B$5=""),"UNKNOWN",IF([@acv_usd]&lt;=($B$5*0.85),"Low",IF([@acv_usd]&gt;=($B$5*1.15),"High","Mid")))</f>
        <v/>
      </c>
      <c r="I57" s="81">
        <f>LET(v,IFERROR(LOOKUP(2,1/((tblClaimsCurrent[entity_id]=[@entity_id])*(tblClaimsCurrent[field_key]="features")*(tblClaimsCurrent[status]="PROMOTED")),tblClaimsCurrent[value_text]),"UNKNOWN"),IF(v="","UNKNOWN",v))</f>
        <v/>
      </c>
      <c r="J57" s="81">
        <f>IF(OR([@features_text]="UNKNOWN",[@features_text]=""),NA(),1+LEN([@features_text])-LEN(SUBSTITUTE([@features_text],";","")))</f>
        <v/>
      </c>
      <c r="K57" s="93">
        <f>IF([@segment_id]="",NA(),IF([@segment_id]="SEG_MM",1,0))</f>
        <v/>
      </c>
      <c r="L57" s="93">
        <f>IF([@entity_id]="","",IF(COUNTIFS(tblClaimsCurrent[entity_id],[@entity_id],tblClaimsCurrent[field_key],"funding_round",tblClaimsCurrent[status],"PROMOTED")&gt;0,1,0))</f>
        <v/>
      </c>
      <c r="M5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7" s="88">
        <f>IF(OR([@in_scope]=FALSE,ISNA([@coverage_pct]),ISNA([@feature_count]),ISNA([@segment_fit])),NA(),MIN(1,Config!$B$18*(1-MIN(1,[@feature_count]/10))+Config!$B$19*(1-[@segment_fit])+Config!$B$20*(1-[@coverage_pct])))</f>
        <v/>
      </c>
      <c r="O57" s="81">
        <f>IF([@in_scope]=FALSE,"OUT_OF_SCOPE",IF(ISNA([@coverage_pct]),"UNKNOWN",IF([@coverage_pct]&lt;Config!$B$10,"FAIL_CLOSED_LOW_COVERAGE","OK")))</f>
        <v/>
      </c>
      <c r="P57" s="66">
        <f>IFERROR(XLOOKUP([@entity_id],tblEntities[entity_id],tblEntities[segment_id]),"")</f>
        <v/>
      </c>
      <c r="Q57" s="66">
        <f>IFERROR(XLOOKUP([@entity_id],tblEntities[entity_id],tblEntities[vertical]),"")</f>
        <v/>
      </c>
      <c r="R57" s="66">
        <f>AND([@segment_id]=Dashboard!$E$2,IF(Dashboard!$E$3="All",TRUE,[@vertical]=Dashboard!$E$3))</f>
        <v/>
      </c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2">
    <mergeCell ref="A1:P1"/>
    <mergeCell ref="A4:P4"/>
  </mergeCells>
  <conditionalFormatting sqref="O8:O57">
    <cfRule type="cellIs" priority="1" operator="equal" dxfId="0">
      <formula>"FAIL_CLOSED_LOW_COVERAGE"</formula>
    </cfRule>
  </conditionalFormatting>
  <conditionalFormatting sqref="E8:E57">
    <cfRule type="cellIs" priority="2" operator="lessThan" dxfId="1">
      <formula>$H$5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4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" customWidth="1" min="5" max="5"/>
    <col width="18" customWidth="1" min="6" max="6"/>
    <col width="18" customWidth="1" min="7" max="7"/>
    <col width="18" customWidth="1" min="8" max="8"/>
    <col width="2" customWidth="1" min="9" max="9"/>
    <col width="18" customWidth="1" min="10" max="10"/>
    <col width="18" customWidth="1" min="11" max="11"/>
    <col width="18" customWidth="1" min="12" max="12"/>
    <col width="2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17" t="n"/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134" t="inlineStr">
        <is>
          <t>Certify Intel — Technical Dashboard</t>
        </is>
      </c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7" t="n"/>
      <c r="P4" s="117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17" t="n"/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151" t="inlineStr">
        <is>
          <t>Last Run</t>
        </is>
      </c>
      <c r="B6" s="116" t="n"/>
      <c r="C6" s="116" t="n"/>
      <c r="D6" s="151" t="inlineStr">
        <is>
          <t>Runs (7d)</t>
        </is>
      </c>
      <c r="E6" s="116" t="n"/>
      <c r="F6" s="116" t="n"/>
      <c r="G6" s="151" t="inlineStr">
        <is>
          <t>Allowlist Violations</t>
        </is>
      </c>
      <c r="H6" s="116" t="n"/>
      <c r="I6" s="116" t="n"/>
      <c r="J6" s="151" t="inlineStr">
        <is>
          <t>Open Reviews</t>
        </is>
      </c>
      <c r="K6" s="116" t="n"/>
      <c r="L6" s="116" t="n"/>
      <c r="M6" s="117" t="n"/>
      <c r="N6" s="117" t="n"/>
      <c r="O6" s="117" t="n"/>
      <c r="P6" s="117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152">
        <f>IFERROR(MAX(Logs!tblRuns[timestamp]),"")</f>
        <v/>
      </c>
      <c r="B7" s="116" t="n"/>
      <c r="C7" s="116" t="n"/>
      <c r="D7" s="152">
        <f>COUNTIF(Logs!tblRuns[timestamp],"&gt;="&amp;TODAY()-7)</f>
        <v/>
      </c>
      <c r="E7" s="116" t="n"/>
      <c r="F7" s="116" t="n"/>
      <c r="G7" s="152">
        <f>COUNTIF(Input!tblEvidence[allowlist_ok],"&lt;&gt;"&amp;TRUE)</f>
        <v/>
      </c>
      <c r="H7" s="116" t="n"/>
      <c r="I7" s="116" t="n"/>
      <c r="J7" s="152">
        <f>COUNTIF(Review_Queue!tblReviewQueue[status],"OPEN")</f>
        <v/>
      </c>
      <c r="K7" s="116" t="n"/>
      <c r="L7" s="116" t="n"/>
      <c r="M7" s="117" t="n"/>
      <c r="N7" s="117" t="n"/>
      <c r="O7" s="117" t="n"/>
      <c r="P7" s="117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16" t="n"/>
      <c r="K8" s="116" t="n"/>
      <c r="L8" s="116" t="n"/>
      <c r="M8" s="117" t="n"/>
      <c r="N8" s="117" t="n"/>
      <c r="O8" s="117" t="n"/>
      <c r="P8" s="117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153" t="inlineStr">
        <is>
          <t>Timestamp</t>
        </is>
      </c>
      <c r="B9" s="116" t="n"/>
      <c r="C9" s="116" t="n"/>
      <c r="D9" s="153" t="inlineStr">
        <is>
          <t>Count</t>
        </is>
      </c>
      <c r="E9" s="116" t="n"/>
      <c r="F9" s="116" t="n"/>
      <c r="G9" s="153" t="inlineStr">
        <is>
          <t>Count</t>
        </is>
      </c>
      <c r="H9" s="116" t="n"/>
      <c r="I9" s="116" t="n"/>
      <c r="J9" s="153" t="inlineStr">
        <is>
          <t>Count</t>
        </is>
      </c>
      <c r="K9" s="116" t="n"/>
      <c r="L9" s="116" t="n"/>
      <c r="M9" s="117" t="n"/>
      <c r="N9" s="117" t="n"/>
      <c r="O9" s="117" t="n"/>
      <c r="P9" s="117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7" t="n"/>
      <c r="N10" s="117" t="n"/>
      <c r="O10" s="117" t="n"/>
      <c r="P10" s="117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117" t="n"/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17" t="n"/>
      <c r="N11" s="117" t="n"/>
      <c r="O11" s="117" t="n"/>
      <c r="P11" s="117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117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17" t="n"/>
      <c r="N12" s="117" t="n"/>
      <c r="O12" s="117" t="n"/>
      <c r="P12" s="117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17" t="n"/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  <c r="L13" s="117" t="n"/>
      <c r="M13" s="117" t="n"/>
      <c r="N13" s="117" t="n"/>
      <c r="O13" s="117" t="n"/>
      <c r="P13" s="117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20" t="inlineStr">
        <is>
          <t>Evidence Tier Mix</t>
        </is>
      </c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  <c r="P14" s="117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54" t="inlineStr">
        <is>
          <t>Tier</t>
        </is>
      </c>
      <c r="B15" s="154" t="inlineStr">
        <is>
          <t>Count</t>
        </is>
      </c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6" t="inlineStr">
        <is>
          <t>T1</t>
        </is>
      </c>
      <c r="B16" s="131">
        <f>COUNTIF(Input!tblEvidence[tier],"T1")</f>
        <v/>
      </c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116" t="inlineStr">
        <is>
          <t>T2</t>
        </is>
      </c>
      <c r="B17" s="131">
        <f>COUNTIF(Input!tblEvidence[tier],"T2")</f>
        <v/>
      </c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  <c r="O17" s="117" t="n"/>
      <c r="P17" s="117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116" t="inlineStr">
        <is>
          <t>T3</t>
        </is>
      </c>
      <c r="B18" s="131">
        <f>COUNTIF(Input!tblEvidence[tier],"T3")</f>
        <v/>
      </c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  <c r="O18" s="117" t="n"/>
      <c r="P18" s="117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117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117" t="n"/>
      <c r="P20" s="117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117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  <c r="O21" s="117" t="n"/>
      <c r="P21" s="117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120" t="inlineStr">
        <is>
          <t>Claims Status Counts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  <c r="P22" s="117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154" t="inlineStr">
        <is>
          <t>Status</t>
        </is>
      </c>
      <c r="B23" s="154" t="inlineStr">
        <is>
          <t>Count</t>
        </is>
      </c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  <c r="P23" s="117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116" t="inlineStr">
        <is>
          <t>PROMOTED</t>
        </is>
      </c>
      <c r="B24" s="131">
        <f>COUNTIF(Claims_Current!tblClaimsCurrent[status],"PROMOTED")</f>
        <v/>
      </c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116" t="inlineStr">
        <is>
          <t>CANDIDATE</t>
        </is>
      </c>
      <c r="B25" s="131">
        <f>COUNTIF(Claims_Current!tblClaimsCurrent[status],"CANDIDATE")</f>
        <v/>
      </c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116" t="inlineStr">
        <is>
          <t>FAIL_CLOSED</t>
        </is>
      </c>
      <c r="B26" s="131">
        <f>COUNTIF(Claims_Current!tblClaimsCurrent[status],"FAIL_CLOSED")</f>
        <v/>
      </c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117" t="n"/>
      <c r="B40" s="117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117" t="n"/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117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117" t="n"/>
      <c r="B43" s="117" t="n"/>
      <c r="C43" s="117" t="n"/>
      <c r="D43" s="117" t="n"/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17" t="n"/>
      <c r="N43" s="117" t="n"/>
      <c r="O43" s="117" t="n"/>
      <c r="P43" s="117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117" t="n"/>
      <c r="B44" s="117" t="n"/>
      <c r="C44" s="117" t="n"/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117" t="n"/>
      <c r="B45" s="117" t="n"/>
      <c r="C45" s="117" t="n"/>
      <c r="D45" s="117" t="n"/>
      <c r="E45" s="117" t="n"/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117" t="n"/>
      <c r="B46" s="117" t="n"/>
      <c r="C46" s="117" t="n"/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117" t="n"/>
      <c r="B47" s="117" t="n"/>
      <c r="C47" s="117" t="n"/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117" t="n"/>
      <c r="B48" s="117" t="n"/>
      <c r="C48" s="117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117" t="n"/>
      <c r="B49" s="117" t="n"/>
      <c r="C49" s="117" t="n"/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117" t="n"/>
      <c r="B50" s="117" t="n"/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117" t="n"/>
      <c r="B51" s="117" t="n"/>
      <c r="C51" s="117" t="n"/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117" t="n"/>
      <c r="B52" s="117" t="n"/>
      <c r="C52" s="117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117" t="n"/>
      <c r="B56" s="117" t="n"/>
      <c r="C56" s="117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117" t="n"/>
      <c r="B57" s="117" t="n"/>
      <c r="C57" s="117" t="n"/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117" t="n"/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117" t="n"/>
      <c r="B60" s="117" t="n"/>
      <c r="C60" s="117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117" t="n"/>
      <c r="B61" s="117" t="n"/>
      <c r="C61" s="117" t="n"/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117" t="n"/>
      <c r="B62" s="117" t="n"/>
      <c r="C62" s="117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117" t="n"/>
      <c r="B63" s="117" t="n"/>
      <c r="C63" s="117" t="n"/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117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117" t="n"/>
      <c r="B66" s="117" t="n"/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117" t="n"/>
      <c r="B67" s="117" t="n"/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117" t="n"/>
      <c r="B68" s="117" t="n"/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117" t="n"/>
      <c r="B69" s="117" t="n"/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117" t="n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117" t="n"/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117" t="n"/>
      <c r="B73" s="117" t="n"/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117" t="n"/>
      <c r="B74" s="117" t="n"/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117" t="n"/>
      <c r="B75" s="117" t="n"/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117" t="n"/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117" t="n"/>
      <c r="B77" s="117" t="n"/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117" t="n"/>
      <c r="B78" s="117" t="n"/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117" t="n"/>
      <c r="B80" s="117" t="n"/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117" t="n"/>
      <c r="B81" s="117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117" t="n"/>
      <c r="B82" s="117" t="n"/>
      <c r="C82" s="117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117" t="n"/>
      <c r="B83" s="117" t="n"/>
      <c r="C83" s="117" t="n"/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117" t="n"/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117" t="n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117" t="n"/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117" t="n"/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117" t="n"/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117" t="n"/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117" t="n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117" t="n"/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117" t="n"/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117" t="n"/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117" t="n"/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117" t="n"/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117" t="n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117" t="n"/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117" t="n"/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117" t="n"/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117" t="n"/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117" t="n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117" t="n"/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117" t="n"/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117" t="n"/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117" t="n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117" t="n"/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117" t="n"/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117" t="n"/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117" t="n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117" t="n"/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117" t="n"/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117" t="n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117" t="n"/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117" t="n"/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117" t="n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117" t="n"/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40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36" customWidth="1" min="5" max="5"/>
    <col width="16" customWidth="1" min="6" max="6"/>
    <col width="44" customWidth="1" min="7" max="7"/>
    <col width="14" customWidth="1" min="8" max="8"/>
    <col width="14" customWidth="1" min="9" max="9"/>
    <col width="2" customWidth="1" min="10" max="10"/>
    <col width="2" customWidth="1" min="11" max="11"/>
    <col width="2" customWidth="1" min="12" max="12"/>
  </cols>
  <sheetData>
    <row r="1" ht="28" customHeight="1">
      <c r="A1" s="155" t="inlineStr">
        <is>
          <t>Competitor Detail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139" t="inlineStr">
        <is>
          <t>Select Competitor</t>
        </is>
      </c>
      <c r="B3" s="76" t="inlineStr">
        <is>
          <t>AcmeRival</t>
        </is>
      </c>
      <c r="C3" s="140">
        <f>IFERROR(XLOOKUP($B$3,Metrics!$B$8:$B$57,Metrics!$A$8:$A$57,""),"")</f>
        <v/>
      </c>
      <c r="D3" s="68" t="inlineStr">
        <is>
          <t>Entity ID</t>
        </is>
      </c>
      <c r="E3" s="96">
        <f>IF(B3="","",INDEX(Metrics!$A$8:$A$57,MATCH(B3,Metrics!$B$8:$B$57,0)))</f>
        <v/>
      </c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46" t="inlineStr">
        <is>
          <t>Summary</t>
        </is>
      </c>
      <c r="B5" s="112" t="n"/>
      <c r="C5" s="112" t="n"/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147" t="inlineStr">
        <is>
          <t>Metric</t>
        </is>
      </c>
      <c r="B6" s="147" t="inlineStr">
        <is>
          <t>Value</t>
        </is>
      </c>
      <c r="C6" s="66" t="n"/>
      <c r="D6" s="146" t="inlineStr">
        <is>
          <t>Key Claims</t>
        </is>
      </c>
      <c r="E6" s="112" t="n"/>
      <c r="F6" s="112" t="n"/>
      <c r="G6" s="112" t="n"/>
      <c r="H6" s="112" t="n"/>
      <c r="I6" s="112" t="n"/>
      <c r="J6" s="112" t="n"/>
      <c r="K6" s="112" t="n"/>
      <c r="L6" s="112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69" t="inlineStr">
        <is>
          <t>Threat Score</t>
        </is>
      </c>
      <c r="B7" s="97">
        <f>IFERROR(INDEX(Metrics!$M$8:$M$57,MATCH(B3,Metrics!$B$8:$B$57,0)),"")</f>
        <v/>
      </c>
      <c r="C7" s="66" t="n"/>
      <c r="D7" s="147" t="inlineStr">
        <is>
          <t>field_key</t>
        </is>
      </c>
      <c r="E7" s="147" t="inlineStr">
        <is>
          <t>value</t>
        </is>
      </c>
      <c r="F7" s="147" t="inlineStr">
        <is>
          <t>confidence</t>
        </is>
      </c>
      <c r="G7" s="147" t="inlineStr">
        <is>
          <t>evidence_url</t>
        </is>
      </c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69" t="inlineStr">
        <is>
          <t>Opportunity Score</t>
        </is>
      </c>
      <c r="B8" s="97">
        <f>IFERROR(INDEX(Metrics!$N$8:$N$57,MATCH(B3,Metrics!$B$8:$B$57,0)),"")</f>
        <v/>
      </c>
      <c r="C8" s="66" t="n"/>
      <c r="D8" s="69" t="inlineStr">
        <is>
          <t>pricing_acv_mid_market</t>
        </is>
      </c>
      <c r="E8" s="69">
        <f>IFERROR(LOOKUP(2,1/((Claims_Current!$A$5:$A$46=$E$3)*(Claims_Current!$D$5:$D$46=D8)),Claims_Current!$E$5:$E$46),"")</f>
        <v/>
      </c>
      <c r="F8" s="98">
        <f>IFERROR(LOOKUP(2,1/((Claims_Current!$A$5:$A$46=$E$3)*(Claims_Current!$D$5:$D$46=D8)),Claims_Current!$H$5:$H$46),"")</f>
        <v/>
      </c>
      <c r="G8" s="99">
        <f>IFERROR(LOOKUP(2,1/((Claims_Current!$A$5:$A$46=$E$3)*(Claims_Current!$D$5:$D$46=D8)),Claims_Current!$J$5:$J$46),"")</f>
        <v/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69" t="inlineStr">
        <is>
          <t>Coverage</t>
        </is>
      </c>
      <c r="B9" s="100">
        <f>IFERROR(INDEX(Metrics!$E$8:$E$57,MATCH(B3,Metrics!$B$8:$B$57,0)),"")</f>
        <v/>
      </c>
      <c r="C9" s="66" t="n"/>
      <c r="D9" s="69" t="inlineStr">
        <is>
          <t>arr_estimate</t>
        </is>
      </c>
      <c r="E9" s="69">
        <f>IFERROR(LOOKUP(2,1/((Claims_Current!$A$5:$A$46=$E$3)*(Claims_Current!$D$5:$D$46=D9)),Claims_Current!$E$5:$E$46),"")</f>
        <v/>
      </c>
      <c r="F9" s="98">
        <f>IFERROR(LOOKUP(2,1/((Claims_Current!$A$5:$A$46=$E$3)*(Claims_Current!$D$5:$D$46=D9)),Claims_Current!$H$5:$H$46),"")</f>
        <v/>
      </c>
      <c r="G9" s="99">
        <f>IFERROR(LOOKUP(2,1/((Claims_Current!$A$5:$A$46=$E$3)*(Claims_Current!$D$5:$D$46=D9)),Claims_Current!$J$5:$J$46),"")</f>
        <v/>
      </c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69" t="inlineStr">
        <is>
          <t>ACV (USD/year)</t>
        </is>
      </c>
      <c r="B10" s="101">
        <f>IFERROR(INDEX(Metrics!$G$8:$G$57,MATCH(B3,Metrics!$B$8:$B$57,0)),"")</f>
        <v/>
      </c>
      <c r="C10" s="66" t="n"/>
      <c r="D10" s="69" t="inlineStr">
        <is>
          <t>contract_terms</t>
        </is>
      </c>
      <c r="E10" s="69">
        <f>IFERROR(LOOKUP(2,1/((Claims_Current!$A$5:$A$46=$E$3)*(Claims_Current!$D$5:$D$46=D10)),Claims_Current!$E$5:$E$46),"")</f>
        <v/>
      </c>
      <c r="F10" s="98">
        <f>IFERROR(LOOKUP(2,1/((Claims_Current!$A$5:$A$46=$E$3)*(Claims_Current!$D$5:$D$46=D10)),Claims_Current!$H$5:$H$46),"")</f>
        <v/>
      </c>
      <c r="G10" s="99">
        <f>IFERROR(LOOKUP(2,1/((Claims_Current!$A$5:$A$46=$E$3)*(Claims_Current!$D$5:$D$46=D10)),Claims_Current!$J$5:$J$46),"")</f>
        <v/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69" t="inlineStr">
        <is>
          <t>Features</t>
        </is>
      </c>
      <c r="B11" s="69">
        <f>IFERROR(INDEX(Metrics!$I$8:$I$57,MATCH(B3,Metrics!$B$8:$B$57,0)),"")</f>
        <v/>
      </c>
      <c r="C11" s="66" t="n"/>
      <c r="D11" s="69" t="inlineStr">
        <is>
          <t>features</t>
        </is>
      </c>
      <c r="E11" s="69">
        <f>IFERROR(LOOKUP(2,1/((Claims_Current!$A$5:$A$46=$E$3)*(Claims_Current!$D$5:$D$46=D11)),Claims_Current!$E$5:$E$46),"")</f>
        <v/>
      </c>
      <c r="F11" s="98">
        <f>IFERROR(LOOKUP(2,1/((Claims_Current!$A$5:$A$46=$E$3)*(Claims_Current!$D$5:$D$46=D11)),Claims_Current!$H$5:$H$46),"")</f>
        <v/>
      </c>
      <c r="G11" s="99">
        <f>IFERROR(LOOKUP(2,1/((Claims_Current!$A$5:$A$46=$E$3)*(Claims_Current!$D$5:$D$46=D11)),Claims_Current!$J$5:$J$46),"")</f>
        <v/>
      </c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69" t="inlineStr">
        <is>
          <t>Flag</t>
        </is>
      </c>
      <c r="B12" s="69">
        <f>IFERROR(INDEX(Metrics!$O$8:$O$57,MATCH(B3,Metrics!$B$8:$B$57,0)),"")</f>
        <v/>
      </c>
      <c r="C12" s="66" t="n"/>
      <c r="D12" s="69" t="inlineStr">
        <is>
          <t>funding_round</t>
        </is>
      </c>
      <c r="E12" s="69">
        <f>IFERROR(LOOKUP(2,1/((Claims_Current!$A$5:$A$46=$E$3)*(Claims_Current!$D$5:$D$46=D12)),Claims_Current!$E$5:$E$46),"")</f>
        <v/>
      </c>
      <c r="F12" s="98">
        <f>IFERROR(LOOKUP(2,1/((Claims_Current!$A$5:$A$46=$E$3)*(Claims_Current!$D$5:$D$46=D12)),Claims_Current!$H$5:$H$46),"")</f>
        <v/>
      </c>
      <c r="G12" s="99">
        <f>IFERROR(LOOKUP(2,1/((Claims_Current!$A$5:$A$46=$E$3)*(Claims_Current!$D$5:$D$46=D12)),Claims_Current!$J$5:$J$46),"")</f>
        <v/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66" t="n"/>
      <c r="B13" s="66" t="n"/>
      <c r="C13" s="66" t="n"/>
      <c r="D13" s="69" t="inlineStr">
        <is>
          <t>geo_coverage</t>
        </is>
      </c>
      <c r="E13" s="69">
        <f>IFERROR(LOOKUP(2,1/((Claims_Current!$A$5:$A$46=$E$3)*(Claims_Current!$D$5:$D$46=D13)),Claims_Current!$E$5:$E$46),"")</f>
        <v/>
      </c>
      <c r="F13" s="98">
        <f>IFERROR(LOOKUP(2,1/((Claims_Current!$A$5:$A$46=$E$3)*(Claims_Current!$D$5:$D$46=D13)),Claims_Current!$H$5:$H$46),"")</f>
        <v/>
      </c>
      <c r="G13" s="99">
        <f>IFERROR(LOOKUP(2,1/((Claims_Current!$A$5:$A$46=$E$3)*(Claims_Current!$D$5:$D$46=D13)),Claims_Current!$J$5:$J$46),"")</f>
        <v/>
      </c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56" t="inlineStr">
        <is>
          <t>Evidence (Selected Competitor)</t>
        </is>
      </c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54" t="inlineStr">
        <is>
          <t>evidence_id</t>
        </is>
      </c>
      <c r="B15" s="154" t="inlineStr">
        <is>
          <t>source_key</t>
        </is>
      </c>
      <c r="C15" s="154" t="inlineStr">
        <is>
          <t>tier</t>
        </is>
      </c>
      <c r="D15" s="154" t="inlineStr">
        <is>
          <t>url</t>
        </is>
      </c>
      <c r="E15" s="154" t="inlineStr">
        <is>
          <t>fetched_at</t>
        </is>
      </c>
      <c r="F15" s="154" t="inlineStr">
        <is>
          <t>snippet</t>
        </is>
      </c>
      <c r="G15" s="154" t="inlineStr">
        <is>
          <t>content_hash</t>
        </is>
      </c>
      <c r="H15" s="154" t="inlineStr">
        <is>
          <t>text_hash</t>
        </is>
      </c>
      <c r="I15" s="154" t="inlineStr">
        <is>
          <t>domain_calc</t>
        </is>
      </c>
      <c r="J15" s="154" t="inlineStr">
        <is>
          <t>allowlist_ok</t>
        </is>
      </c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6">
        <f>LET(eid,$C$3,FILTER(Input!tblEvidence[[evidence_id]:[allowlist_ok]],Input!tblEvidence[entity_id]=eid,""))</f>
        <v/>
      </c>
      <c r="B16" s="81">
        <f>Input!B18</f>
        <v/>
      </c>
      <c r="C16" s="81">
        <f>Input!C18</f>
        <v/>
      </c>
      <c r="D16" s="81">
        <f>Input!D18</f>
        <v/>
      </c>
      <c r="E16" s="81">
        <f>Input!E18</f>
        <v/>
      </c>
      <c r="F16" s="81">
        <f>Input!F18</f>
        <v/>
      </c>
      <c r="G16" s="81">
        <f>Input!G18</f>
        <v/>
      </c>
      <c r="H16" s="81">
        <f>Input!H18</f>
        <v/>
      </c>
      <c r="I16" s="81">
        <f>Input!I18</f>
        <v/>
      </c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81">
        <f>Input!A19</f>
        <v/>
      </c>
      <c r="B17" s="81">
        <f>Input!B19</f>
        <v/>
      </c>
      <c r="C17" s="81">
        <f>Input!C19</f>
        <v/>
      </c>
      <c r="D17" s="81">
        <f>Input!D19</f>
        <v/>
      </c>
      <c r="E17" s="81">
        <f>Input!E19</f>
        <v/>
      </c>
      <c r="F17" s="81">
        <f>Input!F19</f>
        <v/>
      </c>
      <c r="G17" s="81">
        <f>Input!G19</f>
        <v/>
      </c>
      <c r="H17" s="81">
        <f>Input!H19</f>
        <v/>
      </c>
      <c r="I17" s="81">
        <f>Input!I19</f>
        <v/>
      </c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81">
        <f>Input!A20</f>
        <v/>
      </c>
      <c r="B18" s="81">
        <f>Input!B20</f>
        <v/>
      </c>
      <c r="C18" s="81">
        <f>Input!C20</f>
        <v/>
      </c>
      <c r="D18" s="81">
        <f>Input!D20</f>
        <v/>
      </c>
      <c r="E18" s="81">
        <f>Input!E20</f>
        <v/>
      </c>
      <c r="F18" s="81">
        <f>Input!F20</f>
        <v/>
      </c>
      <c r="G18" s="81">
        <f>Input!G20</f>
        <v/>
      </c>
      <c r="H18" s="81">
        <f>Input!H20</f>
        <v/>
      </c>
      <c r="I18" s="81">
        <f>Input!I20</f>
        <v/>
      </c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81">
        <f>Input!A21</f>
        <v/>
      </c>
      <c r="B19" s="81">
        <f>Input!B21</f>
        <v/>
      </c>
      <c r="C19" s="81">
        <f>Input!C21</f>
        <v/>
      </c>
      <c r="D19" s="81">
        <f>Input!D21</f>
        <v/>
      </c>
      <c r="E19" s="81">
        <f>Input!E21</f>
        <v/>
      </c>
      <c r="F19" s="81">
        <f>Input!F21</f>
        <v/>
      </c>
      <c r="G19" s="81">
        <f>Input!G21</f>
        <v/>
      </c>
      <c r="H19" s="81">
        <f>Input!H21</f>
        <v/>
      </c>
      <c r="I19" s="81">
        <f>Input!I21</f>
        <v/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81">
        <f>Input!A22</f>
        <v/>
      </c>
      <c r="B20" s="81">
        <f>Input!B22</f>
        <v/>
      </c>
      <c r="C20" s="81">
        <f>Input!C22</f>
        <v/>
      </c>
      <c r="D20" s="81">
        <f>Input!D22</f>
        <v/>
      </c>
      <c r="E20" s="81">
        <f>Input!E22</f>
        <v/>
      </c>
      <c r="F20" s="81">
        <f>Input!F22</f>
        <v/>
      </c>
      <c r="G20" s="81">
        <f>Input!G22</f>
        <v/>
      </c>
      <c r="H20" s="81">
        <f>Input!H22</f>
        <v/>
      </c>
      <c r="I20" s="81">
        <f>Input!I22</f>
        <v/>
      </c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 ht="18" customHeight="1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 ht="18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 ht="18" customHeight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 ht="18" customHeight="1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 ht="18" customHeight="1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4">
    <mergeCell ref="A14:L14"/>
    <mergeCell ref="D6:L6"/>
    <mergeCell ref="A1:L1"/>
    <mergeCell ref="A5:L5"/>
  </mergeCells>
  <conditionalFormatting sqref="A16:I20">
    <cfRule type="expression" priority="1" dxfId="2">
      <formula>$B16=$E$3</formula>
    </cfRule>
  </conditionalFormatting>
  <dataValidations count="1">
    <dataValidation sqref="B3" showDropDown="0" showInputMessage="0" showErrorMessage="0" allowBlank="0" type="list">
      <formula1>=Metrics!$AA$8#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0" customWidth="1" min="4" max="4"/>
    <col width="10" customWidth="1" min="5" max="5"/>
    <col width="20" customWidth="1" min="6" max="6"/>
    <col width="22" customWidth="1" min="7" max="7"/>
    <col width="34" customWidth="1" min="8" max="8"/>
    <col width="12" customWidth="1" min="9" max="9"/>
    <col width="10" customWidth="1" min="10" max="10"/>
    <col width="10" customWidth="1" min="11" max="11"/>
    <col width="40" customWidth="1" min="12" max="12"/>
    <col width="34" customWidth="1" min="13" max="13"/>
    <col width="12" customWidth="1" min="14" max="14"/>
    <col width="34" customWidth="1" min="15" max="15"/>
  </cols>
  <sheetData>
    <row r="1">
      <c r="A1" s="146" t="inlineStr">
        <is>
          <t>Review Queue (All UNKNOWN / Low-Confidence / Non-Allowlisted Evidence)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Fail-closed: no claim promotion until reviewed and evidence is tier-compliant.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task_id</t>
        </is>
      </c>
      <c r="B4" s="147" t="inlineStr">
        <is>
          <t>created_at</t>
        </is>
      </c>
      <c r="C4" s="147" t="inlineStr">
        <is>
          <t>task_type</t>
        </is>
      </c>
      <c r="D4" s="147" t="inlineStr">
        <is>
          <t>priority</t>
        </is>
      </c>
      <c r="E4" s="147" t="inlineStr">
        <is>
          <t>entity_id</t>
        </is>
      </c>
      <c r="F4" s="147" t="inlineStr">
        <is>
          <t>canonical_name</t>
        </is>
      </c>
      <c r="G4" s="147" t="inlineStr">
        <is>
          <t>field_key</t>
        </is>
      </c>
      <c r="H4" s="147" t="inlineStr">
        <is>
          <t>value_text</t>
        </is>
      </c>
      <c r="I4" s="147" t="inlineStr">
        <is>
          <t>value_num</t>
        </is>
      </c>
      <c r="J4" s="147" t="inlineStr">
        <is>
          <t>confidence</t>
        </is>
      </c>
      <c r="K4" s="147" t="inlineStr">
        <is>
          <t>evidence_id</t>
        </is>
      </c>
      <c r="L4" s="147" t="inlineStr">
        <is>
          <t>evidence_url</t>
        </is>
      </c>
      <c r="M4" s="147" t="inlineStr">
        <is>
          <t>reason</t>
        </is>
      </c>
      <c r="N4" s="147" t="inlineStr">
        <is>
          <t>status</t>
        </is>
      </c>
      <c r="O4" s="147" t="inlineStr">
        <is>
          <t>resolution_notes</t>
        </is>
      </c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T0001</t>
        </is>
      </c>
      <c r="B5" s="81" t="inlineStr">
        <is>
          <t>2026-01-12</t>
        </is>
      </c>
      <c r="C5" s="81" t="inlineStr">
        <is>
          <t>UNKNOWN_OR_LOW_CONF</t>
        </is>
      </c>
      <c r="D5" s="81" t="inlineStr">
        <is>
          <t>HIGH</t>
        </is>
      </c>
      <c r="E5" s="81" t="inlineStr">
        <is>
          <t>E002</t>
        </is>
      </c>
      <c r="F5" s="81" t="inlineStr">
        <is>
          <t>EnrollPro</t>
        </is>
      </c>
      <c r="G5" s="81" t="inlineStr">
        <is>
          <t>pricing_acv_mid_market</t>
        </is>
      </c>
      <c r="H5" s="81" t="inlineStr">
        <is>
          <t>UNKNOWN</t>
        </is>
      </c>
      <c r="I5" s="81" t="n"/>
      <c r="J5" s="81" t="n">
        <v>0.2</v>
      </c>
      <c r="K5" s="81" t="inlineStr">
        <is>
          <t>EV002</t>
        </is>
      </c>
      <c r="L5" s="81" t="inlineStr">
        <is>
          <t>file://docs/demo_sources/E002_pricing.html</t>
        </is>
      </c>
      <c r="M5" s="81" t="inlineStr">
        <is>
          <t>No explicit ACV on page</t>
        </is>
      </c>
      <c r="N5" s="81" t="inlineStr">
        <is>
          <t>OPEN</t>
        </is>
      </c>
      <c r="O5" s="81" t="inlineStr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T0002</t>
        </is>
      </c>
      <c r="B6" s="81" t="inlineStr">
        <is>
          <t>2026-01-12</t>
        </is>
      </c>
      <c r="C6" s="81" t="inlineStr">
        <is>
          <t>UNKNOWN_OR_LOW_CONF</t>
        </is>
      </c>
      <c r="D6" s="81" t="inlineStr">
        <is>
          <t>HIGH</t>
        </is>
      </c>
      <c r="E6" s="81" t="inlineStr">
        <is>
          <t>E003</t>
        </is>
      </c>
      <c r="F6" s="81" t="inlineStr">
        <is>
          <t>ComplianceFlow</t>
        </is>
      </c>
      <c r="G6" s="81" t="inlineStr">
        <is>
          <t>funding_round</t>
        </is>
      </c>
      <c r="H6" s="81" t="inlineStr">
        <is>
          <t>UNKNOWN</t>
        </is>
      </c>
      <c r="I6" s="81" t="n"/>
      <c r="J6" s="81" t="n">
        <v>0.1</v>
      </c>
      <c r="K6" s="81" t="inlineStr">
        <is>
          <t>EV003</t>
        </is>
      </c>
      <c r="L6" s="81" t="inlineStr">
        <is>
          <t>file://docs/demo_sources/E003_pricing.html</t>
        </is>
      </c>
      <c r="M6" s="81" t="inlineStr">
        <is>
          <t>Signal only; needs tier-1 corroboration</t>
        </is>
      </c>
      <c r="N6" s="81" t="inlineStr">
        <is>
          <t>OPEN</t>
        </is>
      </c>
      <c r="O6" s="81" t="inlineStr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T0003</t>
        </is>
      </c>
      <c r="B7" s="81" t="inlineStr">
        <is>
          <t>2026-01-12</t>
        </is>
      </c>
      <c r="C7" s="81" t="inlineStr">
        <is>
          <t>UNKNOWN_OR_LOW_CONF</t>
        </is>
      </c>
      <c r="D7" s="81" t="inlineStr">
        <is>
          <t>HIGH</t>
        </is>
      </c>
      <c r="E7" s="81" t="inlineStr">
        <is>
          <t>E005</t>
        </is>
      </c>
      <c r="F7" s="81" t="inlineStr">
        <is>
          <t>PracticeOps</t>
        </is>
      </c>
      <c r="G7" s="81" t="inlineStr">
        <is>
          <t>pricing_acv_mid_market</t>
        </is>
      </c>
      <c r="H7" s="81" t="inlineStr"/>
      <c r="I7" s="81" t="n">
        <v>9000</v>
      </c>
      <c r="J7" s="81" t="n">
        <v>0.8</v>
      </c>
      <c r="K7" s="81" t="inlineStr">
        <is>
          <t>EV005</t>
        </is>
      </c>
      <c r="L7" s="81" t="inlineStr">
        <is>
          <t>file://docs/demo_sources/E001_pr.html</t>
        </is>
      </c>
      <c r="M7" s="81" t="inlineStr">
        <is>
          <t>Pricing from signal source; needs tier-1</t>
        </is>
      </c>
      <c r="N7" s="81" t="inlineStr">
        <is>
          <t>OPEN</t>
        </is>
      </c>
      <c r="O7" s="81" t="inlineStr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inlineStr">
        <is>
          <t>task_id</t>
        </is>
      </c>
      <c r="B10" s="66" t="inlineStr">
        <is>
          <t>created_at</t>
        </is>
      </c>
      <c r="C10" s="66" t="inlineStr">
        <is>
          <t>task_type</t>
        </is>
      </c>
      <c r="D10" s="66" t="inlineStr">
        <is>
          <t>priority</t>
        </is>
      </c>
      <c r="E10" s="66" t="inlineStr">
        <is>
          <t>entity_id</t>
        </is>
      </c>
      <c r="F10" s="66" t="inlineStr">
        <is>
          <t>canonical_name</t>
        </is>
      </c>
      <c r="G10" s="66" t="inlineStr">
        <is>
          <t>field_key</t>
        </is>
      </c>
      <c r="H10" s="66" t="inlineStr">
        <is>
          <t>value_text</t>
        </is>
      </c>
      <c r="I10" s="66" t="inlineStr">
        <is>
          <t>value_num</t>
        </is>
      </c>
      <c r="J10" s="66" t="inlineStr">
        <is>
          <t>confidence</t>
        </is>
      </c>
      <c r="K10" s="66" t="inlineStr">
        <is>
          <t>evidence_id</t>
        </is>
      </c>
      <c r="L10" s="66" t="inlineStr">
        <is>
          <t>evidence_url</t>
        </is>
      </c>
      <c r="M10" s="66" t="inlineStr">
        <is>
          <t>reason</t>
        </is>
      </c>
      <c r="N10" s="66" t="inlineStr">
        <is>
          <t>status</t>
        </is>
      </c>
      <c r="O10" s="66" t="inlineStr">
        <is>
          <t>resolution_notes</t>
        </is>
      </c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>
        <f>LET(c,tblClaimCandidates,mask,c[status_final]&lt;&gt;"PROMOTED",cand,FILTER(c[candidate_id],mask),ent,FILTER(c[entity_id],mask),key,FILTER(c[field_key],mask),vtxt,FILTER(c[value_text],mask),vnum,FILTER(c[value_num],mask),conf,FILTER(c[confidence],mask),evid,FILTER(c[evidence_id],mask),reas,FILTER(c[auto_reason],mask),cname,IFERROR(XLOOKUP(ent,tblEntities[entity_id],tblEntities[canonical_name]),""),eurl,IFERROR(XLOOKUP(evid,tblEvidence[evidence_id],tblEvidence[url]),""),prio,IF(reas="LOW_CONFIDENCE","HIGH",IF(reas="MISSING_EVIDENCE","HIGH",IF(reas="TIER1_REQUIRED","HIGH","MEDIUM"))),CHOOSE({1,2,3,4,5,6,7,8,9,10,11,12,13,14,15},"TASK-"&amp;cand,TODAY(),"CLAIM_REVIEW",prio,ent,cname,key,vtxt,vnum,conf,evid,eurl,reas,"OPEN",""))</f>
        <v/>
      </c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O1"/>
  </mergeCells>
  <conditionalFormatting sqref="N5:N7">
    <cfRule type="cellIs" priority="1" operator="equal" dxfId="1">
      <formula>"OPEN"</formula>
    </cfRule>
    <cfRule type="cellIs" priority="2" operator="equal" dxfId="3">
      <formula>"RESOLVED"</formula>
    </cfRule>
    <cfRule type="cellIs" priority="3" operator="equal" dxfId="0">
      <formula>"REJECTED"</formula>
    </cfRule>
  </conditionalFormatting>
  <dataValidations count="1">
    <dataValidation sqref="N5:N7" showDropDown="0" showInputMessage="0" showErrorMessage="0" allowBlank="0" type="list">
      <formula1>"OPEN,IN_PROGRESS,RESOLVED,REJECTED"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8" customWidth="1" min="8" max="8"/>
    <col width="40" customWidth="1" min="9" max="9"/>
  </cols>
  <sheetData>
    <row r="1">
      <c r="A1" s="146" t="inlineStr">
        <is>
          <t>Logs</t>
        </is>
      </c>
      <c r="B1" s="112" t="n"/>
      <c r="C1" s="112" t="n"/>
      <c r="D1" s="112" t="n"/>
      <c r="E1" s="112" t="n"/>
      <c r="F1" s="112" t="n"/>
      <c r="G1" s="112" t="n"/>
      <c r="H1" s="112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8" t="inlineStr">
        <is>
          <t>Refresh Log (append-only; use for auditability)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147" t="inlineStr">
        <is>
          <t>run_id</t>
        </is>
      </c>
      <c r="B5" s="147" t="inlineStr">
        <is>
          <t>started_at</t>
        </is>
      </c>
      <c r="C5" s="147" t="inlineStr">
        <is>
          <t>ended_at</t>
        </is>
      </c>
      <c r="D5" s="147" t="inlineStr">
        <is>
          <t>mode</t>
        </is>
      </c>
      <c r="E5" s="147" t="inlineStr">
        <is>
          <t>entities_imported</t>
        </is>
      </c>
      <c r="F5" s="147" t="inlineStr">
        <is>
          <t>evidence_imported</t>
        </is>
      </c>
      <c r="G5" s="147" t="inlineStr">
        <is>
          <t>claims_promoted</t>
        </is>
      </c>
      <c r="H5" s="147" t="inlineStr">
        <is>
          <t>review_tasks_opened</t>
        </is>
      </c>
      <c r="I5" s="147" t="inlineStr">
        <is>
          <t>notes</t>
        </is>
      </c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RUN_DEMO</t>
        </is>
      </c>
      <c r="B6" s="81" t="inlineStr">
        <is>
          <t>2026-01-12 00:00</t>
        </is>
      </c>
      <c r="C6" s="81" t="inlineStr">
        <is>
          <t>2026-01-12 00:01</t>
        </is>
      </c>
      <c r="D6" s="81" t="inlineStr">
        <is>
          <t>DEMO</t>
        </is>
      </c>
      <c r="E6" s="81" t="n">
        <v>6</v>
      </c>
      <c r="F6" s="81" t="n">
        <v>5</v>
      </c>
      <c r="G6" s="81" t="n">
        <v>6</v>
      </c>
      <c r="H6" s="81" t="n">
        <v>3</v>
      </c>
      <c r="I6" s="81" t="inlineStr">
        <is>
          <t>Template generated</t>
        </is>
      </c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46" t="inlineStr">
        <is>
          <t>Scraper (Optional; Autonomous Competitor Discovery)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80" t="inlineStr">
        <is>
          <t>This workbook is designed to run Excel-only. For true autonomous discovery/refresh, use Power Query (From Web) or VBA/Office Script.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46" t="inlineStr">
        <is>
          <t>Minimum viable workflow</t>
        </is>
      </c>
      <c r="B5" s="112" t="n"/>
      <c r="C5" s="112" t="n"/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91" t="inlineStr">
        <is>
          <t>1) Update Sources_Allowlist (domains + paths) and Segment_Rules.</t>
        </is>
      </c>
      <c r="B6" s="112" t="n"/>
      <c r="C6" s="112" t="n"/>
      <c r="D6" s="112" t="n"/>
      <c r="E6" s="112" t="n"/>
      <c r="F6" s="112" t="n"/>
      <c r="G6" s="112" t="n"/>
      <c r="H6" s="112" t="n"/>
      <c r="I6" s="112" t="n"/>
      <c r="J6" s="112" t="n"/>
      <c r="K6" s="112" t="n"/>
      <c r="L6" s="112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91" t="inlineStr">
        <is>
          <t>2) Populate/refresh Input tables (Entities, Evidence, Claim Candidates) via Power Query or manual import.</t>
        </is>
      </c>
      <c r="B7" s="112" t="n"/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91" t="inlineStr">
        <is>
          <t>3) Resolve Review_Queue items; promote claims only when evidence is tier-compliant.</t>
        </is>
      </c>
      <c r="B8" s="112" t="n"/>
      <c r="C8" s="112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2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91" t="inlineStr">
        <is>
          <t>4) Dashboards refresh automatically via formulas/charts.</t>
        </is>
      </c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146" t="inlineStr">
        <is>
          <t>Power Query M-code (template) — Web Search → Competitor Candidates</t>
        </is>
      </c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20" customHeight="1">
      <c r="A12" s="157" t="inlineStr">
        <is>
          <t>// TEMPLATE ONLY — paste into Power Query (Data &gt; Get Data &gt; From Other Sources &gt; Blank Query &gt; Advanced Editor)
// Replace &lt;API_KEY&gt; and &lt;QUERY&gt;. Ensure ToS compliance for all endpoints.
let
    Query = "&lt;QUERY&gt;",
    ApiKey = Excel.CurrentWorkbook(){[Name="BingSearchKey"]}[Content]{0}[Column1],
    Url = "https://api.bing.microsoft.com/v7.0/search?q=" &amp; Uri.EscapeDataString(Query) &amp; "&amp;count=25",
    Source = Json.Document(Web.Contents(Url, [Headers=[#"Ocp-Apim-Subscription-Key"=ApiKey]])),
    WebPages = Source[webPages][value],
    Table = Table.FromList(WebPages, Splitter.SplitByNothing(), null, null, ExtraValues.Error),
    Expand = Table.ExpandRecordColumn(Table, "Column1", {"name","url","snippet"}, {"name","url","snippet"})
in
    Expand</t>
        </is>
      </c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146" t="inlineStr">
        <is>
          <t>Office Script (template) — Promote resolved Review Queue items</t>
        </is>
      </c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20" customHeight="1">
      <c r="A25" s="157" t="inlineStr">
        <is>
          <t>/**
 * TEMPLATE ONLY — paste into Excel Online &gt; Automate &gt; New Script.
 * Goal: when Review_Queue.status == RESOLVED, update Input.tblClaimCandidates status to PROMOTED
 * and write a log row to Logs.
 */
function main(workbook: ExcelScript.Workbook) {
  // TODO: implement based on your table names (tblReviewQueue, tblClaimCandidates, tblLogs)
}</t>
        </is>
      </c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 ht="18" customHeight="1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 ht="18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 ht="18" customHeight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 ht="18" customHeight="1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 ht="18" customHeight="1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0">
    <mergeCell ref="A24:L24"/>
    <mergeCell ref="A7:L7"/>
    <mergeCell ref="A11:L11"/>
    <mergeCell ref="A25:L32"/>
    <mergeCell ref="A1:L1"/>
    <mergeCell ref="A5:L5"/>
    <mergeCell ref="A8:L8"/>
    <mergeCell ref="A6:L6"/>
    <mergeCell ref="A9:L9"/>
    <mergeCell ref="A12:L2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4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" customWidth="1" min="5" max="5"/>
    <col width="18" customWidth="1" min="6" max="6"/>
    <col width="18" customWidth="1" min="7" max="7"/>
    <col width="18" customWidth="1" min="8" max="8"/>
    <col width="2" customWidth="1" min="9" max="9"/>
    <col width="18" customWidth="1" min="10" max="10"/>
    <col width="18" customWidth="1" min="11" max="11"/>
    <col width="18" customWidth="1" min="12" max="12"/>
    <col width="2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17" t="n"/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117" t="n"/>
      <c r="B2" s="117" t="n"/>
      <c r="C2" s="117" t="n"/>
      <c r="D2" s="117" t="n"/>
      <c r="E2" s="117" t="n"/>
      <c r="F2" s="117" t="n"/>
      <c r="G2" s="117" t="n"/>
      <c r="H2" s="118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119" t="inlineStr">
        <is>
          <t>Certify Intel — Executive Dashboard</t>
        </is>
      </c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7" t="n"/>
      <c r="P4" s="117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17" t="n"/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120" t="inlineStr">
        <is>
          <t>Filters</t>
        </is>
      </c>
      <c r="B6" s="117" t="n"/>
      <c r="C6" s="117" t="n"/>
      <c r="D6" s="117" t="n"/>
      <c r="E6" s="117" t="n"/>
      <c r="F6" s="117" t="n"/>
      <c r="G6" s="121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158" t="inlineStr">
        <is>
          <t>Vertical_List</t>
        </is>
      </c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123" t="inlineStr">
        <is>
          <t>Segment</t>
        </is>
      </c>
      <c r="B7" s="116" t="inlineStr">
        <is>
          <t>SEG_MM</t>
        </is>
      </c>
      <c r="C7" s="117" t="n"/>
      <c r="D7" s="117" t="n"/>
      <c r="E7" s="117" t="n"/>
      <c r="F7" s="117" t="n"/>
      <c r="G7" s="117" t="n"/>
      <c r="H7" s="117" t="n"/>
      <c r="I7" s="117" t="n"/>
      <c r="J7" s="117" t="n"/>
      <c r="K7" s="117" t="n"/>
      <c r="L7" s="117" t="n"/>
      <c r="M7" s="117" t="n"/>
      <c r="N7" s="117" t="n"/>
      <c r="O7" s="117" t="n"/>
      <c r="P7" s="117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>
        <f>SORT(UNIQUE(VSTACK("All",Input!tblEntities[vertical])))</f>
        <v/>
      </c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123" t="inlineStr">
        <is>
          <t>Vertical</t>
        </is>
      </c>
      <c r="B8" s="116" t="inlineStr">
        <is>
          <t>All</t>
        </is>
      </c>
      <c r="C8" s="117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20" customHeight="1">
      <c r="A9" s="123" t="inlineStr">
        <is>
          <t>Region</t>
        </is>
      </c>
      <c r="B9" s="116" t="inlineStr">
        <is>
          <t>All</t>
        </is>
      </c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7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158" t="inlineStr">
        <is>
          <t>Region_List</t>
        </is>
      </c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17" t="n"/>
      <c r="M10" s="117" t="n"/>
      <c r="N10" s="117" t="n"/>
      <c r="O10" s="117" t="n"/>
      <c r="P10" s="117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>
        <f>SORT(UNIQUE(VSTACK("All",Input!tblEntities[region])))</f>
        <v/>
      </c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159" t="inlineStr">
        <is>
          <t>Competitors</t>
        </is>
      </c>
      <c r="B11" s="116" t="n"/>
      <c r="C11" s="160" t="n"/>
      <c r="D11" s="159" t="inlineStr">
        <is>
          <t>Open Reviews</t>
        </is>
      </c>
      <c r="E11" s="116" t="n"/>
      <c r="F11" s="116" t="n"/>
      <c r="G11" s="159" t="inlineStr">
        <is>
          <t>Evidence Items</t>
        </is>
      </c>
      <c r="H11" s="116" t="n"/>
      <c r="I11" s="116" t="n"/>
      <c r="J11" s="159" t="inlineStr">
        <is>
          <t>Fresh Evidence %</t>
        </is>
      </c>
      <c r="K11" s="116" t="n"/>
      <c r="L11" s="116" t="n"/>
      <c r="M11" s="117" t="n"/>
      <c r="N11" s="117" t="n"/>
      <c r="O11" s="117" t="n"/>
      <c r="P11" s="117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161">
        <f>ROWS($AA$13#)</f>
        <v/>
      </c>
      <c r="B12" s="116" t="n"/>
      <c r="C12" s="160" t="n"/>
      <c r="D12" s="161">
        <f>COUNTIF(Review_Queue!tblReviewQueue[status],"OPEN")</f>
        <v/>
      </c>
      <c r="E12" s="116" t="n"/>
      <c r="F12" s="116" t="n"/>
      <c r="G12" s="161">
        <f>ROWS(Input!tblEvidence[evidence_id])</f>
        <v/>
      </c>
      <c r="H12" s="116" t="n"/>
      <c r="I12" s="116" t="n"/>
      <c r="J12" s="162">
        <f>IFERROR(1-COUNTIF(Input!tblEvidence[fetched_at],"&lt;"&amp;TODAY()-30)/ROWS(Input!tblEvidence[fetched_at]),0)</f>
        <v/>
      </c>
      <c r="K12" s="116" t="n"/>
      <c r="L12" s="116" t="n"/>
      <c r="M12" s="117" t="n"/>
      <c r="N12" s="117" t="n"/>
      <c r="O12" s="117" t="n"/>
      <c r="P12" s="117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158" t="inlineStr">
        <is>
          <t>Filtered_Names</t>
        </is>
      </c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16" t="n"/>
      <c r="B13" s="116" t="n"/>
      <c r="C13" s="160" t="n"/>
      <c r="D13" s="116" t="n"/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7" t="n"/>
      <c r="N13" s="117" t="n"/>
      <c r="O13" s="117" t="n"/>
      <c r="P13" s="117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>
        <f>LET(seg,$B$7,vert,$B$8,reg,$B$9, m,(Input!tblEntities[segment_id]=seg)*IF(vert="All",1,(Input!tblEntities[vertical]=vert))*IF(reg="All",1,(Input!tblEntities[region]=reg)), FILTER(Input!tblEntities[canonical_name], m, ""))</f>
        <v/>
      </c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63" t="inlineStr">
        <is>
          <t>In-scope competitors</t>
        </is>
      </c>
      <c r="B14" s="116" t="n"/>
      <c r="C14" s="160" t="n"/>
      <c r="D14" s="163" t="inlineStr">
        <is>
          <t>Needs human review</t>
        </is>
      </c>
      <c r="E14" s="116" t="n"/>
      <c r="F14" s="116" t="n"/>
      <c r="G14" s="163" t="inlineStr">
        <is>
          <t>Captured evidence</t>
        </is>
      </c>
      <c r="H14" s="116" t="n"/>
      <c r="I14" s="116" t="n"/>
      <c r="J14" s="163" t="inlineStr">
        <is>
          <t>Fetched &lt;30d</t>
        </is>
      </c>
      <c r="K14" s="116" t="n"/>
      <c r="L14" s="116" t="n"/>
      <c r="M14" s="117" t="n"/>
      <c r="N14" s="117" t="n"/>
      <c r="O14" s="117" t="n"/>
      <c r="P14" s="117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16" t="n"/>
      <c r="B15" s="116" t="n"/>
      <c r="C15" s="160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7" t="n"/>
      <c r="N15" s="117" t="n"/>
      <c r="O15" s="117" t="n"/>
      <c r="P15" s="117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158" t="inlineStr">
        <is>
          <t>Filtered_Coverage</t>
        </is>
      </c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7" t="n"/>
      <c r="B16" s="117" t="n"/>
      <c r="C16" s="130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>
        <f>LET(seg,$B$7,vert,$B$8,reg,$B$9, m,(Input!tblEntities[segment_id]=seg)*IF(vert="All",1,(Input!tblEntities[vertical]=vert))*IF(reg="All",1,(Input!tblEntities[region]=reg)), FILTER(Metrics!tblMetrics[coverage_pct], m, ""))</f>
        <v/>
      </c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159" t="inlineStr">
        <is>
          <t>Avg Coverage %</t>
        </is>
      </c>
      <c r="B17" s="116" t="n"/>
      <c r="C17" s="160" t="n"/>
      <c r="D17" s="159" t="inlineStr">
        <is>
          <t>Avg Threat</t>
        </is>
      </c>
      <c r="E17" s="116" t="n"/>
      <c r="F17" s="116" t="n"/>
      <c r="G17" s="159" t="inlineStr">
        <is>
          <t>High Threat</t>
        </is>
      </c>
      <c r="H17" s="116" t="n"/>
      <c r="I17" s="116" t="n"/>
      <c r="J17" s="159" t="inlineStr">
        <is>
          <t>Fail-Closed</t>
        </is>
      </c>
      <c r="K17" s="116" t="n"/>
      <c r="L17" s="116" t="n"/>
      <c r="M17" s="117" t="n"/>
      <c r="N17" s="117" t="n"/>
      <c r="O17" s="117" t="n"/>
      <c r="P17" s="117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162">
        <f>IFERROR(AVERAGE($AA$16#),0)</f>
        <v/>
      </c>
      <c r="B18" s="116" t="n"/>
      <c r="C18" s="160" t="n"/>
      <c r="D18" s="161">
        <f>IFERROR(AVERAGE($AA$19#),0)</f>
        <v/>
      </c>
      <c r="E18" s="116" t="n"/>
      <c r="F18" s="116" t="n"/>
      <c r="G18" s="161">
        <f>COUNTIF($AA$19#,"&gt;=0.75")</f>
        <v/>
      </c>
      <c r="H18" s="116" t="n"/>
      <c r="I18" s="116" t="n"/>
      <c r="J18" s="161">
        <f>COUNTIF($AA$25#,"FAIL_CLOSED")</f>
        <v/>
      </c>
      <c r="K18" s="116" t="n"/>
      <c r="L18" s="116" t="n"/>
      <c r="M18" s="117" t="n"/>
      <c r="N18" s="117" t="n"/>
      <c r="O18" s="117" t="n"/>
      <c r="P18" s="117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158" t="inlineStr">
        <is>
          <t>Filtered_Threat</t>
        </is>
      </c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116" t="n"/>
      <c r="B19" s="116" t="n"/>
      <c r="C19" s="160" t="n"/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7" t="n"/>
      <c r="N19" s="117" t="n"/>
      <c r="O19" s="117" t="n"/>
      <c r="P19" s="117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>
        <f>LET(seg,$B$7,vert,$B$8,reg,$B$9, m,(Input!tblEntities[segment_id]=seg)*IF(vert="All",1,(Input!tblEntities[vertical]=vert))*IF(reg="All",1,(Input!tblEntities[region]=reg)), FILTER(Metrics!tblMetrics[threat_score], m, ""))</f>
        <v/>
      </c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163" t="inlineStr">
        <is>
          <t>Known / total fields</t>
        </is>
      </c>
      <c r="B20" s="116" t="n"/>
      <c r="C20" s="160" t="n"/>
      <c r="D20" s="163" t="inlineStr">
        <is>
          <t>Mean threat score</t>
        </is>
      </c>
      <c r="E20" s="116" t="n"/>
      <c r="F20" s="116" t="n"/>
      <c r="G20" s="163" t="inlineStr">
        <is>
          <t>Threat ≥ 0.75</t>
        </is>
      </c>
      <c r="H20" s="116" t="n"/>
      <c r="I20" s="116" t="n"/>
      <c r="J20" s="163" t="inlineStr">
        <is>
          <t>Blocked entities</t>
        </is>
      </c>
      <c r="K20" s="116" t="n"/>
      <c r="L20" s="116" t="n"/>
      <c r="M20" s="117" t="n"/>
      <c r="N20" s="117" t="n"/>
      <c r="O20" s="117" t="n"/>
      <c r="P20" s="117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16" t="n"/>
      <c r="K21" s="116" t="n"/>
      <c r="L21" s="116" t="n"/>
      <c r="M21" s="117" t="n"/>
      <c r="N21" s="117" t="n"/>
      <c r="O21" s="117" t="n"/>
      <c r="P21" s="117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158" t="inlineStr">
        <is>
          <t>Filtered_Opp</t>
        </is>
      </c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120" t="inlineStr">
        <is>
          <t>Rankings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  <c r="P22" s="117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>
        <f>LET(seg,$B$7,vert,$B$8,reg,$B$9, m,(Input!tblEntities[segment_id]=seg)*IF(vert="All",1,(Input!tblEntities[vertical]=vert))*IF(reg="All",1,(Input!tblEntities[region]=reg)), FILTER(Metrics!tblMetrics[opportunity_score], m, ""))</f>
        <v/>
      </c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  <c r="P23" s="117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120" t="inlineStr">
        <is>
          <t>Top Threats</t>
        </is>
      </c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158" t="inlineStr">
        <is>
          <t>Filtered_Flags</t>
        </is>
      </c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154" t="inlineStr">
        <is>
          <t>Competitor</t>
        </is>
      </c>
      <c r="B25" s="154" t="inlineStr">
        <is>
          <t>Threat</t>
        </is>
      </c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>
        <f>LET(seg,$B$7,vert,$B$8,reg,$B$9, m,(Input!tblEntities[segment_id]=seg)*IF(vert="All",1,(Input!tblEntities[vertical]=vert))*IF(reg="All",1,(Input!tblEntities[region]=reg)), FILTER(Metrics!tblMetrics[flags], m, ""))</f>
        <v/>
      </c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116">
        <f>IFERROR(INDEX($AA$28#, 1, 1),"")</f>
        <v/>
      </c>
      <c r="B26" s="131">
        <f>IFERROR(INDEX($AA$28#, 1, 2),"")</f>
        <v/>
      </c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116">
        <f>IFERROR(INDEX($AA$28#, 2, 1),"")</f>
        <v/>
      </c>
      <c r="B27" s="131">
        <f>IFERROR(INDEX($AA$28#, 2, 2),"")</f>
        <v/>
      </c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158" t="inlineStr">
        <is>
          <t>TopThreat_Table</t>
        </is>
      </c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116">
        <f>IFERROR(INDEX($AA$28#, 3, 1),"")</f>
        <v/>
      </c>
      <c r="B28" s="131">
        <f>IFERROR(INDEX($AA$28#, 3, 2),"")</f>
        <v/>
      </c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>
        <f>LET(n,$AA$13#, t,$AA$19#, tbl,HSTACK(n,t), TAKE(SORTBY(tbl, CHOOSECOLS(tbl,2), -1), 10))</f>
        <v/>
      </c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116">
        <f>IFERROR(INDEX($AA$28#, 4, 1),"")</f>
        <v/>
      </c>
      <c r="B29" s="131">
        <f>IFERROR(INDEX($AA$28#, 4, 2),"")</f>
        <v/>
      </c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116">
        <f>IFERROR(INDEX($AA$28#, 5, 1),"")</f>
        <v/>
      </c>
      <c r="B30" s="131">
        <f>IFERROR(INDEX($AA$28#, 5, 2),"")</f>
        <v/>
      </c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116">
        <f>IFERROR(INDEX($AA$28#, 6, 1),"")</f>
        <v/>
      </c>
      <c r="B31" s="131">
        <f>IFERROR(INDEX($AA$28#, 6, 2),"")</f>
        <v/>
      </c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116">
        <f>IFERROR(INDEX($AA$28#, 7, 1),"")</f>
        <v/>
      </c>
      <c r="B32" s="131">
        <f>IFERROR(INDEX($AA$28#, 7, 2),"")</f>
        <v/>
      </c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116">
        <f>IFERROR(INDEX($AA$28#, 8, 1),"")</f>
        <v/>
      </c>
      <c r="B33" s="131">
        <f>IFERROR(INDEX($AA$28#, 8, 2),"")</f>
        <v/>
      </c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116">
        <f>IFERROR(INDEX($AA$28#, 9, 1),"")</f>
        <v/>
      </c>
      <c r="B34" s="131">
        <f>IFERROR(INDEX($AA$28#, 9, 2),"")</f>
        <v/>
      </c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 ht="18" customHeight="1">
      <c r="A35" s="116">
        <f>IFERROR(INDEX($AA$28#, 10, 1),"")</f>
        <v/>
      </c>
      <c r="B35" s="131">
        <f>IFERROR(INDEX($AA$28#, 10, 2),"")</f>
        <v/>
      </c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 ht="18" customHeight="1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 ht="18" customHeight="1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 ht="18" customHeight="1">
      <c r="A38" s="120" t="inlineStr">
        <is>
          <t>Threat vs Opportunity</t>
        </is>
      </c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 ht="18" customHeight="1">
      <c r="A39" s="154" t="inlineStr">
        <is>
          <t>Competitor</t>
        </is>
      </c>
      <c r="B39" s="154" t="inlineStr">
        <is>
          <t>Threat</t>
        </is>
      </c>
      <c r="C39" s="154" t="inlineStr">
        <is>
          <t>Opportunity</t>
        </is>
      </c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116">
        <f>IFERROR(INDEX($AA$13#, 1),"")</f>
        <v/>
      </c>
      <c r="B40" s="116">
        <f>IFERROR(XLOOKUP(A40, Metrics!tblMetrics[canonical_name], Metrics!tblMetrics[threat_score], ""),"")</f>
        <v/>
      </c>
      <c r="C40" s="116">
        <f>IFERROR(XLOOKUP(A40, Metrics!tblMetrics[canonical_name], Metrics!tblMetrics[opportunity_score], ""),"")</f>
        <v/>
      </c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116">
        <f>IFERROR(INDEX($AA$13#, 2),"")</f>
        <v/>
      </c>
      <c r="B41" s="116">
        <f>IFERROR(XLOOKUP(A41, Metrics!tblMetrics[canonical_name], Metrics!tblMetrics[threat_score], ""),"")</f>
        <v/>
      </c>
      <c r="C41" s="116">
        <f>IFERROR(XLOOKUP(A41, Metrics!tblMetrics[canonical_name], Metrics!tblMetrics[opportunity_score], ""),"")</f>
        <v/>
      </c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116">
        <f>IFERROR(INDEX($AA$13#, 3),"")</f>
        <v/>
      </c>
      <c r="B42" s="116">
        <f>IFERROR(XLOOKUP(A42, Metrics!tblMetrics[canonical_name], Metrics!tblMetrics[threat_score], ""),"")</f>
        <v/>
      </c>
      <c r="C42" s="116">
        <f>IFERROR(XLOOKUP(A42, Metrics!tblMetrics[canonical_name], Metrics!tblMetrics[opportunity_score], ""),"")</f>
        <v/>
      </c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116">
        <f>IFERROR(INDEX($AA$13#, 4),"")</f>
        <v/>
      </c>
      <c r="B43" s="116">
        <f>IFERROR(XLOOKUP(A43, Metrics!tblMetrics[canonical_name], Metrics!tblMetrics[threat_score], ""),"")</f>
        <v/>
      </c>
      <c r="C43" s="116">
        <f>IFERROR(XLOOKUP(A43, Metrics!tblMetrics[canonical_name], Metrics!tblMetrics[opportunity_score], ""),"")</f>
        <v/>
      </c>
      <c r="D43" s="117" t="n"/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17" t="n"/>
      <c r="N43" s="117" t="n"/>
      <c r="O43" s="117" t="n"/>
      <c r="P43" s="117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116">
        <f>IFERROR(INDEX($AA$13#, 5),"")</f>
        <v/>
      </c>
      <c r="B44" s="116">
        <f>IFERROR(XLOOKUP(A44, Metrics!tblMetrics[canonical_name], Metrics!tblMetrics[threat_score], ""),"")</f>
        <v/>
      </c>
      <c r="C44" s="116">
        <f>IFERROR(XLOOKUP(A44, Metrics!tblMetrics[canonical_name], Metrics!tblMetrics[opportunity_score], ""),"")</f>
        <v/>
      </c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116">
        <f>IFERROR(INDEX($AA$13#, 6),"")</f>
        <v/>
      </c>
      <c r="B45" s="116">
        <f>IFERROR(XLOOKUP(A45, Metrics!tblMetrics[canonical_name], Metrics!tblMetrics[threat_score], ""),"")</f>
        <v/>
      </c>
      <c r="C45" s="116">
        <f>IFERROR(XLOOKUP(A45, Metrics!tblMetrics[canonical_name], Metrics!tblMetrics[opportunity_score], ""),"")</f>
        <v/>
      </c>
      <c r="D45" s="117" t="n"/>
      <c r="E45" s="117" t="n"/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116">
        <f>IFERROR(INDEX($AA$13#, 7),"")</f>
        <v/>
      </c>
      <c r="B46" s="116">
        <f>IFERROR(XLOOKUP(A46, Metrics!tblMetrics[canonical_name], Metrics!tblMetrics[threat_score], ""),"")</f>
        <v/>
      </c>
      <c r="C46" s="116">
        <f>IFERROR(XLOOKUP(A46, Metrics!tblMetrics[canonical_name], Metrics!tblMetrics[opportunity_score], ""),"")</f>
        <v/>
      </c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116">
        <f>IFERROR(INDEX($AA$13#, 8),"")</f>
        <v/>
      </c>
      <c r="B47" s="116">
        <f>IFERROR(XLOOKUP(A47, Metrics!tblMetrics[canonical_name], Metrics!tblMetrics[threat_score], ""),"")</f>
        <v/>
      </c>
      <c r="C47" s="116">
        <f>IFERROR(XLOOKUP(A47, Metrics!tblMetrics[canonical_name], Metrics!tblMetrics[opportunity_score], ""),"")</f>
        <v/>
      </c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116">
        <f>IFERROR(INDEX($AA$13#, 9),"")</f>
        <v/>
      </c>
      <c r="B48" s="116">
        <f>IFERROR(XLOOKUP(A48, Metrics!tblMetrics[canonical_name], Metrics!tblMetrics[threat_score], ""),"")</f>
        <v/>
      </c>
      <c r="C48" s="116">
        <f>IFERROR(XLOOKUP(A48, Metrics!tblMetrics[canonical_name], Metrics!tblMetrics[opportunity_score], ""),"")</f>
        <v/>
      </c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116">
        <f>IFERROR(INDEX($AA$13#, 10),"")</f>
        <v/>
      </c>
      <c r="B49" s="116">
        <f>IFERROR(XLOOKUP(A49, Metrics!tblMetrics[canonical_name], Metrics!tblMetrics[threat_score], ""),"")</f>
        <v/>
      </c>
      <c r="C49" s="116">
        <f>IFERROR(XLOOKUP(A49, Metrics!tblMetrics[canonical_name], Metrics!tblMetrics[opportunity_score], ""),"")</f>
        <v/>
      </c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116">
        <f>IFERROR(INDEX($AA$13#, 11),"")</f>
        <v/>
      </c>
      <c r="B50" s="116">
        <f>IFERROR(XLOOKUP(A50, Metrics!tblMetrics[canonical_name], Metrics!tblMetrics[threat_score], ""),"")</f>
        <v/>
      </c>
      <c r="C50" s="116">
        <f>IFERROR(XLOOKUP(A50, Metrics!tblMetrics[canonical_name], Metrics!tblMetrics[opportunity_score], ""),"")</f>
        <v/>
      </c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116">
        <f>IFERROR(INDEX($AA$13#, 12),"")</f>
        <v/>
      </c>
      <c r="B51" s="116">
        <f>IFERROR(XLOOKUP(A51, Metrics!tblMetrics[canonical_name], Metrics!tblMetrics[threat_score], ""),"")</f>
        <v/>
      </c>
      <c r="C51" s="116">
        <f>IFERROR(XLOOKUP(A51, Metrics!tblMetrics[canonical_name], Metrics!tblMetrics[opportunity_score], ""),"")</f>
        <v/>
      </c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116">
        <f>IFERROR(INDEX($AA$13#, 13),"")</f>
        <v/>
      </c>
      <c r="B52" s="116">
        <f>IFERROR(XLOOKUP(A52, Metrics!tblMetrics[canonical_name], Metrics!tblMetrics[threat_score], ""),"")</f>
        <v/>
      </c>
      <c r="C52" s="116">
        <f>IFERROR(XLOOKUP(A52, Metrics!tblMetrics[canonical_name], Metrics!tblMetrics[opportunity_score], ""),"")</f>
        <v/>
      </c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116">
        <f>IFERROR(INDEX($AA$13#, 14),"")</f>
        <v/>
      </c>
      <c r="B53" s="116">
        <f>IFERROR(XLOOKUP(A53, Metrics!tblMetrics[canonical_name], Metrics!tblMetrics[threat_score], ""),"")</f>
        <v/>
      </c>
      <c r="C53" s="116">
        <f>IFERROR(XLOOKUP(A53, Metrics!tblMetrics[canonical_name], Metrics!tblMetrics[opportunity_score], ""),"")</f>
        <v/>
      </c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116">
        <f>IFERROR(INDEX($AA$13#, 15),"")</f>
        <v/>
      </c>
      <c r="B54" s="116">
        <f>IFERROR(XLOOKUP(A54, Metrics!tblMetrics[canonical_name], Metrics!tblMetrics[threat_score], ""),"")</f>
        <v/>
      </c>
      <c r="C54" s="116">
        <f>IFERROR(XLOOKUP(A54, Metrics!tblMetrics[canonical_name], Metrics!tblMetrics[opportunity_score], ""),"")</f>
        <v/>
      </c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116">
        <f>IFERROR(INDEX($AA$13#, 16),"")</f>
        <v/>
      </c>
      <c r="B55" s="116">
        <f>IFERROR(XLOOKUP(A55, Metrics!tblMetrics[canonical_name], Metrics!tblMetrics[threat_score], ""),"")</f>
        <v/>
      </c>
      <c r="C55" s="116">
        <f>IFERROR(XLOOKUP(A55, Metrics!tblMetrics[canonical_name], Metrics!tblMetrics[opportunity_score], ""),"")</f>
        <v/>
      </c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116">
        <f>IFERROR(INDEX($AA$13#, 17),"")</f>
        <v/>
      </c>
      <c r="B56" s="116">
        <f>IFERROR(XLOOKUP(A56, Metrics!tblMetrics[canonical_name], Metrics!tblMetrics[threat_score], ""),"")</f>
        <v/>
      </c>
      <c r="C56" s="116">
        <f>IFERROR(XLOOKUP(A56, Metrics!tblMetrics[canonical_name], Metrics!tblMetrics[opportunity_score], ""),"")</f>
        <v/>
      </c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116">
        <f>IFERROR(INDEX($AA$13#, 18),"")</f>
        <v/>
      </c>
      <c r="B57" s="116">
        <f>IFERROR(XLOOKUP(A57, Metrics!tblMetrics[canonical_name], Metrics!tblMetrics[threat_score], ""),"")</f>
        <v/>
      </c>
      <c r="C57" s="116">
        <f>IFERROR(XLOOKUP(A57, Metrics!tblMetrics[canonical_name], Metrics!tblMetrics[opportunity_score], ""),"")</f>
        <v/>
      </c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116">
        <f>IFERROR(INDEX($AA$13#, 19),"")</f>
        <v/>
      </c>
      <c r="B58" s="116">
        <f>IFERROR(XLOOKUP(A58, Metrics!tblMetrics[canonical_name], Metrics!tblMetrics[threat_score], ""),"")</f>
        <v/>
      </c>
      <c r="C58" s="116">
        <f>IFERROR(XLOOKUP(A58, Metrics!tblMetrics[canonical_name], Metrics!tblMetrics[opportunity_score], ""),"")</f>
        <v/>
      </c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116">
        <f>IFERROR(INDEX($AA$13#, 20),"")</f>
        <v/>
      </c>
      <c r="B59" s="116">
        <f>IFERROR(XLOOKUP(A59, Metrics!tblMetrics[canonical_name], Metrics!tblMetrics[threat_score], ""),"")</f>
        <v/>
      </c>
      <c r="C59" s="116">
        <f>IFERROR(XLOOKUP(A59, Metrics!tblMetrics[canonical_name], Metrics!tblMetrics[opportunity_score], ""),"")</f>
        <v/>
      </c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116">
        <f>IFERROR(INDEX($AA$13#, 21),"")</f>
        <v/>
      </c>
      <c r="B60" s="116">
        <f>IFERROR(XLOOKUP(A60, Metrics!tblMetrics[canonical_name], Metrics!tblMetrics[threat_score], ""),"")</f>
        <v/>
      </c>
      <c r="C60" s="116">
        <f>IFERROR(XLOOKUP(A60, Metrics!tblMetrics[canonical_name], Metrics!tblMetrics[opportunity_score], ""),"")</f>
        <v/>
      </c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116">
        <f>IFERROR(INDEX($AA$13#, 22),"")</f>
        <v/>
      </c>
      <c r="B61" s="116">
        <f>IFERROR(XLOOKUP(A61, Metrics!tblMetrics[canonical_name], Metrics!tblMetrics[threat_score], ""),"")</f>
        <v/>
      </c>
      <c r="C61" s="116">
        <f>IFERROR(XLOOKUP(A61, Metrics!tblMetrics[canonical_name], Metrics!tblMetrics[opportunity_score], ""),"")</f>
        <v/>
      </c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116">
        <f>IFERROR(INDEX($AA$13#, 23),"")</f>
        <v/>
      </c>
      <c r="B62" s="116">
        <f>IFERROR(XLOOKUP(A62, Metrics!tblMetrics[canonical_name], Metrics!tblMetrics[threat_score], ""),"")</f>
        <v/>
      </c>
      <c r="C62" s="116">
        <f>IFERROR(XLOOKUP(A62, Metrics!tblMetrics[canonical_name], Metrics!tblMetrics[opportunity_score], ""),"")</f>
        <v/>
      </c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116">
        <f>IFERROR(INDEX($AA$13#, 24),"")</f>
        <v/>
      </c>
      <c r="B63" s="116">
        <f>IFERROR(XLOOKUP(A63, Metrics!tblMetrics[canonical_name], Metrics!tblMetrics[threat_score], ""),"")</f>
        <v/>
      </c>
      <c r="C63" s="116">
        <f>IFERROR(XLOOKUP(A63, Metrics!tblMetrics[canonical_name], Metrics!tblMetrics[opportunity_score], ""),"")</f>
        <v/>
      </c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116">
        <f>IFERROR(INDEX($AA$13#, 25),"")</f>
        <v/>
      </c>
      <c r="B64" s="116">
        <f>IFERROR(XLOOKUP(A64, Metrics!tblMetrics[canonical_name], Metrics!tblMetrics[threat_score], ""),"")</f>
        <v/>
      </c>
      <c r="C64" s="116">
        <f>IFERROR(XLOOKUP(A64, Metrics!tblMetrics[canonical_name], Metrics!tblMetrics[opportunity_score], ""),"")</f>
        <v/>
      </c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116">
        <f>IFERROR(INDEX($AA$13#, 26),"")</f>
        <v/>
      </c>
      <c r="B65" s="116">
        <f>IFERROR(XLOOKUP(A65, Metrics!tblMetrics[canonical_name], Metrics!tblMetrics[threat_score], ""),"")</f>
        <v/>
      </c>
      <c r="C65" s="116">
        <f>IFERROR(XLOOKUP(A65, Metrics!tblMetrics[canonical_name], Metrics!tblMetrics[opportunity_score], ""),"")</f>
        <v/>
      </c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116">
        <f>IFERROR(INDEX($AA$13#, 27),"")</f>
        <v/>
      </c>
      <c r="B66" s="116">
        <f>IFERROR(XLOOKUP(A66, Metrics!tblMetrics[canonical_name], Metrics!tblMetrics[threat_score], ""),"")</f>
        <v/>
      </c>
      <c r="C66" s="116">
        <f>IFERROR(XLOOKUP(A66, Metrics!tblMetrics[canonical_name], Metrics!tblMetrics[opportunity_score], ""),"")</f>
        <v/>
      </c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116">
        <f>IFERROR(INDEX($AA$13#, 28),"")</f>
        <v/>
      </c>
      <c r="B67" s="116">
        <f>IFERROR(XLOOKUP(A67, Metrics!tblMetrics[canonical_name], Metrics!tblMetrics[threat_score], ""),"")</f>
        <v/>
      </c>
      <c r="C67" s="116">
        <f>IFERROR(XLOOKUP(A67, Metrics!tblMetrics[canonical_name], Metrics!tblMetrics[opportunity_score], ""),"")</f>
        <v/>
      </c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116">
        <f>IFERROR(INDEX($AA$13#, 29),"")</f>
        <v/>
      </c>
      <c r="B68" s="116">
        <f>IFERROR(XLOOKUP(A68, Metrics!tblMetrics[canonical_name], Metrics!tblMetrics[threat_score], ""),"")</f>
        <v/>
      </c>
      <c r="C68" s="116">
        <f>IFERROR(XLOOKUP(A68, Metrics!tblMetrics[canonical_name], Metrics!tblMetrics[opportunity_score], ""),"")</f>
        <v/>
      </c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116">
        <f>IFERROR(INDEX($AA$13#, 30),"")</f>
        <v/>
      </c>
      <c r="B69" s="116">
        <f>IFERROR(XLOOKUP(A69, Metrics!tblMetrics[canonical_name], Metrics!tblMetrics[threat_score], ""),"")</f>
        <v/>
      </c>
      <c r="C69" s="116">
        <f>IFERROR(XLOOKUP(A69, Metrics!tblMetrics[canonical_name], Metrics!tblMetrics[opportunity_score], ""),"")</f>
        <v/>
      </c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117" t="n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117" t="n"/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120" t="inlineStr">
        <is>
          <t>Review Queue (Open Items)</t>
        </is>
      </c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154" t="inlineStr">
        <is>
          <t>Competitor</t>
        </is>
      </c>
      <c r="B73" s="154" t="inlineStr">
        <is>
          <t>Field</t>
        </is>
      </c>
      <c r="C73" s="154" t="inlineStr">
        <is>
          <t>Reason</t>
        </is>
      </c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116">
        <f>IFERROR(INDEX($AA$75#, 1, 1),"")</f>
        <v/>
      </c>
      <c r="B74" s="116">
        <f>IFERROR(INDEX($AA$75#, 1, 2),"")</f>
        <v/>
      </c>
      <c r="C74" s="116">
        <f>IFERROR(INDEX($AA$75#, 1, 3),"")</f>
        <v/>
      </c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158" t="inlineStr">
        <is>
          <t>OpenReviews_Table</t>
        </is>
      </c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116">
        <f>IFERROR(INDEX($AA$75#, 2, 1),"")</f>
        <v/>
      </c>
      <c r="B75" s="116">
        <f>IFERROR(INDEX($AA$75#, 2, 2),"")</f>
        <v/>
      </c>
      <c r="C75" s="116">
        <f>IFERROR(INDEX($AA$75#, 2, 3),"")</f>
        <v/>
      </c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>
        <f>LET(t,Review_Queue!tblReviewQueue, OPEN,FILTER(HSTACK(t[canonical_name],t[field_key],t[reason]), t[status]="OPEN",""), TAKE(OPEN,10))</f>
        <v/>
      </c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116">
        <f>IFERROR(INDEX($AA$75#, 3, 1),"")</f>
        <v/>
      </c>
      <c r="B76" s="116">
        <f>IFERROR(INDEX($AA$75#, 3, 2),"")</f>
        <v/>
      </c>
      <c r="C76" s="116">
        <f>IFERROR(INDEX($AA$75#, 3, 3),"")</f>
        <v/>
      </c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116">
        <f>IFERROR(INDEX($AA$75#, 4, 1),"")</f>
        <v/>
      </c>
      <c r="B77" s="116">
        <f>IFERROR(INDEX($AA$75#, 4, 2),"")</f>
        <v/>
      </c>
      <c r="C77" s="116">
        <f>IFERROR(INDEX($AA$75#, 4, 3),"")</f>
        <v/>
      </c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116">
        <f>IFERROR(INDEX($AA$75#, 5, 1),"")</f>
        <v/>
      </c>
      <c r="B78" s="116">
        <f>IFERROR(INDEX($AA$75#, 5, 2),"")</f>
        <v/>
      </c>
      <c r="C78" s="116">
        <f>IFERROR(INDEX($AA$75#, 5, 3),"")</f>
        <v/>
      </c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116">
        <f>IFERROR(INDEX($AA$75#, 6, 1),"")</f>
        <v/>
      </c>
      <c r="B79" s="116">
        <f>IFERROR(INDEX($AA$75#, 6, 2),"")</f>
        <v/>
      </c>
      <c r="C79" s="116">
        <f>IFERROR(INDEX($AA$75#, 6, 3),"")</f>
        <v/>
      </c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116">
        <f>IFERROR(INDEX($AA$75#, 7, 1),"")</f>
        <v/>
      </c>
      <c r="B80" s="116">
        <f>IFERROR(INDEX($AA$75#, 7, 2),"")</f>
        <v/>
      </c>
      <c r="C80" s="116">
        <f>IFERROR(INDEX($AA$75#, 7, 3),"")</f>
        <v/>
      </c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116">
        <f>IFERROR(INDEX($AA$75#, 8, 1),"")</f>
        <v/>
      </c>
      <c r="B81" s="116">
        <f>IFERROR(INDEX($AA$75#, 8, 2),"")</f>
        <v/>
      </c>
      <c r="C81" s="116">
        <f>IFERROR(INDEX($AA$75#, 8, 3),"")</f>
        <v/>
      </c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116">
        <f>IFERROR(INDEX($AA$75#, 9, 1),"")</f>
        <v/>
      </c>
      <c r="B82" s="116">
        <f>IFERROR(INDEX($AA$75#, 9, 2),"")</f>
        <v/>
      </c>
      <c r="C82" s="116">
        <f>IFERROR(INDEX($AA$75#, 9, 3),"")</f>
        <v/>
      </c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116">
        <f>IFERROR(INDEX($AA$75#, 10, 1),"")</f>
        <v/>
      </c>
      <c r="B83" s="116">
        <f>IFERROR(INDEX($AA$75#, 10, 2),"")</f>
        <v/>
      </c>
      <c r="C83" s="116">
        <f>IFERROR(INDEX($AA$75#, 10, 3),"")</f>
        <v/>
      </c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117" t="n"/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117" t="n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117" t="n"/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117" t="n"/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117" t="n"/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117" t="n"/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117" t="n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117" t="n"/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117" t="n"/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117" t="n"/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117" t="n"/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117" t="n"/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117" t="n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117" t="n"/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117" t="n"/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117" t="n"/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117" t="n"/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117" t="n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117" t="n"/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117" t="n"/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117" t="n"/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117" t="n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117" t="n"/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117" t="n"/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117" t="n"/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117" t="n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117" t="n"/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117" t="n"/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117" t="n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117" t="n"/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117" t="n"/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117" t="n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117" t="n"/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dataValidations count="5">
    <dataValidation sqref="E2" showDropDown="0" showInputMessage="0" showErrorMessage="0" allowBlank="0" type="list">
      <formula1>=Segment_Rules!$A$5:$A$5</formula1>
    </dataValidation>
    <dataValidation sqref="E3" showDropDown="0" showInputMessage="0" showErrorMessage="0" allowBlank="0" type="list">
      <formula1>"All,Credentialing,Provider Enrollment,Compliance Automation,Practice Ops Suite,Healthcare IT"</formula1>
    </dataValidation>
    <dataValidation sqref="B7" showDropDown="0" showInputMessage="0" showErrorMessage="0" allowBlank="0" type="list">
      <formula1>=Segment_Rules!$A$5:$A$5</formula1>
    </dataValidation>
    <dataValidation sqref="B8" showDropDown="0" showInputMessage="0" showErrorMessage="0" allowBlank="0" type="list">
      <formula1>=Dashboard!$AA$7#</formula1>
    </dataValidation>
    <dataValidation sqref="B9" showDropDown="0" showInputMessage="0" showErrorMessage="0" allowBlank="0" type="list">
      <formula1>=Dashboard!$AA$10#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sheetData>
    <row r="1">
      <c r="A1" s="134" t="inlineStr">
        <is>
          <t>Scripts (VBA + Power Query Templates)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117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2" t="n"/>
      <c r="AW1" s="112" t="n"/>
      <c r="AX1" s="112" t="n"/>
      <c r="AY1" s="112" t="n"/>
      <c r="AZ1" s="112" t="n"/>
      <c r="BA1" s="112" t="n"/>
      <c r="BB1" s="112" t="n"/>
      <c r="BC1" s="112" t="n"/>
      <c r="BD1" s="112" t="n"/>
      <c r="BE1" s="112" t="n"/>
      <c r="BF1" s="112" t="n"/>
      <c r="BG1" s="112" t="n"/>
      <c r="BH1" s="112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7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  <c r="AU2" s="112" t="n"/>
      <c r="AV2" s="112" t="n"/>
      <c r="AW2" s="112" t="n"/>
      <c r="AX2" s="112" t="n"/>
      <c r="AY2" s="112" t="n"/>
      <c r="AZ2" s="112" t="n"/>
      <c r="BA2" s="112" t="n"/>
      <c r="BB2" s="112" t="n"/>
      <c r="BC2" s="112" t="n"/>
      <c r="BD2" s="112" t="n"/>
      <c r="BE2" s="112" t="n"/>
      <c r="BF2" s="112" t="n"/>
      <c r="BG2" s="112" t="n"/>
      <c r="BH2" s="112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120" t="inlineStr">
        <is>
          <t>VBA module (import into an .xlsm copy)</t>
        </is>
      </c>
      <c r="B3" s="117" t="n"/>
      <c r="C3" s="120" t="inlineStr">
        <is>
          <t>Power Query templates (optional)</t>
        </is>
      </c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117" t="n"/>
      <c r="R3" s="117" t="n"/>
      <c r="S3" s="117" t="n"/>
      <c r="T3" s="117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  <c r="AU3" s="112" t="n"/>
      <c r="AV3" s="112" t="n"/>
      <c r="AW3" s="112" t="n"/>
      <c r="AX3" s="112" t="n"/>
      <c r="AY3" s="112" t="n"/>
      <c r="AZ3" s="112" t="n"/>
      <c r="BA3" s="112" t="n"/>
      <c r="BB3" s="112" t="n"/>
      <c r="BC3" s="112" t="n"/>
      <c r="BD3" s="112" t="n"/>
      <c r="BE3" s="112" t="n"/>
      <c r="BF3" s="112" t="n"/>
      <c r="BG3" s="112" t="n"/>
      <c r="BH3" s="112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7" t="n"/>
      <c r="P4" s="117" t="n"/>
      <c r="Q4" s="117" t="n"/>
      <c r="R4" s="117" t="n"/>
      <c r="S4" s="117" t="n"/>
      <c r="T4" s="117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  <c r="AU4" s="112" t="n"/>
      <c r="AV4" s="112" t="n"/>
      <c r="AW4" s="112" t="n"/>
      <c r="AX4" s="112" t="n"/>
      <c r="AY4" s="112" t="n"/>
      <c r="AZ4" s="112" t="n"/>
      <c r="BA4" s="112" t="n"/>
      <c r="BB4" s="112" t="n"/>
      <c r="BC4" s="112" t="n"/>
      <c r="BD4" s="112" t="n"/>
      <c r="BE4" s="112" t="n"/>
      <c r="BF4" s="112" t="n"/>
      <c r="BG4" s="112" t="n"/>
      <c r="BH4" s="112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138" t="inlineStr">
        <is>
          <t>'===============================</t>
        </is>
      </c>
      <c r="B5" s="117" t="n"/>
      <c r="C5" s="138" t="inlineStr">
        <is>
          <t>// Power Query templates live here.</t>
        </is>
      </c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  <c r="S5" s="117" t="n"/>
      <c r="T5" s="117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  <c r="AU5" s="112" t="n"/>
      <c r="AV5" s="112" t="n"/>
      <c r="AW5" s="112" t="n"/>
      <c r="AX5" s="112" t="n"/>
      <c r="AY5" s="112" t="n"/>
      <c r="AZ5" s="112" t="n"/>
      <c r="BA5" s="112" t="n"/>
      <c r="BB5" s="112" t="n"/>
      <c r="BC5" s="112" t="n"/>
      <c r="BD5" s="112" t="n"/>
      <c r="BE5" s="112" t="n"/>
      <c r="BF5" s="112" t="n"/>
      <c r="BG5" s="112" t="n"/>
      <c r="BH5" s="112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138" t="inlineStr">
        <is>
          <t>' Certify Intel v1 — VBA MODULES</t>
        </is>
      </c>
      <c r="B6" s="117" t="n"/>
      <c r="C6" s="138" t="inlineStr">
        <is>
          <t>// Use a licensed web search provider; do not scrape prohibited sources.</t>
        </is>
      </c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  <c r="AU6" s="112" t="n"/>
      <c r="AV6" s="112" t="n"/>
      <c r="AW6" s="112" t="n"/>
      <c r="AX6" s="112" t="n"/>
      <c r="AY6" s="112" t="n"/>
      <c r="AZ6" s="112" t="n"/>
      <c r="BA6" s="112" t="n"/>
      <c r="BB6" s="112" t="n"/>
      <c r="BC6" s="112" t="n"/>
      <c r="BD6" s="112" t="n"/>
      <c r="BE6" s="112" t="n"/>
      <c r="BF6" s="112" t="n"/>
      <c r="BG6" s="112" t="n"/>
      <c r="BH6" s="112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138" t="inlineStr">
        <is>
          <t>'===============================</t>
        </is>
      </c>
      <c r="B7" s="117" t="n"/>
      <c r="C7" s="138" t="inlineStr">
        <is>
          <t>// Load output into Input.tblEntities and Input.tblEvidence.</t>
        </is>
      </c>
      <c r="D7" s="117" t="n"/>
      <c r="E7" s="117" t="n"/>
      <c r="F7" s="117" t="n"/>
      <c r="G7" s="117" t="n"/>
      <c r="H7" s="117" t="n"/>
      <c r="I7" s="117" t="n"/>
      <c r="J7" s="117" t="n"/>
      <c r="K7" s="117" t="n"/>
      <c r="L7" s="117" t="n"/>
      <c r="M7" s="117" t="n"/>
      <c r="N7" s="117" t="n"/>
      <c r="O7" s="117" t="n"/>
      <c r="P7" s="117" t="n"/>
      <c r="Q7" s="117" t="n"/>
      <c r="R7" s="117" t="n"/>
      <c r="S7" s="117" t="n"/>
      <c r="T7" s="117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  <c r="AU7" s="112" t="n"/>
      <c r="AV7" s="112" t="n"/>
      <c r="AW7" s="112" t="n"/>
      <c r="AX7" s="112" t="n"/>
      <c r="AY7" s="112" t="n"/>
      <c r="AZ7" s="112" t="n"/>
      <c r="BA7" s="112" t="n"/>
      <c r="BB7" s="112" t="n"/>
      <c r="BC7" s="112" t="n"/>
      <c r="BD7" s="112" t="n"/>
      <c r="BE7" s="112" t="n"/>
      <c r="BF7" s="112" t="n"/>
      <c r="BG7" s="112" t="n"/>
      <c r="BH7" s="112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138" t="inlineStr">
        <is>
          <t>' Steps:</t>
        </is>
      </c>
      <c r="B8" s="117" t="n"/>
      <c r="C8" s="117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17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  <c r="AU8" s="112" t="n"/>
      <c r="AV8" s="112" t="n"/>
      <c r="AW8" s="112" t="n"/>
      <c r="AX8" s="112" t="n"/>
      <c r="AY8" s="112" t="n"/>
      <c r="AZ8" s="112" t="n"/>
      <c r="BA8" s="112" t="n"/>
      <c r="BB8" s="112" t="n"/>
      <c r="BC8" s="112" t="n"/>
      <c r="BD8" s="112" t="n"/>
      <c r="BE8" s="112" t="n"/>
      <c r="BF8" s="112" t="n"/>
      <c r="BG8" s="112" t="n"/>
      <c r="BH8" s="112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138" t="inlineStr">
        <is>
          <t>' 1) Save this workbook as .xlsm</t>
        </is>
      </c>
      <c r="B9" s="117" t="n"/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7" t="n"/>
      <c r="Q9" s="117" t="n"/>
      <c r="R9" s="117" t="n"/>
      <c r="S9" s="117" t="n"/>
      <c r="T9" s="117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  <c r="AU9" s="112" t="n"/>
      <c r="AV9" s="112" t="n"/>
      <c r="AW9" s="112" t="n"/>
      <c r="AX9" s="112" t="n"/>
      <c r="AY9" s="112" t="n"/>
      <c r="AZ9" s="112" t="n"/>
      <c r="BA9" s="112" t="n"/>
      <c r="BB9" s="112" t="n"/>
      <c r="BC9" s="112" t="n"/>
      <c r="BD9" s="112" t="n"/>
      <c r="BE9" s="112" t="n"/>
      <c r="BF9" s="112" t="n"/>
      <c r="BG9" s="112" t="n"/>
      <c r="BH9" s="112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138" t="inlineStr">
        <is>
          <t>' 2) ALT+F11 → Insert → Module → paste this module</t>
        </is>
      </c>
      <c r="B10" s="117" t="n"/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17" t="n"/>
      <c r="M10" s="117" t="n"/>
      <c r="N10" s="117" t="n"/>
      <c r="O10" s="117" t="n"/>
      <c r="P10" s="117" t="n"/>
      <c r="Q10" s="117" t="n"/>
      <c r="R10" s="117" t="n"/>
      <c r="S10" s="117" t="n"/>
      <c r="T10" s="117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  <c r="AU10" s="112" t="n"/>
      <c r="AV10" s="112" t="n"/>
      <c r="AW10" s="112" t="n"/>
      <c r="AX10" s="112" t="n"/>
      <c r="AY10" s="112" t="n"/>
      <c r="AZ10" s="112" t="n"/>
      <c r="BA10" s="112" t="n"/>
      <c r="BB10" s="112" t="n"/>
      <c r="BC10" s="112" t="n"/>
      <c r="BD10" s="112" t="n"/>
      <c r="BE10" s="112" t="n"/>
      <c r="BF10" s="112" t="n"/>
      <c r="BG10" s="112" t="n"/>
      <c r="BH10" s="112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138" t="inlineStr">
        <is>
          <t>' 3) Add a button on Dashboard linked to RunPipeline</t>
        </is>
      </c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17" t="n"/>
      <c r="N11" s="117" t="n"/>
      <c r="O11" s="117" t="n"/>
      <c r="P11" s="117" t="n"/>
      <c r="Q11" s="117" t="n"/>
      <c r="R11" s="117" t="n"/>
      <c r="S11" s="117" t="n"/>
      <c r="T11" s="117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  <c r="AU11" s="112" t="n"/>
      <c r="AV11" s="112" t="n"/>
      <c r="AW11" s="112" t="n"/>
      <c r="AX11" s="112" t="n"/>
      <c r="AY11" s="112" t="n"/>
      <c r="AZ11" s="112" t="n"/>
      <c r="BA11" s="112" t="n"/>
      <c r="BB11" s="112" t="n"/>
      <c r="BC11" s="112" t="n"/>
      <c r="BD11" s="112" t="n"/>
      <c r="BE11" s="112" t="n"/>
      <c r="BF11" s="112" t="n"/>
      <c r="BG11" s="112" t="n"/>
      <c r="BH11" s="112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138" t="inlineStr">
        <is>
          <t>'</t>
        </is>
      </c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17" t="n"/>
      <c r="N12" s="117" t="n"/>
      <c r="O12" s="117" t="n"/>
      <c r="P12" s="117" t="n"/>
      <c r="Q12" s="117" t="n"/>
      <c r="R12" s="117" t="n"/>
      <c r="S12" s="117" t="n"/>
      <c r="T12" s="117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  <c r="AU12" s="112" t="n"/>
      <c r="AV12" s="112" t="n"/>
      <c r="AW12" s="112" t="n"/>
      <c r="AX12" s="112" t="n"/>
      <c r="AY12" s="112" t="n"/>
      <c r="AZ12" s="112" t="n"/>
      <c r="BA12" s="112" t="n"/>
      <c r="BB12" s="112" t="n"/>
      <c r="BC12" s="112" t="n"/>
      <c r="BD12" s="112" t="n"/>
      <c r="BE12" s="112" t="n"/>
      <c r="BF12" s="112" t="n"/>
      <c r="BG12" s="112" t="n"/>
      <c r="BH12" s="112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138" t="inlineStr">
        <is>
          <t>Option Explicit</t>
        </is>
      </c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  <c r="L13" s="117" t="n"/>
      <c r="M13" s="117" t="n"/>
      <c r="N13" s="117" t="n"/>
      <c r="O13" s="117" t="n"/>
      <c r="P13" s="117" t="n"/>
      <c r="Q13" s="117" t="n"/>
      <c r="R13" s="117" t="n"/>
      <c r="S13" s="117" t="n"/>
      <c r="T13" s="117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  <c r="AU13" s="112" t="n"/>
      <c r="AV13" s="112" t="n"/>
      <c r="AW13" s="112" t="n"/>
      <c r="AX13" s="112" t="n"/>
      <c r="AY13" s="112" t="n"/>
      <c r="AZ13" s="112" t="n"/>
      <c r="BA13" s="112" t="n"/>
      <c r="BB13" s="112" t="n"/>
      <c r="BC13" s="112" t="n"/>
      <c r="BD13" s="112" t="n"/>
      <c r="BE13" s="112" t="n"/>
      <c r="BF13" s="112" t="n"/>
      <c r="BG13" s="112" t="n"/>
      <c r="BH13" s="112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138" t="inlineStr"/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  <c r="P14" s="117" t="n"/>
      <c r="Q14" s="117" t="n"/>
      <c r="R14" s="117" t="n"/>
      <c r="S14" s="117" t="n"/>
      <c r="T14" s="117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  <c r="AU14" s="112" t="n"/>
      <c r="AV14" s="112" t="n"/>
      <c r="AW14" s="112" t="n"/>
      <c r="AX14" s="112" t="n"/>
      <c r="AY14" s="112" t="n"/>
      <c r="AZ14" s="112" t="n"/>
      <c r="BA14" s="112" t="n"/>
      <c r="BB14" s="112" t="n"/>
      <c r="BC14" s="112" t="n"/>
      <c r="BD14" s="112" t="n"/>
      <c r="BE14" s="112" t="n"/>
      <c r="BF14" s="112" t="n"/>
      <c r="BG14" s="112" t="n"/>
      <c r="BH14" s="112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138" t="inlineStr">
        <is>
          <t>Public Sub RunPipeline()</t>
        </is>
      </c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117" t="n"/>
      <c r="R15" s="117" t="n"/>
      <c r="S15" s="117" t="n"/>
      <c r="T15" s="117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  <c r="AU15" s="112" t="n"/>
      <c r="AV15" s="112" t="n"/>
      <c r="AW15" s="112" t="n"/>
      <c r="AX15" s="112" t="n"/>
      <c r="AY15" s="112" t="n"/>
      <c r="AZ15" s="112" t="n"/>
      <c r="BA15" s="112" t="n"/>
      <c r="BB15" s="112" t="n"/>
      <c r="BC15" s="112" t="n"/>
      <c r="BD15" s="112" t="n"/>
      <c r="BE15" s="112" t="n"/>
      <c r="BF15" s="112" t="n"/>
      <c r="BG15" s="112" t="n"/>
      <c r="BH15" s="112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138" t="inlineStr">
        <is>
          <t xml:space="preserve">    On Error GoTo EH</t>
        </is>
      </c>
      <c r="B16" s="117" t="n"/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117" t="n"/>
      <c r="R16" s="117" t="n"/>
      <c r="S16" s="117" t="n"/>
      <c r="T16" s="117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  <c r="AU16" s="112" t="n"/>
      <c r="AV16" s="112" t="n"/>
      <c r="AW16" s="112" t="n"/>
      <c r="AX16" s="112" t="n"/>
      <c r="AY16" s="112" t="n"/>
      <c r="AZ16" s="112" t="n"/>
      <c r="BA16" s="112" t="n"/>
      <c r="BB16" s="112" t="n"/>
      <c r="BC16" s="112" t="n"/>
      <c r="BD16" s="112" t="n"/>
      <c r="BE16" s="112" t="n"/>
      <c r="BF16" s="112" t="n"/>
      <c r="BG16" s="112" t="n"/>
      <c r="BH16" s="112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138" t="inlineStr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  <c r="O17" s="117" t="n"/>
      <c r="P17" s="117" t="n"/>
      <c r="Q17" s="117" t="n"/>
      <c r="R17" s="117" t="n"/>
      <c r="S17" s="117" t="n"/>
      <c r="T17" s="117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  <c r="AU17" s="112" t="n"/>
      <c r="AV17" s="112" t="n"/>
      <c r="AW17" s="112" t="n"/>
      <c r="AX17" s="112" t="n"/>
      <c r="AY17" s="112" t="n"/>
      <c r="AZ17" s="112" t="n"/>
      <c r="BA17" s="112" t="n"/>
      <c r="BB17" s="112" t="n"/>
      <c r="BC17" s="112" t="n"/>
      <c r="BD17" s="112" t="n"/>
      <c r="BE17" s="112" t="n"/>
      <c r="BF17" s="112" t="n"/>
      <c r="BG17" s="112" t="n"/>
      <c r="BH17" s="112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138" t="inlineStr">
        <is>
          <t xml:space="preserve">    Application.ScreenUpdating = False</t>
        </is>
      </c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  <c r="O18" s="117" t="n"/>
      <c r="P18" s="117" t="n"/>
      <c r="Q18" s="117" t="n"/>
      <c r="R18" s="117" t="n"/>
      <c r="S18" s="117" t="n"/>
      <c r="T18" s="117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  <c r="AU18" s="112" t="n"/>
      <c r="AV18" s="112" t="n"/>
      <c r="AW18" s="112" t="n"/>
      <c r="AX18" s="112" t="n"/>
      <c r="AY18" s="112" t="n"/>
      <c r="AZ18" s="112" t="n"/>
      <c r="BA18" s="112" t="n"/>
      <c r="BB18" s="112" t="n"/>
      <c r="BC18" s="112" t="n"/>
      <c r="BD18" s="112" t="n"/>
      <c r="BE18" s="112" t="n"/>
      <c r="BF18" s="112" t="n"/>
      <c r="BG18" s="112" t="n"/>
      <c r="BH18" s="112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138" t="inlineStr">
        <is>
          <t xml:space="preserve">    Application.EnableEvents = False</t>
        </is>
      </c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138" t="inlineStr">
        <is>
          <t xml:space="preserve">    Application.Calculation = xlCalculationManual</t>
        </is>
      </c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17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  <c r="AU20" s="112" t="n"/>
      <c r="AV20" s="112" t="n"/>
      <c r="AW20" s="112" t="n"/>
      <c r="AX20" s="112" t="n"/>
      <c r="AY20" s="112" t="n"/>
      <c r="AZ20" s="112" t="n"/>
      <c r="BA20" s="112" t="n"/>
      <c r="BB20" s="112" t="n"/>
      <c r="BC20" s="112" t="n"/>
      <c r="BD20" s="112" t="n"/>
      <c r="BE20" s="112" t="n"/>
      <c r="BF20" s="112" t="n"/>
      <c r="BG20" s="112" t="n"/>
      <c r="BH20" s="112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138" t="inlineStr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  <c r="AU21" s="112" t="n"/>
      <c r="AV21" s="112" t="n"/>
      <c r="AW21" s="112" t="n"/>
      <c r="AX21" s="112" t="n"/>
      <c r="AY21" s="112" t="n"/>
      <c r="AZ21" s="112" t="n"/>
      <c r="BA21" s="112" t="n"/>
      <c r="BB21" s="112" t="n"/>
      <c r="BC21" s="112" t="n"/>
      <c r="BD21" s="112" t="n"/>
      <c r="BE21" s="112" t="n"/>
      <c r="BF21" s="112" t="n"/>
      <c r="BG21" s="112" t="n"/>
      <c r="BH21" s="112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138" t="inlineStr">
        <is>
          <t xml:space="preserve">    LogRun "START", "RunPipeline started"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  <c r="P22" s="117" t="n"/>
      <c r="Q22" s="117" t="n"/>
      <c r="R22" s="117" t="n"/>
      <c r="S22" s="117" t="n"/>
      <c r="T22" s="117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  <c r="AU22" s="112" t="n"/>
      <c r="AV22" s="112" t="n"/>
      <c r="AW22" s="112" t="n"/>
      <c r="AX22" s="112" t="n"/>
      <c r="AY22" s="112" t="n"/>
      <c r="AZ22" s="112" t="n"/>
      <c r="BA22" s="112" t="n"/>
      <c r="BB22" s="112" t="n"/>
      <c r="BC22" s="112" t="n"/>
      <c r="BD22" s="112" t="n"/>
      <c r="BE22" s="112" t="n"/>
      <c r="BF22" s="112" t="n"/>
      <c r="BG22" s="112" t="n"/>
      <c r="BH22" s="112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138" t="inlineStr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  <c r="AU23" s="112" t="n"/>
      <c r="AV23" s="112" t="n"/>
      <c r="AW23" s="112" t="n"/>
      <c r="AX23" s="112" t="n"/>
      <c r="AY23" s="112" t="n"/>
      <c r="AZ23" s="112" t="n"/>
      <c r="BA23" s="112" t="n"/>
      <c r="BB23" s="112" t="n"/>
      <c r="BC23" s="112" t="n"/>
      <c r="BD23" s="112" t="n"/>
      <c r="BE23" s="112" t="n"/>
      <c r="BF23" s="112" t="n"/>
      <c r="BG23" s="112" t="n"/>
      <c r="BH23" s="112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138" t="inlineStr">
        <is>
          <t xml:space="preserve">    RefreshAllConnections</t>
        </is>
      </c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117" t="n"/>
      <c r="R24" s="117" t="n"/>
      <c r="S24" s="117" t="n"/>
      <c r="T24" s="117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  <c r="AU24" s="112" t="n"/>
      <c r="AV24" s="112" t="n"/>
      <c r="AW24" s="112" t="n"/>
      <c r="AX24" s="112" t="n"/>
      <c r="AY24" s="112" t="n"/>
      <c r="AZ24" s="112" t="n"/>
      <c r="BA24" s="112" t="n"/>
      <c r="BB24" s="112" t="n"/>
      <c r="BC24" s="112" t="n"/>
      <c r="BD24" s="112" t="n"/>
      <c r="BE24" s="112" t="n"/>
      <c r="BF24" s="112" t="n"/>
      <c r="BG24" s="112" t="n"/>
      <c r="BH24" s="112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138" t="inlineStr">
        <is>
          <t xml:space="preserve">    ValidateAllowlistEvidence</t>
        </is>
      </c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  <c r="AU25" s="112" t="n"/>
      <c r="AV25" s="112" t="n"/>
      <c r="AW25" s="112" t="n"/>
      <c r="AX25" s="112" t="n"/>
      <c r="AY25" s="112" t="n"/>
      <c r="AZ25" s="112" t="n"/>
      <c r="BA25" s="112" t="n"/>
      <c r="BB25" s="112" t="n"/>
      <c r="BC25" s="112" t="n"/>
      <c r="BD25" s="112" t="n"/>
      <c r="BE25" s="112" t="n"/>
      <c r="BF25" s="112" t="n"/>
      <c r="BG25" s="112" t="n"/>
      <c r="BH25" s="112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138" t="inlineStr">
        <is>
          <t xml:space="preserve">    ValidateClaimsFailClosed</t>
        </is>
      </c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117" t="n"/>
      <c r="R26" s="117" t="n"/>
      <c r="S26" s="117" t="n"/>
      <c r="T26" s="117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  <c r="AU26" s="112" t="n"/>
      <c r="AV26" s="112" t="n"/>
      <c r="AW26" s="112" t="n"/>
      <c r="AX26" s="112" t="n"/>
      <c r="AY26" s="112" t="n"/>
      <c r="AZ26" s="112" t="n"/>
      <c r="BA26" s="112" t="n"/>
      <c r="BB26" s="112" t="n"/>
      <c r="BC26" s="112" t="n"/>
      <c r="BD26" s="112" t="n"/>
      <c r="BE26" s="112" t="n"/>
      <c r="BF26" s="112" t="n"/>
      <c r="BG26" s="112" t="n"/>
      <c r="BH26" s="112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138" t="inlineStr">
        <is>
          <t xml:space="preserve">    PromoteResolvedReviewItems</t>
        </is>
      </c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  <c r="AU27" s="112" t="n"/>
      <c r="AV27" s="112" t="n"/>
      <c r="AW27" s="112" t="n"/>
      <c r="AX27" s="112" t="n"/>
      <c r="AY27" s="112" t="n"/>
      <c r="AZ27" s="112" t="n"/>
      <c r="BA27" s="112" t="n"/>
      <c r="BB27" s="112" t="n"/>
      <c r="BC27" s="112" t="n"/>
      <c r="BD27" s="112" t="n"/>
      <c r="BE27" s="112" t="n"/>
      <c r="BF27" s="112" t="n"/>
      <c r="BG27" s="112" t="n"/>
      <c r="BH27" s="112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138" t="inlineStr">
        <is>
          <t xml:space="preserve">    UpdateDashboards</t>
        </is>
      </c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117" t="n"/>
      <c r="R28" s="117" t="n"/>
      <c r="S28" s="117" t="n"/>
      <c r="T28" s="117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  <c r="AU28" s="112" t="n"/>
      <c r="AV28" s="112" t="n"/>
      <c r="AW28" s="112" t="n"/>
      <c r="AX28" s="112" t="n"/>
      <c r="AY28" s="112" t="n"/>
      <c r="AZ28" s="112" t="n"/>
      <c r="BA28" s="112" t="n"/>
      <c r="BB28" s="112" t="n"/>
      <c r="BC28" s="112" t="n"/>
      <c r="BD28" s="112" t="n"/>
      <c r="BE28" s="112" t="n"/>
      <c r="BF28" s="112" t="n"/>
      <c r="BG28" s="112" t="n"/>
      <c r="BH28" s="112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138" t="inlineStr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  <c r="AU29" s="112" t="n"/>
      <c r="AV29" s="112" t="n"/>
      <c r="AW29" s="112" t="n"/>
      <c r="AX29" s="112" t="n"/>
      <c r="AY29" s="112" t="n"/>
      <c r="AZ29" s="112" t="n"/>
      <c r="BA29" s="112" t="n"/>
      <c r="BB29" s="112" t="n"/>
      <c r="BC29" s="112" t="n"/>
      <c r="BD29" s="112" t="n"/>
      <c r="BE29" s="112" t="n"/>
      <c r="BF29" s="112" t="n"/>
      <c r="BG29" s="112" t="n"/>
      <c r="BH29" s="112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138" t="inlineStr">
        <is>
          <t xml:space="preserve">    LogRun "END", "RunPipeline completed"</t>
        </is>
      </c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117" t="n"/>
      <c r="R30" s="117" t="n"/>
      <c r="S30" s="117" t="n"/>
      <c r="T30" s="117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  <c r="AU30" s="112" t="n"/>
      <c r="AV30" s="112" t="n"/>
      <c r="AW30" s="112" t="n"/>
      <c r="AX30" s="112" t="n"/>
      <c r="AY30" s="112" t="n"/>
      <c r="AZ30" s="112" t="n"/>
      <c r="BA30" s="112" t="n"/>
      <c r="BB30" s="112" t="n"/>
      <c r="BC30" s="112" t="n"/>
      <c r="BD30" s="112" t="n"/>
      <c r="BE30" s="112" t="n"/>
      <c r="BF30" s="112" t="n"/>
      <c r="BG30" s="112" t="n"/>
      <c r="BH30" s="112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138" t="inlineStr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  <c r="AU31" s="112" t="n"/>
      <c r="AV31" s="112" t="n"/>
      <c r="AW31" s="112" t="n"/>
      <c r="AX31" s="112" t="n"/>
      <c r="AY31" s="112" t="n"/>
      <c r="AZ31" s="112" t="n"/>
      <c r="BA31" s="112" t="n"/>
      <c r="BB31" s="112" t="n"/>
      <c r="BC31" s="112" t="n"/>
      <c r="BD31" s="112" t="n"/>
      <c r="BE31" s="112" t="n"/>
      <c r="BF31" s="112" t="n"/>
      <c r="BG31" s="112" t="n"/>
      <c r="BH31" s="112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138" t="inlineStr">
        <is>
          <t>CleanExit:</t>
        </is>
      </c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  <c r="AU32" s="112" t="n"/>
      <c r="AV32" s="112" t="n"/>
      <c r="AW32" s="112" t="n"/>
      <c r="AX32" s="112" t="n"/>
      <c r="AY32" s="112" t="n"/>
      <c r="AZ32" s="112" t="n"/>
      <c r="BA32" s="112" t="n"/>
      <c r="BB32" s="112" t="n"/>
      <c r="BC32" s="112" t="n"/>
      <c r="BD32" s="112" t="n"/>
      <c r="BE32" s="112" t="n"/>
      <c r="BF32" s="112" t="n"/>
      <c r="BG32" s="112" t="n"/>
      <c r="BH32" s="112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138" t="inlineStr">
        <is>
          <t xml:space="preserve">    Application.Calculation = xlCalculationAutomatic</t>
        </is>
      </c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  <c r="AU33" s="112" t="n"/>
      <c r="AV33" s="112" t="n"/>
      <c r="AW33" s="112" t="n"/>
      <c r="AX33" s="112" t="n"/>
      <c r="AY33" s="112" t="n"/>
      <c r="AZ33" s="112" t="n"/>
      <c r="BA33" s="112" t="n"/>
      <c r="BB33" s="112" t="n"/>
      <c r="BC33" s="112" t="n"/>
      <c r="BD33" s="112" t="n"/>
      <c r="BE33" s="112" t="n"/>
      <c r="BF33" s="112" t="n"/>
      <c r="BG33" s="112" t="n"/>
      <c r="BH33" s="112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138" t="inlineStr">
        <is>
          <t xml:space="preserve">    Application.EnableEvents = True</t>
        </is>
      </c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117" t="n"/>
      <c r="R34" s="117" t="n"/>
      <c r="S34" s="117" t="n"/>
      <c r="T34" s="117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  <c r="AU34" s="112" t="n"/>
      <c r="AV34" s="112" t="n"/>
      <c r="AW34" s="112" t="n"/>
      <c r="AX34" s="112" t="n"/>
      <c r="AY34" s="112" t="n"/>
      <c r="AZ34" s="112" t="n"/>
      <c r="BA34" s="112" t="n"/>
      <c r="BB34" s="112" t="n"/>
      <c r="BC34" s="112" t="n"/>
      <c r="BD34" s="112" t="n"/>
      <c r="BE34" s="112" t="n"/>
      <c r="BF34" s="112" t="n"/>
      <c r="BG34" s="112" t="n"/>
      <c r="BH34" s="112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138" t="inlineStr">
        <is>
          <t xml:space="preserve">    Application.ScreenUpdating = True</t>
        </is>
      </c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  <c r="AU35" s="112" t="n"/>
      <c r="AV35" s="112" t="n"/>
      <c r="AW35" s="112" t="n"/>
      <c r="AX35" s="112" t="n"/>
      <c r="AY35" s="112" t="n"/>
      <c r="AZ35" s="112" t="n"/>
      <c r="BA35" s="112" t="n"/>
      <c r="BB35" s="112" t="n"/>
      <c r="BC35" s="112" t="n"/>
      <c r="BD35" s="112" t="n"/>
      <c r="BE35" s="112" t="n"/>
      <c r="BF35" s="112" t="n"/>
      <c r="BG35" s="112" t="n"/>
      <c r="BH35" s="112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138" t="inlineStr">
        <is>
          <t xml:space="preserve">    Exit Sub</t>
        </is>
      </c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117" t="n"/>
      <c r="R36" s="117" t="n"/>
      <c r="S36" s="117" t="n"/>
      <c r="T36" s="117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  <c r="AU36" s="112" t="n"/>
      <c r="AV36" s="112" t="n"/>
      <c r="AW36" s="112" t="n"/>
      <c r="AX36" s="112" t="n"/>
      <c r="AY36" s="112" t="n"/>
      <c r="AZ36" s="112" t="n"/>
      <c r="BA36" s="112" t="n"/>
      <c r="BB36" s="112" t="n"/>
      <c r="BC36" s="112" t="n"/>
      <c r="BD36" s="112" t="n"/>
      <c r="BE36" s="112" t="n"/>
      <c r="BF36" s="112" t="n"/>
      <c r="BG36" s="112" t="n"/>
      <c r="BH36" s="112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138" t="inlineStr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  <c r="AU37" s="112" t="n"/>
      <c r="AV37" s="112" t="n"/>
      <c r="AW37" s="112" t="n"/>
      <c r="AX37" s="112" t="n"/>
      <c r="AY37" s="112" t="n"/>
      <c r="AZ37" s="112" t="n"/>
      <c r="BA37" s="112" t="n"/>
      <c r="BB37" s="112" t="n"/>
      <c r="BC37" s="112" t="n"/>
      <c r="BD37" s="112" t="n"/>
      <c r="BE37" s="112" t="n"/>
      <c r="BF37" s="112" t="n"/>
      <c r="BG37" s="112" t="n"/>
      <c r="BH37" s="112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138" t="inlineStr">
        <is>
          <t>EH:</t>
        </is>
      </c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117" t="n"/>
      <c r="R38" s="117" t="n"/>
      <c r="S38" s="117" t="n"/>
      <c r="T38" s="117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  <c r="AU38" s="112" t="n"/>
      <c r="AV38" s="112" t="n"/>
      <c r="AW38" s="112" t="n"/>
      <c r="AX38" s="112" t="n"/>
      <c r="AY38" s="112" t="n"/>
      <c r="AZ38" s="112" t="n"/>
      <c r="BA38" s="112" t="n"/>
      <c r="BB38" s="112" t="n"/>
      <c r="BC38" s="112" t="n"/>
      <c r="BD38" s="112" t="n"/>
      <c r="BE38" s="112" t="n"/>
      <c r="BF38" s="112" t="n"/>
      <c r="BG38" s="112" t="n"/>
      <c r="BH38" s="112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138" t="inlineStr">
        <is>
          <t xml:space="preserve">    LogRun "ERROR", CStr(Err.Number) &amp; " - " &amp; Err.Description</t>
        </is>
      </c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  <c r="AU39" s="112" t="n"/>
      <c r="AV39" s="112" t="n"/>
      <c r="AW39" s="112" t="n"/>
      <c r="AX39" s="112" t="n"/>
      <c r="AY39" s="112" t="n"/>
      <c r="AZ39" s="112" t="n"/>
      <c r="BA39" s="112" t="n"/>
      <c r="BB39" s="112" t="n"/>
      <c r="BC39" s="112" t="n"/>
      <c r="BD39" s="112" t="n"/>
      <c r="BE39" s="112" t="n"/>
      <c r="BF39" s="112" t="n"/>
      <c r="BG39" s="112" t="n"/>
      <c r="BH39" s="112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138" t="inlineStr">
        <is>
          <t xml:space="preserve">    Resume CleanExit</t>
        </is>
      </c>
      <c r="B40" s="117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117" t="n"/>
      <c r="R40" s="117" t="n"/>
      <c r="S40" s="117" t="n"/>
      <c r="T40" s="117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  <c r="AU40" s="112" t="n"/>
      <c r="AV40" s="112" t="n"/>
      <c r="AW40" s="112" t="n"/>
      <c r="AX40" s="112" t="n"/>
      <c r="AY40" s="112" t="n"/>
      <c r="AZ40" s="112" t="n"/>
      <c r="BA40" s="112" t="n"/>
      <c r="BB40" s="112" t="n"/>
      <c r="BC40" s="112" t="n"/>
      <c r="BD40" s="112" t="n"/>
      <c r="BE40" s="112" t="n"/>
      <c r="BF40" s="112" t="n"/>
      <c r="BG40" s="112" t="n"/>
      <c r="BH40" s="112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138" t="inlineStr">
        <is>
          <t>End Sub</t>
        </is>
      </c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  <c r="AU41" s="112" t="n"/>
      <c r="AV41" s="112" t="n"/>
      <c r="AW41" s="112" t="n"/>
      <c r="AX41" s="112" t="n"/>
      <c r="AY41" s="112" t="n"/>
      <c r="AZ41" s="112" t="n"/>
      <c r="BA41" s="112" t="n"/>
      <c r="BB41" s="112" t="n"/>
      <c r="BC41" s="112" t="n"/>
      <c r="BD41" s="112" t="n"/>
      <c r="BE41" s="112" t="n"/>
      <c r="BF41" s="112" t="n"/>
      <c r="BG41" s="112" t="n"/>
      <c r="BH41" s="112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138" t="inlineStr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  <c r="AU42" s="112" t="n"/>
      <c r="AV42" s="112" t="n"/>
      <c r="AW42" s="112" t="n"/>
      <c r="AX42" s="112" t="n"/>
      <c r="AY42" s="112" t="n"/>
      <c r="AZ42" s="112" t="n"/>
      <c r="BA42" s="112" t="n"/>
      <c r="BB42" s="112" t="n"/>
      <c r="BC42" s="112" t="n"/>
      <c r="BD42" s="112" t="n"/>
      <c r="BE42" s="112" t="n"/>
      <c r="BF42" s="112" t="n"/>
      <c r="BG42" s="112" t="n"/>
      <c r="BH42" s="112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138" t="inlineStr">
        <is>
          <t>Public Sub RefreshAllConnections()</t>
        </is>
      </c>
      <c r="B43" s="117" t="n"/>
      <c r="C43" s="117" t="n"/>
      <c r="D43" s="117" t="n"/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17" t="n"/>
      <c r="N43" s="117" t="n"/>
      <c r="O43" s="117" t="n"/>
      <c r="P43" s="117" t="n"/>
      <c r="Q43" s="117" t="n"/>
      <c r="R43" s="117" t="n"/>
      <c r="S43" s="117" t="n"/>
      <c r="T43" s="117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  <c r="AU43" s="112" t="n"/>
      <c r="AV43" s="112" t="n"/>
      <c r="AW43" s="112" t="n"/>
      <c r="AX43" s="112" t="n"/>
      <c r="AY43" s="112" t="n"/>
      <c r="AZ43" s="112" t="n"/>
      <c r="BA43" s="112" t="n"/>
      <c r="BB43" s="112" t="n"/>
      <c r="BC43" s="112" t="n"/>
      <c r="BD43" s="112" t="n"/>
      <c r="BE43" s="112" t="n"/>
      <c r="BF43" s="112" t="n"/>
      <c r="BG43" s="112" t="n"/>
      <c r="BH43" s="112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138" t="inlineStr">
        <is>
          <t xml:space="preserve">    On Error GoTo EH</t>
        </is>
      </c>
      <c r="B44" s="117" t="n"/>
      <c r="C44" s="117" t="n"/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17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  <c r="AU44" s="112" t="n"/>
      <c r="AV44" s="112" t="n"/>
      <c r="AW44" s="112" t="n"/>
      <c r="AX44" s="112" t="n"/>
      <c r="AY44" s="112" t="n"/>
      <c r="AZ44" s="112" t="n"/>
      <c r="BA44" s="112" t="n"/>
      <c r="BB44" s="112" t="n"/>
      <c r="BC44" s="112" t="n"/>
      <c r="BD44" s="112" t="n"/>
      <c r="BE44" s="112" t="n"/>
      <c r="BF44" s="112" t="n"/>
      <c r="BG44" s="112" t="n"/>
      <c r="BH44" s="112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138" t="inlineStr">
        <is>
          <t xml:space="preserve">    LogRun "STEP", "RefreshAllConnections"</t>
        </is>
      </c>
      <c r="B45" s="117" t="n"/>
      <c r="C45" s="117" t="n"/>
      <c r="D45" s="117" t="n"/>
      <c r="E45" s="117" t="n"/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117" t="n"/>
      <c r="R45" s="117" t="n"/>
      <c r="S45" s="117" t="n"/>
      <c r="T45" s="117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  <c r="AU45" s="112" t="n"/>
      <c r="AV45" s="112" t="n"/>
      <c r="AW45" s="112" t="n"/>
      <c r="AX45" s="112" t="n"/>
      <c r="AY45" s="112" t="n"/>
      <c r="AZ45" s="112" t="n"/>
      <c r="BA45" s="112" t="n"/>
      <c r="BB45" s="112" t="n"/>
      <c r="BC45" s="112" t="n"/>
      <c r="BD45" s="112" t="n"/>
      <c r="BE45" s="112" t="n"/>
      <c r="BF45" s="112" t="n"/>
      <c r="BG45" s="112" t="n"/>
      <c r="BH45" s="112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138" t="inlineStr">
        <is>
          <t xml:space="preserve">    ThisWorkbook.RefreshAll</t>
        </is>
      </c>
      <c r="B46" s="117" t="n"/>
      <c r="C46" s="117" t="n"/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117" t="n"/>
      <c r="R46" s="117" t="n"/>
      <c r="S46" s="117" t="n"/>
      <c r="T46" s="117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  <c r="AU46" s="112" t="n"/>
      <c r="AV46" s="112" t="n"/>
      <c r="AW46" s="112" t="n"/>
      <c r="AX46" s="112" t="n"/>
      <c r="AY46" s="112" t="n"/>
      <c r="AZ46" s="112" t="n"/>
      <c r="BA46" s="112" t="n"/>
      <c r="BB46" s="112" t="n"/>
      <c r="BC46" s="112" t="n"/>
      <c r="BD46" s="112" t="n"/>
      <c r="BE46" s="112" t="n"/>
      <c r="BF46" s="112" t="n"/>
      <c r="BG46" s="112" t="n"/>
      <c r="BH46" s="112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138" t="inlineStr">
        <is>
          <t xml:space="preserve">    DoEvents</t>
        </is>
      </c>
      <c r="B47" s="117" t="n"/>
      <c r="C47" s="117" t="n"/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117" t="n"/>
      <c r="R47" s="117" t="n"/>
      <c r="S47" s="117" t="n"/>
      <c r="T47" s="117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  <c r="AU47" s="112" t="n"/>
      <c r="AV47" s="112" t="n"/>
      <c r="AW47" s="112" t="n"/>
      <c r="AX47" s="112" t="n"/>
      <c r="AY47" s="112" t="n"/>
      <c r="AZ47" s="112" t="n"/>
      <c r="BA47" s="112" t="n"/>
      <c r="BB47" s="112" t="n"/>
      <c r="BC47" s="112" t="n"/>
      <c r="BD47" s="112" t="n"/>
      <c r="BE47" s="112" t="n"/>
      <c r="BF47" s="112" t="n"/>
      <c r="BG47" s="112" t="n"/>
      <c r="BH47" s="112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138" t="inlineStr">
        <is>
          <t xml:space="preserve">    Exit Sub</t>
        </is>
      </c>
      <c r="B48" s="117" t="n"/>
      <c r="C48" s="117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  <c r="AU48" s="112" t="n"/>
      <c r="AV48" s="112" t="n"/>
      <c r="AW48" s="112" t="n"/>
      <c r="AX48" s="112" t="n"/>
      <c r="AY48" s="112" t="n"/>
      <c r="AZ48" s="112" t="n"/>
      <c r="BA48" s="112" t="n"/>
      <c r="BB48" s="112" t="n"/>
      <c r="BC48" s="112" t="n"/>
      <c r="BD48" s="112" t="n"/>
      <c r="BE48" s="112" t="n"/>
      <c r="BF48" s="112" t="n"/>
      <c r="BG48" s="112" t="n"/>
      <c r="BH48" s="112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138" t="inlineStr">
        <is>
          <t>EH:</t>
        </is>
      </c>
      <c r="B49" s="117" t="n"/>
      <c r="C49" s="117" t="n"/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7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  <c r="AU49" s="112" t="n"/>
      <c r="AV49" s="112" t="n"/>
      <c r="AW49" s="112" t="n"/>
      <c r="AX49" s="112" t="n"/>
      <c r="AY49" s="112" t="n"/>
      <c r="AZ49" s="112" t="n"/>
      <c r="BA49" s="112" t="n"/>
      <c r="BB49" s="112" t="n"/>
      <c r="BC49" s="112" t="n"/>
      <c r="BD49" s="112" t="n"/>
      <c r="BE49" s="112" t="n"/>
      <c r="BF49" s="112" t="n"/>
      <c r="BG49" s="112" t="n"/>
      <c r="BH49" s="112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138" t="inlineStr">
        <is>
          <t xml:space="preserve">    LogRun "ERROR", "RefreshAllConnections: " &amp; Err.Description</t>
        </is>
      </c>
      <c r="B50" s="117" t="n"/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7" t="n"/>
      <c r="R50" s="117" t="n"/>
      <c r="S50" s="117" t="n"/>
      <c r="T50" s="117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  <c r="AU50" s="112" t="n"/>
      <c r="AV50" s="112" t="n"/>
      <c r="AW50" s="112" t="n"/>
      <c r="AX50" s="112" t="n"/>
      <c r="AY50" s="112" t="n"/>
      <c r="AZ50" s="112" t="n"/>
      <c r="BA50" s="112" t="n"/>
      <c r="BB50" s="112" t="n"/>
      <c r="BC50" s="112" t="n"/>
      <c r="BD50" s="112" t="n"/>
      <c r="BE50" s="112" t="n"/>
      <c r="BF50" s="112" t="n"/>
      <c r="BG50" s="112" t="n"/>
      <c r="BH50" s="112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138" t="inlineStr">
        <is>
          <t>End Sub</t>
        </is>
      </c>
      <c r="B51" s="117" t="n"/>
      <c r="C51" s="117" t="n"/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7" t="n"/>
      <c r="R51" s="117" t="n"/>
      <c r="S51" s="117" t="n"/>
      <c r="T51" s="117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  <c r="AU51" s="112" t="n"/>
      <c r="AV51" s="112" t="n"/>
      <c r="AW51" s="112" t="n"/>
      <c r="AX51" s="112" t="n"/>
      <c r="AY51" s="112" t="n"/>
      <c r="AZ51" s="112" t="n"/>
      <c r="BA51" s="112" t="n"/>
      <c r="BB51" s="112" t="n"/>
      <c r="BC51" s="112" t="n"/>
      <c r="BD51" s="112" t="n"/>
      <c r="BE51" s="112" t="n"/>
      <c r="BF51" s="112" t="n"/>
      <c r="BG51" s="112" t="n"/>
      <c r="BH51" s="112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138" t="inlineStr"/>
      <c r="B52" s="117" t="n"/>
      <c r="C52" s="117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117" t="n"/>
      <c r="R52" s="117" t="n"/>
      <c r="S52" s="117" t="n"/>
      <c r="T52" s="117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  <c r="AU52" s="112" t="n"/>
      <c r="AV52" s="112" t="n"/>
      <c r="AW52" s="112" t="n"/>
      <c r="AX52" s="112" t="n"/>
      <c r="AY52" s="112" t="n"/>
      <c r="AZ52" s="112" t="n"/>
      <c r="BA52" s="112" t="n"/>
      <c r="BB52" s="112" t="n"/>
      <c r="BC52" s="112" t="n"/>
      <c r="BD52" s="112" t="n"/>
      <c r="BE52" s="112" t="n"/>
      <c r="BF52" s="112" t="n"/>
      <c r="BG52" s="112" t="n"/>
      <c r="BH52" s="112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138" t="inlineStr">
        <is>
          <t>Public Sub ValidateAllowlistEvidence()</t>
        </is>
      </c>
      <c r="B53" s="117" t="n"/>
      <c r="C53" s="117" t="n"/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117" t="n"/>
      <c r="R53" s="117" t="n"/>
      <c r="S53" s="117" t="n"/>
      <c r="T53" s="117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  <c r="AU53" s="112" t="n"/>
      <c r="AV53" s="112" t="n"/>
      <c r="AW53" s="112" t="n"/>
      <c r="AX53" s="112" t="n"/>
      <c r="AY53" s="112" t="n"/>
      <c r="AZ53" s="112" t="n"/>
      <c r="BA53" s="112" t="n"/>
      <c r="BB53" s="112" t="n"/>
      <c r="BC53" s="112" t="n"/>
      <c r="BD53" s="112" t="n"/>
      <c r="BE53" s="112" t="n"/>
      <c r="BF53" s="112" t="n"/>
      <c r="BG53" s="112" t="n"/>
      <c r="BH53" s="112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138" t="inlineStr">
        <is>
          <t xml:space="preserve">    On Error GoTo EH</t>
        </is>
      </c>
      <c r="B54" s="117" t="n"/>
      <c r="C54" s="117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117" t="n"/>
      <c r="R54" s="117" t="n"/>
      <c r="S54" s="117" t="n"/>
      <c r="T54" s="117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  <c r="AU54" s="112" t="n"/>
      <c r="AV54" s="112" t="n"/>
      <c r="AW54" s="112" t="n"/>
      <c r="AX54" s="112" t="n"/>
      <c r="AY54" s="112" t="n"/>
      <c r="AZ54" s="112" t="n"/>
      <c r="BA54" s="112" t="n"/>
      <c r="BB54" s="112" t="n"/>
      <c r="BC54" s="112" t="n"/>
      <c r="BD54" s="112" t="n"/>
      <c r="BE54" s="112" t="n"/>
      <c r="BF54" s="112" t="n"/>
      <c r="BG54" s="112" t="n"/>
      <c r="BH54" s="112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138" t="inlineStr">
        <is>
          <t xml:space="preserve">    LogRun "STEP", "ValidateAllowlistEvidence"</t>
        </is>
      </c>
      <c r="B55" s="117" t="n"/>
      <c r="C55" s="117" t="n"/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7" t="n"/>
      <c r="R55" s="117" t="n"/>
      <c r="S55" s="117" t="n"/>
      <c r="T55" s="117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  <c r="AU55" s="112" t="n"/>
      <c r="AV55" s="112" t="n"/>
      <c r="AW55" s="112" t="n"/>
      <c r="AX55" s="112" t="n"/>
      <c r="AY55" s="112" t="n"/>
      <c r="AZ55" s="112" t="n"/>
      <c r="BA55" s="112" t="n"/>
      <c r="BB55" s="112" t="n"/>
      <c r="BC55" s="112" t="n"/>
      <c r="BD55" s="112" t="n"/>
      <c r="BE55" s="112" t="n"/>
      <c r="BF55" s="112" t="n"/>
      <c r="BG55" s="112" t="n"/>
      <c r="BH55" s="112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138" t="inlineStr"/>
      <c r="B56" s="117" t="n"/>
      <c r="C56" s="117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7" t="n"/>
      <c r="R56" s="117" t="n"/>
      <c r="S56" s="117" t="n"/>
      <c r="T56" s="117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  <c r="AU56" s="112" t="n"/>
      <c r="AV56" s="112" t="n"/>
      <c r="AW56" s="112" t="n"/>
      <c r="AX56" s="112" t="n"/>
      <c r="AY56" s="112" t="n"/>
      <c r="AZ56" s="112" t="n"/>
      <c r="BA56" s="112" t="n"/>
      <c r="BB56" s="112" t="n"/>
      <c r="BC56" s="112" t="n"/>
      <c r="BD56" s="112" t="n"/>
      <c r="BE56" s="112" t="n"/>
      <c r="BF56" s="112" t="n"/>
      <c r="BG56" s="112" t="n"/>
      <c r="BH56" s="112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138" t="inlineStr">
        <is>
          <t xml:space="preserve">    Dim ws As Worksheet: Set ws = ThisWorkbook.Worksheets("Input")</t>
        </is>
      </c>
      <c r="B57" s="117" t="n"/>
      <c r="C57" s="117" t="n"/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117" t="n"/>
      <c r="R57" s="117" t="n"/>
      <c r="S57" s="117" t="n"/>
      <c r="T57" s="117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  <c r="AU57" s="112" t="n"/>
      <c r="AV57" s="112" t="n"/>
      <c r="AW57" s="112" t="n"/>
      <c r="AX57" s="112" t="n"/>
      <c r="AY57" s="112" t="n"/>
      <c r="AZ57" s="112" t="n"/>
      <c r="BA57" s="112" t="n"/>
      <c r="BB57" s="112" t="n"/>
      <c r="BC57" s="112" t="n"/>
      <c r="BD57" s="112" t="n"/>
      <c r="BE57" s="112" t="n"/>
      <c r="BF57" s="112" t="n"/>
      <c r="BG57" s="112" t="n"/>
      <c r="BH57" s="112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138" t="inlineStr">
        <is>
          <t xml:space="preserve">    Dim lo As ListObject: Set lo = ws.ListObjects("tblEvidence")</t>
        </is>
      </c>
      <c r="B58" s="117" t="n"/>
      <c r="C58" s="117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117" t="n"/>
      <c r="R58" s="117" t="n"/>
      <c r="S58" s="117" t="n"/>
      <c r="T58" s="117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  <c r="AU58" s="112" t="n"/>
      <c r="AV58" s="112" t="n"/>
      <c r="AW58" s="112" t="n"/>
      <c r="AX58" s="112" t="n"/>
      <c r="AY58" s="112" t="n"/>
      <c r="AZ58" s="112" t="n"/>
      <c r="BA58" s="112" t="n"/>
      <c r="BB58" s="112" t="n"/>
      <c r="BC58" s="112" t="n"/>
      <c r="BD58" s="112" t="n"/>
      <c r="BE58" s="112" t="n"/>
      <c r="BF58" s="112" t="n"/>
      <c r="BG58" s="112" t="n"/>
      <c r="BH58" s="112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138" t="inlineStr">
        <is>
          <t xml:space="preserve">    Dim okCol As Long: okCol = lo.ListColumns("allowlist_ok").Index</t>
        </is>
      </c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117" t="n"/>
      <c r="R59" s="117" t="n"/>
      <c r="S59" s="117" t="n"/>
      <c r="T59" s="117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  <c r="AU59" s="112" t="n"/>
      <c r="AV59" s="112" t="n"/>
      <c r="AW59" s="112" t="n"/>
      <c r="AX59" s="112" t="n"/>
      <c r="AY59" s="112" t="n"/>
      <c r="AZ59" s="112" t="n"/>
      <c r="BA59" s="112" t="n"/>
      <c r="BB59" s="112" t="n"/>
      <c r="BC59" s="112" t="n"/>
      <c r="BD59" s="112" t="n"/>
      <c r="BE59" s="112" t="n"/>
      <c r="BF59" s="112" t="n"/>
      <c r="BG59" s="112" t="n"/>
      <c r="BH59" s="112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138" t="inlineStr"/>
      <c r="B60" s="117" t="n"/>
      <c r="C60" s="117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  <c r="AU60" s="112" t="n"/>
      <c r="AV60" s="112" t="n"/>
      <c r="AW60" s="112" t="n"/>
      <c r="AX60" s="112" t="n"/>
      <c r="AY60" s="112" t="n"/>
      <c r="AZ60" s="112" t="n"/>
      <c r="BA60" s="112" t="n"/>
      <c r="BB60" s="112" t="n"/>
      <c r="BC60" s="112" t="n"/>
      <c r="BD60" s="112" t="n"/>
      <c r="BE60" s="112" t="n"/>
      <c r="BF60" s="112" t="n"/>
      <c r="BG60" s="112" t="n"/>
      <c r="BH60" s="112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138" t="inlineStr">
        <is>
          <t xml:space="preserve">    Dim bad As Long</t>
        </is>
      </c>
      <c r="B61" s="117" t="n"/>
      <c r="C61" s="117" t="n"/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  <c r="AU61" s="112" t="n"/>
      <c r="AV61" s="112" t="n"/>
      <c r="AW61" s="112" t="n"/>
      <c r="AX61" s="112" t="n"/>
      <c r="AY61" s="112" t="n"/>
      <c r="AZ61" s="112" t="n"/>
      <c r="BA61" s="112" t="n"/>
      <c r="BB61" s="112" t="n"/>
      <c r="BC61" s="112" t="n"/>
      <c r="BD61" s="112" t="n"/>
      <c r="BE61" s="112" t="n"/>
      <c r="BF61" s="112" t="n"/>
      <c r="BG61" s="112" t="n"/>
      <c r="BH61" s="112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138" t="inlineStr">
        <is>
          <t xml:space="preserve">    bad = Application.WorksheetFunction.CountIf(lo.DataBodyRange.Columns(okCol), "&lt;&gt;TRUE")</t>
        </is>
      </c>
      <c r="B62" s="117" t="n"/>
      <c r="C62" s="117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  <c r="AU62" s="112" t="n"/>
      <c r="AV62" s="112" t="n"/>
      <c r="AW62" s="112" t="n"/>
      <c r="AX62" s="112" t="n"/>
      <c r="AY62" s="112" t="n"/>
      <c r="AZ62" s="112" t="n"/>
      <c r="BA62" s="112" t="n"/>
      <c r="BB62" s="112" t="n"/>
      <c r="BC62" s="112" t="n"/>
      <c r="BD62" s="112" t="n"/>
      <c r="BE62" s="112" t="n"/>
      <c r="BF62" s="112" t="n"/>
      <c r="BG62" s="112" t="n"/>
      <c r="BH62" s="112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138" t="inlineStr"/>
      <c r="B63" s="117" t="n"/>
      <c r="C63" s="117" t="n"/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  <c r="AU63" s="112" t="n"/>
      <c r="AV63" s="112" t="n"/>
      <c r="AW63" s="112" t="n"/>
      <c r="AX63" s="112" t="n"/>
      <c r="AY63" s="112" t="n"/>
      <c r="AZ63" s="112" t="n"/>
      <c r="BA63" s="112" t="n"/>
      <c r="BB63" s="112" t="n"/>
      <c r="BC63" s="112" t="n"/>
      <c r="BD63" s="112" t="n"/>
      <c r="BE63" s="112" t="n"/>
      <c r="BF63" s="112" t="n"/>
      <c r="BG63" s="112" t="n"/>
      <c r="BH63" s="112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138" t="inlineStr">
        <is>
          <t xml:space="preserve">    If bad &gt; 0 Then</t>
        </is>
      </c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  <c r="AU64" s="112" t="n"/>
      <c r="AV64" s="112" t="n"/>
      <c r="AW64" s="112" t="n"/>
      <c r="AX64" s="112" t="n"/>
      <c r="AY64" s="112" t="n"/>
      <c r="AZ64" s="112" t="n"/>
      <c r="BA64" s="112" t="n"/>
      <c r="BB64" s="112" t="n"/>
      <c r="BC64" s="112" t="n"/>
      <c r="BD64" s="112" t="n"/>
      <c r="BE64" s="112" t="n"/>
      <c r="BF64" s="112" t="n"/>
      <c r="BG64" s="112" t="n"/>
      <c r="BH64" s="112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138" t="inlineStr">
        <is>
          <t xml:space="preserve">        LogRun "WARN", "Evidence allowlist violations: " &amp; bad</t>
        </is>
      </c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  <c r="AU65" s="112" t="n"/>
      <c r="AV65" s="112" t="n"/>
      <c r="AW65" s="112" t="n"/>
      <c r="AX65" s="112" t="n"/>
      <c r="AY65" s="112" t="n"/>
      <c r="AZ65" s="112" t="n"/>
      <c r="BA65" s="112" t="n"/>
      <c r="BB65" s="112" t="n"/>
      <c r="BC65" s="112" t="n"/>
      <c r="BD65" s="112" t="n"/>
      <c r="BE65" s="112" t="n"/>
      <c r="BF65" s="112" t="n"/>
      <c r="BG65" s="112" t="n"/>
      <c r="BH65" s="112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138" t="inlineStr">
        <is>
          <t xml:space="preserve">    Else</t>
        </is>
      </c>
      <c r="B66" s="117" t="n"/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  <c r="AU66" s="112" t="n"/>
      <c r="AV66" s="112" t="n"/>
      <c r="AW66" s="112" t="n"/>
      <c r="AX66" s="112" t="n"/>
      <c r="AY66" s="112" t="n"/>
      <c r="AZ66" s="112" t="n"/>
      <c r="BA66" s="112" t="n"/>
      <c r="BB66" s="112" t="n"/>
      <c r="BC66" s="112" t="n"/>
      <c r="BD66" s="112" t="n"/>
      <c r="BE66" s="112" t="n"/>
      <c r="BF66" s="112" t="n"/>
      <c r="BG66" s="112" t="n"/>
      <c r="BH66" s="112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138" t="inlineStr">
        <is>
          <t xml:space="preserve">        LogRun "OK", "Evidence allowlist OK"</t>
        </is>
      </c>
      <c r="B67" s="117" t="n"/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  <c r="AU67" s="112" t="n"/>
      <c r="AV67" s="112" t="n"/>
      <c r="AW67" s="112" t="n"/>
      <c r="AX67" s="112" t="n"/>
      <c r="AY67" s="112" t="n"/>
      <c r="AZ67" s="112" t="n"/>
      <c r="BA67" s="112" t="n"/>
      <c r="BB67" s="112" t="n"/>
      <c r="BC67" s="112" t="n"/>
      <c r="BD67" s="112" t="n"/>
      <c r="BE67" s="112" t="n"/>
      <c r="BF67" s="112" t="n"/>
      <c r="BG67" s="112" t="n"/>
      <c r="BH67" s="112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138" t="inlineStr">
        <is>
          <t xml:space="preserve">    End If</t>
        </is>
      </c>
      <c r="B68" s="117" t="n"/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  <c r="AU68" s="112" t="n"/>
      <c r="AV68" s="112" t="n"/>
      <c r="AW68" s="112" t="n"/>
      <c r="AX68" s="112" t="n"/>
      <c r="AY68" s="112" t="n"/>
      <c r="AZ68" s="112" t="n"/>
      <c r="BA68" s="112" t="n"/>
      <c r="BB68" s="112" t="n"/>
      <c r="BC68" s="112" t="n"/>
      <c r="BD68" s="112" t="n"/>
      <c r="BE68" s="112" t="n"/>
      <c r="BF68" s="112" t="n"/>
      <c r="BG68" s="112" t="n"/>
      <c r="BH68" s="112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138" t="inlineStr">
        <is>
          <t xml:space="preserve">    Exit Sub</t>
        </is>
      </c>
      <c r="B69" s="117" t="n"/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  <c r="AU69" s="112" t="n"/>
      <c r="AV69" s="112" t="n"/>
      <c r="AW69" s="112" t="n"/>
      <c r="AX69" s="112" t="n"/>
      <c r="AY69" s="112" t="n"/>
      <c r="AZ69" s="112" t="n"/>
      <c r="BA69" s="112" t="n"/>
      <c r="BB69" s="112" t="n"/>
      <c r="BC69" s="112" t="n"/>
      <c r="BD69" s="112" t="n"/>
      <c r="BE69" s="112" t="n"/>
      <c r="BF69" s="112" t="n"/>
      <c r="BG69" s="112" t="n"/>
      <c r="BH69" s="112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138" t="inlineStr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  <c r="AU70" s="112" t="n"/>
      <c r="AV70" s="112" t="n"/>
      <c r="AW70" s="112" t="n"/>
      <c r="AX70" s="112" t="n"/>
      <c r="AY70" s="112" t="n"/>
      <c r="AZ70" s="112" t="n"/>
      <c r="BA70" s="112" t="n"/>
      <c r="BB70" s="112" t="n"/>
      <c r="BC70" s="112" t="n"/>
      <c r="BD70" s="112" t="n"/>
      <c r="BE70" s="112" t="n"/>
      <c r="BF70" s="112" t="n"/>
      <c r="BG70" s="112" t="n"/>
      <c r="BH70" s="112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138" t="inlineStr">
        <is>
          <t>EH:</t>
        </is>
      </c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  <c r="AU71" s="112" t="n"/>
      <c r="AV71" s="112" t="n"/>
      <c r="AW71" s="112" t="n"/>
      <c r="AX71" s="112" t="n"/>
      <c r="AY71" s="112" t="n"/>
      <c r="AZ71" s="112" t="n"/>
      <c r="BA71" s="112" t="n"/>
      <c r="BB71" s="112" t="n"/>
      <c r="BC71" s="112" t="n"/>
      <c r="BD71" s="112" t="n"/>
      <c r="BE71" s="112" t="n"/>
      <c r="BF71" s="112" t="n"/>
      <c r="BG71" s="112" t="n"/>
      <c r="BH71" s="112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138" t="inlineStr">
        <is>
          <t xml:space="preserve">    LogRun "ERROR", "ValidateAllowlistEvidence: " &amp; Err.Description</t>
        </is>
      </c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  <c r="AU72" s="112" t="n"/>
      <c r="AV72" s="112" t="n"/>
      <c r="AW72" s="112" t="n"/>
      <c r="AX72" s="112" t="n"/>
      <c r="AY72" s="112" t="n"/>
      <c r="AZ72" s="112" t="n"/>
      <c r="BA72" s="112" t="n"/>
      <c r="BB72" s="112" t="n"/>
      <c r="BC72" s="112" t="n"/>
      <c r="BD72" s="112" t="n"/>
      <c r="BE72" s="112" t="n"/>
      <c r="BF72" s="112" t="n"/>
      <c r="BG72" s="112" t="n"/>
      <c r="BH72" s="112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138" t="inlineStr">
        <is>
          <t>End Sub</t>
        </is>
      </c>
      <c r="B73" s="117" t="n"/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117" t="n"/>
      <c r="R73" s="117" t="n"/>
      <c r="S73" s="117" t="n"/>
      <c r="T73" s="117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  <c r="AU73" s="112" t="n"/>
      <c r="AV73" s="112" t="n"/>
      <c r="AW73" s="112" t="n"/>
      <c r="AX73" s="112" t="n"/>
      <c r="AY73" s="112" t="n"/>
      <c r="AZ73" s="112" t="n"/>
      <c r="BA73" s="112" t="n"/>
      <c r="BB73" s="112" t="n"/>
      <c r="BC73" s="112" t="n"/>
      <c r="BD73" s="112" t="n"/>
      <c r="BE73" s="112" t="n"/>
      <c r="BF73" s="112" t="n"/>
      <c r="BG73" s="112" t="n"/>
      <c r="BH73" s="112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138" t="inlineStr"/>
      <c r="B74" s="117" t="n"/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117" t="n"/>
      <c r="R74" s="117" t="n"/>
      <c r="S74" s="117" t="n"/>
      <c r="T74" s="117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  <c r="AU74" s="112" t="n"/>
      <c r="AV74" s="112" t="n"/>
      <c r="AW74" s="112" t="n"/>
      <c r="AX74" s="112" t="n"/>
      <c r="AY74" s="112" t="n"/>
      <c r="AZ74" s="112" t="n"/>
      <c r="BA74" s="112" t="n"/>
      <c r="BB74" s="112" t="n"/>
      <c r="BC74" s="112" t="n"/>
      <c r="BD74" s="112" t="n"/>
      <c r="BE74" s="112" t="n"/>
      <c r="BF74" s="112" t="n"/>
      <c r="BG74" s="112" t="n"/>
      <c r="BH74" s="112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138" t="inlineStr">
        <is>
          <t>Public Sub ValidateClaimsFailClosed()</t>
        </is>
      </c>
      <c r="B75" s="117" t="n"/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117" t="n"/>
      <c r="R75" s="117" t="n"/>
      <c r="S75" s="117" t="n"/>
      <c r="T75" s="117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  <c r="AU75" s="112" t="n"/>
      <c r="AV75" s="112" t="n"/>
      <c r="AW75" s="112" t="n"/>
      <c r="AX75" s="112" t="n"/>
      <c r="AY75" s="112" t="n"/>
      <c r="AZ75" s="112" t="n"/>
      <c r="BA75" s="112" t="n"/>
      <c r="BB75" s="112" t="n"/>
      <c r="BC75" s="112" t="n"/>
      <c r="BD75" s="112" t="n"/>
      <c r="BE75" s="112" t="n"/>
      <c r="BF75" s="112" t="n"/>
      <c r="BG75" s="112" t="n"/>
      <c r="BH75" s="112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138" t="inlineStr">
        <is>
          <t xml:space="preserve">    On Error GoTo EH</t>
        </is>
      </c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117" t="n"/>
      <c r="R76" s="117" t="n"/>
      <c r="S76" s="117" t="n"/>
      <c r="T76" s="117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  <c r="AU76" s="112" t="n"/>
      <c r="AV76" s="112" t="n"/>
      <c r="AW76" s="112" t="n"/>
      <c r="AX76" s="112" t="n"/>
      <c r="AY76" s="112" t="n"/>
      <c r="AZ76" s="112" t="n"/>
      <c r="BA76" s="112" t="n"/>
      <c r="BB76" s="112" t="n"/>
      <c r="BC76" s="112" t="n"/>
      <c r="BD76" s="112" t="n"/>
      <c r="BE76" s="112" t="n"/>
      <c r="BF76" s="112" t="n"/>
      <c r="BG76" s="112" t="n"/>
      <c r="BH76" s="112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138" t="inlineStr">
        <is>
          <t xml:space="preserve">    LogRun "STEP", "ValidateClaimsFailClosed"</t>
        </is>
      </c>
      <c r="B77" s="117" t="n"/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117" t="n"/>
      <c r="R77" s="117" t="n"/>
      <c r="S77" s="117" t="n"/>
      <c r="T77" s="117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  <c r="AU77" s="112" t="n"/>
      <c r="AV77" s="112" t="n"/>
      <c r="AW77" s="112" t="n"/>
      <c r="AX77" s="112" t="n"/>
      <c r="AY77" s="112" t="n"/>
      <c r="AZ77" s="112" t="n"/>
      <c r="BA77" s="112" t="n"/>
      <c r="BB77" s="112" t="n"/>
      <c r="BC77" s="112" t="n"/>
      <c r="BD77" s="112" t="n"/>
      <c r="BE77" s="112" t="n"/>
      <c r="BF77" s="112" t="n"/>
      <c r="BG77" s="112" t="n"/>
      <c r="BH77" s="112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138" t="inlineStr"/>
      <c r="B78" s="117" t="n"/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117" t="n"/>
      <c r="R78" s="117" t="n"/>
      <c r="S78" s="117" t="n"/>
      <c r="T78" s="117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  <c r="AU78" s="112" t="n"/>
      <c r="AV78" s="112" t="n"/>
      <c r="AW78" s="112" t="n"/>
      <c r="AX78" s="112" t="n"/>
      <c r="AY78" s="112" t="n"/>
      <c r="AZ78" s="112" t="n"/>
      <c r="BA78" s="112" t="n"/>
      <c r="BB78" s="112" t="n"/>
      <c r="BC78" s="112" t="n"/>
      <c r="BD78" s="112" t="n"/>
      <c r="BE78" s="112" t="n"/>
      <c r="BF78" s="112" t="n"/>
      <c r="BG78" s="112" t="n"/>
      <c r="BH78" s="112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138" t="inlineStr">
        <is>
          <t xml:space="preserve">    Dim ws As Worksheet: Set ws = ThisWorkbook.Worksheets("Claims_Current")</t>
        </is>
      </c>
      <c r="B79" s="117" t="n"/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117" t="n"/>
      <c r="R79" s="117" t="n"/>
      <c r="S79" s="117" t="n"/>
      <c r="T79" s="117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  <c r="AU79" s="112" t="n"/>
      <c r="AV79" s="112" t="n"/>
      <c r="AW79" s="112" t="n"/>
      <c r="AX79" s="112" t="n"/>
      <c r="AY79" s="112" t="n"/>
      <c r="AZ79" s="112" t="n"/>
      <c r="BA79" s="112" t="n"/>
      <c r="BB79" s="112" t="n"/>
      <c r="BC79" s="112" t="n"/>
      <c r="BD79" s="112" t="n"/>
      <c r="BE79" s="112" t="n"/>
      <c r="BF79" s="112" t="n"/>
      <c r="BG79" s="112" t="n"/>
      <c r="BH79" s="112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138" t="inlineStr">
        <is>
          <t xml:space="preserve">    Dim lo As ListObject: Set lo = ws.ListObjects("tblClaimsCurrent")</t>
        </is>
      </c>
      <c r="B80" s="117" t="n"/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117" t="n"/>
      <c r="R80" s="117" t="n"/>
      <c r="S80" s="117" t="n"/>
      <c r="T80" s="117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  <c r="AU80" s="112" t="n"/>
      <c r="AV80" s="112" t="n"/>
      <c r="AW80" s="112" t="n"/>
      <c r="AX80" s="112" t="n"/>
      <c r="AY80" s="112" t="n"/>
      <c r="AZ80" s="112" t="n"/>
      <c r="BA80" s="112" t="n"/>
      <c r="BB80" s="112" t="n"/>
      <c r="BC80" s="112" t="n"/>
      <c r="BD80" s="112" t="n"/>
      <c r="BE80" s="112" t="n"/>
      <c r="BF80" s="112" t="n"/>
      <c r="BG80" s="112" t="n"/>
      <c r="BH80" s="112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138" t="inlineStr"/>
      <c r="B81" s="117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  <c r="AU81" s="112" t="n"/>
      <c r="AV81" s="112" t="n"/>
      <c r="AW81" s="112" t="n"/>
      <c r="AX81" s="112" t="n"/>
      <c r="AY81" s="112" t="n"/>
      <c r="AZ81" s="112" t="n"/>
      <c r="BA81" s="112" t="n"/>
      <c r="BB81" s="112" t="n"/>
      <c r="BC81" s="112" t="n"/>
      <c r="BD81" s="112" t="n"/>
      <c r="BE81" s="112" t="n"/>
      <c r="BF81" s="112" t="n"/>
      <c r="BG81" s="112" t="n"/>
      <c r="BH81" s="112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138" t="inlineStr">
        <is>
          <t xml:space="preserve">    Dim idxStatus As Long: idxStatus = lo.ListColumns("status").Index</t>
        </is>
      </c>
      <c r="B82" s="117" t="n"/>
      <c r="C82" s="117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117" t="n"/>
      <c r="R82" s="117" t="n"/>
      <c r="S82" s="117" t="n"/>
      <c r="T82" s="117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  <c r="AU82" s="112" t="n"/>
      <c r="AV82" s="112" t="n"/>
      <c r="AW82" s="112" t="n"/>
      <c r="AX82" s="112" t="n"/>
      <c r="AY82" s="112" t="n"/>
      <c r="AZ82" s="112" t="n"/>
      <c r="BA82" s="112" t="n"/>
      <c r="BB82" s="112" t="n"/>
      <c r="BC82" s="112" t="n"/>
      <c r="BD82" s="112" t="n"/>
      <c r="BE82" s="112" t="n"/>
      <c r="BF82" s="112" t="n"/>
      <c r="BG82" s="112" t="n"/>
      <c r="BH82" s="112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138" t="inlineStr">
        <is>
          <t xml:space="preserve">    Dim idxVal As Long: idxVal = lo.ListColumns("value_text").Index</t>
        </is>
      </c>
      <c r="B83" s="117" t="n"/>
      <c r="C83" s="117" t="n"/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117" t="n"/>
      <c r="R83" s="117" t="n"/>
      <c r="S83" s="117" t="n"/>
      <c r="T83" s="117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  <c r="AU83" s="112" t="n"/>
      <c r="AV83" s="112" t="n"/>
      <c r="AW83" s="112" t="n"/>
      <c r="AX83" s="112" t="n"/>
      <c r="AY83" s="112" t="n"/>
      <c r="AZ83" s="112" t="n"/>
      <c r="BA83" s="112" t="n"/>
      <c r="BB83" s="112" t="n"/>
      <c r="BC83" s="112" t="n"/>
      <c r="BD83" s="112" t="n"/>
      <c r="BE83" s="112" t="n"/>
      <c r="BF83" s="112" t="n"/>
      <c r="BG83" s="112" t="n"/>
      <c r="BH83" s="112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138" t="inlineStr">
        <is>
          <t xml:space="preserve">    Dim idxEvid As Long: idxEvid = lo.ListColumns("evidence_id").Index</t>
        </is>
      </c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117" t="n"/>
      <c r="R84" s="117" t="n"/>
      <c r="S84" s="117" t="n"/>
      <c r="T84" s="117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  <c r="AU84" s="112" t="n"/>
      <c r="AV84" s="112" t="n"/>
      <c r="AW84" s="112" t="n"/>
      <c r="AX84" s="112" t="n"/>
      <c r="AY84" s="112" t="n"/>
      <c r="AZ84" s="112" t="n"/>
      <c r="BA84" s="112" t="n"/>
      <c r="BB84" s="112" t="n"/>
      <c r="BC84" s="112" t="n"/>
      <c r="BD84" s="112" t="n"/>
      <c r="BE84" s="112" t="n"/>
      <c r="BF84" s="112" t="n"/>
      <c r="BG84" s="112" t="n"/>
      <c r="BH84" s="112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138" t="inlineStr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117" t="n"/>
      <c r="R85" s="117" t="n"/>
      <c r="S85" s="117" t="n"/>
      <c r="T85" s="117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  <c r="AU85" s="112" t="n"/>
      <c r="AV85" s="112" t="n"/>
      <c r="AW85" s="112" t="n"/>
      <c r="AX85" s="112" t="n"/>
      <c r="AY85" s="112" t="n"/>
      <c r="AZ85" s="112" t="n"/>
      <c r="BA85" s="112" t="n"/>
      <c r="BB85" s="112" t="n"/>
      <c r="BC85" s="112" t="n"/>
      <c r="BD85" s="112" t="n"/>
      <c r="BE85" s="112" t="n"/>
      <c r="BF85" s="112" t="n"/>
      <c r="BG85" s="112" t="n"/>
      <c r="BH85" s="112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138" t="inlineStr">
        <is>
          <t xml:space="preserve">    Dim i As Long, failCount As Long</t>
        </is>
      </c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117" t="n"/>
      <c r="R86" s="117" t="n"/>
      <c r="S86" s="117" t="n"/>
      <c r="T86" s="117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  <c r="AU86" s="112" t="n"/>
      <c r="AV86" s="112" t="n"/>
      <c r="AW86" s="112" t="n"/>
      <c r="AX86" s="112" t="n"/>
      <c r="AY86" s="112" t="n"/>
      <c r="AZ86" s="112" t="n"/>
      <c r="BA86" s="112" t="n"/>
      <c r="BB86" s="112" t="n"/>
      <c r="BC86" s="112" t="n"/>
      <c r="BD86" s="112" t="n"/>
      <c r="BE86" s="112" t="n"/>
      <c r="BF86" s="112" t="n"/>
      <c r="BG86" s="112" t="n"/>
      <c r="BH86" s="112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138" t="inlineStr">
        <is>
          <t xml:space="preserve">    For i = 1 To lo.DataBodyRange.Rows.Count</t>
        </is>
      </c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117" t="n"/>
      <c r="R87" s="117" t="n"/>
      <c r="S87" s="117" t="n"/>
      <c r="T87" s="117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  <c r="AU87" s="112" t="n"/>
      <c r="AV87" s="112" t="n"/>
      <c r="AW87" s="112" t="n"/>
      <c r="AX87" s="112" t="n"/>
      <c r="AY87" s="112" t="n"/>
      <c r="AZ87" s="112" t="n"/>
      <c r="BA87" s="112" t="n"/>
      <c r="BB87" s="112" t="n"/>
      <c r="BC87" s="112" t="n"/>
      <c r="BD87" s="112" t="n"/>
      <c r="BE87" s="112" t="n"/>
      <c r="BF87" s="112" t="n"/>
      <c r="BG87" s="112" t="n"/>
      <c r="BH87" s="112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138" t="inlineStr">
        <is>
          <t xml:space="preserve">        Dim st As String: st = UCase$(CStr(lo.DataBodyRange.Cells(i, idxStatus).Value))</t>
        </is>
      </c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117" t="n"/>
      <c r="R88" s="117" t="n"/>
      <c r="S88" s="117" t="n"/>
      <c r="T88" s="117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  <c r="AU88" s="112" t="n"/>
      <c r="AV88" s="112" t="n"/>
      <c r="AW88" s="112" t="n"/>
      <c r="AX88" s="112" t="n"/>
      <c r="AY88" s="112" t="n"/>
      <c r="AZ88" s="112" t="n"/>
      <c r="BA88" s="112" t="n"/>
      <c r="BB88" s="112" t="n"/>
      <c r="BC88" s="112" t="n"/>
      <c r="BD88" s="112" t="n"/>
      <c r="BE88" s="112" t="n"/>
      <c r="BF88" s="112" t="n"/>
      <c r="BG88" s="112" t="n"/>
      <c r="BH88" s="112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138" t="inlineStr">
        <is>
          <t xml:space="preserve">        Dim vt As String: vt = UCase$(CStr(lo.DataBodyRange.Cells(i, idxVal).Value))</t>
        </is>
      </c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117" t="n"/>
      <c r="R89" s="117" t="n"/>
      <c r="S89" s="117" t="n"/>
      <c r="T89" s="117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  <c r="AU89" s="112" t="n"/>
      <c r="AV89" s="112" t="n"/>
      <c r="AW89" s="112" t="n"/>
      <c r="AX89" s="112" t="n"/>
      <c r="AY89" s="112" t="n"/>
      <c r="AZ89" s="112" t="n"/>
      <c r="BA89" s="112" t="n"/>
      <c r="BB89" s="112" t="n"/>
      <c r="BC89" s="112" t="n"/>
      <c r="BD89" s="112" t="n"/>
      <c r="BE89" s="112" t="n"/>
      <c r="BF89" s="112" t="n"/>
      <c r="BG89" s="112" t="n"/>
      <c r="BH89" s="112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138" t="inlineStr">
        <is>
          <t xml:space="preserve">        Dim evid As String: evid = CStr(lo.DataBodyRange.Cells(i, idxEvid).Value)</t>
        </is>
      </c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117" t="n"/>
      <c r="R90" s="117" t="n"/>
      <c r="S90" s="117" t="n"/>
      <c r="T90" s="117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  <c r="AU90" s="112" t="n"/>
      <c r="AV90" s="112" t="n"/>
      <c r="AW90" s="112" t="n"/>
      <c r="AX90" s="112" t="n"/>
      <c r="AY90" s="112" t="n"/>
      <c r="AZ90" s="112" t="n"/>
      <c r="BA90" s="112" t="n"/>
      <c r="BB90" s="112" t="n"/>
      <c r="BC90" s="112" t="n"/>
      <c r="BD90" s="112" t="n"/>
      <c r="BE90" s="112" t="n"/>
      <c r="BF90" s="112" t="n"/>
      <c r="BG90" s="112" t="n"/>
      <c r="BH90" s="112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138" t="inlineStr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117" t="n"/>
      <c r="R91" s="117" t="n"/>
      <c r="S91" s="117" t="n"/>
      <c r="T91" s="117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  <c r="AU91" s="112" t="n"/>
      <c r="AV91" s="112" t="n"/>
      <c r="AW91" s="112" t="n"/>
      <c r="AX91" s="112" t="n"/>
      <c r="AY91" s="112" t="n"/>
      <c r="AZ91" s="112" t="n"/>
      <c r="BA91" s="112" t="n"/>
      <c r="BB91" s="112" t="n"/>
      <c r="BC91" s="112" t="n"/>
      <c r="BD91" s="112" t="n"/>
      <c r="BE91" s="112" t="n"/>
      <c r="BF91" s="112" t="n"/>
      <c r="BG91" s="112" t="n"/>
      <c r="BH91" s="112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138" t="inlineStr">
        <is>
          <t xml:space="preserve">        If st = "PROMOTED" Then</t>
        </is>
      </c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117" t="n"/>
      <c r="R92" s="117" t="n"/>
      <c r="S92" s="117" t="n"/>
      <c r="T92" s="117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  <c r="AU92" s="112" t="n"/>
      <c r="AV92" s="112" t="n"/>
      <c r="AW92" s="112" t="n"/>
      <c r="AX92" s="112" t="n"/>
      <c r="AY92" s="112" t="n"/>
      <c r="AZ92" s="112" t="n"/>
      <c r="BA92" s="112" t="n"/>
      <c r="BB92" s="112" t="n"/>
      <c r="BC92" s="112" t="n"/>
      <c r="BD92" s="112" t="n"/>
      <c r="BE92" s="112" t="n"/>
      <c r="BF92" s="112" t="n"/>
      <c r="BG92" s="112" t="n"/>
      <c r="BH92" s="112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138" t="inlineStr">
        <is>
          <t xml:space="preserve">            If (Len(evid) = 0) Or (vt = "UNKNOWN") Then</t>
        </is>
      </c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117" t="n"/>
      <c r="R93" s="117" t="n"/>
      <c r="S93" s="117" t="n"/>
      <c r="T93" s="117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  <c r="AU93" s="112" t="n"/>
      <c r="AV93" s="112" t="n"/>
      <c r="AW93" s="112" t="n"/>
      <c r="AX93" s="112" t="n"/>
      <c r="AY93" s="112" t="n"/>
      <c r="AZ93" s="112" t="n"/>
      <c r="BA93" s="112" t="n"/>
      <c r="BB93" s="112" t="n"/>
      <c r="BC93" s="112" t="n"/>
      <c r="BD93" s="112" t="n"/>
      <c r="BE93" s="112" t="n"/>
      <c r="BF93" s="112" t="n"/>
      <c r="BG93" s="112" t="n"/>
      <c r="BH93" s="112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138" t="inlineStr">
        <is>
          <t xml:space="preserve">                failCount = failCount + 1</t>
        </is>
      </c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117" t="n"/>
      <c r="R94" s="117" t="n"/>
      <c r="S94" s="117" t="n"/>
      <c r="T94" s="117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  <c r="AU94" s="112" t="n"/>
      <c r="AV94" s="112" t="n"/>
      <c r="AW94" s="112" t="n"/>
      <c r="AX94" s="112" t="n"/>
      <c r="AY94" s="112" t="n"/>
      <c r="AZ94" s="112" t="n"/>
      <c r="BA94" s="112" t="n"/>
      <c r="BB94" s="112" t="n"/>
      <c r="BC94" s="112" t="n"/>
      <c r="BD94" s="112" t="n"/>
      <c r="BE94" s="112" t="n"/>
      <c r="BF94" s="112" t="n"/>
      <c r="BG94" s="112" t="n"/>
      <c r="BH94" s="112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138" t="inlineStr">
        <is>
          <t xml:space="preserve">            End If</t>
        </is>
      </c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117" t="n"/>
      <c r="R95" s="117" t="n"/>
      <c r="S95" s="117" t="n"/>
      <c r="T95" s="117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  <c r="AU95" s="112" t="n"/>
      <c r="AV95" s="112" t="n"/>
      <c r="AW95" s="112" t="n"/>
      <c r="AX95" s="112" t="n"/>
      <c r="AY95" s="112" t="n"/>
      <c r="AZ95" s="112" t="n"/>
      <c r="BA95" s="112" t="n"/>
      <c r="BB95" s="112" t="n"/>
      <c r="BC95" s="112" t="n"/>
      <c r="BD95" s="112" t="n"/>
      <c r="BE95" s="112" t="n"/>
      <c r="BF95" s="112" t="n"/>
      <c r="BG95" s="112" t="n"/>
      <c r="BH95" s="112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138" t="inlineStr">
        <is>
          <t xml:space="preserve">        End If</t>
        </is>
      </c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  <c r="AU96" s="112" t="n"/>
      <c r="AV96" s="112" t="n"/>
      <c r="AW96" s="112" t="n"/>
      <c r="AX96" s="112" t="n"/>
      <c r="AY96" s="112" t="n"/>
      <c r="AZ96" s="112" t="n"/>
      <c r="BA96" s="112" t="n"/>
      <c r="BB96" s="112" t="n"/>
      <c r="BC96" s="112" t="n"/>
      <c r="BD96" s="112" t="n"/>
      <c r="BE96" s="112" t="n"/>
      <c r="BF96" s="112" t="n"/>
      <c r="BG96" s="112" t="n"/>
      <c r="BH96" s="112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138" t="inlineStr">
        <is>
          <t xml:space="preserve">    Next i</t>
        </is>
      </c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117" t="n"/>
      <c r="R97" s="117" t="n"/>
      <c r="S97" s="117" t="n"/>
      <c r="T97" s="117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  <c r="AU97" s="112" t="n"/>
      <c r="AV97" s="112" t="n"/>
      <c r="AW97" s="112" t="n"/>
      <c r="AX97" s="112" t="n"/>
      <c r="AY97" s="112" t="n"/>
      <c r="AZ97" s="112" t="n"/>
      <c r="BA97" s="112" t="n"/>
      <c r="BB97" s="112" t="n"/>
      <c r="BC97" s="112" t="n"/>
      <c r="BD97" s="112" t="n"/>
      <c r="BE97" s="112" t="n"/>
      <c r="BF97" s="112" t="n"/>
      <c r="BG97" s="112" t="n"/>
      <c r="BH97" s="112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138" t="inlineStr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117" t="n"/>
      <c r="R98" s="117" t="n"/>
      <c r="S98" s="117" t="n"/>
      <c r="T98" s="117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  <c r="AU98" s="112" t="n"/>
      <c r="AV98" s="112" t="n"/>
      <c r="AW98" s="112" t="n"/>
      <c r="AX98" s="112" t="n"/>
      <c r="AY98" s="112" t="n"/>
      <c r="AZ98" s="112" t="n"/>
      <c r="BA98" s="112" t="n"/>
      <c r="BB98" s="112" t="n"/>
      <c r="BC98" s="112" t="n"/>
      <c r="BD98" s="112" t="n"/>
      <c r="BE98" s="112" t="n"/>
      <c r="BF98" s="112" t="n"/>
      <c r="BG98" s="112" t="n"/>
      <c r="BH98" s="112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138" t="inlineStr">
        <is>
          <t xml:space="preserve">    If failCount &gt; 0 Then</t>
        </is>
      </c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117" t="n"/>
      <c r="R99" s="117" t="n"/>
      <c r="S99" s="117" t="n"/>
      <c r="T99" s="117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  <c r="AU99" s="112" t="n"/>
      <c r="AV99" s="112" t="n"/>
      <c r="AW99" s="112" t="n"/>
      <c r="AX99" s="112" t="n"/>
      <c r="AY99" s="112" t="n"/>
      <c r="AZ99" s="112" t="n"/>
      <c r="BA99" s="112" t="n"/>
      <c r="BB99" s="112" t="n"/>
      <c r="BC99" s="112" t="n"/>
      <c r="BD99" s="112" t="n"/>
      <c r="BE99" s="112" t="n"/>
      <c r="BF99" s="112" t="n"/>
      <c r="BG99" s="112" t="n"/>
      <c r="BH99" s="112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138" t="inlineStr">
        <is>
          <t xml:space="preserve">        LogRun "WARN", "Fail-closed violations in Claims_Current: " &amp; failCount</t>
        </is>
      </c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117" t="n"/>
      <c r="R100" s="117" t="n"/>
      <c r="S100" s="117" t="n"/>
      <c r="T100" s="117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  <c r="AU100" s="112" t="n"/>
      <c r="AV100" s="112" t="n"/>
      <c r="AW100" s="112" t="n"/>
      <c r="AX100" s="112" t="n"/>
      <c r="AY100" s="112" t="n"/>
      <c r="AZ100" s="112" t="n"/>
      <c r="BA100" s="112" t="n"/>
      <c r="BB100" s="112" t="n"/>
      <c r="BC100" s="112" t="n"/>
      <c r="BD100" s="112" t="n"/>
      <c r="BE100" s="112" t="n"/>
      <c r="BF100" s="112" t="n"/>
      <c r="BG100" s="112" t="n"/>
      <c r="BH100" s="112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138" t="inlineStr">
        <is>
          <t xml:space="preserve">    Else</t>
        </is>
      </c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117" t="n"/>
      <c r="R101" s="117" t="n"/>
      <c r="S101" s="117" t="n"/>
      <c r="T101" s="117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  <c r="AU101" s="112" t="n"/>
      <c r="AV101" s="112" t="n"/>
      <c r="AW101" s="112" t="n"/>
      <c r="AX101" s="112" t="n"/>
      <c r="AY101" s="112" t="n"/>
      <c r="AZ101" s="112" t="n"/>
      <c r="BA101" s="112" t="n"/>
      <c r="BB101" s="112" t="n"/>
      <c r="BC101" s="112" t="n"/>
      <c r="BD101" s="112" t="n"/>
      <c r="BE101" s="112" t="n"/>
      <c r="BF101" s="112" t="n"/>
      <c r="BG101" s="112" t="n"/>
      <c r="BH101" s="112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138" t="inlineStr">
        <is>
          <t xml:space="preserve">        LogRun "OK", "Claims_Current passes fail-closed checks"</t>
        </is>
      </c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117" t="n"/>
      <c r="R102" s="117" t="n"/>
      <c r="S102" s="117" t="n"/>
      <c r="T102" s="117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  <c r="AU102" s="112" t="n"/>
      <c r="AV102" s="112" t="n"/>
      <c r="AW102" s="112" t="n"/>
      <c r="AX102" s="112" t="n"/>
      <c r="AY102" s="112" t="n"/>
      <c r="AZ102" s="112" t="n"/>
      <c r="BA102" s="112" t="n"/>
      <c r="BB102" s="112" t="n"/>
      <c r="BC102" s="112" t="n"/>
      <c r="BD102" s="112" t="n"/>
      <c r="BE102" s="112" t="n"/>
      <c r="BF102" s="112" t="n"/>
      <c r="BG102" s="112" t="n"/>
      <c r="BH102" s="112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138" t="inlineStr">
        <is>
          <t xml:space="preserve">    End If</t>
        </is>
      </c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117" t="n"/>
      <c r="R103" s="117" t="n"/>
      <c r="S103" s="117" t="n"/>
      <c r="T103" s="117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  <c r="AU103" s="112" t="n"/>
      <c r="AV103" s="112" t="n"/>
      <c r="AW103" s="112" t="n"/>
      <c r="AX103" s="112" t="n"/>
      <c r="AY103" s="112" t="n"/>
      <c r="AZ103" s="112" t="n"/>
      <c r="BA103" s="112" t="n"/>
      <c r="BB103" s="112" t="n"/>
      <c r="BC103" s="112" t="n"/>
      <c r="BD103" s="112" t="n"/>
      <c r="BE103" s="112" t="n"/>
      <c r="BF103" s="112" t="n"/>
      <c r="BG103" s="112" t="n"/>
      <c r="BH103" s="112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138" t="inlineStr">
        <is>
          <t xml:space="preserve">    Exit Sub</t>
        </is>
      </c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117" t="n"/>
      <c r="R104" s="117" t="n"/>
      <c r="S104" s="117" t="n"/>
      <c r="T104" s="117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  <c r="AU104" s="112" t="n"/>
      <c r="AV104" s="112" t="n"/>
      <c r="AW104" s="112" t="n"/>
      <c r="AX104" s="112" t="n"/>
      <c r="AY104" s="112" t="n"/>
      <c r="AZ104" s="112" t="n"/>
      <c r="BA104" s="112" t="n"/>
      <c r="BB104" s="112" t="n"/>
      <c r="BC104" s="112" t="n"/>
      <c r="BD104" s="112" t="n"/>
      <c r="BE104" s="112" t="n"/>
      <c r="BF104" s="112" t="n"/>
      <c r="BG104" s="112" t="n"/>
      <c r="BH104" s="112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138" t="inlineStr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117" t="n"/>
      <c r="R105" s="117" t="n"/>
      <c r="S105" s="117" t="n"/>
      <c r="T105" s="117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  <c r="AU105" s="112" t="n"/>
      <c r="AV105" s="112" t="n"/>
      <c r="AW105" s="112" t="n"/>
      <c r="AX105" s="112" t="n"/>
      <c r="AY105" s="112" t="n"/>
      <c r="AZ105" s="112" t="n"/>
      <c r="BA105" s="112" t="n"/>
      <c r="BB105" s="112" t="n"/>
      <c r="BC105" s="112" t="n"/>
      <c r="BD105" s="112" t="n"/>
      <c r="BE105" s="112" t="n"/>
      <c r="BF105" s="112" t="n"/>
      <c r="BG105" s="112" t="n"/>
      <c r="BH105" s="112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138" t="inlineStr">
        <is>
          <t>EH:</t>
        </is>
      </c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117" t="n"/>
      <c r="R106" s="117" t="n"/>
      <c r="S106" s="117" t="n"/>
      <c r="T106" s="117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  <c r="AU106" s="112" t="n"/>
      <c r="AV106" s="112" t="n"/>
      <c r="AW106" s="112" t="n"/>
      <c r="AX106" s="112" t="n"/>
      <c r="AY106" s="112" t="n"/>
      <c r="AZ106" s="112" t="n"/>
      <c r="BA106" s="112" t="n"/>
      <c r="BB106" s="112" t="n"/>
      <c r="BC106" s="112" t="n"/>
      <c r="BD106" s="112" t="n"/>
      <c r="BE106" s="112" t="n"/>
      <c r="BF106" s="112" t="n"/>
      <c r="BG106" s="112" t="n"/>
      <c r="BH106" s="112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138" t="inlineStr">
        <is>
          <t xml:space="preserve">    LogRun "ERROR", "ValidateClaimsFailClosed: " &amp; Err.Description</t>
        </is>
      </c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117" t="n"/>
      <c r="R107" s="117" t="n"/>
      <c r="S107" s="117" t="n"/>
      <c r="T107" s="117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  <c r="AU107" s="112" t="n"/>
      <c r="AV107" s="112" t="n"/>
      <c r="AW107" s="112" t="n"/>
      <c r="AX107" s="112" t="n"/>
      <c r="AY107" s="112" t="n"/>
      <c r="AZ107" s="112" t="n"/>
      <c r="BA107" s="112" t="n"/>
      <c r="BB107" s="112" t="n"/>
      <c r="BC107" s="112" t="n"/>
      <c r="BD107" s="112" t="n"/>
      <c r="BE107" s="112" t="n"/>
      <c r="BF107" s="112" t="n"/>
      <c r="BG107" s="112" t="n"/>
      <c r="BH107" s="112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138" t="inlineStr">
        <is>
          <t>End Sub</t>
        </is>
      </c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117" t="n"/>
      <c r="R108" s="117" t="n"/>
      <c r="S108" s="117" t="n"/>
      <c r="T108" s="117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  <c r="AU108" s="112" t="n"/>
      <c r="AV108" s="112" t="n"/>
      <c r="AW108" s="112" t="n"/>
      <c r="AX108" s="112" t="n"/>
      <c r="AY108" s="112" t="n"/>
      <c r="AZ108" s="112" t="n"/>
      <c r="BA108" s="112" t="n"/>
      <c r="BB108" s="112" t="n"/>
      <c r="BC108" s="112" t="n"/>
      <c r="BD108" s="112" t="n"/>
      <c r="BE108" s="112" t="n"/>
      <c r="BF108" s="112" t="n"/>
      <c r="BG108" s="112" t="n"/>
      <c r="BH108" s="112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138" t="inlineStr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117" t="n"/>
      <c r="R109" s="117" t="n"/>
      <c r="S109" s="117" t="n"/>
      <c r="T109" s="117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  <c r="AU109" s="112" t="n"/>
      <c r="AV109" s="112" t="n"/>
      <c r="AW109" s="112" t="n"/>
      <c r="AX109" s="112" t="n"/>
      <c r="AY109" s="112" t="n"/>
      <c r="AZ109" s="112" t="n"/>
      <c r="BA109" s="112" t="n"/>
      <c r="BB109" s="112" t="n"/>
      <c r="BC109" s="112" t="n"/>
      <c r="BD109" s="112" t="n"/>
      <c r="BE109" s="112" t="n"/>
      <c r="BF109" s="112" t="n"/>
      <c r="BG109" s="112" t="n"/>
      <c r="BH109" s="112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138" t="inlineStr">
        <is>
          <t>Public Sub PromoteResolvedReviewItems()</t>
        </is>
      </c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117" t="n"/>
      <c r="R110" s="117" t="n"/>
      <c r="S110" s="117" t="n"/>
      <c r="T110" s="117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  <c r="AU110" s="112" t="n"/>
      <c r="AV110" s="112" t="n"/>
      <c r="AW110" s="112" t="n"/>
      <c r="AX110" s="112" t="n"/>
      <c r="AY110" s="112" t="n"/>
      <c r="AZ110" s="112" t="n"/>
      <c r="BA110" s="112" t="n"/>
      <c r="BB110" s="112" t="n"/>
      <c r="BC110" s="112" t="n"/>
      <c r="BD110" s="112" t="n"/>
      <c r="BE110" s="112" t="n"/>
      <c r="BF110" s="112" t="n"/>
      <c r="BG110" s="112" t="n"/>
      <c r="BH110" s="112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138" t="inlineStr">
        <is>
          <t xml:space="preserve">    On Error GoTo EH</t>
        </is>
      </c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117" t="n"/>
      <c r="R111" s="117" t="n"/>
      <c r="S111" s="117" t="n"/>
      <c r="T111" s="117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  <c r="AU111" s="112" t="n"/>
      <c r="AV111" s="112" t="n"/>
      <c r="AW111" s="112" t="n"/>
      <c r="AX111" s="112" t="n"/>
      <c r="AY111" s="112" t="n"/>
      <c r="AZ111" s="112" t="n"/>
      <c r="BA111" s="112" t="n"/>
      <c r="BB111" s="112" t="n"/>
      <c r="BC111" s="112" t="n"/>
      <c r="BD111" s="112" t="n"/>
      <c r="BE111" s="112" t="n"/>
      <c r="BF111" s="112" t="n"/>
      <c r="BG111" s="112" t="n"/>
      <c r="BH111" s="112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138" t="inlineStr">
        <is>
          <t xml:space="preserve">    LogRun "STEP", "PromoteResolvedReviewItems"</t>
        </is>
      </c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117" t="n"/>
      <c r="R112" s="117" t="n"/>
      <c r="S112" s="117" t="n"/>
      <c r="T112" s="117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  <c r="AU112" s="112" t="n"/>
      <c r="AV112" s="112" t="n"/>
      <c r="AW112" s="112" t="n"/>
      <c r="AX112" s="112" t="n"/>
      <c r="AY112" s="112" t="n"/>
      <c r="AZ112" s="112" t="n"/>
      <c r="BA112" s="112" t="n"/>
      <c r="BB112" s="112" t="n"/>
      <c r="BC112" s="112" t="n"/>
      <c r="BD112" s="112" t="n"/>
      <c r="BE112" s="112" t="n"/>
      <c r="BF112" s="112" t="n"/>
      <c r="BG112" s="112" t="n"/>
      <c r="BH112" s="112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138" t="inlineStr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117" t="n"/>
      <c r="R113" s="117" t="n"/>
      <c r="S113" s="117" t="n"/>
      <c r="T113" s="117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  <c r="AU113" s="112" t="n"/>
      <c r="AV113" s="112" t="n"/>
      <c r="AW113" s="112" t="n"/>
      <c r="AX113" s="112" t="n"/>
      <c r="AY113" s="112" t="n"/>
      <c r="AZ113" s="112" t="n"/>
      <c r="BA113" s="112" t="n"/>
      <c r="BB113" s="112" t="n"/>
      <c r="BC113" s="112" t="n"/>
      <c r="BD113" s="112" t="n"/>
      <c r="BE113" s="112" t="n"/>
      <c r="BF113" s="112" t="n"/>
      <c r="BG113" s="112" t="n"/>
      <c r="BH113" s="112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138" t="inlineStr">
        <is>
          <t xml:space="preserve">    Dim wsQ As Worksheet: Set wsQ = ThisWorkbook.Worksheets("Review_Queue")</t>
        </is>
      </c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117" t="n"/>
      <c r="R114" s="117" t="n"/>
      <c r="S114" s="117" t="n"/>
      <c r="T114" s="117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  <c r="AU114" s="112" t="n"/>
      <c r="AV114" s="112" t="n"/>
      <c r="AW114" s="112" t="n"/>
      <c r="AX114" s="112" t="n"/>
      <c r="AY114" s="112" t="n"/>
      <c r="AZ114" s="112" t="n"/>
      <c r="BA114" s="112" t="n"/>
      <c r="BB114" s="112" t="n"/>
      <c r="BC114" s="112" t="n"/>
      <c r="BD114" s="112" t="n"/>
      <c r="BE114" s="112" t="n"/>
      <c r="BF114" s="112" t="n"/>
      <c r="BG114" s="112" t="n"/>
      <c r="BH114" s="112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138" t="inlineStr">
        <is>
          <t xml:space="preserve">    Dim loQ As ListObject: Set loQ = wsQ.ListObjects("tblReviewQueue")</t>
        </is>
      </c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117" t="n"/>
      <c r="R115" s="117" t="n"/>
      <c r="S115" s="117" t="n"/>
      <c r="T115" s="117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  <c r="AU115" s="112" t="n"/>
      <c r="AV115" s="112" t="n"/>
      <c r="AW115" s="112" t="n"/>
      <c r="AX115" s="112" t="n"/>
      <c r="AY115" s="112" t="n"/>
      <c r="AZ115" s="112" t="n"/>
      <c r="BA115" s="112" t="n"/>
      <c r="BB115" s="112" t="n"/>
      <c r="BC115" s="112" t="n"/>
      <c r="BD115" s="112" t="n"/>
      <c r="BE115" s="112" t="n"/>
      <c r="BF115" s="112" t="n"/>
      <c r="BG115" s="112" t="n"/>
      <c r="BH115" s="112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138" t="inlineStr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117" t="n"/>
      <c r="R116" s="117" t="n"/>
      <c r="S116" s="117" t="n"/>
      <c r="T116" s="117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  <c r="AU116" s="112" t="n"/>
      <c r="AV116" s="112" t="n"/>
      <c r="AW116" s="112" t="n"/>
      <c r="AX116" s="112" t="n"/>
      <c r="AY116" s="112" t="n"/>
      <c r="AZ116" s="112" t="n"/>
      <c r="BA116" s="112" t="n"/>
      <c r="BB116" s="112" t="n"/>
      <c r="BC116" s="112" t="n"/>
      <c r="BD116" s="112" t="n"/>
      <c r="BE116" s="112" t="n"/>
      <c r="BF116" s="112" t="n"/>
      <c r="BG116" s="112" t="n"/>
      <c r="BH116" s="112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138" t="inlineStr">
        <is>
          <t xml:space="preserve">    Dim wsC As Worksheet: Set wsC = ThisWorkbook.Worksheets("Input")</t>
        </is>
      </c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117" t="n"/>
      <c r="R117" s="117" t="n"/>
      <c r="S117" s="117" t="n"/>
      <c r="T117" s="117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  <c r="AU117" s="112" t="n"/>
      <c r="AV117" s="112" t="n"/>
      <c r="AW117" s="112" t="n"/>
      <c r="AX117" s="112" t="n"/>
      <c r="AY117" s="112" t="n"/>
      <c r="AZ117" s="112" t="n"/>
      <c r="BA117" s="112" t="n"/>
      <c r="BB117" s="112" t="n"/>
      <c r="BC117" s="112" t="n"/>
      <c r="BD117" s="112" t="n"/>
      <c r="BE117" s="112" t="n"/>
      <c r="BF117" s="112" t="n"/>
      <c r="BG117" s="112" t="n"/>
      <c r="BH117" s="112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138" t="inlineStr">
        <is>
          <t xml:space="preserve">    Dim loC As ListObject: Set loC = wsC.ListObjects("tblClaimCandidates")</t>
        </is>
      </c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117" t="n"/>
      <c r="R118" s="117" t="n"/>
      <c r="S118" s="117" t="n"/>
      <c r="T118" s="117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  <c r="AU118" s="112" t="n"/>
      <c r="AV118" s="112" t="n"/>
      <c r="AW118" s="112" t="n"/>
      <c r="AX118" s="112" t="n"/>
      <c r="AY118" s="112" t="n"/>
      <c r="AZ118" s="112" t="n"/>
      <c r="BA118" s="112" t="n"/>
      <c r="BB118" s="112" t="n"/>
      <c r="BC118" s="112" t="n"/>
      <c r="BD118" s="112" t="n"/>
      <c r="BE118" s="112" t="n"/>
      <c r="BF118" s="112" t="n"/>
      <c r="BG118" s="112" t="n"/>
      <c r="BH118" s="112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138" t="inlineStr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117" t="n"/>
      <c r="R119" s="117" t="n"/>
      <c r="S119" s="117" t="n"/>
      <c r="T119" s="117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  <c r="AU119" s="112" t="n"/>
      <c r="AV119" s="112" t="n"/>
      <c r="AW119" s="112" t="n"/>
      <c r="AX119" s="112" t="n"/>
      <c r="AY119" s="112" t="n"/>
      <c r="AZ119" s="112" t="n"/>
      <c r="BA119" s="112" t="n"/>
      <c r="BB119" s="112" t="n"/>
      <c r="BC119" s="112" t="n"/>
      <c r="BD119" s="112" t="n"/>
      <c r="BE119" s="112" t="n"/>
      <c r="BF119" s="112" t="n"/>
      <c r="BG119" s="112" t="n"/>
      <c r="BH119" s="112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138" t="inlineStr">
        <is>
          <t xml:space="preserve">    Dim idxQStatus As Long: idxQStatus = loQ.ListColumns("status").Index</t>
        </is>
      </c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  <c r="AU120" s="112" t="n"/>
      <c r="AV120" s="112" t="n"/>
      <c r="AW120" s="112" t="n"/>
      <c r="AX120" s="112" t="n"/>
      <c r="AY120" s="112" t="n"/>
      <c r="AZ120" s="112" t="n"/>
      <c r="BA120" s="112" t="n"/>
      <c r="BB120" s="112" t="n"/>
      <c r="BC120" s="112" t="n"/>
      <c r="BD120" s="112" t="n"/>
      <c r="BE120" s="112" t="n"/>
      <c r="BF120" s="112" t="n"/>
      <c r="BG120" s="112" t="n"/>
      <c r="BH120" s="112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138" t="inlineStr">
        <is>
          <t xml:space="preserve">    Dim idxQEnt As Long: idxQEnt = loQ.ListColumns("entity_id").Index</t>
        </is>
      </c>
      <c r="B121" s="117" t="n"/>
      <c r="C121" s="117" t="n"/>
      <c r="D121" s="117" t="n"/>
      <c r="E121" s="117" t="n"/>
      <c r="F121" s="117" t="n"/>
      <c r="G121" s="117" t="n"/>
      <c r="H121" s="117" t="n"/>
      <c r="I121" s="117" t="n"/>
      <c r="J121" s="117" t="n"/>
      <c r="K121" s="117" t="n"/>
      <c r="L121" s="117" t="n"/>
      <c r="M121" s="117" t="n"/>
      <c r="N121" s="117" t="n"/>
      <c r="O121" s="117" t="n"/>
      <c r="P121" s="117" t="n"/>
      <c r="Q121" s="117" t="n"/>
      <c r="R121" s="117" t="n"/>
      <c r="S121" s="117" t="n"/>
      <c r="T121" s="117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  <c r="AU121" s="112" t="n"/>
      <c r="AV121" s="112" t="n"/>
      <c r="AW121" s="112" t="n"/>
      <c r="AX121" s="112" t="n"/>
      <c r="AY121" s="112" t="n"/>
      <c r="AZ121" s="112" t="n"/>
      <c r="BA121" s="112" t="n"/>
      <c r="BB121" s="112" t="n"/>
      <c r="BC121" s="112" t="n"/>
      <c r="BD121" s="112" t="n"/>
      <c r="BE121" s="112" t="n"/>
      <c r="BF121" s="112" t="n"/>
      <c r="BG121" s="112" t="n"/>
      <c r="BH121" s="112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138" t="inlineStr">
        <is>
          <t xml:space="preserve">    Dim idxQField As Long: idxQField = loQ.ListColumns("field_key").Index</t>
        </is>
      </c>
      <c r="B122" s="117" t="n"/>
      <c r="C122" s="117" t="n"/>
      <c r="D122" s="117" t="n"/>
      <c r="E122" s="117" t="n"/>
      <c r="F122" s="117" t="n"/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  <c r="AU122" s="112" t="n"/>
      <c r="AV122" s="112" t="n"/>
      <c r="AW122" s="112" t="n"/>
      <c r="AX122" s="112" t="n"/>
      <c r="AY122" s="112" t="n"/>
      <c r="AZ122" s="112" t="n"/>
      <c r="BA122" s="112" t="n"/>
      <c r="BB122" s="112" t="n"/>
      <c r="BC122" s="112" t="n"/>
      <c r="BD122" s="112" t="n"/>
      <c r="BE122" s="112" t="n"/>
      <c r="BF122" s="112" t="n"/>
      <c r="BG122" s="112" t="n"/>
      <c r="BH122" s="112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138" t="inlineStr">
        <is>
          <t xml:space="preserve">    Dim idxQEvid As Long: idxQEvid = loQ.ListColumns("evidence_id").Index</t>
        </is>
      </c>
      <c r="B123" s="117" t="n"/>
      <c r="C123" s="117" t="n"/>
      <c r="D123" s="117" t="n"/>
      <c r="E123" s="117" t="n"/>
      <c r="F123" s="117" t="n"/>
      <c r="G123" s="117" t="n"/>
      <c r="H123" s="117" t="n"/>
      <c r="I123" s="117" t="n"/>
      <c r="J123" s="117" t="n"/>
      <c r="K123" s="117" t="n"/>
      <c r="L123" s="117" t="n"/>
      <c r="M123" s="117" t="n"/>
      <c r="N123" s="117" t="n"/>
      <c r="O123" s="117" t="n"/>
      <c r="P123" s="117" t="n"/>
      <c r="Q123" s="117" t="n"/>
      <c r="R123" s="117" t="n"/>
      <c r="S123" s="117" t="n"/>
      <c r="T123" s="117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  <c r="AU123" s="112" t="n"/>
      <c r="AV123" s="112" t="n"/>
      <c r="AW123" s="112" t="n"/>
      <c r="AX123" s="112" t="n"/>
      <c r="AY123" s="112" t="n"/>
      <c r="AZ123" s="112" t="n"/>
      <c r="BA123" s="112" t="n"/>
      <c r="BB123" s="112" t="n"/>
      <c r="BC123" s="112" t="n"/>
      <c r="BD123" s="112" t="n"/>
      <c r="BE123" s="112" t="n"/>
      <c r="BF123" s="112" t="n"/>
      <c r="BG123" s="112" t="n"/>
      <c r="BH123" s="112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138" t="inlineStr">
        <is>
          <t xml:space="preserve">    Dim idxQNotes As Long: idxQNotes = loQ.ListColumns("resolution_notes").Index</t>
        </is>
      </c>
      <c r="B124" s="117" t="n"/>
      <c r="C124" s="117" t="n"/>
      <c r="D124" s="117" t="n"/>
      <c r="E124" s="117" t="n"/>
      <c r="F124" s="117" t="n"/>
      <c r="G124" s="117" t="n"/>
      <c r="H124" s="117" t="n"/>
      <c r="I124" s="117" t="n"/>
      <c r="J124" s="117" t="n"/>
      <c r="K124" s="117" t="n"/>
      <c r="L124" s="117" t="n"/>
      <c r="M124" s="117" t="n"/>
      <c r="N124" s="117" t="n"/>
      <c r="O124" s="117" t="n"/>
      <c r="P124" s="117" t="n"/>
      <c r="Q124" s="117" t="n"/>
      <c r="R124" s="117" t="n"/>
      <c r="S124" s="117" t="n"/>
      <c r="T124" s="117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  <c r="AU124" s="112" t="n"/>
      <c r="AV124" s="112" t="n"/>
      <c r="AW124" s="112" t="n"/>
      <c r="AX124" s="112" t="n"/>
      <c r="AY124" s="112" t="n"/>
      <c r="AZ124" s="112" t="n"/>
      <c r="BA124" s="112" t="n"/>
      <c r="BB124" s="112" t="n"/>
      <c r="BC124" s="112" t="n"/>
      <c r="BD124" s="112" t="n"/>
      <c r="BE124" s="112" t="n"/>
      <c r="BF124" s="112" t="n"/>
      <c r="BG124" s="112" t="n"/>
      <c r="BH124" s="112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138" t="inlineStr"/>
      <c r="B125" s="117" t="n"/>
      <c r="C125" s="117" t="n"/>
      <c r="D125" s="117" t="n"/>
      <c r="E125" s="117" t="n"/>
      <c r="F125" s="117" t="n"/>
      <c r="G125" s="117" t="n"/>
      <c r="H125" s="117" t="n"/>
      <c r="I125" s="117" t="n"/>
      <c r="J125" s="117" t="n"/>
      <c r="K125" s="117" t="n"/>
      <c r="L125" s="117" t="n"/>
      <c r="M125" s="117" t="n"/>
      <c r="N125" s="117" t="n"/>
      <c r="O125" s="117" t="n"/>
      <c r="P125" s="117" t="n"/>
      <c r="Q125" s="117" t="n"/>
      <c r="R125" s="117" t="n"/>
      <c r="S125" s="117" t="n"/>
      <c r="T125" s="117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  <c r="AU125" s="112" t="n"/>
      <c r="AV125" s="112" t="n"/>
      <c r="AW125" s="112" t="n"/>
      <c r="AX125" s="112" t="n"/>
      <c r="AY125" s="112" t="n"/>
      <c r="AZ125" s="112" t="n"/>
      <c r="BA125" s="112" t="n"/>
      <c r="BB125" s="112" t="n"/>
      <c r="BC125" s="112" t="n"/>
      <c r="BD125" s="112" t="n"/>
      <c r="BE125" s="112" t="n"/>
      <c r="BF125" s="112" t="n"/>
      <c r="BG125" s="112" t="n"/>
      <c r="BH125" s="112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138" t="inlineStr">
        <is>
          <t xml:space="preserve">    Dim i As Long</t>
        </is>
      </c>
      <c r="B126" s="117" t="n"/>
      <c r="C126" s="117" t="n"/>
      <c r="D126" s="117" t="n"/>
      <c r="E126" s="117" t="n"/>
      <c r="F126" s="117" t="n"/>
      <c r="G126" s="117" t="n"/>
      <c r="H126" s="117" t="n"/>
      <c r="I126" s="117" t="n"/>
      <c r="J126" s="117" t="n"/>
      <c r="K126" s="117" t="n"/>
      <c r="L126" s="117" t="n"/>
      <c r="M126" s="117" t="n"/>
      <c r="N126" s="117" t="n"/>
      <c r="O126" s="117" t="n"/>
      <c r="P126" s="117" t="n"/>
      <c r="Q126" s="117" t="n"/>
      <c r="R126" s="117" t="n"/>
      <c r="S126" s="117" t="n"/>
      <c r="T126" s="117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  <c r="AU126" s="112" t="n"/>
      <c r="AV126" s="112" t="n"/>
      <c r="AW126" s="112" t="n"/>
      <c r="AX126" s="112" t="n"/>
      <c r="AY126" s="112" t="n"/>
      <c r="AZ126" s="112" t="n"/>
      <c r="BA126" s="112" t="n"/>
      <c r="BB126" s="112" t="n"/>
      <c r="BC126" s="112" t="n"/>
      <c r="BD126" s="112" t="n"/>
      <c r="BE126" s="112" t="n"/>
      <c r="BF126" s="112" t="n"/>
      <c r="BG126" s="112" t="n"/>
      <c r="BH126" s="112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138" t="inlineStr">
        <is>
          <t xml:space="preserve">    For i = 1 To loQ.DataBodyRange.Rows.Count</t>
        </is>
      </c>
      <c r="B127" s="117" t="n"/>
      <c r="C127" s="117" t="n"/>
      <c r="D127" s="117" t="n"/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17" t="n"/>
      <c r="N127" s="117" t="n"/>
      <c r="O127" s="117" t="n"/>
      <c r="P127" s="117" t="n"/>
      <c r="Q127" s="117" t="n"/>
      <c r="R127" s="117" t="n"/>
      <c r="S127" s="117" t="n"/>
      <c r="T127" s="117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  <c r="AU127" s="112" t="n"/>
      <c r="AV127" s="112" t="n"/>
      <c r="AW127" s="112" t="n"/>
      <c r="AX127" s="112" t="n"/>
      <c r="AY127" s="112" t="n"/>
      <c r="AZ127" s="112" t="n"/>
      <c r="BA127" s="112" t="n"/>
      <c r="BB127" s="112" t="n"/>
      <c r="BC127" s="112" t="n"/>
      <c r="BD127" s="112" t="n"/>
      <c r="BE127" s="112" t="n"/>
      <c r="BF127" s="112" t="n"/>
      <c r="BG127" s="112" t="n"/>
      <c r="BH127" s="112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138" t="inlineStr">
        <is>
          <t xml:space="preserve">        If UCase$(CStr(loQ.DataBodyRange.Cells(i, idxQStatus).Value)) = "RESOLVED" Then</t>
        </is>
      </c>
      <c r="B128" s="117" t="n"/>
      <c r="C128" s="117" t="n"/>
      <c r="D128" s="117" t="n"/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17" t="n"/>
      <c r="N128" s="117" t="n"/>
      <c r="O128" s="117" t="n"/>
      <c r="P128" s="117" t="n"/>
      <c r="Q128" s="117" t="n"/>
      <c r="R128" s="117" t="n"/>
      <c r="S128" s="117" t="n"/>
      <c r="T128" s="117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  <c r="AU128" s="112" t="n"/>
      <c r="AV128" s="112" t="n"/>
      <c r="AW128" s="112" t="n"/>
      <c r="AX128" s="112" t="n"/>
      <c r="AY128" s="112" t="n"/>
      <c r="AZ128" s="112" t="n"/>
      <c r="BA128" s="112" t="n"/>
      <c r="BB128" s="112" t="n"/>
      <c r="BC128" s="112" t="n"/>
      <c r="BD128" s="112" t="n"/>
      <c r="BE128" s="112" t="n"/>
      <c r="BF128" s="112" t="n"/>
      <c r="BG128" s="112" t="n"/>
      <c r="BH128" s="112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138" t="inlineStr">
        <is>
          <t xml:space="preserve">            UpdateCandidate loC, _</t>
        </is>
      </c>
      <c r="B129" s="117" t="n"/>
      <c r="C129" s="117" t="n"/>
      <c r="D129" s="117" t="n"/>
      <c r="E129" s="117" t="n"/>
      <c r="F129" s="117" t="n"/>
      <c r="G129" s="117" t="n"/>
      <c r="H129" s="117" t="n"/>
      <c r="I129" s="117" t="n"/>
      <c r="J129" s="117" t="n"/>
      <c r="K129" s="117" t="n"/>
      <c r="L129" s="117" t="n"/>
      <c r="M129" s="117" t="n"/>
      <c r="N129" s="117" t="n"/>
      <c r="O129" s="117" t="n"/>
      <c r="P129" s="117" t="n"/>
      <c r="Q129" s="117" t="n"/>
      <c r="R129" s="117" t="n"/>
      <c r="S129" s="117" t="n"/>
      <c r="T129" s="117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  <c r="AU129" s="112" t="n"/>
      <c r="AV129" s="112" t="n"/>
      <c r="AW129" s="112" t="n"/>
      <c r="AX129" s="112" t="n"/>
      <c r="AY129" s="112" t="n"/>
      <c r="AZ129" s="112" t="n"/>
      <c r="BA129" s="112" t="n"/>
      <c r="BB129" s="112" t="n"/>
      <c r="BC129" s="112" t="n"/>
      <c r="BD129" s="112" t="n"/>
      <c r="BE129" s="112" t="n"/>
      <c r="BF129" s="112" t="n"/>
      <c r="BG129" s="112" t="n"/>
      <c r="BH129" s="112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138" t="inlineStr">
        <is>
          <t xml:space="preserve">                CStr(loQ.DataBodyRange.Cells(i, idxQEnt).Value), _</t>
        </is>
      </c>
      <c r="B130" s="117" t="n"/>
      <c r="C130" s="117" t="n"/>
      <c r="D130" s="117" t="n"/>
      <c r="E130" s="117" t="n"/>
      <c r="F130" s="117" t="n"/>
      <c r="G130" s="117" t="n"/>
      <c r="H130" s="117" t="n"/>
      <c r="I130" s="117" t="n"/>
      <c r="J130" s="117" t="n"/>
      <c r="K130" s="117" t="n"/>
      <c r="L130" s="117" t="n"/>
      <c r="M130" s="117" t="n"/>
      <c r="N130" s="117" t="n"/>
      <c r="O130" s="117" t="n"/>
      <c r="P130" s="117" t="n"/>
      <c r="Q130" s="117" t="n"/>
      <c r="R130" s="117" t="n"/>
      <c r="S130" s="117" t="n"/>
      <c r="T130" s="117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  <c r="AU130" s="112" t="n"/>
      <c r="AV130" s="112" t="n"/>
      <c r="AW130" s="112" t="n"/>
      <c r="AX130" s="112" t="n"/>
      <c r="AY130" s="112" t="n"/>
      <c r="AZ130" s="112" t="n"/>
      <c r="BA130" s="112" t="n"/>
      <c r="BB130" s="112" t="n"/>
      <c r="BC130" s="112" t="n"/>
      <c r="BD130" s="112" t="n"/>
      <c r="BE130" s="112" t="n"/>
      <c r="BF130" s="112" t="n"/>
      <c r="BG130" s="112" t="n"/>
      <c r="BH130" s="112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138" t="inlineStr">
        <is>
          <t xml:space="preserve">                CStr(loQ.DataBodyRange.Cells(i, idxQField).Value), _</t>
        </is>
      </c>
      <c r="B131" s="117" t="n"/>
      <c r="C131" s="117" t="n"/>
      <c r="D131" s="117" t="n"/>
      <c r="E131" s="117" t="n"/>
      <c r="F131" s="117" t="n"/>
      <c r="G131" s="117" t="n"/>
      <c r="H131" s="117" t="n"/>
      <c r="I131" s="117" t="n"/>
      <c r="J131" s="117" t="n"/>
      <c r="K131" s="117" t="n"/>
      <c r="L131" s="117" t="n"/>
      <c r="M131" s="117" t="n"/>
      <c r="N131" s="117" t="n"/>
      <c r="O131" s="117" t="n"/>
      <c r="P131" s="117" t="n"/>
      <c r="Q131" s="117" t="n"/>
      <c r="R131" s="117" t="n"/>
      <c r="S131" s="117" t="n"/>
      <c r="T131" s="117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  <c r="AU131" s="112" t="n"/>
      <c r="AV131" s="112" t="n"/>
      <c r="AW131" s="112" t="n"/>
      <c r="AX131" s="112" t="n"/>
      <c r="AY131" s="112" t="n"/>
      <c r="AZ131" s="112" t="n"/>
      <c r="BA131" s="112" t="n"/>
      <c r="BB131" s="112" t="n"/>
      <c r="BC131" s="112" t="n"/>
      <c r="BD131" s="112" t="n"/>
      <c r="BE131" s="112" t="n"/>
      <c r="BF131" s="112" t="n"/>
      <c r="BG131" s="112" t="n"/>
      <c r="BH131" s="112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138" t="inlineStr">
        <is>
          <t xml:space="preserve">                CStr(loQ.DataBodyRange.Cells(i, idxQEvid).Value), _</t>
        </is>
      </c>
      <c r="B132" s="117" t="n"/>
      <c r="C132" s="117" t="n"/>
      <c r="D132" s="117" t="n"/>
      <c r="E132" s="117" t="n"/>
      <c r="F132" s="117" t="n"/>
      <c r="G132" s="117" t="n"/>
      <c r="H132" s="117" t="n"/>
      <c r="I132" s="117" t="n"/>
      <c r="J132" s="117" t="n"/>
      <c r="K132" s="117" t="n"/>
      <c r="L132" s="117" t="n"/>
      <c r="M132" s="117" t="n"/>
      <c r="N132" s="117" t="n"/>
      <c r="O132" s="117" t="n"/>
      <c r="P132" s="117" t="n"/>
      <c r="Q132" s="117" t="n"/>
      <c r="R132" s="117" t="n"/>
      <c r="S132" s="117" t="n"/>
      <c r="T132" s="117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  <c r="AU132" s="112" t="n"/>
      <c r="AV132" s="112" t="n"/>
      <c r="AW132" s="112" t="n"/>
      <c r="AX132" s="112" t="n"/>
      <c r="AY132" s="112" t="n"/>
      <c r="AZ132" s="112" t="n"/>
      <c r="BA132" s="112" t="n"/>
      <c r="BB132" s="112" t="n"/>
      <c r="BC132" s="112" t="n"/>
      <c r="BD132" s="112" t="n"/>
      <c r="BE132" s="112" t="n"/>
      <c r="BF132" s="112" t="n"/>
      <c r="BG132" s="112" t="n"/>
      <c r="BH132" s="112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138" t="inlineStr">
        <is>
          <t xml:space="preserve">                CStr(loQ.DataBodyRange.Cells(i, idxQNotes).Value)</t>
        </is>
      </c>
      <c r="B133" s="117" t="n"/>
      <c r="C133" s="117" t="n"/>
      <c r="D133" s="117" t="n"/>
      <c r="E133" s="117" t="n"/>
      <c r="F133" s="117" t="n"/>
      <c r="G133" s="117" t="n"/>
      <c r="H133" s="117" t="n"/>
      <c r="I133" s="117" t="n"/>
      <c r="J133" s="117" t="n"/>
      <c r="K133" s="117" t="n"/>
      <c r="L133" s="117" t="n"/>
      <c r="M133" s="117" t="n"/>
      <c r="N133" s="117" t="n"/>
      <c r="O133" s="117" t="n"/>
      <c r="P133" s="117" t="n"/>
      <c r="Q133" s="117" t="n"/>
      <c r="R133" s="117" t="n"/>
      <c r="S133" s="117" t="n"/>
      <c r="T133" s="117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  <c r="AU133" s="112" t="n"/>
      <c r="AV133" s="112" t="n"/>
      <c r="AW133" s="112" t="n"/>
      <c r="AX133" s="112" t="n"/>
      <c r="AY133" s="112" t="n"/>
      <c r="AZ133" s="112" t="n"/>
      <c r="BA133" s="112" t="n"/>
      <c r="BB133" s="112" t="n"/>
      <c r="BC133" s="112" t="n"/>
      <c r="BD133" s="112" t="n"/>
      <c r="BE133" s="112" t="n"/>
      <c r="BF133" s="112" t="n"/>
      <c r="BG133" s="112" t="n"/>
      <c r="BH133" s="112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138" t="inlineStr">
        <is>
          <t xml:space="preserve">        End If</t>
        </is>
      </c>
      <c r="B134" s="117" t="n"/>
      <c r="C134" s="117" t="n"/>
      <c r="D134" s="117" t="n"/>
      <c r="E134" s="117" t="n"/>
      <c r="F134" s="117" t="n"/>
      <c r="G134" s="117" t="n"/>
      <c r="H134" s="117" t="n"/>
      <c r="I134" s="117" t="n"/>
      <c r="J134" s="117" t="n"/>
      <c r="K134" s="117" t="n"/>
      <c r="L134" s="117" t="n"/>
      <c r="M134" s="117" t="n"/>
      <c r="N134" s="117" t="n"/>
      <c r="O134" s="117" t="n"/>
      <c r="P134" s="117" t="n"/>
      <c r="Q134" s="117" t="n"/>
      <c r="R134" s="117" t="n"/>
      <c r="S134" s="117" t="n"/>
      <c r="T134" s="117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  <c r="AU134" s="112" t="n"/>
      <c r="AV134" s="112" t="n"/>
      <c r="AW134" s="112" t="n"/>
      <c r="AX134" s="112" t="n"/>
      <c r="AY134" s="112" t="n"/>
      <c r="AZ134" s="112" t="n"/>
      <c r="BA134" s="112" t="n"/>
      <c r="BB134" s="112" t="n"/>
      <c r="BC134" s="112" t="n"/>
      <c r="BD134" s="112" t="n"/>
      <c r="BE134" s="112" t="n"/>
      <c r="BF134" s="112" t="n"/>
      <c r="BG134" s="112" t="n"/>
      <c r="BH134" s="112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138" t="inlineStr">
        <is>
          <t xml:space="preserve">    Next i</t>
        </is>
      </c>
      <c r="B135" s="117" t="n"/>
      <c r="C135" s="117" t="n"/>
      <c r="D135" s="117" t="n"/>
      <c r="E135" s="117" t="n"/>
      <c r="F135" s="117" t="n"/>
      <c r="G135" s="117" t="n"/>
      <c r="H135" s="117" t="n"/>
      <c r="I135" s="117" t="n"/>
      <c r="J135" s="117" t="n"/>
      <c r="K135" s="117" t="n"/>
      <c r="L135" s="117" t="n"/>
      <c r="M135" s="117" t="n"/>
      <c r="N135" s="117" t="n"/>
      <c r="O135" s="117" t="n"/>
      <c r="P135" s="117" t="n"/>
      <c r="Q135" s="117" t="n"/>
      <c r="R135" s="117" t="n"/>
      <c r="S135" s="117" t="n"/>
      <c r="T135" s="117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  <c r="AU135" s="112" t="n"/>
      <c r="AV135" s="112" t="n"/>
      <c r="AW135" s="112" t="n"/>
      <c r="AX135" s="112" t="n"/>
      <c r="AY135" s="112" t="n"/>
      <c r="AZ135" s="112" t="n"/>
      <c r="BA135" s="112" t="n"/>
      <c r="BB135" s="112" t="n"/>
      <c r="BC135" s="112" t="n"/>
      <c r="BD135" s="112" t="n"/>
      <c r="BE135" s="112" t="n"/>
      <c r="BF135" s="112" t="n"/>
      <c r="BG135" s="112" t="n"/>
      <c r="BH135" s="112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138" t="inlineStr"/>
      <c r="B136" s="117" t="n"/>
      <c r="C136" s="117" t="n"/>
      <c r="D136" s="117" t="n"/>
      <c r="E136" s="117" t="n"/>
      <c r="F136" s="117" t="n"/>
      <c r="G136" s="117" t="n"/>
      <c r="H136" s="117" t="n"/>
      <c r="I136" s="117" t="n"/>
      <c r="J136" s="117" t="n"/>
      <c r="K136" s="117" t="n"/>
      <c r="L136" s="117" t="n"/>
      <c r="M136" s="117" t="n"/>
      <c r="N136" s="117" t="n"/>
      <c r="O136" s="117" t="n"/>
      <c r="P136" s="117" t="n"/>
      <c r="Q136" s="117" t="n"/>
      <c r="R136" s="117" t="n"/>
      <c r="S136" s="117" t="n"/>
      <c r="T136" s="117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  <c r="AU136" s="112" t="n"/>
      <c r="AV136" s="112" t="n"/>
      <c r="AW136" s="112" t="n"/>
      <c r="AX136" s="112" t="n"/>
      <c r="AY136" s="112" t="n"/>
      <c r="AZ136" s="112" t="n"/>
      <c r="BA136" s="112" t="n"/>
      <c r="BB136" s="112" t="n"/>
      <c r="BC136" s="112" t="n"/>
      <c r="BD136" s="112" t="n"/>
      <c r="BE136" s="112" t="n"/>
      <c r="BF136" s="112" t="n"/>
      <c r="BG136" s="112" t="n"/>
      <c r="BH136" s="112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138" t="inlineStr">
        <is>
          <t xml:space="preserve">    Exit Sub</t>
        </is>
      </c>
      <c r="B137" s="117" t="n"/>
      <c r="C137" s="117" t="n"/>
      <c r="D137" s="117" t="n"/>
      <c r="E137" s="117" t="n"/>
      <c r="F137" s="117" t="n"/>
      <c r="G137" s="117" t="n"/>
      <c r="H137" s="117" t="n"/>
      <c r="I137" s="117" t="n"/>
      <c r="J137" s="117" t="n"/>
      <c r="K137" s="117" t="n"/>
      <c r="L137" s="117" t="n"/>
      <c r="M137" s="117" t="n"/>
      <c r="N137" s="117" t="n"/>
      <c r="O137" s="117" t="n"/>
      <c r="P137" s="117" t="n"/>
      <c r="Q137" s="117" t="n"/>
      <c r="R137" s="117" t="n"/>
      <c r="S137" s="117" t="n"/>
      <c r="T137" s="117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  <c r="AU137" s="112" t="n"/>
      <c r="AV137" s="112" t="n"/>
      <c r="AW137" s="112" t="n"/>
      <c r="AX137" s="112" t="n"/>
      <c r="AY137" s="112" t="n"/>
      <c r="AZ137" s="112" t="n"/>
      <c r="BA137" s="112" t="n"/>
      <c r="BB137" s="112" t="n"/>
      <c r="BC137" s="112" t="n"/>
      <c r="BD137" s="112" t="n"/>
      <c r="BE137" s="112" t="n"/>
      <c r="BF137" s="112" t="n"/>
      <c r="BG137" s="112" t="n"/>
      <c r="BH137" s="112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138" t="inlineStr">
        <is>
          <t>EH:</t>
        </is>
      </c>
      <c r="B138" s="117" t="n"/>
      <c r="C138" s="117" t="n"/>
      <c r="D138" s="117" t="n"/>
      <c r="E138" s="117" t="n"/>
      <c r="F138" s="117" t="n"/>
      <c r="G138" s="117" t="n"/>
      <c r="H138" s="117" t="n"/>
      <c r="I138" s="117" t="n"/>
      <c r="J138" s="117" t="n"/>
      <c r="K138" s="117" t="n"/>
      <c r="L138" s="117" t="n"/>
      <c r="M138" s="117" t="n"/>
      <c r="N138" s="117" t="n"/>
      <c r="O138" s="117" t="n"/>
      <c r="P138" s="117" t="n"/>
      <c r="Q138" s="117" t="n"/>
      <c r="R138" s="117" t="n"/>
      <c r="S138" s="117" t="n"/>
      <c r="T138" s="117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  <c r="AU138" s="112" t="n"/>
      <c r="AV138" s="112" t="n"/>
      <c r="AW138" s="112" t="n"/>
      <c r="AX138" s="112" t="n"/>
      <c r="AY138" s="112" t="n"/>
      <c r="AZ138" s="112" t="n"/>
      <c r="BA138" s="112" t="n"/>
      <c r="BB138" s="112" t="n"/>
      <c r="BC138" s="112" t="n"/>
      <c r="BD138" s="112" t="n"/>
      <c r="BE138" s="112" t="n"/>
      <c r="BF138" s="112" t="n"/>
      <c r="BG138" s="112" t="n"/>
      <c r="BH138" s="112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138" t="inlineStr">
        <is>
          <t xml:space="preserve">    LogRun "ERROR", "PromoteResolvedReviewItems: " &amp; Err.Description</t>
        </is>
      </c>
      <c r="B139" s="117" t="n"/>
      <c r="C139" s="117" t="n"/>
      <c r="D139" s="117" t="n"/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17" t="n"/>
      <c r="N139" s="117" t="n"/>
      <c r="O139" s="117" t="n"/>
      <c r="P139" s="117" t="n"/>
      <c r="Q139" s="117" t="n"/>
      <c r="R139" s="117" t="n"/>
      <c r="S139" s="117" t="n"/>
      <c r="T139" s="117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  <c r="AU139" s="112" t="n"/>
      <c r="AV139" s="112" t="n"/>
      <c r="AW139" s="112" t="n"/>
      <c r="AX139" s="112" t="n"/>
      <c r="AY139" s="112" t="n"/>
      <c r="AZ139" s="112" t="n"/>
      <c r="BA139" s="112" t="n"/>
      <c r="BB139" s="112" t="n"/>
      <c r="BC139" s="112" t="n"/>
      <c r="BD139" s="112" t="n"/>
      <c r="BE139" s="112" t="n"/>
      <c r="BF139" s="112" t="n"/>
      <c r="BG139" s="112" t="n"/>
      <c r="BH139" s="112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138" t="inlineStr">
        <is>
          <t>End Sub</t>
        </is>
      </c>
      <c r="B140" s="117" t="n"/>
      <c r="C140" s="117" t="n"/>
      <c r="D140" s="117" t="n"/>
      <c r="E140" s="117" t="n"/>
      <c r="F140" s="117" t="n"/>
      <c r="G140" s="117" t="n"/>
      <c r="H140" s="117" t="n"/>
      <c r="I140" s="117" t="n"/>
      <c r="J140" s="117" t="n"/>
      <c r="K140" s="117" t="n"/>
      <c r="L140" s="117" t="n"/>
      <c r="M140" s="117" t="n"/>
      <c r="N140" s="117" t="n"/>
      <c r="O140" s="117" t="n"/>
      <c r="P140" s="117" t="n"/>
      <c r="Q140" s="117" t="n"/>
      <c r="R140" s="117" t="n"/>
      <c r="S140" s="117" t="n"/>
      <c r="T140" s="117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  <c r="AU140" s="112" t="n"/>
      <c r="AV140" s="112" t="n"/>
      <c r="AW140" s="112" t="n"/>
      <c r="AX140" s="112" t="n"/>
      <c r="AY140" s="112" t="n"/>
      <c r="AZ140" s="112" t="n"/>
      <c r="BA140" s="112" t="n"/>
      <c r="BB140" s="112" t="n"/>
      <c r="BC140" s="112" t="n"/>
      <c r="BD140" s="112" t="n"/>
      <c r="BE140" s="112" t="n"/>
      <c r="BF140" s="112" t="n"/>
      <c r="BG140" s="112" t="n"/>
      <c r="BH140" s="112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138" t="inlineStr"/>
      <c r="B141" s="117" t="n"/>
      <c r="C141" s="117" t="n"/>
      <c r="D141" s="117" t="n"/>
      <c r="E141" s="117" t="n"/>
      <c r="F141" s="117" t="n"/>
      <c r="G141" s="117" t="n"/>
      <c r="H141" s="117" t="n"/>
      <c r="I141" s="117" t="n"/>
      <c r="J141" s="117" t="n"/>
      <c r="K141" s="117" t="n"/>
      <c r="L141" s="117" t="n"/>
      <c r="M141" s="117" t="n"/>
      <c r="N141" s="117" t="n"/>
      <c r="O141" s="117" t="n"/>
      <c r="P141" s="117" t="n"/>
      <c r="Q141" s="117" t="n"/>
      <c r="R141" s="117" t="n"/>
      <c r="S141" s="117" t="n"/>
      <c r="T141" s="117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  <c r="AU141" s="112" t="n"/>
      <c r="AV141" s="112" t="n"/>
      <c r="AW141" s="112" t="n"/>
      <c r="AX141" s="112" t="n"/>
      <c r="AY141" s="112" t="n"/>
      <c r="AZ141" s="112" t="n"/>
      <c r="BA141" s="112" t="n"/>
      <c r="BB141" s="112" t="n"/>
      <c r="BC141" s="112" t="n"/>
      <c r="BD141" s="112" t="n"/>
      <c r="BE141" s="112" t="n"/>
      <c r="BF141" s="112" t="n"/>
      <c r="BG141" s="112" t="n"/>
      <c r="BH141" s="112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138" t="inlineStr">
        <is>
          <t>Private Sub UpdateCandidate(loC As ListObject, ent As String, fld As String, evid As String, notes As String)</t>
        </is>
      </c>
      <c r="B142" s="117" t="n"/>
      <c r="C142" s="117" t="n"/>
      <c r="D142" s="117" t="n"/>
      <c r="E142" s="117" t="n"/>
      <c r="F142" s="117" t="n"/>
      <c r="G142" s="117" t="n"/>
      <c r="H142" s="117" t="n"/>
      <c r="I142" s="117" t="n"/>
      <c r="J142" s="117" t="n"/>
      <c r="K142" s="117" t="n"/>
      <c r="L142" s="117" t="n"/>
      <c r="M142" s="117" t="n"/>
      <c r="N142" s="117" t="n"/>
      <c r="O142" s="117" t="n"/>
      <c r="P142" s="117" t="n"/>
      <c r="Q142" s="117" t="n"/>
      <c r="R142" s="117" t="n"/>
      <c r="S142" s="117" t="n"/>
      <c r="T142" s="117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  <c r="AU142" s="112" t="n"/>
      <c r="AV142" s="112" t="n"/>
      <c r="AW142" s="112" t="n"/>
      <c r="AX142" s="112" t="n"/>
      <c r="AY142" s="112" t="n"/>
      <c r="AZ142" s="112" t="n"/>
      <c r="BA142" s="112" t="n"/>
      <c r="BB142" s="112" t="n"/>
      <c r="BC142" s="112" t="n"/>
      <c r="BD142" s="112" t="n"/>
      <c r="BE142" s="112" t="n"/>
      <c r="BF142" s="112" t="n"/>
      <c r="BG142" s="112" t="n"/>
      <c r="BH142" s="112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138" t="inlineStr">
        <is>
          <t xml:space="preserve">    On Error GoTo EH</t>
        </is>
      </c>
      <c r="B143" s="117" t="n"/>
      <c r="C143" s="117" t="n"/>
      <c r="D143" s="117" t="n"/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17" t="n"/>
      <c r="N143" s="117" t="n"/>
      <c r="O143" s="117" t="n"/>
      <c r="P143" s="117" t="n"/>
      <c r="Q143" s="117" t="n"/>
      <c r="R143" s="117" t="n"/>
      <c r="S143" s="117" t="n"/>
      <c r="T143" s="117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  <c r="AU143" s="112" t="n"/>
      <c r="AV143" s="112" t="n"/>
      <c r="AW143" s="112" t="n"/>
      <c r="AX143" s="112" t="n"/>
      <c r="AY143" s="112" t="n"/>
      <c r="AZ143" s="112" t="n"/>
      <c r="BA143" s="112" t="n"/>
      <c r="BB143" s="112" t="n"/>
      <c r="BC143" s="112" t="n"/>
      <c r="BD143" s="112" t="n"/>
      <c r="BE143" s="112" t="n"/>
      <c r="BF143" s="112" t="n"/>
      <c r="BG143" s="112" t="n"/>
      <c r="BH143" s="112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138" t="inlineStr">
        <is>
          <t xml:space="preserve">    Dim idxEnt As Long: idxEnt = loC.ListColumns("entity_id").Index</t>
        </is>
      </c>
      <c r="B144" s="117" t="n"/>
      <c r="C144" s="117" t="n"/>
      <c r="D144" s="117" t="n"/>
      <c r="E144" s="117" t="n"/>
      <c r="F144" s="117" t="n"/>
      <c r="G144" s="117" t="n"/>
      <c r="H144" s="117" t="n"/>
      <c r="I144" s="117" t="n"/>
      <c r="J144" s="117" t="n"/>
      <c r="K144" s="117" t="n"/>
      <c r="L144" s="117" t="n"/>
      <c r="M144" s="117" t="n"/>
      <c r="N144" s="117" t="n"/>
      <c r="O144" s="117" t="n"/>
      <c r="P144" s="117" t="n"/>
      <c r="Q144" s="117" t="n"/>
      <c r="R144" s="117" t="n"/>
      <c r="S144" s="117" t="n"/>
      <c r="T144" s="117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  <c r="AU144" s="112" t="n"/>
      <c r="AV144" s="112" t="n"/>
      <c r="AW144" s="112" t="n"/>
      <c r="AX144" s="112" t="n"/>
      <c r="AY144" s="112" t="n"/>
      <c r="AZ144" s="112" t="n"/>
      <c r="BA144" s="112" t="n"/>
      <c r="BB144" s="112" t="n"/>
      <c r="BC144" s="112" t="n"/>
      <c r="BD144" s="112" t="n"/>
      <c r="BE144" s="112" t="n"/>
      <c r="BF144" s="112" t="n"/>
      <c r="BG144" s="112" t="n"/>
      <c r="BH144" s="112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138" t="inlineStr">
        <is>
          <t xml:space="preserve">    Dim idxField As Long: idxField = loC.ListColumns("field_key").Index</t>
        </is>
      </c>
      <c r="B145" s="117" t="n"/>
      <c r="C145" s="117" t="n"/>
      <c r="D145" s="117" t="n"/>
      <c r="E145" s="117" t="n"/>
      <c r="F145" s="117" t="n"/>
      <c r="G145" s="117" t="n"/>
      <c r="H145" s="117" t="n"/>
      <c r="I145" s="117" t="n"/>
      <c r="J145" s="117" t="n"/>
      <c r="K145" s="117" t="n"/>
      <c r="L145" s="117" t="n"/>
      <c r="M145" s="117" t="n"/>
      <c r="N145" s="117" t="n"/>
      <c r="O145" s="117" t="n"/>
      <c r="P145" s="117" t="n"/>
      <c r="Q145" s="117" t="n"/>
      <c r="R145" s="117" t="n"/>
      <c r="S145" s="117" t="n"/>
      <c r="T145" s="117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  <c r="AU145" s="112" t="n"/>
      <c r="AV145" s="112" t="n"/>
      <c r="AW145" s="112" t="n"/>
      <c r="AX145" s="112" t="n"/>
      <c r="AY145" s="112" t="n"/>
      <c r="AZ145" s="112" t="n"/>
      <c r="BA145" s="112" t="n"/>
      <c r="BB145" s="112" t="n"/>
      <c r="BC145" s="112" t="n"/>
      <c r="BD145" s="112" t="n"/>
      <c r="BE145" s="112" t="n"/>
      <c r="BF145" s="112" t="n"/>
      <c r="BG145" s="112" t="n"/>
      <c r="BH145" s="112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138" t="inlineStr">
        <is>
          <t xml:space="preserve">    Dim idxEvid As Long: idxEvid = loC.ListColumns("evidence_id").Index</t>
        </is>
      </c>
      <c r="B146" s="117" t="n"/>
      <c r="C146" s="117" t="n"/>
      <c r="D146" s="117" t="n"/>
      <c r="E146" s="117" t="n"/>
      <c r="F146" s="117" t="n"/>
      <c r="G146" s="117" t="n"/>
      <c r="H146" s="117" t="n"/>
      <c r="I146" s="117" t="n"/>
      <c r="J146" s="117" t="n"/>
      <c r="K146" s="117" t="n"/>
      <c r="L146" s="117" t="n"/>
      <c r="M146" s="117" t="n"/>
      <c r="N146" s="117" t="n"/>
      <c r="O146" s="117" t="n"/>
      <c r="P146" s="117" t="n"/>
      <c r="Q146" s="117" t="n"/>
      <c r="R146" s="117" t="n"/>
      <c r="S146" s="117" t="n"/>
      <c r="T146" s="117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  <c r="AU146" s="112" t="n"/>
      <c r="AV146" s="112" t="n"/>
      <c r="AW146" s="112" t="n"/>
      <c r="AX146" s="112" t="n"/>
      <c r="AY146" s="112" t="n"/>
      <c r="AZ146" s="112" t="n"/>
      <c r="BA146" s="112" t="n"/>
      <c r="BB146" s="112" t="n"/>
      <c r="BC146" s="112" t="n"/>
      <c r="BD146" s="112" t="n"/>
      <c r="BE146" s="112" t="n"/>
      <c r="BF146" s="112" t="n"/>
      <c r="BG146" s="112" t="n"/>
      <c r="BH146" s="112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138" t="inlineStr">
        <is>
          <t xml:space="preserve">    Dim idxManual As Long: idxManual = loC.ListColumns("status_manual").Index</t>
        </is>
      </c>
      <c r="B147" s="117" t="n"/>
      <c r="C147" s="117" t="n"/>
      <c r="D147" s="117" t="n"/>
      <c r="E147" s="117" t="n"/>
      <c r="F147" s="11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  <c r="AU147" s="112" t="n"/>
      <c r="AV147" s="112" t="n"/>
      <c r="AW147" s="112" t="n"/>
      <c r="AX147" s="112" t="n"/>
      <c r="AY147" s="112" t="n"/>
      <c r="AZ147" s="112" t="n"/>
      <c r="BA147" s="112" t="n"/>
      <c r="BB147" s="112" t="n"/>
      <c r="BC147" s="112" t="n"/>
      <c r="BD147" s="112" t="n"/>
      <c r="BE147" s="112" t="n"/>
      <c r="BF147" s="112" t="n"/>
      <c r="BG147" s="112" t="n"/>
      <c r="BH147" s="112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138" t="inlineStr">
        <is>
          <t xml:space="preserve">    Dim idxNotes As Long: idxNotes = loC.ListColumns("reviewer_notes").Index</t>
        </is>
      </c>
      <c r="B148" s="117" t="n"/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7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  <c r="AU148" s="112" t="n"/>
      <c r="AV148" s="112" t="n"/>
      <c r="AW148" s="112" t="n"/>
      <c r="AX148" s="112" t="n"/>
      <c r="AY148" s="112" t="n"/>
      <c r="AZ148" s="112" t="n"/>
      <c r="BA148" s="112" t="n"/>
      <c r="BB148" s="112" t="n"/>
      <c r="BC148" s="112" t="n"/>
      <c r="BD148" s="112" t="n"/>
      <c r="BE148" s="112" t="n"/>
      <c r="BF148" s="112" t="n"/>
      <c r="BG148" s="112" t="n"/>
      <c r="BH148" s="112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138" t="inlineStr"/>
      <c r="B149" s="117" t="n"/>
      <c r="C149" s="117" t="n"/>
      <c r="D149" s="117" t="n"/>
      <c r="E149" s="117" t="n"/>
      <c r="F149" s="117" t="n"/>
      <c r="G149" s="117" t="n"/>
      <c r="H149" s="117" t="n"/>
      <c r="I149" s="117" t="n"/>
      <c r="J149" s="117" t="n"/>
      <c r="K149" s="117" t="n"/>
      <c r="L149" s="117" t="n"/>
      <c r="M149" s="117" t="n"/>
      <c r="N149" s="117" t="n"/>
      <c r="O149" s="117" t="n"/>
      <c r="P149" s="117" t="n"/>
      <c r="Q149" s="117" t="n"/>
      <c r="R149" s="117" t="n"/>
      <c r="S149" s="117" t="n"/>
      <c r="T149" s="117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  <c r="AU149" s="112" t="n"/>
      <c r="AV149" s="112" t="n"/>
      <c r="AW149" s="112" t="n"/>
      <c r="AX149" s="112" t="n"/>
      <c r="AY149" s="112" t="n"/>
      <c r="AZ149" s="112" t="n"/>
      <c r="BA149" s="112" t="n"/>
      <c r="BB149" s="112" t="n"/>
      <c r="BC149" s="112" t="n"/>
      <c r="BD149" s="112" t="n"/>
      <c r="BE149" s="112" t="n"/>
      <c r="BF149" s="112" t="n"/>
      <c r="BG149" s="112" t="n"/>
      <c r="BH149" s="112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138" t="inlineStr">
        <is>
          <t xml:space="preserve">    Dim r As Long</t>
        </is>
      </c>
      <c r="B150" s="117" t="n"/>
      <c r="C150" s="117" t="n"/>
      <c r="D150" s="117" t="n"/>
      <c r="E150" s="117" t="n"/>
      <c r="F150" s="117" t="n"/>
      <c r="G150" s="117" t="n"/>
      <c r="H150" s="117" t="n"/>
      <c r="I150" s="117" t="n"/>
      <c r="J150" s="117" t="n"/>
      <c r="K150" s="117" t="n"/>
      <c r="L150" s="117" t="n"/>
      <c r="M150" s="117" t="n"/>
      <c r="N150" s="117" t="n"/>
      <c r="O150" s="117" t="n"/>
      <c r="P150" s="117" t="n"/>
      <c r="Q150" s="117" t="n"/>
      <c r="R150" s="117" t="n"/>
      <c r="S150" s="117" t="n"/>
      <c r="T150" s="117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  <c r="AU150" s="112" t="n"/>
      <c r="AV150" s="112" t="n"/>
      <c r="AW150" s="112" t="n"/>
      <c r="AX150" s="112" t="n"/>
      <c r="AY150" s="112" t="n"/>
      <c r="AZ150" s="112" t="n"/>
      <c r="BA150" s="112" t="n"/>
      <c r="BB150" s="112" t="n"/>
      <c r="BC150" s="112" t="n"/>
      <c r="BD150" s="112" t="n"/>
      <c r="BE150" s="112" t="n"/>
      <c r="BF150" s="112" t="n"/>
      <c r="BG150" s="112" t="n"/>
      <c r="BH150" s="112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138" t="inlineStr">
        <is>
          <t xml:space="preserve">    For r = 1 To loC.DataBodyRange.Rows.Count</t>
        </is>
      </c>
      <c r="B151" s="117" t="n"/>
      <c r="C151" s="117" t="n"/>
      <c r="D151" s="117" t="n"/>
      <c r="E151" s="117" t="n"/>
      <c r="F151" s="117" t="n"/>
      <c r="G151" s="117" t="n"/>
      <c r="H151" s="117" t="n"/>
      <c r="I151" s="117" t="n"/>
      <c r="J151" s="117" t="n"/>
      <c r="K151" s="117" t="n"/>
      <c r="L151" s="117" t="n"/>
      <c r="M151" s="117" t="n"/>
      <c r="N151" s="117" t="n"/>
      <c r="O151" s="117" t="n"/>
      <c r="P151" s="117" t="n"/>
      <c r="Q151" s="117" t="n"/>
      <c r="R151" s="117" t="n"/>
      <c r="S151" s="117" t="n"/>
      <c r="T151" s="117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  <c r="AU151" s="112" t="n"/>
      <c r="AV151" s="112" t="n"/>
      <c r="AW151" s="112" t="n"/>
      <c r="AX151" s="112" t="n"/>
      <c r="AY151" s="112" t="n"/>
      <c r="AZ151" s="112" t="n"/>
      <c r="BA151" s="112" t="n"/>
      <c r="BB151" s="112" t="n"/>
      <c r="BC151" s="112" t="n"/>
      <c r="BD151" s="112" t="n"/>
      <c r="BE151" s="112" t="n"/>
      <c r="BF151" s="112" t="n"/>
      <c r="BG151" s="112" t="n"/>
      <c r="BH151" s="112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138" t="inlineStr">
        <is>
          <t xml:space="preserve">        If CStr(loC.DataBodyRange.Cells(r, idxEnt).Value) = ent _</t>
        </is>
      </c>
      <c r="B152" s="117" t="n"/>
      <c r="C152" s="117" t="n"/>
      <c r="D152" s="117" t="n"/>
      <c r="E152" s="117" t="n"/>
      <c r="F152" s="117" t="n"/>
      <c r="G152" s="117" t="n"/>
      <c r="H152" s="117" t="n"/>
      <c r="I152" s="117" t="n"/>
      <c r="J152" s="117" t="n"/>
      <c r="K152" s="117" t="n"/>
      <c r="L152" s="117" t="n"/>
      <c r="M152" s="117" t="n"/>
      <c r="N152" s="117" t="n"/>
      <c r="O152" s="117" t="n"/>
      <c r="P152" s="117" t="n"/>
      <c r="Q152" s="117" t="n"/>
      <c r="R152" s="117" t="n"/>
      <c r="S152" s="117" t="n"/>
      <c r="T152" s="117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  <c r="AU152" s="112" t="n"/>
      <c r="AV152" s="112" t="n"/>
      <c r="AW152" s="112" t="n"/>
      <c r="AX152" s="112" t="n"/>
      <c r="AY152" s="112" t="n"/>
      <c r="AZ152" s="112" t="n"/>
      <c r="BA152" s="112" t="n"/>
      <c r="BB152" s="112" t="n"/>
      <c r="BC152" s="112" t="n"/>
      <c r="BD152" s="112" t="n"/>
      <c r="BE152" s="112" t="n"/>
      <c r="BF152" s="112" t="n"/>
      <c r="BG152" s="112" t="n"/>
      <c r="BH152" s="112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138" t="inlineStr">
        <is>
          <t xml:space="preserve">           And CStr(loC.DataBodyRange.Cells(r, idxField).Value) = fld _</t>
        </is>
      </c>
      <c r="B153" s="117" t="n"/>
      <c r="C153" s="117" t="n"/>
      <c r="D153" s="117" t="n"/>
      <c r="E153" s="117" t="n"/>
      <c r="F153" s="117" t="n"/>
      <c r="G153" s="117" t="n"/>
      <c r="H153" s="117" t="n"/>
      <c r="I153" s="117" t="n"/>
      <c r="J153" s="117" t="n"/>
      <c r="K153" s="117" t="n"/>
      <c r="L153" s="117" t="n"/>
      <c r="M153" s="117" t="n"/>
      <c r="N153" s="117" t="n"/>
      <c r="O153" s="117" t="n"/>
      <c r="P153" s="117" t="n"/>
      <c r="Q153" s="117" t="n"/>
      <c r="R153" s="117" t="n"/>
      <c r="S153" s="117" t="n"/>
      <c r="T153" s="117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  <c r="AU153" s="112" t="n"/>
      <c r="AV153" s="112" t="n"/>
      <c r="AW153" s="112" t="n"/>
      <c r="AX153" s="112" t="n"/>
      <c r="AY153" s="112" t="n"/>
      <c r="AZ153" s="112" t="n"/>
      <c r="BA153" s="112" t="n"/>
      <c r="BB153" s="112" t="n"/>
      <c r="BC153" s="112" t="n"/>
      <c r="BD153" s="112" t="n"/>
      <c r="BE153" s="112" t="n"/>
      <c r="BF153" s="112" t="n"/>
      <c r="BG153" s="112" t="n"/>
      <c r="BH153" s="112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138" t="inlineStr">
        <is>
          <t xml:space="preserve">           And CStr(loC.DataBodyRange.Cells(r, idxEvid).Value) = evid Then</t>
        </is>
      </c>
      <c r="B154" s="117" t="n"/>
      <c r="C154" s="117" t="n"/>
      <c r="D154" s="117" t="n"/>
      <c r="E154" s="117" t="n"/>
      <c r="F154" s="117" t="n"/>
      <c r="G154" s="117" t="n"/>
      <c r="H154" s="117" t="n"/>
      <c r="I154" s="117" t="n"/>
      <c r="J154" s="117" t="n"/>
      <c r="K154" s="117" t="n"/>
      <c r="L154" s="117" t="n"/>
      <c r="M154" s="117" t="n"/>
      <c r="N154" s="117" t="n"/>
      <c r="O154" s="117" t="n"/>
      <c r="P154" s="117" t="n"/>
      <c r="Q154" s="117" t="n"/>
      <c r="R154" s="117" t="n"/>
      <c r="S154" s="117" t="n"/>
      <c r="T154" s="117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  <c r="AU154" s="112" t="n"/>
      <c r="AV154" s="112" t="n"/>
      <c r="AW154" s="112" t="n"/>
      <c r="AX154" s="112" t="n"/>
      <c r="AY154" s="112" t="n"/>
      <c r="AZ154" s="112" t="n"/>
      <c r="BA154" s="112" t="n"/>
      <c r="BB154" s="112" t="n"/>
      <c r="BC154" s="112" t="n"/>
      <c r="BD154" s="112" t="n"/>
      <c r="BE154" s="112" t="n"/>
      <c r="BF154" s="112" t="n"/>
      <c r="BG154" s="112" t="n"/>
      <c r="BH154" s="112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138" t="inlineStr"/>
      <c r="B155" s="117" t="n"/>
      <c r="C155" s="117" t="n"/>
      <c r="D155" s="117" t="n"/>
      <c r="E155" s="117" t="n"/>
      <c r="F155" s="117" t="n"/>
      <c r="G155" s="117" t="n"/>
      <c r="H155" s="117" t="n"/>
      <c r="I155" s="117" t="n"/>
      <c r="J155" s="117" t="n"/>
      <c r="K155" s="117" t="n"/>
      <c r="L155" s="117" t="n"/>
      <c r="M155" s="117" t="n"/>
      <c r="N155" s="117" t="n"/>
      <c r="O155" s="117" t="n"/>
      <c r="P155" s="117" t="n"/>
      <c r="Q155" s="117" t="n"/>
      <c r="R155" s="117" t="n"/>
      <c r="S155" s="117" t="n"/>
      <c r="T155" s="117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  <c r="AU155" s="112" t="n"/>
      <c r="AV155" s="112" t="n"/>
      <c r="AW155" s="112" t="n"/>
      <c r="AX155" s="112" t="n"/>
      <c r="AY155" s="112" t="n"/>
      <c r="AZ155" s="112" t="n"/>
      <c r="BA155" s="112" t="n"/>
      <c r="BB155" s="112" t="n"/>
      <c r="BC155" s="112" t="n"/>
      <c r="BD155" s="112" t="n"/>
      <c r="BE155" s="112" t="n"/>
      <c r="BF155" s="112" t="n"/>
      <c r="BG155" s="112" t="n"/>
      <c r="BH155" s="112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138" t="inlineStr">
        <is>
          <t xml:space="preserve">            loC.DataBodyRange.Cells(r, idxNotes).Value = notes</t>
        </is>
      </c>
      <c r="B156" s="117" t="n"/>
      <c r="C156" s="117" t="n"/>
      <c r="D156" s="117" t="n"/>
      <c r="E156" s="117" t="n"/>
      <c r="F156" s="117" t="n"/>
      <c r="G156" s="117" t="n"/>
      <c r="H156" s="117" t="n"/>
      <c r="I156" s="117" t="n"/>
      <c r="J156" s="117" t="n"/>
      <c r="K156" s="117" t="n"/>
      <c r="L156" s="117" t="n"/>
      <c r="M156" s="117" t="n"/>
      <c r="N156" s="117" t="n"/>
      <c r="O156" s="117" t="n"/>
      <c r="P156" s="117" t="n"/>
      <c r="Q156" s="117" t="n"/>
      <c r="R156" s="117" t="n"/>
      <c r="S156" s="117" t="n"/>
      <c r="T156" s="117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  <c r="AU156" s="112" t="n"/>
      <c r="AV156" s="112" t="n"/>
      <c r="AW156" s="112" t="n"/>
      <c r="AX156" s="112" t="n"/>
      <c r="AY156" s="112" t="n"/>
      <c r="AZ156" s="112" t="n"/>
      <c r="BA156" s="112" t="n"/>
      <c r="BB156" s="112" t="n"/>
      <c r="BC156" s="112" t="n"/>
      <c r="BD156" s="112" t="n"/>
      <c r="BE156" s="112" t="n"/>
      <c r="BF156" s="112" t="n"/>
      <c r="BG156" s="112" t="n"/>
      <c r="BH156" s="112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138" t="inlineStr">
        <is>
          <t xml:space="preserve">            loC.DataBodyRange.Cells(r, idxManual).Value = "PROMOTED"</t>
        </is>
      </c>
      <c r="B157" s="117" t="n"/>
      <c r="C157" s="117" t="n"/>
      <c r="D157" s="117" t="n"/>
      <c r="E157" s="117" t="n"/>
      <c r="F157" s="117" t="n"/>
      <c r="G157" s="117" t="n"/>
      <c r="H157" s="117" t="n"/>
      <c r="I157" s="117" t="n"/>
      <c r="J157" s="117" t="n"/>
      <c r="K157" s="117" t="n"/>
      <c r="L157" s="117" t="n"/>
      <c r="M157" s="117" t="n"/>
      <c r="N157" s="117" t="n"/>
      <c r="O157" s="117" t="n"/>
      <c r="P157" s="117" t="n"/>
      <c r="Q157" s="117" t="n"/>
      <c r="R157" s="117" t="n"/>
      <c r="S157" s="117" t="n"/>
      <c r="T157" s="117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  <c r="AU157" s="112" t="n"/>
      <c r="AV157" s="112" t="n"/>
      <c r="AW157" s="112" t="n"/>
      <c r="AX157" s="112" t="n"/>
      <c r="AY157" s="112" t="n"/>
      <c r="AZ157" s="112" t="n"/>
      <c r="BA157" s="112" t="n"/>
      <c r="BB157" s="112" t="n"/>
      <c r="BC157" s="112" t="n"/>
      <c r="BD157" s="112" t="n"/>
      <c r="BE157" s="112" t="n"/>
      <c r="BF157" s="112" t="n"/>
      <c r="BG157" s="112" t="n"/>
      <c r="BH157" s="112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138" t="inlineStr">
        <is>
          <t xml:space="preserve">            Exit For</t>
        </is>
      </c>
      <c r="B158" s="117" t="n"/>
      <c r="C158" s="117" t="n"/>
      <c r="D158" s="117" t="n"/>
      <c r="E158" s="117" t="n"/>
      <c r="F158" s="117" t="n"/>
      <c r="G158" s="117" t="n"/>
      <c r="H158" s="117" t="n"/>
      <c r="I158" s="117" t="n"/>
      <c r="J158" s="117" t="n"/>
      <c r="K158" s="117" t="n"/>
      <c r="L158" s="117" t="n"/>
      <c r="M158" s="117" t="n"/>
      <c r="N158" s="117" t="n"/>
      <c r="O158" s="117" t="n"/>
      <c r="P158" s="117" t="n"/>
      <c r="Q158" s="117" t="n"/>
      <c r="R158" s="117" t="n"/>
      <c r="S158" s="117" t="n"/>
      <c r="T158" s="117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  <c r="AU158" s="112" t="n"/>
      <c r="AV158" s="112" t="n"/>
      <c r="AW158" s="112" t="n"/>
      <c r="AX158" s="112" t="n"/>
      <c r="AY158" s="112" t="n"/>
      <c r="AZ158" s="112" t="n"/>
      <c r="BA158" s="112" t="n"/>
      <c r="BB158" s="112" t="n"/>
      <c r="BC158" s="112" t="n"/>
      <c r="BD158" s="112" t="n"/>
      <c r="BE158" s="112" t="n"/>
      <c r="BF158" s="112" t="n"/>
      <c r="BG158" s="112" t="n"/>
      <c r="BH158" s="112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138" t="inlineStr">
        <is>
          <t xml:space="preserve">        End If</t>
        </is>
      </c>
      <c r="B159" s="117" t="n"/>
      <c r="C159" s="117" t="n"/>
      <c r="D159" s="117" t="n"/>
      <c r="E159" s="117" t="n"/>
      <c r="F159" s="117" t="n"/>
      <c r="G159" s="117" t="n"/>
      <c r="H159" s="117" t="n"/>
      <c r="I159" s="117" t="n"/>
      <c r="J159" s="117" t="n"/>
      <c r="K159" s="117" t="n"/>
      <c r="L159" s="117" t="n"/>
      <c r="M159" s="117" t="n"/>
      <c r="N159" s="117" t="n"/>
      <c r="O159" s="117" t="n"/>
      <c r="P159" s="117" t="n"/>
      <c r="Q159" s="117" t="n"/>
      <c r="R159" s="117" t="n"/>
      <c r="S159" s="117" t="n"/>
      <c r="T159" s="117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  <c r="AU159" s="112" t="n"/>
      <c r="AV159" s="112" t="n"/>
      <c r="AW159" s="112" t="n"/>
      <c r="AX159" s="112" t="n"/>
      <c r="AY159" s="112" t="n"/>
      <c r="AZ159" s="112" t="n"/>
      <c r="BA159" s="112" t="n"/>
      <c r="BB159" s="112" t="n"/>
      <c r="BC159" s="112" t="n"/>
      <c r="BD159" s="112" t="n"/>
      <c r="BE159" s="112" t="n"/>
      <c r="BF159" s="112" t="n"/>
      <c r="BG159" s="112" t="n"/>
      <c r="BH159" s="112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138" t="inlineStr">
        <is>
          <t xml:space="preserve">    Next r</t>
        </is>
      </c>
      <c r="B160" s="117" t="n"/>
      <c r="C160" s="117" t="n"/>
      <c r="D160" s="117" t="n"/>
      <c r="E160" s="117" t="n"/>
      <c r="F160" s="117" t="n"/>
      <c r="G160" s="117" t="n"/>
      <c r="H160" s="117" t="n"/>
      <c r="I160" s="117" t="n"/>
      <c r="J160" s="117" t="n"/>
      <c r="K160" s="117" t="n"/>
      <c r="L160" s="117" t="n"/>
      <c r="M160" s="117" t="n"/>
      <c r="N160" s="117" t="n"/>
      <c r="O160" s="117" t="n"/>
      <c r="P160" s="117" t="n"/>
      <c r="Q160" s="117" t="n"/>
      <c r="R160" s="117" t="n"/>
      <c r="S160" s="117" t="n"/>
      <c r="T160" s="117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  <c r="AU160" s="112" t="n"/>
      <c r="AV160" s="112" t="n"/>
      <c r="AW160" s="112" t="n"/>
      <c r="AX160" s="112" t="n"/>
      <c r="AY160" s="112" t="n"/>
      <c r="AZ160" s="112" t="n"/>
      <c r="BA160" s="112" t="n"/>
      <c r="BB160" s="112" t="n"/>
      <c r="BC160" s="112" t="n"/>
      <c r="BD160" s="112" t="n"/>
      <c r="BE160" s="112" t="n"/>
      <c r="BF160" s="112" t="n"/>
      <c r="BG160" s="112" t="n"/>
      <c r="BH160" s="112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138" t="inlineStr">
        <is>
          <t xml:space="preserve">    Exit Sub</t>
        </is>
      </c>
      <c r="B161" s="117" t="n"/>
      <c r="C161" s="117" t="n"/>
      <c r="D161" s="117" t="n"/>
      <c r="E161" s="117" t="n"/>
      <c r="F161" s="117" t="n"/>
      <c r="G161" s="117" t="n"/>
      <c r="H161" s="117" t="n"/>
      <c r="I161" s="117" t="n"/>
      <c r="J161" s="117" t="n"/>
      <c r="K161" s="117" t="n"/>
      <c r="L161" s="117" t="n"/>
      <c r="M161" s="117" t="n"/>
      <c r="N161" s="117" t="n"/>
      <c r="O161" s="117" t="n"/>
      <c r="P161" s="117" t="n"/>
      <c r="Q161" s="117" t="n"/>
      <c r="R161" s="117" t="n"/>
      <c r="S161" s="117" t="n"/>
      <c r="T161" s="117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  <c r="AU161" s="112" t="n"/>
      <c r="AV161" s="112" t="n"/>
      <c r="AW161" s="112" t="n"/>
      <c r="AX161" s="112" t="n"/>
      <c r="AY161" s="112" t="n"/>
      <c r="AZ161" s="112" t="n"/>
      <c r="BA161" s="112" t="n"/>
      <c r="BB161" s="112" t="n"/>
      <c r="BC161" s="112" t="n"/>
      <c r="BD161" s="112" t="n"/>
      <c r="BE161" s="112" t="n"/>
      <c r="BF161" s="112" t="n"/>
      <c r="BG161" s="112" t="n"/>
      <c r="BH161" s="112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138" t="inlineStr">
        <is>
          <t>EH:</t>
        </is>
      </c>
      <c r="B162" s="117" t="n"/>
      <c r="C162" s="117" t="n"/>
      <c r="D162" s="117" t="n"/>
      <c r="E162" s="117" t="n"/>
      <c r="F162" s="117" t="n"/>
      <c r="G162" s="117" t="n"/>
      <c r="H162" s="117" t="n"/>
      <c r="I162" s="117" t="n"/>
      <c r="J162" s="117" t="n"/>
      <c r="K162" s="117" t="n"/>
      <c r="L162" s="117" t="n"/>
      <c r="M162" s="117" t="n"/>
      <c r="N162" s="117" t="n"/>
      <c r="O162" s="117" t="n"/>
      <c r="P162" s="117" t="n"/>
      <c r="Q162" s="117" t="n"/>
      <c r="R162" s="117" t="n"/>
      <c r="S162" s="117" t="n"/>
      <c r="T162" s="117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  <c r="AU162" s="112" t="n"/>
      <c r="AV162" s="112" t="n"/>
      <c r="AW162" s="112" t="n"/>
      <c r="AX162" s="112" t="n"/>
      <c r="AY162" s="112" t="n"/>
      <c r="AZ162" s="112" t="n"/>
      <c r="BA162" s="112" t="n"/>
      <c r="BB162" s="112" t="n"/>
      <c r="BC162" s="112" t="n"/>
      <c r="BD162" s="112" t="n"/>
      <c r="BE162" s="112" t="n"/>
      <c r="BF162" s="112" t="n"/>
      <c r="BG162" s="112" t="n"/>
      <c r="BH162" s="112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138" t="inlineStr">
        <is>
          <t xml:space="preserve">    LogRun "ERROR", "UpdateCandidate: " &amp; Err.Description</t>
        </is>
      </c>
      <c r="B163" s="117" t="n"/>
      <c r="C163" s="117" t="n"/>
      <c r="D163" s="117" t="n"/>
      <c r="E163" s="117" t="n"/>
      <c r="F163" s="117" t="n"/>
      <c r="G163" s="117" t="n"/>
      <c r="H163" s="117" t="n"/>
      <c r="I163" s="117" t="n"/>
      <c r="J163" s="117" t="n"/>
      <c r="K163" s="117" t="n"/>
      <c r="L163" s="117" t="n"/>
      <c r="M163" s="117" t="n"/>
      <c r="N163" s="117" t="n"/>
      <c r="O163" s="117" t="n"/>
      <c r="P163" s="117" t="n"/>
      <c r="Q163" s="117" t="n"/>
      <c r="R163" s="117" t="n"/>
      <c r="S163" s="117" t="n"/>
      <c r="T163" s="117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  <c r="AU163" s="112" t="n"/>
      <c r="AV163" s="112" t="n"/>
      <c r="AW163" s="112" t="n"/>
      <c r="AX163" s="112" t="n"/>
      <c r="AY163" s="112" t="n"/>
      <c r="AZ163" s="112" t="n"/>
      <c r="BA163" s="112" t="n"/>
      <c r="BB163" s="112" t="n"/>
      <c r="BC163" s="112" t="n"/>
      <c r="BD163" s="112" t="n"/>
      <c r="BE163" s="112" t="n"/>
      <c r="BF163" s="112" t="n"/>
      <c r="BG163" s="112" t="n"/>
      <c r="BH163" s="112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138" t="inlineStr">
        <is>
          <t>End Sub</t>
        </is>
      </c>
      <c r="B164" s="117" t="n"/>
      <c r="C164" s="117" t="n"/>
      <c r="D164" s="117" t="n"/>
      <c r="E164" s="117" t="n"/>
      <c r="F164" s="117" t="n"/>
      <c r="G164" s="117" t="n"/>
      <c r="H164" s="117" t="n"/>
      <c r="I164" s="117" t="n"/>
      <c r="J164" s="117" t="n"/>
      <c r="K164" s="117" t="n"/>
      <c r="L164" s="117" t="n"/>
      <c r="M164" s="117" t="n"/>
      <c r="N164" s="117" t="n"/>
      <c r="O164" s="117" t="n"/>
      <c r="P164" s="117" t="n"/>
      <c r="Q164" s="117" t="n"/>
      <c r="R164" s="117" t="n"/>
      <c r="S164" s="117" t="n"/>
      <c r="T164" s="117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  <c r="AU164" s="112" t="n"/>
      <c r="AV164" s="112" t="n"/>
      <c r="AW164" s="112" t="n"/>
      <c r="AX164" s="112" t="n"/>
      <c r="AY164" s="112" t="n"/>
      <c r="AZ164" s="112" t="n"/>
      <c r="BA164" s="112" t="n"/>
      <c r="BB164" s="112" t="n"/>
      <c r="BC164" s="112" t="n"/>
      <c r="BD164" s="112" t="n"/>
      <c r="BE164" s="112" t="n"/>
      <c r="BF164" s="112" t="n"/>
      <c r="BG164" s="112" t="n"/>
      <c r="BH164" s="112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138" t="inlineStr"/>
      <c r="B165" s="117" t="n"/>
      <c r="C165" s="117" t="n"/>
      <c r="D165" s="117" t="n"/>
      <c r="E165" s="117" t="n"/>
      <c r="F165" s="117" t="n"/>
      <c r="G165" s="117" t="n"/>
      <c r="H165" s="117" t="n"/>
      <c r="I165" s="117" t="n"/>
      <c r="J165" s="117" t="n"/>
      <c r="K165" s="117" t="n"/>
      <c r="L165" s="117" t="n"/>
      <c r="M165" s="117" t="n"/>
      <c r="N165" s="117" t="n"/>
      <c r="O165" s="117" t="n"/>
      <c r="P165" s="117" t="n"/>
      <c r="Q165" s="117" t="n"/>
      <c r="R165" s="117" t="n"/>
      <c r="S165" s="117" t="n"/>
      <c r="T165" s="117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  <c r="AU165" s="112" t="n"/>
      <c r="AV165" s="112" t="n"/>
      <c r="AW165" s="112" t="n"/>
      <c r="AX165" s="112" t="n"/>
      <c r="AY165" s="112" t="n"/>
      <c r="AZ165" s="112" t="n"/>
      <c r="BA165" s="112" t="n"/>
      <c r="BB165" s="112" t="n"/>
      <c r="BC165" s="112" t="n"/>
      <c r="BD165" s="112" t="n"/>
      <c r="BE165" s="112" t="n"/>
      <c r="BF165" s="112" t="n"/>
      <c r="BG165" s="112" t="n"/>
      <c r="BH165" s="112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138" t="inlineStr">
        <is>
          <t>Public Sub UpdateDashboards()</t>
        </is>
      </c>
      <c r="B166" s="117" t="n"/>
      <c r="C166" s="117" t="n"/>
      <c r="D166" s="117" t="n"/>
      <c r="E166" s="117" t="n"/>
      <c r="F166" s="117" t="n"/>
      <c r="G166" s="117" t="n"/>
      <c r="H166" s="117" t="n"/>
      <c r="I166" s="117" t="n"/>
      <c r="J166" s="117" t="n"/>
      <c r="K166" s="117" t="n"/>
      <c r="L166" s="117" t="n"/>
      <c r="M166" s="117" t="n"/>
      <c r="N166" s="117" t="n"/>
      <c r="O166" s="117" t="n"/>
      <c r="P166" s="117" t="n"/>
      <c r="Q166" s="117" t="n"/>
      <c r="R166" s="117" t="n"/>
      <c r="S166" s="117" t="n"/>
      <c r="T166" s="117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  <c r="AU166" s="112" t="n"/>
      <c r="AV166" s="112" t="n"/>
      <c r="AW166" s="112" t="n"/>
      <c r="AX166" s="112" t="n"/>
      <c r="AY166" s="112" t="n"/>
      <c r="AZ166" s="112" t="n"/>
      <c r="BA166" s="112" t="n"/>
      <c r="BB166" s="112" t="n"/>
      <c r="BC166" s="112" t="n"/>
      <c r="BD166" s="112" t="n"/>
      <c r="BE166" s="112" t="n"/>
      <c r="BF166" s="112" t="n"/>
      <c r="BG166" s="112" t="n"/>
      <c r="BH166" s="112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138" t="inlineStr">
        <is>
          <t xml:space="preserve">    On Error GoTo EH</t>
        </is>
      </c>
      <c r="B167" s="117" t="n"/>
      <c r="C167" s="117" t="n"/>
      <c r="D167" s="117" t="n"/>
      <c r="E167" s="117" t="n"/>
      <c r="F167" s="117" t="n"/>
      <c r="G167" s="117" t="n"/>
      <c r="H167" s="117" t="n"/>
      <c r="I167" s="117" t="n"/>
      <c r="J167" s="117" t="n"/>
      <c r="K167" s="117" t="n"/>
      <c r="L167" s="117" t="n"/>
      <c r="M167" s="117" t="n"/>
      <c r="N167" s="117" t="n"/>
      <c r="O167" s="117" t="n"/>
      <c r="P167" s="117" t="n"/>
      <c r="Q167" s="117" t="n"/>
      <c r="R167" s="117" t="n"/>
      <c r="S167" s="117" t="n"/>
      <c r="T167" s="117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  <c r="AU167" s="112" t="n"/>
      <c r="AV167" s="112" t="n"/>
      <c r="AW167" s="112" t="n"/>
      <c r="AX167" s="112" t="n"/>
      <c r="AY167" s="112" t="n"/>
      <c r="AZ167" s="112" t="n"/>
      <c r="BA167" s="112" t="n"/>
      <c r="BB167" s="112" t="n"/>
      <c r="BC167" s="112" t="n"/>
      <c r="BD167" s="112" t="n"/>
      <c r="BE167" s="112" t="n"/>
      <c r="BF167" s="112" t="n"/>
      <c r="BG167" s="112" t="n"/>
      <c r="BH167" s="112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138" t="inlineStr">
        <is>
          <t xml:space="preserve">    LogRun "STEP", "UpdateDashboards"</t>
        </is>
      </c>
      <c r="B168" s="117" t="n"/>
      <c r="C168" s="117" t="n"/>
      <c r="D168" s="117" t="n"/>
      <c r="E168" s="117" t="n"/>
      <c r="F168" s="117" t="n"/>
      <c r="G168" s="117" t="n"/>
      <c r="H168" s="117" t="n"/>
      <c r="I168" s="117" t="n"/>
      <c r="J168" s="117" t="n"/>
      <c r="K168" s="117" t="n"/>
      <c r="L168" s="117" t="n"/>
      <c r="M168" s="117" t="n"/>
      <c r="N168" s="117" t="n"/>
      <c r="O168" s="117" t="n"/>
      <c r="P168" s="117" t="n"/>
      <c r="Q168" s="117" t="n"/>
      <c r="R168" s="117" t="n"/>
      <c r="S168" s="117" t="n"/>
      <c r="T168" s="117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  <c r="AU168" s="112" t="n"/>
      <c r="AV168" s="112" t="n"/>
      <c r="AW168" s="112" t="n"/>
      <c r="AX168" s="112" t="n"/>
      <c r="AY168" s="112" t="n"/>
      <c r="AZ168" s="112" t="n"/>
      <c r="BA168" s="112" t="n"/>
      <c r="BB168" s="112" t="n"/>
      <c r="BC168" s="112" t="n"/>
      <c r="BD168" s="112" t="n"/>
      <c r="BE168" s="112" t="n"/>
      <c r="BF168" s="112" t="n"/>
      <c r="BG168" s="112" t="n"/>
      <c r="BH168" s="112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138" t="inlineStr">
        <is>
          <t xml:space="preserve">    Application.CalculateFullRebuild</t>
        </is>
      </c>
      <c r="B169" s="117" t="n"/>
      <c r="C169" s="117" t="n"/>
      <c r="D169" s="117" t="n"/>
      <c r="E169" s="117" t="n"/>
      <c r="F169" s="117" t="n"/>
      <c r="G169" s="117" t="n"/>
      <c r="H169" s="117" t="n"/>
      <c r="I169" s="117" t="n"/>
      <c r="J169" s="117" t="n"/>
      <c r="K169" s="117" t="n"/>
      <c r="L169" s="117" t="n"/>
      <c r="M169" s="117" t="n"/>
      <c r="N169" s="117" t="n"/>
      <c r="O169" s="117" t="n"/>
      <c r="P169" s="117" t="n"/>
      <c r="Q169" s="117" t="n"/>
      <c r="R169" s="117" t="n"/>
      <c r="S169" s="117" t="n"/>
      <c r="T169" s="117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  <c r="AU169" s="112" t="n"/>
      <c r="AV169" s="112" t="n"/>
      <c r="AW169" s="112" t="n"/>
      <c r="AX169" s="112" t="n"/>
      <c r="AY169" s="112" t="n"/>
      <c r="AZ169" s="112" t="n"/>
      <c r="BA169" s="112" t="n"/>
      <c r="BB169" s="112" t="n"/>
      <c r="BC169" s="112" t="n"/>
      <c r="BD169" s="112" t="n"/>
      <c r="BE169" s="112" t="n"/>
      <c r="BF169" s="112" t="n"/>
      <c r="BG169" s="112" t="n"/>
      <c r="BH169" s="112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138" t="inlineStr">
        <is>
          <t xml:space="preserve">    Exit Sub</t>
        </is>
      </c>
      <c r="B170" s="117" t="n"/>
      <c r="C170" s="117" t="n"/>
      <c r="D170" s="117" t="n"/>
      <c r="E170" s="117" t="n"/>
      <c r="F170" s="117" t="n"/>
      <c r="G170" s="117" t="n"/>
      <c r="H170" s="117" t="n"/>
      <c r="I170" s="117" t="n"/>
      <c r="J170" s="117" t="n"/>
      <c r="K170" s="117" t="n"/>
      <c r="L170" s="117" t="n"/>
      <c r="M170" s="117" t="n"/>
      <c r="N170" s="117" t="n"/>
      <c r="O170" s="117" t="n"/>
      <c r="P170" s="117" t="n"/>
      <c r="Q170" s="117" t="n"/>
      <c r="R170" s="117" t="n"/>
      <c r="S170" s="117" t="n"/>
      <c r="T170" s="117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  <c r="AU170" s="112" t="n"/>
      <c r="AV170" s="112" t="n"/>
      <c r="AW170" s="112" t="n"/>
      <c r="AX170" s="112" t="n"/>
      <c r="AY170" s="112" t="n"/>
      <c r="AZ170" s="112" t="n"/>
      <c r="BA170" s="112" t="n"/>
      <c r="BB170" s="112" t="n"/>
      <c r="BC170" s="112" t="n"/>
      <c r="BD170" s="112" t="n"/>
      <c r="BE170" s="112" t="n"/>
      <c r="BF170" s="112" t="n"/>
      <c r="BG170" s="112" t="n"/>
      <c r="BH170" s="112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138" t="inlineStr">
        <is>
          <t>EH:</t>
        </is>
      </c>
      <c r="B171" s="117" t="n"/>
      <c r="C171" s="117" t="n"/>
      <c r="D171" s="117" t="n"/>
      <c r="E171" s="117" t="n"/>
      <c r="F171" s="117" t="n"/>
      <c r="G171" s="117" t="n"/>
      <c r="H171" s="117" t="n"/>
      <c r="I171" s="117" t="n"/>
      <c r="J171" s="117" t="n"/>
      <c r="K171" s="117" t="n"/>
      <c r="L171" s="117" t="n"/>
      <c r="M171" s="117" t="n"/>
      <c r="N171" s="117" t="n"/>
      <c r="O171" s="117" t="n"/>
      <c r="P171" s="117" t="n"/>
      <c r="Q171" s="117" t="n"/>
      <c r="R171" s="117" t="n"/>
      <c r="S171" s="117" t="n"/>
      <c r="T171" s="117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  <c r="AU171" s="112" t="n"/>
      <c r="AV171" s="112" t="n"/>
      <c r="AW171" s="112" t="n"/>
      <c r="AX171" s="112" t="n"/>
      <c r="AY171" s="112" t="n"/>
      <c r="AZ171" s="112" t="n"/>
      <c r="BA171" s="112" t="n"/>
      <c r="BB171" s="112" t="n"/>
      <c r="BC171" s="112" t="n"/>
      <c r="BD171" s="112" t="n"/>
      <c r="BE171" s="112" t="n"/>
      <c r="BF171" s="112" t="n"/>
      <c r="BG171" s="112" t="n"/>
      <c r="BH171" s="112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138" t="inlineStr">
        <is>
          <t xml:space="preserve">    LogRun "ERROR", "UpdateDashboards: " &amp; Err.Description</t>
        </is>
      </c>
      <c r="B172" s="117" t="n"/>
      <c r="C172" s="117" t="n"/>
      <c r="D172" s="117" t="n"/>
      <c r="E172" s="117" t="n"/>
      <c r="F172" s="117" t="n"/>
      <c r="G172" s="117" t="n"/>
      <c r="H172" s="117" t="n"/>
      <c r="I172" s="117" t="n"/>
      <c r="J172" s="117" t="n"/>
      <c r="K172" s="117" t="n"/>
      <c r="L172" s="117" t="n"/>
      <c r="M172" s="117" t="n"/>
      <c r="N172" s="117" t="n"/>
      <c r="O172" s="117" t="n"/>
      <c r="P172" s="117" t="n"/>
      <c r="Q172" s="117" t="n"/>
      <c r="R172" s="117" t="n"/>
      <c r="S172" s="117" t="n"/>
      <c r="T172" s="117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  <c r="AU172" s="112" t="n"/>
      <c r="AV172" s="112" t="n"/>
      <c r="AW172" s="112" t="n"/>
      <c r="AX172" s="112" t="n"/>
      <c r="AY172" s="112" t="n"/>
      <c r="AZ172" s="112" t="n"/>
      <c r="BA172" s="112" t="n"/>
      <c r="BB172" s="112" t="n"/>
      <c r="BC172" s="112" t="n"/>
      <c r="BD172" s="112" t="n"/>
      <c r="BE172" s="112" t="n"/>
      <c r="BF172" s="112" t="n"/>
      <c r="BG172" s="112" t="n"/>
      <c r="BH172" s="112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138" t="inlineStr">
        <is>
          <t>End Sub</t>
        </is>
      </c>
      <c r="B173" s="117" t="n"/>
      <c r="C173" s="117" t="n"/>
      <c r="D173" s="117" t="n"/>
      <c r="E173" s="117" t="n"/>
      <c r="F173" s="117" t="n"/>
      <c r="G173" s="117" t="n"/>
      <c r="H173" s="117" t="n"/>
      <c r="I173" s="117" t="n"/>
      <c r="J173" s="117" t="n"/>
      <c r="K173" s="117" t="n"/>
      <c r="L173" s="117" t="n"/>
      <c r="M173" s="117" t="n"/>
      <c r="N173" s="117" t="n"/>
      <c r="O173" s="117" t="n"/>
      <c r="P173" s="117" t="n"/>
      <c r="Q173" s="117" t="n"/>
      <c r="R173" s="117" t="n"/>
      <c r="S173" s="117" t="n"/>
      <c r="T173" s="117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  <c r="AU173" s="112" t="n"/>
      <c r="AV173" s="112" t="n"/>
      <c r="AW173" s="112" t="n"/>
      <c r="AX173" s="112" t="n"/>
      <c r="AY173" s="112" t="n"/>
      <c r="AZ173" s="112" t="n"/>
      <c r="BA173" s="112" t="n"/>
      <c r="BB173" s="112" t="n"/>
      <c r="BC173" s="112" t="n"/>
      <c r="BD173" s="112" t="n"/>
      <c r="BE173" s="112" t="n"/>
      <c r="BF173" s="112" t="n"/>
      <c r="BG173" s="112" t="n"/>
      <c r="BH173" s="112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138" t="inlineStr"/>
      <c r="B174" s="117" t="n"/>
      <c r="C174" s="117" t="n"/>
      <c r="D174" s="117" t="n"/>
      <c r="E174" s="117" t="n"/>
      <c r="F174" s="117" t="n"/>
      <c r="G174" s="117" t="n"/>
      <c r="H174" s="117" t="n"/>
      <c r="I174" s="117" t="n"/>
      <c r="J174" s="117" t="n"/>
      <c r="K174" s="117" t="n"/>
      <c r="L174" s="117" t="n"/>
      <c r="M174" s="117" t="n"/>
      <c r="N174" s="117" t="n"/>
      <c r="O174" s="117" t="n"/>
      <c r="P174" s="117" t="n"/>
      <c r="Q174" s="117" t="n"/>
      <c r="R174" s="117" t="n"/>
      <c r="S174" s="117" t="n"/>
      <c r="T174" s="117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  <c r="AU174" s="112" t="n"/>
      <c r="AV174" s="112" t="n"/>
      <c r="AW174" s="112" t="n"/>
      <c r="AX174" s="112" t="n"/>
      <c r="AY174" s="112" t="n"/>
      <c r="AZ174" s="112" t="n"/>
      <c r="BA174" s="112" t="n"/>
      <c r="BB174" s="112" t="n"/>
      <c r="BC174" s="112" t="n"/>
      <c r="BD174" s="112" t="n"/>
      <c r="BE174" s="112" t="n"/>
      <c r="BF174" s="112" t="n"/>
      <c r="BG174" s="112" t="n"/>
      <c r="BH174" s="112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138" t="inlineStr">
        <is>
          <t>Public Sub LogRun(level As String, msg As String)</t>
        </is>
      </c>
      <c r="B175" s="117" t="n"/>
      <c r="C175" s="117" t="n"/>
      <c r="D175" s="117" t="n"/>
      <c r="E175" s="117" t="n"/>
      <c r="F175" s="117" t="n"/>
      <c r="G175" s="117" t="n"/>
      <c r="H175" s="117" t="n"/>
      <c r="I175" s="117" t="n"/>
      <c r="J175" s="117" t="n"/>
      <c r="K175" s="117" t="n"/>
      <c r="L175" s="117" t="n"/>
      <c r="M175" s="117" t="n"/>
      <c r="N175" s="117" t="n"/>
      <c r="O175" s="117" t="n"/>
      <c r="P175" s="117" t="n"/>
      <c r="Q175" s="117" t="n"/>
      <c r="R175" s="117" t="n"/>
      <c r="S175" s="117" t="n"/>
      <c r="T175" s="117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  <c r="AU175" s="112" t="n"/>
      <c r="AV175" s="112" t="n"/>
      <c r="AW175" s="112" t="n"/>
      <c r="AX175" s="112" t="n"/>
      <c r="AY175" s="112" t="n"/>
      <c r="AZ175" s="112" t="n"/>
      <c r="BA175" s="112" t="n"/>
      <c r="BB175" s="112" t="n"/>
      <c r="BC175" s="112" t="n"/>
      <c r="BD175" s="112" t="n"/>
      <c r="BE175" s="112" t="n"/>
      <c r="BF175" s="112" t="n"/>
      <c r="BG175" s="112" t="n"/>
      <c r="BH175" s="112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138" t="inlineStr">
        <is>
          <t xml:space="preserve">    On Error Resume Next</t>
        </is>
      </c>
      <c r="B176" s="117" t="n"/>
      <c r="C176" s="117" t="n"/>
      <c r="D176" s="117" t="n"/>
      <c r="E176" s="117" t="n"/>
      <c r="F176" s="117" t="n"/>
      <c r="G176" s="117" t="n"/>
      <c r="H176" s="117" t="n"/>
      <c r="I176" s="117" t="n"/>
      <c r="J176" s="117" t="n"/>
      <c r="K176" s="117" t="n"/>
      <c r="L176" s="117" t="n"/>
      <c r="M176" s="117" t="n"/>
      <c r="N176" s="117" t="n"/>
      <c r="O176" s="117" t="n"/>
      <c r="P176" s="117" t="n"/>
      <c r="Q176" s="117" t="n"/>
      <c r="R176" s="117" t="n"/>
      <c r="S176" s="117" t="n"/>
      <c r="T176" s="117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  <c r="AU176" s="112" t="n"/>
      <c r="AV176" s="112" t="n"/>
      <c r="AW176" s="112" t="n"/>
      <c r="AX176" s="112" t="n"/>
      <c r="AY176" s="112" t="n"/>
      <c r="AZ176" s="112" t="n"/>
      <c r="BA176" s="112" t="n"/>
      <c r="BB176" s="112" t="n"/>
      <c r="BC176" s="112" t="n"/>
      <c r="BD176" s="112" t="n"/>
      <c r="BE176" s="112" t="n"/>
      <c r="BF176" s="112" t="n"/>
      <c r="BG176" s="112" t="n"/>
      <c r="BH176" s="112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138" t="inlineStr">
        <is>
          <t xml:space="preserve">    Dim ws As Worksheet: Set ws = ThisWorkbook.Worksheets("Logs")</t>
        </is>
      </c>
      <c r="B177" s="117" t="n"/>
      <c r="C177" s="117" t="n"/>
      <c r="D177" s="117" t="n"/>
      <c r="E177" s="117" t="n"/>
      <c r="F177" s="117" t="n"/>
      <c r="G177" s="117" t="n"/>
      <c r="H177" s="117" t="n"/>
      <c r="I177" s="117" t="n"/>
      <c r="J177" s="117" t="n"/>
      <c r="K177" s="117" t="n"/>
      <c r="L177" s="117" t="n"/>
      <c r="M177" s="117" t="n"/>
      <c r="N177" s="117" t="n"/>
      <c r="O177" s="117" t="n"/>
      <c r="P177" s="117" t="n"/>
      <c r="Q177" s="117" t="n"/>
      <c r="R177" s="117" t="n"/>
      <c r="S177" s="117" t="n"/>
      <c r="T177" s="117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  <c r="AU177" s="112" t="n"/>
      <c r="AV177" s="112" t="n"/>
      <c r="AW177" s="112" t="n"/>
      <c r="AX177" s="112" t="n"/>
      <c r="AY177" s="112" t="n"/>
      <c r="AZ177" s="112" t="n"/>
      <c r="BA177" s="112" t="n"/>
      <c r="BB177" s="112" t="n"/>
      <c r="BC177" s="112" t="n"/>
      <c r="BD177" s="112" t="n"/>
      <c r="BE177" s="112" t="n"/>
      <c r="BF177" s="112" t="n"/>
      <c r="BG177" s="112" t="n"/>
      <c r="BH177" s="112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138" t="inlineStr">
        <is>
          <t xml:space="preserve">    Dim nextRow As Long: nextRow = ws.Cells(ws.Rows.Count, 1).End(xlUp).Row + 1</t>
        </is>
      </c>
      <c r="B178" s="117" t="n"/>
      <c r="C178" s="117" t="n"/>
      <c r="D178" s="117" t="n"/>
      <c r="E178" s="117" t="n"/>
      <c r="F178" s="117" t="n"/>
      <c r="G178" s="117" t="n"/>
      <c r="H178" s="117" t="n"/>
      <c r="I178" s="117" t="n"/>
      <c r="J178" s="117" t="n"/>
      <c r="K178" s="117" t="n"/>
      <c r="L178" s="117" t="n"/>
      <c r="M178" s="117" t="n"/>
      <c r="N178" s="117" t="n"/>
      <c r="O178" s="117" t="n"/>
      <c r="P178" s="117" t="n"/>
      <c r="Q178" s="117" t="n"/>
      <c r="R178" s="117" t="n"/>
      <c r="S178" s="117" t="n"/>
      <c r="T178" s="117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  <c r="AU178" s="112" t="n"/>
      <c r="AV178" s="112" t="n"/>
      <c r="AW178" s="112" t="n"/>
      <c r="AX178" s="112" t="n"/>
      <c r="AY178" s="112" t="n"/>
      <c r="AZ178" s="112" t="n"/>
      <c r="BA178" s="112" t="n"/>
      <c r="BB178" s="112" t="n"/>
      <c r="BC178" s="112" t="n"/>
      <c r="BD178" s="112" t="n"/>
      <c r="BE178" s="112" t="n"/>
      <c r="BF178" s="112" t="n"/>
      <c r="BG178" s="112" t="n"/>
      <c r="BH178" s="112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138" t="inlineStr">
        <is>
          <t xml:space="preserve">    ws.Cells(nextRow, 1).Value = Now</t>
        </is>
      </c>
      <c r="B179" s="117" t="n"/>
      <c r="C179" s="117" t="n"/>
      <c r="D179" s="117" t="n"/>
      <c r="E179" s="117" t="n"/>
      <c r="F179" s="117" t="n"/>
      <c r="G179" s="117" t="n"/>
      <c r="H179" s="117" t="n"/>
      <c r="I179" s="117" t="n"/>
      <c r="J179" s="117" t="n"/>
      <c r="K179" s="117" t="n"/>
      <c r="L179" s="117" t="n"/>
      <c r="M179" s="117" t="n"/>
      <c r="N179" s="117" t="n"/>
      <c r="O179" s="117" t="n"/>
      <c r="P179" s="117" t="n"/>
      <c r="Q179" s="117" t="n"/>
      <c r="R179" s="117" t="n"/>
      <c r="S179" s="117" t="n"/>
      <c r="T179" s="117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  <c r="AU179" s="112" t="n"/>
      <c r="AV179" s="112" t="n"/>
      <c r="AW179" s="112" t="n"/>
      <c r="AX179" s="112" t="n"/>
      <c r="AY179" s="112" t="n"/>
      <c r="AZ179" s="112" t="n"/>
      <c r="BA179" s="112" t="n"/>
      <c r="BB179" s="112" t="n"/>
      <c r="BC179" s="112" t="n"/>
      <c r="BD179" s="112" t="n"/>
      <c r="BE179" s="112" t="n"/>
      <c r="BF179" s="112" t="n"/>
      <c r="BG179" s="112" t="n"/>
      <c r="BH179" s="112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138" t="inlineStr">
        <is>
          <t xml:space="preserve">    ws.Cells(nextRow, 2).Value = level</t>
        </is>
      </c>
      <c r="B180" s="117" t="n"/>
      <c r="C180" s="117" t="n"/>
      <c r="D180" s="117" t="n"/>
      <c r="E180" s="117" t="n"/>
      <c r="F180" s="117" t="n"/>
      <c r="G180" s="117" t="n"/>
      <c r="H180" s="117" t="n"/>
      <c r="I180" s="117" t="n"/>
      <c r="J180" s="117" t="n"/>
      <c r="K180" s="117" t="n"/>
      <c r="L180" s="117" t="n"/>
      <c r="M180" s="117" t="n"/>
      <c r="N180" s="117" t="n"/>
      <c r="O180" s="117" t="n"/>
      <c r="P180" s="117" t="n"/>
      <c r="Q180" s="117" t="n"/>
      <c r="R180" s="117" t="n"/>
      <c r="S180" s="117" t="n"/>
      <c r="T180" s="117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  <c r="AU180" s="112" t="n"/>
      <c r="AV180" s="112" t="n"/>
      <c r="AW180" s="112" t="n"/>
      <c r="AX180" s="112" t="n"/>
      <c r="AY180" s="112" t="n"/>
      <c r="AZ180" s="112" t="n"/>
      <c r="BA180" s="112" t="n"/>
      <c r="BB180" s="112" t="n"/>
      <c r="BC180" s="112" t="n"/>
      <c r="BD180" s="112" t="n"/>
      <c r="BE180" s="112" t="n"/>
      <c r="BF180" s="112" t="n"/>
      <c r="BG180" s="112" t="n"/>
      <c r="BH180" s="112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138" t="inlineStr">
        <is>
          <t xml:space="preserve">    ws.Cells(nextRow, 3).Value = msg</t>
        </is>
      </c>
      <c r="B181" s="117" t="n"/>
      <c r="C181" s="117" t="n"/>
      <c r="D181" s="117" t="n"/>
      <c r="E181" s="117" t="n"/>
      <c r="F181" s="117" t="n"/>
      <c r="G181" s="117" t="n"/>
      <c r="H181" s="117" t="n"/>
      <c r="I181" s="117" t="n"/>
      <c r="J181" s="117" t="n"/>
      <c r="K181" s="117" t="n"/>
      <c r="L181" s="117" t="n"/>
      <c r="M181" s="117" t="n"/>
      <c r="N181" s="117" t="n"/>
      <c r="O181" s="117" t="n"/>
      <c r="P181" s="117" t="n"/>
      <c r="Q181" s="117" t="n"/>
      <c r="R181" s="117" t="n"/>
      <c r="S181" s="117" t="n"/>
      <c r="T181" s="117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  <c r="AU181" s="112" t="n"/>
      <c r="AV181" s="112" t="n"/>
      <c r="AW181" s="112" t="n"/>
      <c r="AX181" s="112" t="n"/>
      <c r="AY181" s="112" t="n"/>
      <c r="AZ181" s="112" t="n"/>
      <c r="BA181" s="112" t="n"/>
      <c r="BB181" s="112" t="n"/>
      <c r="BC181" s="112" t="n"/>
      <c r="BD181" s="112" t="n"/>
      <c r="BE181" s="112" t="n"/>
      <c r="BF181" s="112" t="n"/>
      <c r="BG181" s="112" t="n"/>
      <c r="BH181" s="112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138" t="inlineStr">
        <is>
          <t>End Sub</t>
        </is>
      </c>
      <c r="B182" s="117" t="n"/>
      <c r="C182" s="117" t="n"/>
      <c r="D182" s="117" t="n"/>
      <c r="E182" s="117" t="n"/>
      <c r="F182" s="117" t="n"/>
      <c r="G182" s="117" t="n"/>
      <c r="H182" s="117" t="n"/>
      <c r="I182" s="117" t="n"/>
      <c r="J182" s="117" t="n"/>
      <c r="K182" s="117" t="n"/>
      <c r="L182" s="117" t="n"/>
      <c r="M182" s="117" t="n"/>
      <c r="N182" s="117" t="n"/>
      <c r="O182" s="117" t="n"/>
      <c r="P182" s="117" t="n"/>
      <c r="Q182" s="117" t="n"/>
      <c r="R182" s="117" t="n"/>
      <c r="S182" s="117" t="n"/>
      <c r="T182" s="117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  <c r="AU182" s="112" t="n"/>
      <c r="AV182" s="112" t="n"/>
      <c r="AW182" s="112" t="n"/>
      <c r="AX182" s="112" t="n"/>
      <c r="AY182" s="112" t="n"/>
      <c r="AZ182" s="112" t="n"/>
      <c r="BA182" s="112" t="n"/>
      <c r="BB182" s="112" t="n"/>
      <c r="BC182" s="112" t="n"/>
      <c r="BD182" s="112" t="n"/>
      <c r="BE182" s="112" t="n"/>
      <c r="BF182" s="112" t="n"/>
      <c r="BG182" s="112" t="n"/>
      <c r="BH182" s="112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117" t="n"/>
      <c r="B183" s="117" t="n"/>
      <c r="C183" s="117" t="n"/>
      <c r="D183" s="117" t="n"/>
      <c r="E183" s="117" t="n"/>
      <c r="F183" s="117" t="n"/>
      <c r="G183" s="117" t="n"/>
      <c r="H183" s="117" t="n"/>
      <c r="I183" s="117" t="n"/>
      <c r="J183" s="117" t="n"/>
      <c r="K183" s="117" t="n"/>
      <c r="L183" s="117" t="n"/>
      <c r="M183" s="117" t="n"/>
      <c r="N183" s="117" t="n"/>
      <c r="O183" s="117" t="n"/>
      <c r="P183" s="117" t="n"/>
      <c r="Q183" s="117" t="n"/>
      <c r="R183" s="117" t="n"/>
      <c r="S183" s="117" t="n"/>
      <c r="T183" s="117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  <c r="AU183" s="112" t="n"/>
      <c r="AV183" s="112" t="n"/>
      <c r="AW183" s="112" t="n"/>
      <c r="AX183" s="112" t="n"/>
      <c r="AY183" s="112" t="n"/>
      <c r="AZ183" s="112" t="n"/>
      <c r="BA183" s="112" t="n"/>
      <c r="BB183" s="112" t="n"/>
      <c r="BC183" s="112" t="n"/>
      <c r="BD183" s="112" t="n"/>
      <c r="BE183" s="112" t="n"/>
      <c r="BF183" s="112" t="n"/>
      <c r="BG183" s="112" t="n"/>
      <c r="BH183" s="112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117" t="n"/>
      <c r="B184" s="117" t="n"/>
      <c r="C184" s="117" t="n"/>
      <c r="D184" s="117" t="n"/>
      <c r="E184" s="117" t="n"/>
      <c r="F184" s="117" t="n"/>
      <c r="G184" s="117" t="n"/>
      <c r="H184" s="117" t="n"/>
      <c r="I184" s="117" t="n"/>
      <c r="J184" s="117" t="n"/>
      <c r="K184" s="117" t="n"/>
      <c r="L184" s="117" t="n"/>
      <c r="M184" s="117" t="n"/>
      <c r="N184" s="117" t="n"/>
      <c r="O184" s="117" t="n"/>
      <c r="P184" s="117" t="n"/>
      <c r="Q184" s="117" t="n"/>
      <c r="R184" s="117" t="n"/>
      <c r="S184" s="117" t="n"/>
      <c r="T184" s="117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  <c r="AU184" s="112" t="n"/>
      <c r="AV184" s="112" t="n"/>
      <c r="AW184" s="112" t="n"/>
      <c r="AX184" s="112" t="n"/>
      <c r="AY184" s="112" t="n"/>
      <c r="AZ184" s="112" t="n"/>
      <c r="BA184" s="112" t="n"/>
      <c r="BB184" s="112" t="n"/>
      <c r="BC184" s="112" t="n"/>
      <c r="BD184" s="112" t="n"/>
      <c r="BE184" s="112" t="n"/>
      <c r="BF184" s="112" t="n"/>
      <c r="BG184" s="112" t="n"/>
      <c r="BH184" s="112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117" t="n"/>
      <c r="B185" s="117" t="n"/>
      <c r="C185" s="117" t="n"/>
      <c r="D185" s="117" t="n"/>
      <c r="E185" s="117" t="n"/>
      <c r="F185" s="117" t="n"/>
      <c r="G185" s="117" t="n"/>
      <c r="H185" s="117" t="n"/>
      <c r="I185" s="117" t="n"/>
      <c r="J185" s="117" t="n"/>
      <c r="K185" s="117" t="n"/>
      <c r="L185" s="117" t="n"/>
      <c r="M185" s="117" t="n"/>
      <c r="N185" s="117" t="n"/>
      <c r="O185" s="117" t="n"/>
      <c r="P185" s="117" t="n"/>
      <c r="Q185" s="117" t="n"/>
      <c r="R185" s="117" t="n"/>
      <c r="S185" s="117" t="n"/>
      <c r="T185" s="117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  <c r="AU185" s="112" t="n"/>
      <c r="AV185" s="112" t="n"/>
      <c r="AW185" s="112" t="n"/>
      <c r="AX185" s="112" t="n"/>
      <c r="AY185" s="112" t="n"/>
      <c r="AZ185" s="112" t="n"/>
      <c r="BA185" s="112" t="n"/>
      <c r="BB185" s="112" t="n"/>
      <c r="BC185" s="112" t="n"/>
      <c r="BD185" s="112" t="n"/>
      <c r="BE185" s="112" t="n"/>
      <c r="BF185" s="112" t="n"/>
      <c r="BG185" s="112" t="n"/>
      <c r="BH185" s="112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117" t="n"/>
      <c r="B186" s="117" t="n"/>
      <c r="C186" s="117" t="n"/>
      <c r="D186" s="117" t="n"/>
      <c r="E186" s="117" t="n"/>
      <c r="F186" s="117" t="n"/>
      <c r="G186" s="117" t="n"/>
      <c r="H186" s="117" t="n"/>
      <c r="I186" s="117" t="n"/>
      <c r="J186" s="117" t="n"/>
      <c r="K186" s="117" t="n"/>
      <c r="L186" s="117" t="n"/>
      <c r="M186" s="117" t="n"/>
      <c r="N186" s="117" t="n"/>
      <c r="O186" s="117" t="n"/>
      <c r="P186" s="117" t="n"/>
      <c r="Q186" s="117" t="n"/>
      <c r="R186" s="117" t="n"/>
      <c r="S186" s="117" t="n"/>
      <c r="T186" s="117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  <c r="AU186" s="112" t="n"/>
      <c r="AV186" s="112" t="n"/>
      <c r="AW186" s="112" t="n"/>
      <c r="AX186" s="112" t="n"/>
      <c r="AY186" s="112" t="n"/>
      <c r="AZ186" s="112" t="n"/>
      <c r="BA186" s="112" t="n"/>
      <c r="BB186" s="112" t="n"/>
      <c r="BC186" s="112" t="n"/>
      <c r="BD186" s="112" t="n"/>
      <c r="BE186" s="112" t="n"/>
      <c r="BF186" s="112" t="n"/>
      <c r="BG186" s="112" t="n"/>
      <c r="BH186" s="112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117" t="n"/>
      <c r="B187" s="117" t="n"/>
      <c r="C187" s="117" t="n"/>
      <c r="D187" s="117" t="n"/>
      <c r="E187" s="117" t="n"/>
      <c r="F187" s="117" t="n"/>
      <c r="G187" s="117" t="n"/>
      <c r="H187" s="117" t="n"/>
      <c r="I187" s="117" t="n"/>
      <c r="J187" s="117" t="n"/>
      <c r="K187" s="117" t="n"/>
      <c r="L187" s="117" t="n"/>
      <c r="M187" s="117" t="n"/>
      <c r="N187" s="117" t="n"/>
      <c r="O187" s="117" t="n"/>
      <c r="P187" s="117" t="n"/>
      <c r="Q187" s="117" t="n"/>
      <c r="R187" s="117" t="n"/>
      <c r="S187" s="117" t="n"/>
      <c r="T187" s="117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  <c r="AU187" s="112" t="n"/>
      <c r="AV187" s="112" t="n"/>
      <c r="AW187" s="112" t="n"/>
      <c r="AX187" s="112" t="n"/>
      <c r="AY187" s="112" t="n"/>
      <c r="AZ187" s="112" t="n"/>
      <c r="BA187" s="112" t="n"/>
      <c r="BB187" s="112" t="n"/>
      <c r="BC187" s="112" t="n"/>
      <c r="BD187" s="112" t="n"/>
      <c r="BE187" s="112" t="n"/>
      <c r="BF187" s="112" t="n"/>
      <c r="BG187" s="112" t="n"/>
      <c r="BH187" s="112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117" t="n"/>
      <c r="B188" s="117" t="n"/>
      <c r="C188" s="117" t="n"/>
      <c r="D188" s="117" t="n"/>
      <c r="E188" s="117" t="n"/>
      <c r="F188" s="117" t="n"/>
      <c r="G188" s="117" t="n"/>
      <c r="H188" s="117" t="n"/>
      <c r="I188" s="117" t="n"/>
      <c r="J188" s="117" t="n"/>
      <c r="K188" s="117" t="n"/>
      <c r="L188" s="117" t="n"/>
      <c r="M188" s="117" t="n"/>
      <c r="N188" s="117" t="n"/>
      <c r="O188" s="117" t="n"/>
      <c r="P188" s="117" t="n"/>
      <c r="Q188" s="117" t="n"/>
      <c r="R188" s="117" t="n"/>
      <c r="S188" s="117" t="n"/>
      <c r="T188" s="117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  <c r="AU188" s="112" t="n"/>
      <c r="AV188" s="112" t="n"/>
      <c r="AW188" s="112" t="n"/>
      <c r="AX188" s="112" t="n"/>
      <c r="AY188" s="112" t="n"/>
      <c r="AZ188" s="112" t="n"/>
      <c r="BA188" s="112" t="n"/>
      <c r="BB188" s="112" t="n"/>
      <c r="BC188" s="112" t="n"/>
      <c r="BD188" s="112" t="n"/>
      <c r="BE188" s="112" t="n"/>
      <c r="BF188" s="112" t="n"/>
      <c r="BG188" s="112" t="n"/>
      <c r="BH188" s="112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117" t="n"/>
      <c r="B189" s="117" t="n"/>
      <c r="C189" s="117" t="n"/>
      <c r="D189" s="117" t="n"/>
      <c r="E189" s="117" t="n"/>
      <c r="F189" s="117" t="n"/>
      <c r="G189" s="117" t="n"/>
      <c r="H189" s="117" t="n"/>
      <c r="I189" s="117" t="n"/>
      <c r="J189" s="117" t="n"/>
      <c r="K189" s="117" t="n"/>
      <c r="L189" s="117" t="n"/>
      <c r="M189" s="117" t="n"/>
      <c r="N189" s="117" t="n"/>
      <c r="O189" s="117" t="n"/>
      <c r="P189" s="117" t="n"/>
      <c r="Q189" s="117" t="n"/>
      <c r="R189" s="117" t="n"/>
      <c r="S189" s="117" t="n"/>
      <c r="T189" s="117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  <c r="AU189" s="112" t="n"/>
      <c r="AV189" s="112" t="n"/>
      <c r="AW189" s="112" t="n"/>
      <c r="AX189" s="112" t="n"/>
      <c r="AY189" s="112" t="n"/>
      <c r="AZ189" s="112" t="n"/>
      <c r="BA189" s="112" t="n"/>
      <c r="BB189" s="112" t="n"/>
      <c r="BC189" s="112" t="n"/>
      <c r="BD189" s="112" t="n"/>
      <c r="BE189" s="112" t="n"/>
      <c r="BF189" s="112" t="n"/>
      <c r="BG189" s="112" t="n"/>
      <c r="BH189" s="112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117" t="n"/>
      <c r="B190" s="117" t="n"/>
      <c r="C190" s="117" t="n"/>
      <c r="D190" s="117" t="n"/>
      <c r="E190" s="117" t="n"/>
      <c r="F190" s="117" t="n"/>
      <c r="G190" s="117" t="n"/>
      <c r="H190" s="117" t="n"/>
      <c r="I190" s="117" t="n"/>
      <c r="J190" s="117" t="n"/>
      <c r="K190" s="117" t="n"/>
      <c r="L190" s="117" t="n"/>
      <c r="M190" s="117" t="n"/>
      <c r="N190" s="117" t="n"/>
      <c r="O190" s="117" t="n"/>
      <c r="P190" s="117" t="n"/>
      <c r="Q190" s="117" t="n"/>
      <c r="R190" s="117" t="n"/>
      <c r="S190" s="117" t="n"/>
      <c r="T190" s="117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  <c r="AU190" s="112" t="n"/>
      <c r="AV190" s="112" t="n"/>
      <c r="AW190" s="112" t="n"/>
      <c r="AX190" s="112" t="n"/>
      <c r="AY190" s="112" t="n"/>
      <c r="AZ190" s="112" t="n"/>
      <c r="BA190" s="112" t="n"/>
      <c r="BB190" s="112" t="n"/>
      <c r="BC190" s="112" t="n"/>
      <c r="BD190" s="112" t="n"/>
      <c r="BE190" s="112" t="n"/>
      <c r="BF190" s="112" t="n"/>
      <c r="BG190" s="112" t="n"/>
      <c r="BH190" s="112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117" t="n"/>
      <c r="B191" s="117" t="n"/>
      <c r="C191" s="117" t="n"/>
      <c r="D191" s="117" t="n"/>
      <c r="E191" s="117" t="n"/>
      <c r="F191" s="117" t="n"/>
      <c r="G191" s="117" t="n"/>
      <c r="H191" s="117" t="n"/>
      <c r="I191" s="117" t="n"/>
      <c r="J191" s="117" t="n"/>
      <c r="K191" s="117" t="n"/>
      <c r="L191" s="117" t="n"/>
      <c r="M191" s="117" t="n"/>
      <c r="N191" s="117" t="n"/>
      <c r="O191" s="117" t="n"/>
      <c r="P191" s="117" t="n"/>
      <c r="Q191" s="117" t="n"/>
      <c r="R191" s="117" t="n"/>
      <c r="S191" s="117" t="n"/>
      <c r="T191" s="117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  <c r="AU191" s="112" t="n"/>
      <c r="AV191" s="112" t="n"/>
      <c r="AW191" s="112" t="n"/>
      <c r="AX191" s="112" t="n"/>
      <c r="AY191" s="112" t="n"/>
      <c r="AZ191" s="112" t="n"/>
      <c r="BA191" s="112" t="n"/>
      <c r="BB191" s="112" t="n"/>
      <c r="BC191" s="112" t="n"/>
      <c r="BD191" s="112" t="n"/>
      <c r="BE191" s="112" t="n"/>
      <c r="BF191" s="112" t="n"/>
      <c r="BG191" s="112" t="n"/>
      <c r="BH191" s="112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117" t="n"/>
      <c r="B192" s="117" t="n"/>
      <c r="C192" s="117" t="n"/>
      <c r="D192" s="117" t="n"/>
      <c r="E192" s="117" t="n"/>
      <c r="F192" s="117" t="n"/>
      <c r="G192" s="117" t="n"/>
      <c r="H192" s="117" t="n"/>
      <c r="I192" s="117" t="n"/>
      <c r="J192" s="117" t="n"/>
      <c r="K192" s="117" t="n"/>
      <c r="L192" s="117" t="n"/>
      <c r="M192" s="117" t="n"/>
      <c r="N192" s="117" t="n"/>
      <c r="O192" s="117" t="n"/>
      <c r="P192" s="117" t="n"/>
      <c r="Q192" s="117" t="n"/>
      <c r="R192" s="117" t="n"/>
      <c r="S192" s="117" t="n"/>
      <c r="T192" s="117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  <c r="AU192" s="112" t="n"/>
      <c r="AV192" s="112" t="n"/>
      <c r="AW192" s="112" t="n"/>
      <c r="AX192" s="112" t="n"/>
      <c r="AY192" s="112" t="n"/>
      <c r="AZ192" s="112" t="n"/>
      <c r="BA192" s="112" t="n"/>
      <c r="BB192" s="112" t="n"/>
      <c r="BC192" s="112" t="n"/>
      <c r="BD192" s="112" t="n"/>
      <c r="BE192" s="112" t="n"/>
      <c r="BF192" s="112" t="n"/>
      <c r="BG192" s="112" t="n"/>
      <c r="BH192" s="112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117" t="n"/>
      <c r="B193" s="117" t="n"/>
      <c r="C193" s="117" t="n"/>
      <c r="D193" s="117" t="n"/>
      <c r="E193" s="117" t="n"/>
      <c r="F193" s="117" t="n"/>
      <c r="G193" s="117" t="n"/>
      <c r="H193" s="117" t="n"/>
      <c r="I193" s="117" t="n"/>
      <c r="J193" s="117" t="n"/>
      <c r="K193" s="117" t="n"/>
      <c r="L193" s="117" t="n"/>
      <c r="M193" s="117" t="n"/>
      <c r="N193" s="117" t="n"/>
      <c r="O193" s="117" t="n"/>
      <c r="P193" s="117" t="n"/>
      <c r="Q193" s="117" t="n"/>
      <c r="R193" s="117" t="n"/>
      <c r="S193" s="117" t="n"/>
      <c r="T193" s="117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  <c r="AU193" s="112" t="n"/>
      <c r="AV193" s="112" t="n"/>
      <c r="AW193" s="112" t="n"/>
      <c r="AX193" s="112" t="n"/>
      <c r="AY193" s="112" t="n"/>
      <c r="AZ193" s="112" t="n"/>
      <c r="BA193" s="112" t="n"/>
      <c r="BB193" s="112" t="n"/>
      <c r="BC193" s="112" t="n"/>
      <c r="BD193" s="112" t="n"/>
      <c r="BE193" s="112" t="n"/>
      <c r="BF193" s="112" t="n"/>
      <c r="BG193" s="112" t="n"/>
      <c r="BH193" s="112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117" t="n"/>
      <c r="B194" s="117" t="n"/>
      <c r="C194" s="117" t="n"/>
      <c r="D194" s="117" t="n"/>
      <c r="E194" s="117" t="n"/>
      <c r="F194" s="117" t="n"/>
      <c r="G194" s="117" t="n"/>
      <c r="H194" s="117" t="n"/>
      <c r="I194" s="117" t="n"/>
      <c r="J194" s="117" t="n"/>
      <c r="K194" s="117" t="n"/>
      <c r="L194" s="117" t="n"/>
      <c r="M194" s="117" t="n"/>
      <c r="N194" s="117" t="n"/>
      <c r="O194" s="117" t="n"/>
      <c r="P194" s="117" t="n"/>
      <c r="Q194" s="117" t="n"/>
      <c r="R194" s="117" t="n"/>
      <c r="S194" s="117" t="n"/>
      <c r="T194" s="117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  <c r="AU194" s="112" t="n"/>
      <c r="AV194" s="112" t="n"/>
      <c r="AW194" s="112" t="n"/>
      <c r="AX194" s="112" t="n"/>
      <c r="AY194" s="112" t="n"/>
      <c r="AZ194" s="112" t="n"/>
      <c r="BA194" s="112" t="n"/>
      <c r="BB194" s="112" t="n"/>
      <c r="BC194" s="112" t="n"/>
      <c r="BD194" s="112" t="n"/>
      <c r="BE194" s="112" t="n"/>
      <c r="BF194" s="112" t="n"/>
      <c r="BG194" s="112" t="n"/>
      <c r="BH194" s="112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117" t="n"/>
      <c r="B195" s="117" t="n"/>
      <c r="C195" s="117" t="n"/>
      <c r="D195" s="117" t="n"/>
      <c r="E195" s="117" t="n"/>
      <c r="F195" s="117" t="n"/>
      <c r="G195" s="117" t="n"/>
      <c r="H195" s="117" t="n"/>
      <c r="I195" s="117" t="n"/>
      <c r="J195" s="117" t="n"/>
      <c r="K195" s="117" t="n"/>
      <c r="L195" s="117" t="n"/>
      <c r="M195" s="117" t="n"/>
      <c r="N195" s="117" t="n"/>
      <c r="O195" s="117" t="n"/>
      <c r="P195" s="117" t="n"/>
      <c r="Q195" s="117" t="n"/>
      <c r="R195" s="117" t="n"/>
      <c r="S195" s="117" t="n"/>
      <c r="T195" s="117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  <c r="AU195" s="112" t="n"/>
      <c r="AV195" s="112" t="n"/>
      <c r="AW195" s="112" t="n"/>
      <c r="AX195" s="112" t="n"/>
      <c r="AY195" s="112" t="n"/>
      <c r="AZ195" s="112" t="n"/>
      <c r="BA195" s="112" t="n"/>
      <c r="BB195" s="112" t="n"/>
      <c r="BC195" s="112" t="n"/>
      <c r="BD195" s="112" t="n"/>
      <c r="BE195" s="112" t="n"/>
      <c r="BF195" s="112" t="n"/>
      <c r="BG195" s="112" t="n"/>
      <c r="BH195" s="112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117" t="n"/>
      <c r="B196" s="117" t="n"/>
      <c r="C196" s="117" t="n"/>
      <c r="D196" s="117" t="n"/>
      <c r="E196" s="117" t="n"/>
      <c r="F196" s="117" t="n"/>
      <c r="G196" s="117" t="n"/>
      <c r="H196" s="117" t="n"/>
      <c r="I196" s="117" t="n"/>
      <c r="J196" s="117" t="n"/>
      <c r="K196" s="117" t="n"/>
      <c r="L196" s="117" t="n"/>
      <c r="M196" s="117" t="n"/>
      <c r="N196" s="117" t="n"/>
      <c r="O196" s="117" t="n"/>
      <c r="P196" s="117" t="n"/>
      <c r="Q196" s="117" t="n"/>
      <c r="R196" s="117" t="n"/>
      <c r="S196" s="117" t="n"/>
      <c r="T196" s="117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  <c r="AU196" s="112" t="n"/>
      <c r="AV196" s="112" t="n"/>
      <c r="AW196" s="112" t="n"/>
      <c r="AX196" s="112" t="n"/>
      <c r="AY196" s="112" t="n"/>
      <c r="AZ196" s="112" t="n"/>
      <c r="BA196" s="112" t="n"/>
      <c r="BB196" s="112" t="n"/>
      <c r="BC196" s="112" t="n"/>
      <c r="BD196" s="112" t="n"/>
      <c r="BE196" s="112" t="n"/>
      <c r="BF196" s="112" t="n"/>
      <c r="BG196" s="112" t="n"/>
      <c r="BH196" s="112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117" t="n"/>
      <c r="B197" s="117" t="n"/>
      <c r="C197" s="117" t="n"/>
      <c r="D197" s="117" t="n"/>
      <c r="E197" s="117" t="n"/>
      <c r="F197" s="117" t="n"/>
      <c r="G197" s="117" t="n"/>
      <c r="H197" s="117" t="n"/>
      <c r="I197" s="117" t="n"/>
      <c r="J197" s="117" t="n"/>
      <c r="K197" s="117" t="n"/>
      <c r="L197" s="117" t="n"/>
      <c r="M197" s="117" t="n"/>
      <c r="N197" s="117" t="n"/>
      <c r="O197" s="117" t="n"/>
      <c r="P197" s="117" t="n"/>
      <c r="Q197" s="117" t="n"/>
      <c r="R197" s="117" t="n"/>
      <c r="S197" s="117" t="n"/>
      <c r="T197" s="117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  <c r="AU197" s="112" t="n"/>
      <c r="AV197" s="112" t="n"/>
      <c r="AW197" s="112" t="n"/>
      <c r="AX197" s="112" t="n"/>
      <c r="AY197" s="112" t="n"/>
      <c r="AZ197" s="112" t="n"/>
      <c r="BA197" s="112" t="n"/>
      <c r="BB197" s="112" t="n"/>
      <c r="BC197" s="112" t="n"/>
      <c r="BD197" s="112" t="n"/>
      <c r="BE197" s="112" t="n"/>
      <c r="BF197" s="112" t="n"/>
      <c r="BG197" s="112" t="n"/>
      <c r="BH197" s="112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117" t="n"/>
      <c r="B198" s="117" t="n"/>
      <c r="C198" s="117" t="n"/>
      <c r="D198" s="117" t="n"/>
      <c r="E198" s="117" t="n"/>
      <c r="F198" s="117" t="n"/>
      <c r="G198" s="117" t="n"/>
      <c r="H198" s="117" t="n"/>
      <c r="I198" s="117" t="n"/>
      <c r="J198" s="117" t="n"/>
      <c r="K198" s="117" t="n"/>
      <c r="L198" s="117" t="n"/>
      <c r="M198" s="117" t="n"/>
      <c r="N198" s="117" t="n"/>
      <c r="O198" s="117" t="n"/>
      <c r="P198" s="117" t="n"/>
      <c r="Q198" s="117" t="n"/>
      <c r="R198" s="117" t="n"/>
      <c r="S198" s="117" t="n"/>
      <c r="T198" s="117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  <c r="AU198" s="112" t="n"/>
      <c r="AV198" s="112" t="n"/>
      <c r="AW198" s="112" t="n"/>
      <c r="AX198" s="112" t="n"/>
      <c r="AY198" s="112" t="n"/>
      <c r="AZ198" s="112" t="n"/>
      <c r="BA198" s="112" t="n"/>
      <c r="BB198" s="112" t="n"/>
      <c r="BC198" s="112" t="n"/>
      <c r="BD198" s="112" t="n"/>
      <c r="BE198" s="112" t="n"/>
      <c r="BF198" s="112" t="n"/>
      <c r="BG198" s="112" t="n"/>
      <c r="BH198" s="112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117" t="n"/>
      <c r="B199" s="117" t="n"/>
      <c r="C199" s="117" t="n"/>
      <c r="D199" s="117" t="n"/>
      <c r="E199" s="117" t="n"/>
      <c r="F199" s="117" t="n"/>
      <c r="G199" s="117" t="n"/>
      <c r="H199" s="117" t="n"/>
      <c r="I199" s="117" t="n"/>
      <c r="J199" s="117" t="n"/>
      <c r="K199" s="117" t="n"/>
      <c r="L199" s="117" t="n"/>
      <c r="M199" s="117" t="n"/>
      <c r="N199" s="117" t="n"/>
      <c r="O199" s="117" t="n"/>
      <c r="P199" s="117" t="n"/>
      <c r="Q199" s="117" t="n"/>
      <c r="R199" s="117" t="n"/>
      <c r="S199" s="117" t="n"/>
      <c r="T199" s="117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  <c r="AU199" s="112" t="n"/>
      <c r="AV199" s="112" t="n"/>
      <c r="AW199" s="112" t="n"/>
      <c r="AX199" s="112" t="n"/>
      <c r="AY199" s="112" t="n"/>
      <c r="AZ199" s="112" t="n"/>
      <c r="BA199" s="112" t="n"/>
      <c r="BB199" s="112" t="n"/>
      <c r="BC199" s="112" t="n"/>
      <c r="BD199" s="112" t="n"/>
      <c r="BE199" s="112" t="n"/>
      <c r="BF199" s="112" t="n"/>
      <c r="BG199" s="112" t="n"/>
      <c r="BH199" s="112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117" t="n"/>
      <c r="B200" s="117" t="n"/>
      <c r="C200" s="117" t="n"/>
      <c r="D200" s="117" t="n"/>
      <c r="E200" s="117" t="n"/>
      <c r="F200" s="117" t="n"/>
      <c r="G200" s="117" t="n"/>
      <c r="H200" s="117" t="n"/>
      <c r="I200" s="117" t="n"/>
      <c r="J200" s="117" t="n"/>
      <c r="K200" s="117" t="n"/>
      <c r="L200" s="117" t="n"/>
      <c r="M200" s="117" t="n"/>
      <c r="N200" s="117" t="n"/>
      <c r="O200" s="117" t="n"/>
      <c r="P200" s="117" t="n"/>
      <c r="Q200" s="117" t="n"/>
      <c r="R200" s="117" t="n"/>
      <c r="S200" s="117" t="n"/>
      <c r="T200" s="117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  <c r="AU200" s="112" t="n"/>
      <c r="AV200" s="112" t="n"/>
      <c r="AW200" s="112" t="n"/>
      <c r="AX200" s="112" t="n"/>
      <c r="AY200" s="112" t="n"/>
      <c r="AZ200" s="112" t="n"/>
      <c r="BA200" s="112" t="n"/>
      <c r="BB200" s="112" t="n"/>
      <c r="BC200" s="112" t="n"/>
      <c r="BD200" s="112" t="n"/>
      <c r="BE200" s="112" t="n"/>
      <c r="BF200" s="112" t="n"/>
      <c r="BG200" s="112" t="n"/>
      <c r="BH200" s="112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  <c r="AU201" s="112" t="n"/>
      <c r="AV201" s="112" t="n"/>
      <c r="AW201" s="112" t="n"/>
      <c r="AX201" s="112" t="n"/>
      <c r="AY201" s="112" t="n"/>
      <c r="AZ201" s="112" t="n"/>
      <c r="BA201" s="112" t="n"/>
      <c r="BB201" s="112" t="n"/>
      <c r="BC201" s="112" t="n"/>
      <c r="BD201" s="112" t="n"/>
      <c r="BE201" s="112" t="n"/>
      <c r="BF201" s="112" t="n"/>
      <c r="BG201" s="112" t="n"/>
      <c r="BH201" s="112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  <c r="AU202" s="112" t="n"/>
      <c r="AV202" s="112" t="n"/>
      <c r="AW202" s="112" t="n"/>
      <c r="AX202" s="112" t="n"/>
      <c r="AY202" s="112" t="n"/>
      <c r="AZ202" s="112" t="n"/>
      <c r="BA202" s="112" t="n"/>
      <c r="BB202" s="112" t="n"/>
      <c r="BC202" s="112" t="n"/>
      <c r="BD202" s="112" t="n"/>
      <c r="BE202" s="112" t="n"/>
      <c r="BF202" s="112" t="n"/>
      <c r="BG202" s="112" t="n"/>
      <c r="BH202" s="112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  <c r="AU203" s="112" t="n"/>
      <c r="AV203" s="112" t="n"/>
      <c r="AW203" s="112" t="n"/>
      <c r="AX203" s="112" t="n"/>
      <c r="AY203" s="112" t="n"/>
      <c r="AZ203" s="112" t="n"/>
      <c r="BA203" s="112" t="n"/>
      <c r="BB203" s="112" t="n"/>
      <c r="BC203" s="112" t="n"/>
      <c r="BD203" s="112" t="n"/>
      <c r="BE203" s="112" t="n"/>
      <c r="BF203" s="112" t="n"/>
      <c r="BG203" s="112" t="n"/>
      <c r="BH203" s="112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  <c r="AU204" s="112" t="n"/>
      <c r="AV204" s="112" t="n"/>
      <c r="AW204" s="112" t="n"/>
      <c r="AX204" s="112" t="n"/>
      <c r="AY204" s="112" t="n"/>
      <c r="AZ204" s="112" t="n"/>
      <c r="BA204" s="112" t="n"/>
      <c r="BB204" s="112" t="n"/>
      <c r="BC204" s="112" t="n"/>
      <c r="BD204" s="112" t="n"/>
      <c r="BE204" s="112" t="n"/>
      <c r="BF204" s="112" t="n"/>
      <c r="BG204" s="112" t="n"/>
      <c r="BH204" s="112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  <c r="AU205" s="112" t="n"/>
      <c r="AV205" s="112" t="n"/>
      <c r="AW205" s="112" t="n"/>
      <c r="AX205" s="112" t="n"/>
      <c r="AY205" s="112" t="n"/>
      <c r="AZ205" s="112" t="n"/>
      <c r="BA205" s="112" t="n"/>
      <c r="BB205" s="112" t="n"/>
      <c r="BC205" s="112" t="n"/>
      <c r="BD205" s="112" t="n"/>
      <c r="BE205" s="112" t="n"/>
      <c r="BF205" s="112" t="n"/>
      <c r="BG205" s="112" t="n"/>
      <c r="BH205" s="112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  <c r="AU206" s="112" t="n"/>
      <c r="AV206" s="112" t="n"/>
      <c r="AW206" s="112" t="n"/>
      <c r="AX206" s="112" t="n"/>
      <c r="AY206" s="112" t="n"/>
      <c r="AZ206" s="112" t="n"/>
      <c r="BA206" s="112" t="n"/>
      <c r="BB206" s="112" t="n"/>
      <c r="BC206" s="112" t="n"/>
      <c r="BD206" s="112" t="n"/>
      <c r="BE206" s="112" t="n"/>
      <c r="BF206" s="112" t="n"/>
      <c r="BG206" s="112" t="n"/>
      <c r="BH206" s="112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  <c r="AU207" s="112" t="n"/>
      <c r="AV207" s="112" t="n"/>
      <c r="AW207" s="112" t="n"/>
      <c r="AX207" s="112" t="n"/>
      <c r="AY207" s="112" t="n"/>
      <c r="AZ207" s="112" t="n"/>
      <c r="BA207" s="112" t="n"/>
      <c r="BB207" s="112" t="n"/>
      <c r="BC207" s="112" t="n"/>
      <c r="BD207" s="112" t="n"/>
      <c r="BE207" s="112" t="n"/>
      <c r="BF207" s="112" t="n"/>
      <c r="BG207" s="112" t="n"/>
      <c r="BH207" s="112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  <c r="AU208" s="112" t="n"/>
      <c r="AV208" s="112" t="n"/>
      <c r="AW208" s="112" t="n"/>
      <c r="AX208" s="112" t="n"/>
      <c r="AY208" s="112" t="n"/>
      <c r="AZ208" s="112" t="n"/>
      <c r="BA208" s="112" t="n"/>
      <c r="BB208" s="112" t="n"/>
      <c r="BC208" s="112" t="n"/>
      <c r="BD208" s="112" t="n"/>
      <c r="BE208" s="112" t="n"/>
      <c r="BF208" s="112" t="n"/>
      <c r="BG208" s="112" t="n"/>
      <c r="BH208" s="112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  <c r="AU209" s="112" t="n"/>
      <c r="AV209" s="112" t="n"/>
      <c r="AW209" s="112" t="n"/>
      <c r="AX209" s="112" t="n"/>
      <c r="AY209" s="112" t="n"/>
      <c r="AZ209" s="112" t="n"/>
      <c r="BA209" s="112" t="n"/>
      <c r="BB209" s="112" t="n"/>
      <c r="BC209" s="112" t="n"/>
      <c r="BD209" s="112" t="n"/>
      <c r="BE209" s="112" t="n"/>
      <c r="BF209" s="112" t="n"/>
      <c r="BG209" s="112" t="n"/>
      <c r="BH209" s="112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  <c r="AU210" s="112" t="n"/>
      <c r="AV210" s="112" t="n"/>
      <c r="AW210" s="112" t="n"/>
      <c r="AX210" s="112" t="n"/>
      <c r="AY210" s="112" t="n"/>
      <c r="AZ210" s="112" t="n"/>
      <c r="BA210" s="112" t="n"/>
      <c r="BB210" s="112" t="n"/>
      <c r="BC210" s="112" t="n"/>
      <c r="BD210" s="112" t="n"/>
      <c r="BE210" s="112" t="n"/>
      <c r="BF210" s="112" t="n"/>
      <c r="BG210" s="112" t="n"/>
      <c r="BH210" s="112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  <c r="AU211" s="112" t="n"/>
      <c r="AV211" s="112" t="n"/>
      <c r="AW211" s="112" t="n"/>
      <c r="AX211" s="112" t="n"/>
      <c r="AY211" s="112" t="n"/>
      <c r="AZ211" s="112" t="n"/>
      <c r="BA211" s="112" t="n"/>
      <c r="BB211" s="112" t="n"/>
      <c r="BC211" s="112" t="n"/>
      <c r="BD211" s="112" t="n"/>
      <c r="BE211" s="112" t="n"/>
      <c r="BF211" s="112" t="n"/>
      <c r="BG211" s="112" t="n"/>
      <c r="BH211" s="112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  <c r="AU212" s="112" t="n"/>
      <c r="AV212" s="112" t="n"/>
      <c r="AW212" s="112" t="n"/>
      <c r="AX212" s="112" t="n"/>
      <c r="AY212" s="112" t="n"/>
      <c r="AZ212" s="112" t="n"/>
      <c r="BA212" s="112" t="n"/>
      <c r="BB212" s="112" t="n"/>
      <c r="BC212" s="112" t="n"/>
      <c r="BD212" s="112" t="n"/>
      <c r="BE212" s="112" t="n"/>
      <c r="BF212" s="112" t="n"/>
      <c r="BG212" s="112" t="n"/>
      <c r="BH212" s="112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  <c r="AU213" s="112" t="n"/>
      <c r="AV213" s="112" t="n"/>
      <c r="AW213" s="112" t="n"/>
      <c r="AX213" s="112" t="n"/>
      <c r="AY213" s="112" t="n"/>
      <c r="AZ213" s="112" t="n"/>
      <c r="BA213" s="112" t="n"/>
      <c r="BB213" s="112" t="n"/>
      <c r="BC213" s="112" t="n"/>
      <c r="BD213" s="112" t="n"/>
      <c r="BE213" s="112" t="n"/>
      <c r="BF213" s="112" t="n"/>
      <c r="BG213" s="112" t="n"/>
      <c r="BH213" s="112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  <c r="AU214" s="112" t="n"/>
      <c r="AV214" s="112" t="n"/>
      <c r="AW214" s="112" t="n"/>
      <c r="AX214" s="112" t="n"/>
      <c r="AY214" s="112" t="n"/>
      <c r="AZ214" s="112" t="n"/>
      <c r="BA214" s="112" t="n"/>
      <c r="BB214" s="112" t="n"/>
      <c r="BC214" s="112" t="n"/>
      <c r="BD214" s="112" t="n"/>
      <c r="BE214" s="112" t="n"/>
      <c r="BF214" s="112" t="n"/>
      <c r="BG214" s="112" t="n"/>
      <c r="BH214" s="112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  <c r="AU215" s="112" t="n"/>
      <c r="AV215" s="112" t="n"/>
      <c r="AW215" s="112" t="n"/>
      <c r="AX215" s="112" t="n"/>
      <c r="AY215" s="112" t="n"/>
      <c r="AZ215" s="112" t="n"/>
      <c r="BA215" s="112" t="n"/>
      <c r="BB215" s="112" t="n"/>
      <c r="BC215" s="112" t="n"/>
      <c r="BD215" s="112" t="n"/>
      <c r="BE215" s="112" t="n"/>
      <c r="BF215" s="112" t="n"/>
      <c r="BG215" s="112" t="n"/>
      <c r="BH215" s="112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  <c r="AU216" s="112" t="n"/>
      <c r="AV216" s="112" t="n"/>
      <c r="AW216" s="112" t="n"/>
      <c r="AX216" s="112" t="n"/>
      <c r="AY216" s="112" t="n"/>
      <c r="AZ216" s="112" t="n"/>
      <c r="BA216" s="112" t="n"/>
      <c r="BB216" s="112" t="n"/>
      <c r="BC216" s="112" t="n"/>
      <c r="BD216" s="112" t="n"/>
      <c r="BE216" s="112" t="n"/>
      <c r="BF216" s="112" t="n"/>
      <c r="BG216" s="112" t="n"/>
      <c r="BH216" s="112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  <c r="AU217" s="112" t="n"/>
      <c r="AV217" s="112" t="n"/>
      <c r="AW217" s="112" t="n"/>
      <c r="AX217" s="112" t="n"/>
      <c r="AY217" s="112" t="n"/>
      <c r="AZ217" s="112" t="n"/>
      <c r="BA217" s="112" t="n"/>
      <c r="BB217" s="112" t="n"/>
      <c r="BC217" s="112" t="n"/>
      <c r="BD217" s="112" t="n"/>
      <c r="BE217" s="112" t="n"/>
      <c r="BF217" s="112" t="n"/>
      <c r="BG217" s="112" t="n"/>
      <c r="BH217" s="112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  <c r="AU218" s="112" t="n"/>
      <c r="AV218" s="112" t="n"/>
      <c r="AW218" s="112" t="n"/>
      <c r="AX218" s="112" t="n"/>
      <c r="AY218" s="112" t="n"/>
      <c r="AZ218" s="112" t="n"/>
      <c r="BA218" s="112" t="n"/>
      <c r="BB218" s="112" t="n"/>
      <c r="BC218" s="112" t="n"/>
      <c r="BD218" s="112" t="n"/>
      <c r="BE218" s="112" t="n"/>
      <c r="BF218" s="112" t="n"/>
      <c r="BG218" s="112" t="n"/>
      <c r="BH218" s="112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  <c r="AU219" s="112" t="n"/>
      <c r="AV219" s="112" t="n"/>
      <c r="AW219" s="112" t="n"/>
      <c r="AX219" s="112" t="n"/>
      <c r="AY219" s="112" t="n"/>
      <c r="AZ219" s="112" t="n"/>
      <c r="BA219" s="112" t="n"/>
      <c r="BB219" s="112" t="n"/>
      <c r="BC219" s="112" t="n"/>
      <c r="BD219" s="112" t="n"/>
      <c r="BE219" s="112" t="n"/>
      <c r="BF219" s="112" t="n"/>
      <c r="BG219" s="112" t="n"/>
      <c r="BH219" s="112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  <c r="AU220" s="112" t="n"/>
      <c r="AV220" s="112" t="n"/>
      <c r="AW220" s="112" t="n"/>
      <c r="AX220" s="112" t="n"/>
      <c r="AY220" s="112" t="n"/>
      <c r="AZ220" s="112" t="n"/>
      <c r="BA220" s="112" t="n"/>
      <c r="BB220" s="112" t="n"/>
      <c r="BC220" s="112" t="n"/>
      <c r="BD220" s="112" t="n"/>
      <c r="BE220" s="112" t="n"/>
      <c r="BF220" s="112" t="n"/>
      <c r="BG220" s="112" t="n"/>
      <c r="BH220" s="112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  <c r="AU221" s="112" t="n"/>
      <c r="AV221" s="112" t="n"/>
      <c r="AW221" s="112" t="n"/>
      <c r="AX221" s="112" t="n"/>
      <c r="AY221" s="112" t="n"/>
      <c r="AZ221" s="112" t="n"/>
      <c r="BA221" s="112" t="n"/>
      <c r="BB221" s="112" t="n"/>
      <c r="BC221" s="112" t="n"/>
      <c r="BD221" s="112" t="n"/>
      <c r="BE221" s="112" t="n"/>
      <c r="BF221" s="112" t="n"/>
      <c r="BG221" s="112" t="n"/>
      <c r="BH221" s="112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  <c r="AU222" s="112" t="n"/>
      <c r="AV222" s="112" t="n"/>
      <c r="AW222" s="112" t="n"/>
      <c r="AX222" s="112" t="n"/>
      <c r="AY222" s="112" t="n"/>
      <c r="AZ222" s="112" t="n"/>
      <c r="BA222" s="112" t="n"/>
      <c r="BB222" s="112" t="n"/>
      <c r="BC222" s="112" t="n"/>
      <c r="BD222" s="112" t="n"/>
      <c r="BE222" s="112" t="n"/>
      <c r="BF222" s="112" t="n"/>
      <c r="BG222" s="112" t="n"/>
      <c r="BH222" s="112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  <c r="AU223" s="112" t="n"/>
      <c r="AV223" s="112" t="n"/>
      <c r="AW223" s="112" t="n"/>
      <c r="AX223" s="112" t="n"/>
      <c r="AY223" s="112" t="n"/>
      <c r="AZ223" s="112" t="n"/>
      <c r="BA223" s="112" t="n"/>
      <c r="BB223" s="112" t="n"/>
      <c r="BC223" s="112" t="n"/>
      <c r="BD223" s="112" t="n"/>
      <c r="BE223" s="112" t="n"/>
      <c r="BF223" s="112" t="n"/>
      <c r="BG223" s="112" t="n"/>
      <c r="BH223" s="112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  <c r="AU224" s="112" t="n"/>
      <c r="AV224" s="112" t="n"/>
      <c r="AW224" s="112" t="n"/>
      <c r="AX224" s="112" t="n"/>
      <c r="AY224" s="112" t="n"/>
      <c r="AZ224" s="112" t="n"/>
      <c r="BA224" s="112" t="n"/>
      <c r="BB224" s="112" t="n"/>
      <c r="BC224" s="112" t="n"/>
      <c r="BD224" s="112" t="n"/>
      <c r="BE224" s="112" t="n"/>
      <c r="BF224" s="112" t="n"/>
      <c r="BG224" s="112" t="n"/>
      <c r="BH224" s="112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  <c r="AU225" s="112" t="n"/>
      <c r="AV225" s="112" t="n"/>
      <c r="AW225" s="112" t="n"/>
      <c r="AX225" s="112" t="n"/>
      <c r="AY225" s="112" t="n"/>
      <c r="AZ225" s="112" t="n"/>
      <c r="BA225" s="112" t="n"/>
      <c r="BB225" s="112" t="n"/>
      <c r="BC225" s="112" t="n"/>
      <c r="BD225" s="112" t="n"/>
      <c r="BE225" s="112" t="n"/>
      <c r="BF225" s="112" t="n"/>
      <c r="BG225" s="112" t="n"/>
      <c r="BH225" s="112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  <c r="AU226" s="112" t="n"/>
      <c r="AV226" s="112" t="n"/>
      <c r="AW226" s="112" t="n"/>
      <c r="AX226" s="112" t="n"/>
      <c r="AY226" s="112" t="n"/>
      <c r="AZ226" s="112" t="n"/>
      <c r="BA226" s="112" t="n"/>
      <c r="BB226" s="112" t="n"/>
      <c r="BC226" s="112" t="n"/>
      <c r="BD226" s="112" t="n"/>
      <c r="BE226" s="112" t="n"/>
      <c r="BF226" s="112" t="n"/>
      <c r="BG226" s="112" t="n"/>
      <c r="BH226" s="112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  <c r="AU227" s="112" t="n"/>
      <c r="AV227" s="112" t="n"/>
      <c r="AW227" s="112" t="n"/>
      <c r="AX227" s="112" t="n"/>
      <c r="AY227" s="112" t="n"/>
      <c r="AZ227" s="112" t="n"/>
      <c r="BA227" s="112" t="n"/>
      <c r="BB227" s="112" t="n"/>
      <c r="BC227" s="112" t="n"/>
      <c r="BD227" s="112" t="n"/>
      <c r="BE227" s="112" t="n"/>
      <c r="BF227" s="112" t="n"/>
      <c r="BG227" s="112" t="n"/>
      <c r="BH227" s="112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  <c r="AU228" s="112" t="n"/>
      <c r="AV228" s="112" t="n"/>
      <c r="AW228" s="112" t="n"/>
      <c r="AX228" s="112" t="n"/>
      <c r="AY228" s="112" t="n"/>
      <c r="AZ228" s="112" t="n"/>
      <c r="BA228" s="112" t="n"/>
      <c r="BB228" s="112" t="n"/>
      <c r="BC228" s="112" t="n"/>
      <c r="BD228" s="112" t="n"/>
      <c r="BE228" s="112" t="n"/>
      <c r="BF228" s="112" t="n"/>
      <c r="BG228" s="112" t="n"/>
      <c r="BH228" s="112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  <c r="AU229" s="112" t="n"/>
      <c r="AV229" s="112" t="n"/>
      <c r="AW229" s="112" t="n"/>
      <c r="AX229" s="112" t="n"/>
      <c r="AY229" s="112" t="n"/>
      <c r="AZ229" s="112" t="n"/>
      <c r="BA229" s="112" t="n"/>
      <c r="BB229" s="112" t="n"/>
      <c r="BC229" s="112" t="n"/>
      <c r="BD229" s="112" t="n"/>
      <c r="BE229" s="112" t="n"/>
      <c r="BF229" s="112" t="n"/>
      <c r="BG229" s="112" t="n"/>
      <c r="BH229" s="112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  <c r="AU230" s="112" t="n"/>
      <c r="AV230" s="112" t="n"/>
      <c r="AW230" s="112" t="n"/>
      <c r="AX230" s="112" t="n"/>
      <c r="AY230" s="112" t="n"/>
      <c r="AZ230" s="112" t="n"/>
      <c r="BA230" s="112" t="n"/>
      <c r="BB230" s="112" t="n"/>
      <c r="BC230" s="112" t="n"/>
      <c r="BD230" s="112" t="n"/>
      <c r="BE230" s="112" t="n"/>
      <c r="BF230" s="112" t="n"/>
      <c r="BG230" s="112" t="n"/>
      <c r="BH230" s="112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  <c r="AU231" s="112" t="n"/>
      <c r="AV231" s="112" t="n"/>
      <c r="AW231" s="112" t="n"/>
      <c r="AX231" s="112" t="n"/>
      <c r="AY231" s="112" t="n"/>
      <c r="AZ231" s="112" t="n"/>
      <c r="BA231" s="112" t="n"/>
      <c r="BB231" s="112" t="n"/>
      <c r="BC231" s="112" t="n"/>
      <c r="BD231" s="112" t="n"/>
      <c r="BE231" s="112" t="n"/>
      <c r="BF231" s="112" t="n"/>
      <c r="BG231" s="112" t="n"/>
      <c r="BH231" s="112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  <c r="AU232" s="112" t="n"/>
      <c r="AV232" s="112" t="n"/>
      <c r="AW232" s="112" t="n"/>
      <c r="AX232" s="112" t="n"/>
      <c r="AY232" s="112" t="n"/>
      <c r="AZ232" s="112" t="n"/>
      <c r="BA232" s="112" t="n"/>
      <c r="BB232" s="112" t="n"/>
      <c r="BC232" s="112" t="n"/>
      <c r="BD232" s="112" t="n"/>
      <c r="BE232" s="112" t="n"/>
      <c r="BF232" s="112" t="n"/>
      <c r="BG232" s="112" t="n"/>
      <c r="BH232" s="112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  <c r="AU233" s="112" t="n"/>
      <c r="AV233" s="112" t="n"/>
      <c r="AW233" s="112" t="n"/>
      <c r="AX233" s="112" t="n"/>
      <c r="AY233" s="112" t="n"/>
      <c r="AZ233" s="112" t="n"/>
      <c r="BA233" s="112" t="n"/>
      <c r="BB233" s="112" t="n"/>
      <c r="BC233" s="112" t="n"/>
      <c r="BD233" s="112" t="n"/>
      <c r="BE233" s="112" t="n"/>
      <c r="BF233" s="112" t="n"/>
      <c r="BG233" s="112" t="n"/>
      <c r="BH233" s="112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  <c r="AU234" s="112" t="n"/>
      <c r="AV234" s="112" t="n"/>
      <c r="AW234" s="112" t="n"/>
      <c r="AX234" s="112" t="n"/>
      <c r="AY234" s="112" t="n"/>
      <c r="AZ234" s="112" t="n"/>
      <c r="BA234" s="112" t="n"/>
      <c r="BB234" s="112" t="n"/>
      <c r="BC234" s="112" t="n"/>
      <c r="BD234" s="112" t="n"/>
      <c r="BE234" s="112" t="n"/>
      <c r="BF234" s="112" t="n"/>
      <c r="BG234" s="112" t="n"/>
      <c r="BH234" s="112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  <c r="AU235" s="112" t="n"/>
      <c r="AV235" s="112" t="n"/>
      <c r="AW235" s="112" t="n"/>
      <c r="AX235" s="112" t="n"/>
      <c r="AY235" s="112" t="n"/>
      <c r="AZ235" s="112" t="n"/>
      <c r="BA235" s="112" t="n"/>
      <c r="BB235" s="112" t="n"/>
      <c r="BC235" s="112" t="n"/>
      <c r="BD235" s="112" t="n"/>
      <c r="BE235" s="112" t="n"/>
      <c r="BF235" s="112" t="n"/>
      <c r="BG235" s="112" t="n"/>
      <c r="BH235" s="112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  <c r="AU236" s="112" t="n"/>
      <c r="AV236" s="112" t="n"/>
      <c r="AW236" s="112" t="n"/>
      <c r="AX236" s="112" t="n"/>
      <c r="AY236" s="112" t="n"/>
      <c r="AZ236" s="112" t="n"/>
      <c r="BA236" s="112" t="n"/>
      <c r="BB236" s="112" t="n"/>
      <c r="BC236" s="112" t="n"/>
      <c r="BD236" s="112" t="n"/>
      <c r="BE236" s="112" t="n"/>
      <c r="BF236" s="112" t="n"/>
      <c r="BG236" s="112" t="n"/>
      <c r="BH236" s="112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  <c r="AU237" s="112" t="n"/>
      <c r="AV237" s="112" t="n"/>
      <c r="AW237" s="112" t="n"/>
      <c r="AX237" s="112" t="n"/>
      <c r="AY237" s="112" t="n"/>
      <c r="AZ237" s="112" t="n"/>
      <c r="BA237" s="112" t="n"/>
      <c r="BB237" s="112" t="n"/>
      <c r="BC237" s="112" t="n"/>
      <c r="BD237" s="112" t="n"/>
      <c r="BE237" s="112" t="n"/>
      <c r="BF237" s="112" t="n"/>
      <c r="BG237" s="112" t="n"/>
      <c r="BH237" s="112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  <c r="AU238" s="112" t="n"/>
      <c r="AV238" s="112" t="n"/>
      <c r="AW238" s="112" t="n"/>
      <c r="AX238" s="112" t="n"/>
      <c r="AY238" s="112" t="n"/>
      <c r="AZ238" s="112" t="n"/>
      <c r="BA238" s="112" t="n"/>
      <c r="BB238" s="112" t="n"/>
      <c r="BC238" s="112" t="n"/>
      <c r="BD238" s="112" t="n"/>
      <c r="BE238" s="112" t="n"/>
      <c r="BF238" s="112" t="n"/>
      <c r="BG238" s="112" t="n"/>
      <c r="BH238" s="112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  <c r="AU239" s="112" t="n"/>
      <c r="AV239" s="112" t="n"/>
      <c r="AW239" s="112" t="n"/>
      <c r="AX239" s="112" t="n"/>
      <c r="AY239" s="112" t="n"/>
      <c r="AZ239" s="112" t="n"/>
      <c r="BA239" s="112" t="n"/>
      <c r="BB239" s="112" t="n"/>
      <c r="BC239" s="112" t="n"/>
      <c r="BD239" s="112" t="n"/>
      <c r="BE239" s="112" t="n"/>
      <c r="BF239" s="112" t="n"/>
      <c r="BG239" s="112" t="n"/>
      <c r="BH239" s="112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  <c r="AU240" s="112" t="n"/>
      <c r="AV240" s="112" t="n"/>
      <c r="AW240" s="112" t="n"/>
      <c r="AX240" s="112" t="n"/>
      <c r="AY240" s="112" t="n"/>
      <c r="AZ240" s="112" t="n"/>
      <c r="BA240" s="112" t="n"/>
      <c r="BB240" s="112" t="n"/>
      <c r="BC240" s="112" t="n"/>
      <c r="BD240" s="112" t="n"/>
      <c r="BE240" s="112" t="n"/>
      <c r="BF240" s="112" t="n"/>
      <c r="BG240" s="112" t="n"/>
      <c r="BH240" s="112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  <c r="AU241" s="112" t="n"/>
      <c r="AV241" s="112" t="n"/>
      <c r="AW241" s="112" t="n"/>
      <c r="AX241" s="112" t="n"/>
      <c r="AY241" s="112" t="n"/>
      <c r="AZ241" s="112" t="n"/>
      <c r="BA241" s="112" t="n"/>
      <c r="BB241" s="112" t="n"/>
      <c r="BC241" s="112" t="n"/>
      <c r="BD241" s="112" t="n"/>
      <c r="BE241" s="112" t="n"/>
      <c r="BF241" s="112" t="n"/>
      <c r="BG241" s="112" t="n"/>
      <c r="BH241" s="112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  <c r="AU242" s="112" t="n"/>
      <c r="AV242" s="112" t="n"/>
      <c r="AW242" s="112" t="n"/>
      <c r="AX242" s="112" t="n"/>
      <c r="AY242" s="112" t="n"/>
      <c r="AZ242" s="112" t="n"/>
      <c r="BA242" s="112" t="n"/>
      <c r="BB242" s="112" t="n"/>
      <c r="BC242" s="112" t="n"/>
      <c r="BD242" s="112" t="n"/>
      <c r="BE242" s="112" t="n"/>
      <c r="BF242" s="112" t="n"/>
      <c r="BG242" s="112" t="n"/>
      <c r="BH242" s="112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  <c r="AU243" s="112" t="n"/>
      <c r="AV243" s="112" t="n"/>
      <c r="AW243" s="112" t="n"/>
      <c r="AX243" s="112" t="n"/>
      <c r="AY243" s="112" t="n"/>
      <c r="AZ243" s="112" t="n"/>
      <c r="BA243" s="112" t="n"/>
      <c r="BB243" s="112" t="n"/>
      <c r="BC243" s="112" t="n"/>
      <c r="BD243" s="112" t="n"/>
      <c r="BE243" s="112" t="n"/>
      <c r="BF243" s="112" t="n"/>
      <c r="BG243" s="112" t="n"/>
      <c r="BH243" s="112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  <c r="AU244" s="112" t="n"/>
      <c r="AV244" s="112" t="n"/>
      <c r="AW244" s="112" t="n"/>
      <c r="AX244" s="112" t="n"/>
      <c r="AY244" s="112" t="n"/>
      <c r="AZ244" s="112" t="n"/>
      <c r="BA244" s="112" t="n"/>
      <c r="BB244" s="112" t="n"/>
      <c r="BC244" s="112" t="n"/>
      <c r="BD244" s="112" t="n"/>
      <c r="BE244" s="112" t="n"/>
      <c r="BF244" s="112" t="n"/>
      <c r="BG244" s="112" t="n"/>
      <c r="BH244" s="112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  <c r="AU245" s="112" t="n"/>
      <c r="AV245" s="112" t="n"/>
      <c r="AW245" s="112" t="n"/>
      <c r="AX245" s="112" t="n"/>
      <c r="AY245" s="112" t="n"/>
      <c r="AZ245" s="112" t="n"/>
      <c r="BA245" s="112" t="n"/>
      <c r="BB245" s="112" t="n"/>
      <c r="BC245" s="112" t="n"/>
      <c r="BD245" s="112" t="n"/>
      <c r="BE245" s="112" t="n"/>
      <c r="BF245" s="112" t="n"/>
      <c r="BG245" s="112" t="n"/>
      <c r="BH245" s="112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  <c r="AU246" s="112" t="n"/>
      <c r="AV246" s="112" t="n"/>
      <c r="AW246" s="112" t="n"/>
      <c r="AX246" s="112" t="n"/>
      <c r="AY246" s="112" t="n"/>
      <c r="AZ246" s="112" t="n"/>
      <c r="BA246" s="112" t="n"/>
      <c r="BB246" s="112" t="n"/>
      <c r="BC246" s="112" t="n"/>
      <c r="BD246" s="112" t="n"/>
      <c r="BE246" s="112" t="n"/>
      <c r="BF246" s="112" t="n"/>
      <c r="BG246" s="112" t="n"/>
      <c r="BH246" s="112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  <c r="AU247" s="112" t="n"/>
      <c r="AV247" s="112" t="n"/>
      <c r="AW247" s="112" t="n"/>
      <c r="AX247" s="112" t="n"/>
      <c r="AY247" s="112" t="n"/>
      <c r="AZ247" s="112" t="n"/>
      <c r="BA247" s="112" t="n"/>
      <c r="BB247" s="112" t="n"/>
      <c r="BC247" s="112" t="n"/>
      <c r="BD247" s="112" t="n"/>
      <c r="BE247" s="112" t="n"/>
      <c r="BF247" s="112" t="n"/>
      <c r="BG247" s="112" t="n"/>
      <c r="BH247" s="112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  <c r="AU248" s="112" t="n"/>
      <c r="AV248" s="112" t="n"/>
      <c r="AW248" s="112" t="n"/>
      <c r="AX248" s="112" t="n"/>
      <c r="AY248" s="112" t="n"/>
      <c r="AZ248" s="112" t="n"/>
      <c r="BA248" s="112" t="n"/>
      <c r="BB248" s="112" t="n"/>
      <c r="BC248" s="112" t="n"/>
      <c r="BD248" s="112" t="n"/>
      <c r="BE248" s="112" t="n"/>
      <c r="BF248" s="112" t="n"/>
      <c r="BG248" s="112" t="n"/>
      <c r="BH248" s="112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  <c r="AU249" s="112" t="n"/>
      <c r="AV249" s="112" t="n"/>
      <c r="AW249" s="112" t="n"/>
      <c r="AX249" s="112" t="n"/>
      <c r="AY249" s="112" t="n"/>
      <c r="AZ249" s="112" t="n"/>
      <c r="BA249" s="112" t="n"/>
      <c r="BB249" s="112" t="n"/>
      <c r="BC249" s="112" t="n"/>
      <c r="BD249" s="112" t="n"/>
      <c r="BE249" s="112" t="n"/>
      <c r="BF249" s="112" t="n"/>
      <c r="BG249" s="112" t="n"/>
      <c r="BH249" s="112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  <c r="AU250" s="112" t="n"/>
      <c r="AV250" s="112" t="n"/>
      <c r="AW250" s="112" t="n"/>
      <c r="AX250" s="112" t="n"/>
      <c r="AY250" s="112" t="n"/>
      <c r="AZ250" s="112" t="n"/>
      <c r="BA250" s="112" t="n"/>
      <c r="BB250" s="112" t="n"/>
      <c r="BC250" s="112" t="n"/>
      <c r="BD250" s="112" t="n"/>
      <c r="BE250" s="112" t="n"/>
      <c r="BF250" s="112" t="n"/>
      <c r="BG250" s="112" t="n"/>
      <c r="BH250" s="112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  <c r="AU251" s="112" t="n"/>
      <c r="AV251" s="112" t="n"/>
      <c r="AW251" s="112" t="n"/>
      <c r="AX251" s="112" t="n"/>
      <c r="AY251" s="112" t="n"/>
      <c r="AZ251" s="112" t="n"/>
      <c r="BA251" s="112" t="n"/>
      <c r="BB251" s="112" t="n"/>
      <c r="BC251" s="112" t="n"/>
      <c r="BD251" s="112" t="n"/>
      <c r="BE251" s="112" t="n"/>
      <c r="BF251" s="112" t="n"/>
      <c r="BG251" s="112" t="n"/>
      <c r="BH251" s="112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  <c r="AU252" s="112" t="n"/>
      <c r="AV252" s="112" t="n"/>
      <c r="AW252" s="112" t="n"/>
      <c r="AX252" s="112" t="n"/>
      <c r="AY252" s="112" t="n"/>
      <c r="AZ252" s="112" t="n"/>
      <c r="BA252" s="112" t="n"/>
      <c r="BB252" s="112" t="n"/>
      <c r="BC252" s="112" t="n"/>
      <c r="BD252" s="112" t="n"/>
      <c r="BE252" s="112" t="n"/>
      <c r="BF252" s="112" t="n"/>
      <c r="BG252" s="112" t="n"/>
      <c r="BH252" s="112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  <c r="AU253" s="112" t="n"/>
      <c r="AV253" s="112" t="n"/>
      <c r="AW253" s="112" t="n"/>
      <c r="AX253" s="112" t="n"/>
      <c r="AY253" s="112" t="n"/>
      <c r="AZ253" s="112" t="n"/>
      <c r="BA253" s="112" t="n"/>
      <c r="BB253" s="112" t="n"/>
      <c r="BC253" s="112" t="n"/>
      <c r="BD253" s="112" t="n"/>
      <c r="BE253" s="112" t="n"/>
      <c r="BF253" s="112" t="n"/>
      <c r="BG253" s="112" t="n"/>
      <c r="BH253" s="112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  <c r="AU254" s="112" t="n"/>
      <c r="AV254" s="112" t="n"/>
      <c r="AW254" s="112" t="n"/>
      <c r="AX254" s="112" t="n"/>
      <c r="AY254" s="112" t="n"/>
      <c r="AZ254" s="112" t="n"/>
      <c r="BA254" s="112" t="n"/>
      <c r="BB254" s="112" t="n"/>
      <c r="BC254" s="112" t="n"/>
      <c r="BD254" s="112" t="n"/>
      <c r="BE254" s="112" t="n"/>
      <c r="BF254" s="112" t="n"/>
      <c r="BG254" s="112" t="n"/>
      <c r="BH254" s="112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  <c r="AU255" s="112" t="n"/>
      <c r="AV255" s="112" t="n"/>
      <c r="AW255" s="112" t="n"/>
      <c r="AX255" s="112" t="n"/>
      <c r="AY255" s="112" t="n"/>
      <c r="AZ255" s="112" t="n"/>
      <c r="BA255" s="112" t="n"/>
      <c r="BB255" s="112" t="n"/>
      <c r="BC255" s="112" t="n"/>
      <c r="BD255" s="112" t="n"/>
      <c r="BE255" s="112" t="n"/>
      <c r="BF255" s="112" t="n"/>
      <c r="BG255" s="112" t="n"/>
      <c r="BH255" s="112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  <c r="AU256" s="112" t="n"/>
      <c r="AV256" s="112" t="n"/>
      <c r="AW256" s="112" t="n"/>
      <c r="AX256" s="112" t="n"/>
      <c r="AY256" s="112" t="n"/>
      <c r="AZ256" s="112" t="n"/>
      <c r="BA256" s="112" t="n"/>
      <c r="BB256" s="112" t="n"/>
      <c r="BC256" s="112" t="n"/>
      <c r="BD256" s="112" t="n"/>
      <c r="BE256" s="112" t="n"/>
      <c r="BF256" s="112" t="n"/>
      <c r="BG256" s="112" t="n"/>
      <c r="BH256" s="112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  <c r="AU257" s="112" t="n"/>
      <c r="AV257" s="112" t="n"/>
      <c r="AW257" s="112" t="n"/>
      <c r="AX257" s="112" t="n"/>
      <c r="AY257" s="112" t="n"/>
      <c r="AZ257" s="112" t="n"/>
      <c r="BA257" s="112" t="n"/>
      <c r="BB257" s="112" t="n"/>
      <c r="BC257" s="112" t="n"/>
      <c r="BD257" s="112" t="n"/>
      <c r="BE257" s="112" t="n"/>
      <c r="BF257" s="112" t="n"/>
      <c r="BG257" s="112" t="n"/>
      <c r="BH257" s="112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  <c r="AU258" s="112" t="n"/>
      <c r="AV258" s="112" t="n"/>
      <c r="AW258" s="112" t="n"/>
      <c r="AX258" s="112" t="n"/>
      <c r="AY258" s="112" t="n"/>
      <c r="AZ258" s="112" t="n"/>
      <c r="BA258" s="112" t="n"/>
      <c r="BB258" s="112" t="n"/>
      <c r="BC258" s="112" t="n"/>
      <c r="BD258" s="112" t="n"/>
      <c r="BE258" s="112" t="n"/>
      <c r="BF258" s="112" t="n"/>
      <c r="BG258" s="112" t="n"/>
      <c r="BH258" s="112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  <c r="AU259" s="112" t="n"/>
      <c r="AV259" s="112" t="n"/>
      <c r="AW259" s="112" t="n"/>
      <c r="AX259" s="112" t="n"/>
      <c r="AY259" s="112" t="n"/>
      <c r="AZ259" s="112" t="n"/>
      <c r="BA259" s="112" t="n"/>
      <c r="BB259" s="112" t="n"/>
      <c r="BC259" s="112" t="n"/>
      <c r="BD259" s="112" t="n"/>
      <c r="BE259" s="112" t="n"/>
      <c r="BF259" s="112" t="n"/>
      <c r="BG259" s="112" t="n"/>
      <c r="BH259" s="112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  <c r="AU260" s="112" t="n"/>
      <c r="AV260" s="112" t="n"/>
      <c r="AW260" s="112" t="n"/>
      <c r="AX260" s="112" t="n"/>
      <c r="AY260" s="112" t="n"/>
      <c r="AZ260" s="112" t="n"/>
      <c r="BA260" s="112" t="n"/>
      <c r="BB260" s="112" t="n"/>
      <c r="BC260" s="112" t="n"/>
      <c r="BD260" s="112" t="n"/>
      <c r="BE260" s="112" t="n"/>
      <c r="BF260" s="112" t="n"/>
      <c r="BG260" s="112" t="n"/>
      <c r="BH260" s="112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  <c r="AU261" s="112" t="n"/>
      <c r="AV261" s="112" t="n"/>
      <c r="AW261" s="112" t="n"/>
      <c r="AX261" s="112" t="n"/>
      <c r="AY261" s="112" t="n"/>
      <c r="AZ261" s="112" t="n"/>
      <c r="BA261" s="112" t="n"/>
      <c r="BB261" s="112" t="n"/>
      <c r="BC261" s="112" t="n"/>
      <c r="BD261" s="112" t="n"/>
      <c r="BE261" s="112" t="n"/>
      <c r="BF261" s="112" t="n"/>
      <c r="BG261" s="112" t="n"/>
      <c r="BH261" s="112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  <c r="AU262" s="112" t="n"/>
      <c r="AV262" s="112" t="n"/>
      <c r="AW262" s="112" t="n"/>
      <c r="AX262" s="112" t="n"/>
      <c r="AY262" s="112" t="n"/>
      <c r="AZ262" s="112" t="n"/>
      <c r="BA262" s="112" t="n"/>
      <c r="BB262" s="112" t="n"/>
      <c r="BC262" s="112" t="n"/>
      <c r="BD262" s="112" t="n"/>
      <c r="BE262" s="112" t="n"/>
      <c r="BF262" s="112" t="n"/>
      <c r="BG262" s="112" t="n"/>
      <c r="BH262" s="112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  <c r="AU263" s="112" t="n"/>
      <c r="AV263" s="112" t="n"/>
      <c r="AW263" s="112" t="n"/>
      <c r="AX263" s="112" t="n"/>
      <c r="AY263" s="112" t="n"/>
      <c r="AZ263" s="112" t="n"/>
      <c r="BA263" s="112" t="n"/>
      <c r="BB263" s="112" t="n"/>
      <c r="BC263" s="112" t="n"/>
      <c r="BD263" s="112" t="n"/>
      <c r="BE263" s="112" t="n"/>
      <c r="BF263" s="112" t="n"/>
      <c r="BG263" s="112" t="n"/>
      <c r="BH263" s="112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  <c r="AU264" s="112" t="n"/>
      <c r="AV264" s="112" t="n"/>
      <c r="AW264" s="112" t="n"/>
      <c r="AX264" s="112" t="n"/>
      <c r="AY264" s="112" t="n"/>
      <c r="AZ264" s="112" t="n"/>
      <c r="BA264" s="112" t="n"/>
      <c r="BB264" s="112" t="n"/>
      <c r="BC264" s="112" t="n"/>
      <c r="BD264" s="112" t="n"/>
      <c r="BE264" s="112" t="n"/>
      <c r="BF264" s="112" t="n"/>
      <c r="BG264" s="112" t="n"/>
      <c r="BH264" s="112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  <c r="AU265" s="112" t="n"/>
      <c r="AV265" s="112" t="n"/>
      <c r="AW265" s="112" t="n"/>
      <c r="AX265" s="112" t="n"/>
      <c r="AY265" s="112" t="n"/>
      <c r="AZ265" s="112" t="n"/>
      <c r="BA265" s="112" t="n"/>
      <c r="BB265" s="112" t="n"/>
      <c r="BC265" s="112" t="n"/>
      <c r="BD265" s="112" t="n"/>
      <c r="BE265" s="112" t="n"/>
      <c r="BF265" s="112" t="n"/>
      <c r="BG265" s="112" t="n"/>
      <c r="BH265" s="112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  <c r="AU266" s="112" t="n"/>
      <c r="AV266" s="112" t="n"/>
      <c r="AW266" s="112" t="n"/>
      <c r="AX266" s="112" t="n"/>
      <c r="AY266" s="112" t="n"/>
      <c r="AZ266" s="112" t="n"/>
      <c r="BA266" s="112" t="n"/>
      <c r="BB266" s="112" t="n"/>
      <c r="BC266" s="112" t="n"/>
      <c r="BD266" s="112" t="n"/>
      <c r="BE266" s="112" t="n"/>
      <c r="BF266" s="112" t="n"/>
      <c r="BG266" s="112" t="n"/>
      <c r="BH266" s="112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  <c r="AU267" s="112" t="n"/>
      <c r="AV267" s="112" t="n"/>
      <c r="AW267" s="112" t="n"/>
      <c r="AX267" s="112" t="n"/>
      <c r="AY267" s="112" t="n"/>
      <c r="AZ267" s="112" t="n"/>
      <c r="BA267" s="112" t="n"/>
      <c r="BB267" s="112" t="n"/>
      <c r="BC267" s="112" t="n"/>
      <c r="BD267" s="112" t="n"/>
      <c r="BE267" s="112" t="n"/>
      <c r="BF267" s="112" t="n"/>
      <c r="BG267" s="112" t="n"/>
      <c r="BH267" s="112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  <c r="AU268" s="112" t="n"/>
      <c r="AV268" s="112" t="n"/>
      <c r="AW268" s="112" t="n"/>
      <c r="AX268" s="112" t="n"/>
      <c r="AY268" s="112" t="n"/>
      <c r="AZ268" s="112" t="n"/>
      <c r="BA268" s="112" t="n"/>
      <c r="BB268" s="112" t="n"/>
      <c r="BC268" s="112" t="n"/>
      <c r="BD268" s="112" t="n"/>
      <c r="BE268" s="112" t="n"/>
      <c r="BF268" s="112" t="n"/>
      <c r="BG268" s="112" t="n"/>
      <c r="BH268" s="112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  <c r="AU269" s="112" t="n"/>
      <c r="AV269" s="112" t="n"/>
      <c r="AW269" s="112" t="n"/>
      <c r="AX269" s="112" t="n"/>
      <c r="AY269" s="112" t="n"/>
      <c r="AZ269" s="112" t="n"/>
      <c r="BA269" s="112" t="n"/>
      <c r="BB269" s="112" t="n"/>
      <c r="BC269" s="112" t="n"/>
      <c r="BD269" s="112" t="n"/>
      <c r="BE269" s="112" t="n"/>
      <c r="BF269" s="112" t="n"/>
      <c r="BG269" s="112" t="n"/>
      <c r="BH269" s="112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  <c r="AU270" s="112" t="n"/>
      <c r="AV270" s="112" t="n"/>
      <c r="AW270" s="112" t="n"/>
      <c r="AX270" s="112" t="n"/>
      <c r="AY270" s="112" t="n"/>
      <c r="AZ270" s="112" t="n"/>
      <c r="BA270" s="112" t="n"/>
      <c r="BB270" s="112" t="n"/>
      <c r="BC270" s="112" t="n"/>
      <c r="BD270" s="112" t="n"/>
      <c r="BE270" s="112" t="n"/>
      <c r="BF270" s="112" t="n"/>
      <c r="BG270" s="112" t="n"/>
      <c r="BH270" s="112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  <c r="AU271" s="112" t="n"/>
      <c r="AV271" s="112" t="n"/>
      <c r="AW271" s="112" t="n"/>
      <c r="AX271" s="112" t="n"/>
      <c r="AY271" s="112" t="n"/>
      <c r="AZ271" s="112" t="n"/>
      <c r="BA271" s="112" t="n"/>
      <c r="BB271" s="112" t="n"/>
      <c r="BC271" s="112" t="n"/>
      <c r="BD271" s="112" t="n"/>
      <c r="BE271" s="112" t="n"/>
      <c r="BF271" s="112" t="n"/>
      <c r="BG271" s="112" t="n"/>
      <c r="BH271" s="112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  <c r="AU272" s="112" t="n"/>
      <c r="AV272" s="112" t="n"/>
      <c r="AW272" s="112" t="n"/>
      <c r="AX272" s="112" t="n"/>
      <c r="AY272" s="112" t="n"/>
      <c r="AZ272" s="112" t="n"/>
      <c r="BA272" s="112" t="n"/>
      <c r="BB272" s="112" t="n"/>
      <c r="BC272" s="112" t="n"/>
      <c r="BD272" s="112" t="n"/>
      <c r="BE272" s="112" t="n"/>
      <c r="BF272" s="112" t="n"/>
      <c r="BG272" s="112" t="n"/>
      <c r="BH272" s="112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  <c r="AU273" s="112" t="n"/>
      <c r="AV273" s="112" t="n"/>
      <c r="AW273" s="112" t="n"/>
      <c r="AX273" s="112" t="n"/>
      <c r="AY273" s="112" t="n"/>
      <c r="AZ273" s="112" t="n"/>
      <c r="BA273" s="112" t="n"/>
      <c r="BB273" s="112" t="n"/>
      <c r="BC273" s="112" t="n"/>
      <c r="BD273" s="112" t="n"/>
      <c r="BE273" s="112" t="n"/>
      <c r="BF273" s="112" t="n"/>
      <c r="BG273" s="112" t="n"/>
      <c r="BH273" s="112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  <c r="AU274" s="112" t="n"/>
      <c r="AV274" s="112" t="n"/>
      <c r="AW274" s="112" t="n"/>
      <c r="AX274" s="112" t="n"/>
      <c r="AY274" s="112" t="n"/>
      <c r="AZ274" s="112" t="n"/>
      <c r="BA274" s="112" t="n"/>
      <c r="BB274" s="112" t="n"/>
      <c r="BC274" s="112" t="n"/>
      <c r="BD274" s="112" t="n"/>
      <c r="BE274" s="112" t="n"/>
      <c r="BF274" s="112" t="n"/>
      <c r="BG274" s="112" t="n"/>
      <c r="BH274" s="112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  <c r="AU275" s="112" t="n"/>
      <c r="AV275" s="112" t="n"/>
      <c r="AW275" s="112" t="n"/>
      <c r="AX275" s="112" t="n"/>
      <c r="AY275" s="112" t="n"/>
      <c r="AZ275" s="112" t="n"/>
      <c r="BA275" s="112" t="n"/>
      <c r="BB275" s="112" t="n"/>
      <c r="BC275" s="112" t="n"/>
      <c r="BD275" s="112" t="n"/>
      <c r="BE275" s="112" t="n"/>
      <c r="BF275" s="112" t="n"/>
      <c r="BG275" s="112" t="n"/>
      <c r="BH275" s="112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  <c r="AU276" s="112" t="n"/>
      <c r="AV276" s="112" t="n"/>
      <c r="AW276" s="112" t="n"/>
      <c r="AX276" s="112" t="n"/>
      <c r="AY276" s="112" t="n"/>
      <c r="AZ276" s="112" t="n"/>
      <c r="BA276" s="112" t="n"/>
      <c r="BB276" s="112" t="n"/>
      <c r="BC276" s="112" t="n"/>
      <c r="BD276" s="112" t="n"/>
      <c r="BE276" s="112" t="n"/>
      <c r="BF276" s="112" t="n"/>
      <c r="BG276" s="112" t="n"/>
      <c r="BH276" s="112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  <c r="AU277" s="112" t="n"/>
      <c r="AV277" s="112" t="n"/>
      <c r="AW277" s="112" t="n"/>
      <c r="AX277" s="112" t="n"/>
      <c r="AY277" s="112" t="n"/>
      <c r="AZ277" s="112" t="n"/>
      <c r="BA277" s="112" t="n"/>
      <c r="BB277" s="112" t="n"/>
      <c r="BC277" s="112" t="n"/>
      <c r="BD277" s="112" t="n"/>
      <c r="BE277" s="112" t="n"/>
      <c r="BF277" s="112" t="n"/>
      <c r="BG277" s="112" t="n"/>
      <c r="BH277" s="112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  <c r="AU278" s="112" t="n"/>
      <c r="AV278" s="112" t="n"/>
      <c r="AW278" s="112" t="n"/>
      <c r="AX278" s="112" t="n"/>
      <c r="AY278" s="112" t="n"/>
      <c r="AZ278" s="112" t="n"/>
      <c r="BA278" s="112" t="n"/>
      <c r="BB278" s="112" t="n"/>
      <c r="BC278" s="112" t="n"/>
      <c r="BD278" s="112" t="n"/>
      <c r="BE278" s="112" t="n"/>
      <c r="BF278" s="112" t="n"/>
      <c r="BG278" s="112" t="n"/>
      <c r="BH278" s="112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  <c r="AU279" s="112" t="n"/>
      <c r="AV279" s="112" t="n"/>
      <c r="AW279" s="112" t="n"/>
      <c r="AX279" s="112" t="n"/>
      <c r="AY279" s="112" t="n"/>
      <c r="AZ279" s="112" t="n"/>
      <c r="BA279" s="112" t="n"/>
      <c r="BB279" s="112" t="n"/>
      <c r="BC279" s="112" t="n"/>
      <c r="BD279" s="112" t="n"/>
      <c r="BE279" s="112" t="n"/>
      <c r="BF279" s="112" t="n"/>
      <c r="BG279" s="112" t="n"/>
      <c r="BH279" s="112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  <c r="AU280" s="112" t="n"/>
      <c r="AV280" s="112" t="n"/>
      <c r="AW280" s="112" t="n"/>
      <c r="AX280" s="112" t="n"/>
      <c r="AY280" s="112" t="n"/>
      <c r="AZ280" s="112" t="n"/>
      <c r="BA280" s="112" t="n"/>
      <c r="BB280" s="112" t="n"/>
      <c r="BC280" s="112" t="n"/>
      <c r="BD280" s="112" t="n"/>
      <c r="BE280" s="112" t="n"/>
      <c r="BF280" s="112" t="n"/>
      <c r="BG280" s="112" t="n"/>
      <c r="BH280" s="112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  <c r="AU281" s="112" t="n"/>
      <c r="AV281" s="112" t="n"/>
      <c r="AW281" s="112" t="n"/>
      <c r="AX281" s="112" t="n"/>
      <c r="AY281" s="112" t="n"/>
      <c r="AZ281" s="112" t="n"/>
      <c r="BA281" s="112" t="n"/>
      <c r="BB281" s="112" t="n"/>
      <c r="BC281" s="112" t="n"/>
      <c r="BD281" s="112" t="n"/>
      <c r="BE281" s="112" t="n"/>
      <c r="BF281" s="112" t="n"/>
      <c r="BG281" s="112" t="n"/>
      <c r="BH281" s="112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  <c r="AU282" s="112" t="n"/>
      <c r="AV282" s="112" t="n"/>
      <c r="AW282" s="112" t="n"/>
      <c r="AX282" s="112" t="n"/>
      <c r="AY282" s="112" t="n"/>
      <c r="AZ282" s="112" t="n"/>
      <c r="BA282" s="112" t="n"/>
      <c r="BB282" s="112" t="n"/>
      <c r="BC282" s="112" t="n"/>
      <c r="BD282" s="112" t="n"/>
      <c r="BE282" s="112" t="n"/>
      <c r="BF282" s="112" t="n"/>
      <c r="BG282" s="112" t="n"/>
      <c r="BH282" s="112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  <c r="AU283" s="112" t="n"/>
      <c r="AV283" s="112" t="n"/>
      <c r="AW283" s="112" t="n"/>
      <c r="AX283" s="112" t="n"/>
      <c r="AY283" s="112" t="n"/>
      <c r="AZ283" s="112" t="n"/>
      <c r="BA283" s="112" t="n"/>
      <c r="BB283" s="112" t="n"/>
      <c r="BC283" s="112" t="n"/>
      <c r="BD283" s="112" t="n"/>
      <c r="BE283" s="112" t="n"/>
      <c r="BF283" s="112" t="n"/>
      <c r="BG283" s="112" t="n"/>
      <c r="BH283" s="112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  <c r="AU284" s="112" t="n"/>
      <c r="AV284" s="112" t="n"/>
      <c r="AW284" s="112" t="n"/>
      <c r="AX284" s="112" t="n"/>
      <c r="AY284" s="112" t="n"/>
      <c r="AZ284" s="112" t="n"/>
      <c r="BA284" s="112" t="n"/>
      <c r="BB284" s="112" t="n"/>
      <c r="BC284" s="112" t="n"/>
      <c r="BD284" s="112" t="n"/>
      <c r="BE284" s="112" t="n"/>
      <c r="BF284" s="112" t="n"/>
      <c r="BG284" s="112" t="n"/>
      <c r="BH284" s="112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  <c r="AU285" s="112" t="n"/>
      <c r="AV285" s="112" t="n"/>
      <c r="AW285" s="112" t="n"/>
      <c r="AX285" s="112" t="n"/>
      <c r="AY285" s="112" t="n"/>
      <c r="AZ285" s="112" t="n"/>
      <c r="BA285" s="112" t="n"/>
      <c r="BB285" s="112" t="n"/>
      <c r="BC285" s="112" t="n"/>
      <c r="BD285" s="112" t="n"/>
      <c r="BE285" s="112" t="n"/>
      <c r="BF285" s="112" t="n"/>
      <c r="BG285" s="112" t="n"/>
      <c r="BH285" s="112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  <c r="AU286" s="112" t="n"/>
      <c r="AV286" s="112" t="n"/>
      <c r="AW286" s="112" t="n"/>
      <c r="AX286" s="112" t="n"/>
      <c r="AY286" s="112" t="n"/>
      <c r="AZ286" s="112" t="n"/>
      <c r="BA286" s="112" t="n"/>
      <c r="BB286" s="112" t="n"/>
      <c r="BC286" s="112" t="n"/>
      <c r="BD286" s="112" t="n"/>
      <c r="BE286" s="112" t="n"/>
      <c r="BF286" s="112" t="n"/>
      <c r="BG286" s="112" t="n"/>
      <c r="BH286" s="112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  <c r="AU287" s="112" t="n"/>
      <c r="AV287" s="112" t="n"/>
      <c r="AW287" s="112" t="n"/>
      <c r="AX287" s="112" t="n"/>
      <c r="AY287" s="112" t="n"/>
      <c r="AZ287" s="112" t="n"/>
      <c r="BA287" s="112" t="n"/>
      <c r="BB287" s="112" t="n"/>
      <c r="BC287" s="112" t="n"/>
      <c r="BD287" s="112" t="n"/>
      <c r="BE287" s="112" t="n"/>
      <c r="BF287" s="112" t="n"/>
      <c r="BG287" s="112" t="n"/>
      <c r="BH287" s="112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  <c r="AU288" s="112" t="n"/>
      <c r="AV288" s="112" t="n"/>
      <c r="AW288" s="112" t="n"/>
      <c r="AX288" s="112" t="n"/>
      <c r="AY288" s="112" t="n"/>
      <c r="AZ288" s="112" t="n"/>
      <c r="BA288" s="112" t="n"/>
      <c r="BB288" s="112" t="n"/>
      <c r="BC288" s="112" t="n"/>
      <c r="BD288" s="112" t="n"/>
      <c r="BE288" s="112" t="n"/>
      <c r="BF288" s="112" t="n"/>
      <c r="BG288" s="112" t="n"/>
      <c r="BH288" s="112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  <c r="AU289" s="112" t="n"/>
      <c r="AV289" s="112" t="n"/>
      <c r="AW289" s="112" t="n"/>
      <c r="AX289" s="112" t="n"/>
      <c r="AY289" s="112" t="n"/>
      <c r="AZ289" s="112" t="n"/>
      <c r="BA289" s="112" t="n"/>
      <c r="BB289" s="112" t="n"/>
      <c r="BC289" s="112" t="n"/>
      <c r="BD289" s="112" t="n"/>
      <c r="BE289" s="112" t="n"/>
      <c r="BF289" s="112" t="n"/>
      <c r="BG289" s="112" t="n"/>
      <c r="BH289" s="112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  <c r="AU290" s="112" t="n"/>
      <c r="AV290" s="112" t="n"/>
      <c r="AW290" s="112" t="n"/>
      <c r="AX290" s="112" t="n"/>
      <c r="AY290" s="112" t="n"/>
      <c r="AZ290" s="112" t="n"/>
      <c r="BA290" s="112" t="n"/>
      <c r="BB290" s="112" t="n"/>
      <c r="BC290" s="112" t="n"/>
      <c r="BD290" s="112" t="n"/>
      <c r="BE290" s="112" t="n"/>
      <c r="BF290" s="112" t="n"/>
      <c r="BG290" s="112" t="n"/>
      <c r="BH290" s="112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  <c r="AU291" s="112" t="n"/>
      <c r="AV291" s="112" t="n"/>
      <c r="AW291" s="112" t="n"/>
      <c r="AX291" s="112" t="n"/>
      <c r="AY291" s="112" t="n"/>
      <c r="AZ291" s="112" t="n"/>
      <c r="BA291" s="112" t="n"/>
      <c r="BB291" s="112" t="n"/>
      <c r="BC291" s="112" t="n"/>
      <c r="BD291" s="112" t="n"/>
      <c r="BE291" s="112" t="n"/>
      <c r="BF291" s="112" t="n"/>
      <c r="BG291" s="112" t="n"/>
      <c r="BH291" s="112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  <c r="AU292" s="112" t="n"/>
      <c r="AV292" s="112" t="n"/>
      <c r="AW292" s="112" t="n"/>
      <c r="AX292" s="112" t="n"/>
      <c r="AY292" s="112" t="n"/>
      <c r="AZ292" s="112" t="n"/>
      <c r="BA292" s="112" t="n"/>
      <c r="BB292" s="112" t="n"/>
      <c r="BC292" s="112" t="n"/>
      <c r="BD292" s="112" t="n"/>
      <c r="BE292" s="112" t="n"/>
      <c r="BF292" s="112" t="n"/>
      <c r="BG292" s="112" t="n"/>
      <c r="BH292" s="112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  <c r="AU293" s="112" t="n"/>
      <c r="AV293" s="112" t="n"/>
      <c r="AW293" s="112" t="n"/>
      <c r="AX293" s="112" t="n"/>
      <c r="AY293" s="112" t="n"/>
      <c r="AZ293" s="112" t="n"/>
      <c r="BA293" s="112" t="n"/>
      <c r="BB293" s="112" t="n"/>
      <c r="BC293" s="112" t="n"/>
      <c r="BD293" s="112" t="n"/>
      <c r="BE293" s="112" t="n"/>
      <c r="BF293" s="112" t="n"/>
      <c r="BG293" s="112" t="n"/>
      <c r="BH293" s="112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  <c r="AU294" s="112" t="n"/>
      <c r="AV294" s="112" t="n"/>
      <c r="AW294" s="112" t="n"/>
      <c r="AX294" s="112" t="n"/>
      <c r="AY294" s="112" t="n"/>
      <c r="AZ294" s="112" t="n"/>
      <c r="BA294" s="112" t="n"/>
      <c r="BB294" s="112" t="n"/>
      <c r="BC294" s="112" t="n"/>
      <c r="BD294" s="112" t="n"/>
      <c r="BE294" s="112" t="n"/>
      <c r="BF294" s="112" t="n"/>
      <c r="BG294" s="112" t="n"/>
      <c r="BH294" s="112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  <c r="AU295" s="112" t="n"/>
      <c r="AV295" s="112" t="n"/>
      <c r="AW295" s="112" t="n"/>
      <c r="AX295" s="112" t="n"/>
      <c r="AY295" s="112" t="n"/>
      <c r="AZ295" s="112" t="n"/>
      <c r="BA295" s="112" t="n"/>
      <c r="BB295" s="112" t="n"/>
      <c r="BC295" s="112" t="n"/>
      <c r="BD295" s="112" t="n"/>
      <c r="BE295" s="112" t="n"/>
      <c r="BF295" s="112" t="n"/>
      <c r="BG295" s="112" t="n"/>
      <c r="BH295" s="112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  <c r="AU296" s="112" t="n"/>
      <c r="AV296" s="112" t="n"/>
      <c r="AW296" s="112" t="n"/>
      <c r="AX296" s="112" t="n"/>
      <c r="AY296" s="112" t="n"/>
      <c r="AZ296" s="112" t="n"/>
      <c r="BA296" s="112" t="n"/>
      <c r="BB296" s="112" t="n"/>
      <c r="BC296" s="112" t="n"/>
      <c r="BD296" s="112" t="n"/>
      <c r="BE296" s="112" t="n"/>
      <c r="BF296" s="112" t="n"/>
      <c r="BG296" s="112" t="n"/>
      <c r="BH296" s="112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  <c r="AU297" s="112" t="n"/>
      <c r="AV297" s="112" t="n"/>
      <c r="AW297" s="112" t="n"/>
      <c r="AX297" s="112" t="n"/>
      <c r="AY297" s="112" t="n"/>
      <c r="AZ297" s="112" t="n"/>
      <c r="BA297" s="112" t="n"/>
      <c r="BB297" s="112" t="n"/>
      <c r="BC297" s="112" t="n"/>
      <c r="BD297" s="112" t="n"/>
      <c r="BE297" s="112" t="n"/>
      <c r="BF297" s="112" t="n"/>
      <c r="BG297" s="112" t="n"/>
      <c r="BH297" s="112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  <c r="AU298" s="112" t="n"/>
      <c r="AV298" s="112" t="n"/>
      <c r="AW298" s="112" t="n"/>
      <c r="AX298" s="112" t="n"/>
      <c r="AY298" s="112" t="n"/>
      <c r="AZ298" s="112" t="n"/>
      <c r="BA298" s="112" t="n"/>
      <c r="BB298" s="112" t="n"/>
      <c r="BC298" s="112" t="n"/>
      <c r="BD298" s="112" t="n"/>
      <c r="BE298" s="112" t="n"/>
      <c r="BF298" s="112" t="n"/>
      <c r="BG298" s="112" t="n"/>
      <c r="BH298" s="112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  <c r="AU299" s="112" t="n"/>
      <c r="AV299" s="112" t="n"/>
      <c r="AW299" s="112" t="n"/>
      <c r="AX299" s="112" t="n"/>
      <c r="AY299" s="112" t="n"/>
      <c r="AZ299" s="112" t="n"/>
      <c r="BA299" s="112" t="n"/>
      <c r="BB299" s="112" t="n"/>
      <c r="BC299" s="112" t="n"/>
      <c r="BD299" s="112" t="n"/>
      <c r="BE299" s="112" t="n"/>
      <c r="BF299" s="112" t="n"/>
      <c r="BG299" s="112" t="n"/>
      <c r="BH299" s="112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  <c r="AU300" s="112" t="n"/>
      <c r="AV300" s="112" t="n"/>
      <c r="AW300" s="112" t="n"/>
      <c r="AX300" s="112" t="n"/>
      <c r="AY300" s="112" t="n"/>
      <c r="AZ300" s="112" t="n"/>
      <c r="BA300" s="112" t="n"/>
      <c r="BB300" s="112" t="n"/>
      <c r="BC300" s="112" t="n"/>
      <c r="BD300" s="112" t="n"/>
      <c r="BE300" s="112" t="n"/>
      <c r="BF300" s="112" t="n"/>
      <c r="BG300" s="112" t="n"/>
      <c r="BH300" s="112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10" customWidth="1" min="5" max="5"/>
    <col width="12" customWidth="1" min="6" max="6"/>
    <col width="22" customWidth="1" min="7" max="7"/>
    <col width="10" customWidth="1" min="8" max="8"/>
    <col width="10" customWidth="1" min="9" max="9"/>
    <col width="10" customWidth="1" min="10" max="10"/>
    <col width="14" customWidth="1" min="11" max="11"/>
    <col width="40" customWidth="1" min="12" max="12"/>
    <col width="10" customWidth="1" min="13" max="13"/>
    <col width="10" customWidth="1" min="14" max="14"/>
    <col width="40" customWidth="1" min="15" max="15"/>
    <col width="10" customWidth="1" min="16" max="16"/>
    <col width="22" customWidth="1" min="17" max="17"/>
    <col width="12" customWidth="1" min="18" max="18"/>
    <col width="22" customWidth="1" min="19" max="19"/>
    <col width="10" customWidth="1" min="20" max="20"/>
  </cols>
  <sheetData>
    <row r="1">
      <c r="A1" s="141" t="inlineStr">
        <is>
          <t>Claim Versions (append-only history)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version_id</t>
        </is>
      </c>
      <c r="B3" s="149" t="inlineStr">
        <is>
          <t>claim_id</t>
        </is>
      </c>
      <c r="C3" s="149" t="inlineStr">
        <is>
          <t>entity_id</t>
        </is>
      </c>
      <c r="D3" s="149" t="inlineStr">
        <is>
          <t>field_key</t>
        </is>
      </c>
      <c r="E3" s="149" t="inlineStr">
        <is>
          <t>value_type</t>
        </is>
      </c>
      <c r="F3" s="149" t="inlineStr">
        <is>
          <t>value_num</t>
        </is>
      </c>
      <c r="G3" s="149" t="inlineStr">
        <is>
          <t>value_text</t>
        </is>
      </c>
      <c r="H3" s="149" t="inlineStr">
        <is>
          <t>value_bool</t>
        </is>
      </c>
      <c r="I3" s="149" t="inlineStr">
        <is>
          <t>confidence</t>
        </is>
      </c>
      <c r="J3" s="149" t="inlineStr">
        <is>
          <t>source_tier</t>
        </is>
      </c>
      <c r="K3" s="149" t="inlineStr">
        <is>
          <t>evidence_id</t>
        </is>
      </c>
      <c r="L3" s="149" t="inlineStr">
        <is>
          <t>evidence_url</t>
        </is>
      </c>
      <c r="M3" s="149" t="inlineStr">
        <is>
          <t>span_start</t>
        </is>
      </c>
      <c r="N3" s="149" t="inlineStr">
        <is>
          <t>span_end</t>
        </is>
      </c>
      <c r="O3" s="149" t="inlineStr">
        <is>
          <t>snippet</t>
        </is>
      </c>
      <c r="P3" s="149" t="inlineStr">
        <is>
          <t>segment_id</t>
        </is>
      </c>
      <c r="Q3" s="149" t="inlineStr">
        <is>
          <t>created_at_utc</t>
        </is>
      </c>
      <c r="R3" s="149" t="inlineStr">
        <is>
          <t>created_by</t>
        </is>
      </c>
      <c r="S3" s="149" t="inlineStr">
        <is>
          <t>reason</t>
        </is>
      </c>
      <c r="T3" s="149" t="inlineStr">
        <is>
          <t>status</t>
        </is>
      </c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version_id</t>
        </is>
      </c>
      <c r="B4" s="149" t="inlineStr">
        <is>
          <t>claim_id</t>
        </is>
      </c>
      <c r="C4" s="149" t="inlineStr">
        <is>
          <t>entity_id</t>
        </is>
      </c>
      <c r="D4" s="149" t="inlineStr">
        <is>
          <t>field_key</t>
        </is>
      </c>
      <c r="E4" s="149" t="inlineStr">
        <is>
          <t>value_type</t>
        </is>
      </c>
      <c r="F4" s="149" t="inlineStr">
        <is>
          <t>value_num</t>
        </is>
      </c>
      <c r="G4" s="149" t="inlineStr">
        <is>
          <t>value_text</t>
        </is>
      </c>
      <c r="H4" s="149" t="inlineStr">
        <is>
          <t>value_bool</t>
        </is>
      </c>
      <c r="I4" s="149" t="inlineStr">
        <is>
          <t>confidence</t>
        </is>
      </c>
      <c r="J4" s="149" t="inlineStr">
        <is>
          <t>tier</t>
        </is>
      </c>
      <c r="K4" s="149" t="inlineStr">
        <is>
          <t>evidence_id</t>
        </is>
      </c>
      <c r="L4" s="149" t="inlineStr">
        <is>
          <t>evidence_url</t>
        </is>
      </c>
      <c r="M4" s="149" t="inlineStr">
        <is>
          <t>span_start</t>
        </is>
      </c>
      <c r="N4" s="149" t="inlineStr">
        <is>
          <t>span_end</t>
        </is>
      </c>
      <c r="O4" s="149" t="inlineStr">
        <is>
          <t>snippet</t>
        </is>
      </c>
      <c r="P4" s="149" t="inlineStr">
        <is>
          <t>segment_id</t>
        </is>
      </c>
      <c r="Q4" s="149" t="inlineStr">
        <is>
          <t>created_at_utc</t>
        </is>
      </c>
      <c r="R4" s="149" t="inlineStr">
        <is>
          <t>created_by</t>
        </is>
      </c>
      <c r="S4" s="149" t="inlineStr">
        <is>
          <t>reason</t>
        </is>
      </c>
      <c r="T4" s="149" t="inlineStr">
        <is>
          <t>status</t>
        </is>
      </c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43" t="inlineStr"/>
      <c r="M5" s="143" t="inlineStr"/>
      <c r="N5" s="143" t="inlineStr"/>
      <c r="O5" s="143" t="inlineStr"/>
      <c r="P5" s="143" t="inlineStr"/>
      <c r="Q5" s="143" t="inlineStr"/>
      <c r="R5" s="143" t="inlineStr"/>
      <c r="S5" s="143" t="inlineStr"/>
      <c r="T5" s="143" t="inlineStr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43" t="inlineStr"/>
      <c r="M6" s="143" t="inlineStr"/>
      <c r="N6" s="143" t="inlineStr"/>
      <c r="O6" s="143" t="inlineStr"/>
      <c r="P6" s="143" t="inlineStr"/>
      <c r="Q6" s="143" t="inlineStr"/>
      <c r="R6" s="143" t="inlineStr"/>
      <c r="S6" s="143" t="inlineStr"/>
      <c r="T6" s="143" t="inlineStr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43" t="inlineStr"/>
      <c r="M7" s="143" t="inlineStr"/>
      <c r="N7" s="143" t="inlineStr"/>
      <c r="O7" s="143" t="inlineStr"/>
      <c r="P7" s="143" t="inlineStr"/>
      <c r="Q7" s="143" t="inlineStr"/>
      <c r="R7" s="143" t="inlineStr"/>
      <c r="S7" s="143" t="inlineStr"/>
      <c r="T7" s="143" t="inlineStr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43" t="inlineStr"/>
      <c r="M8" s="143" t="inlineStr"/>
      <c r="N8" s="143" t="inlineStr"/>
      <c r="O8" s="143" t="inlineStr"/>
      <c r="P8" s="143" t="inlineStr"/>
      <c r="Q8" s="143" t="inlineStr"/>
      <c r="R8" s="143" t="inlineStr"/>
      <c r="S8" s="143" t="inlineStr"/>
      <c r="T8" s="143" t="inlineStr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43" t="inlineStr"/>
      <c r="M9" s="143" t="inlineStr"/>
      <c r="N9" s="143" t="inlineStr"/>
      <c r="O9" s="143" t="inlineStr"/>
      <c r="P9" s="143" t="inlineStr"/>
      <c r="Q9" s="143" t="inlineStr"/>
      <c r="R9" s="143" t="inlineStr"/>
      <c r="S9" s="143" t="inlineStr"/>
      <c r="T9" s="143" t="inlineStr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43" t="inlineStr"/>
      <c r="M10" s="143" t="inlineStr"/>
      <c r="N10" s="143" t="inlineStr"/>
      <c r="O10" s="143" t="inlineStr"/>
      <c r="P10" s="143" t="inlineStr"/>
      <c r="Q10" s="143" t="inlineStr"/>
      <c r="R10" s="143" t="inlineStr"/>
      <c r="S10" s="143" t="inlineStr"/>
      <c r="T10" s="143" t="inlineStr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43" t="inlineStr"/>
      <c r="M11" s="143" t="inlineStr"/>
      <c r="N11" s="143" t="inlineStr"/>
      <c r="O11" s="143" t="inlineStr"/>
      <c r="P11" s="143" t="inlineStr"/>
      <c r="Q11" s="143" t="inlineStr"/>
      <c r="R11" s="143" t="inlineStr"/>
      <c r="S11" s="143" t="inlineStr"/>
      <c r="T11" s="143" t="inlineStr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43" t="inlineStr"/>
      <c r="M12" s="143" t="inlineStr"/>
      <c r="N12" s="143" t="inlineStr"/>
      <c r="O12" s="143" t="inlineStr"/>
      <c r="P12" s="143" t="inlineStr"/>
      <c r="Q12" s="143" t="inlineStr"/>
      <c r="R12" s="143" t="inlineStr"/>
      <c r="S12" s="143" t="inlineStr"/>
      <c r="T12" s="143" t="inlineStr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43" t="inlineStr"/>
      <c r="M13" s="143" t="inlineStr"/>
      <c r="N13" s="143" t="inlineStr"/>
      <c r="O13" s="143" t="inlineStr"/>
      <c r="P13" s="143" t="inlineStr"/>
      <c r="Q13" s="143" t="inlineStr"/>
      <c r="R13" s="143" t="inlineStr"/>
      <c r="S13" s="143" t="inlineStr"/>
      <c r="T13" s="143" t="inlineStr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43" t="inlineStr"/>
      <c r="M14" s="143" t="inlineStr"/>
      <c r="N14" s="143" t="inlineStr"/>
      <c r="O14" s="143" t="inlineStr"/>
      <c r="P14" s="143" t="inlineStr"/>
      <c r="Q14" s="143" t="inlineStr"/>
      <c r="R14" s="143" t="inlineStr"/>
      <c r="S14" s="143" t="inlineStr"/>
      <c r="T14" s="143" t="inlineStr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43" t="inlineStr"/>
      <c r="M15" s="143" t="inlineStr"/>
      <c r="N15" s="143" t="inlineStr"/>
      <c r="O15" s="143" t="inlineStr"/>
      <c r="P15" s="143" t="inlineStr"/>
      <c r="Q15" s="143" t="inlineStr"/>
      <c r="R15" s="143" t="inlineStr"/>
      <c r="S15" s="143" t="inlineStr"/>
      <c r="T15" s="143" t="inlineStr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43" t="inlineStr"/>
      <c r="M16" s="143" t="inlineStr"/>
      <c r="N16" s="143" t="inlineStr"/>
      <c r="O16" s="143" t="inlineStr"/>
      <c r="P16" s="143" t="inlineStr"/>
      <c r="Q16" s="143" t="inlineStr"/>
      <c r="R16" s="143" t="inlineStr"/>
      <c r="S16" s="143" t="inlineStr"/>
      <c r="T16" s="143" t="inlineStr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43" t="inlineStr"/>
      <c r="M17" s="143" t="inlineStr"/>
      <c r="N17" s="143" t="inlineStr"/>
      <c r="O17" s="143" t="inlineStr"/>
      <c r="P17" s="143" t="inlineStr"/>
      <c r="Q17" s="143" t="inlineStr"/>
      <c r="R17" s="143" t="inlineStr"/>
      <c r="S17" s="143" t="inlineStr"/>
      <c r="T17" s="143" t="inlineStr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43" t="inlineStr"/>
      <c r="M18" s="143" t="inlineStr"/>
      <c r="N18" s="143" t="inlineStr"/>
      <c r="O18" s="143" t="inlineStr"/>
      <c r="P18" s="143" t="inlineStr"/>
      <c r="Q18" s="143" t="inlineStr"/>
      <c r="R18" s="143" t="inlineStr"/>
      <c r="S18" s="143" t="inlineStr"/>
      <c r="T18" s="143" t="inlineStr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43" t="inlineStr"/>
      <c r="M19" s="143" t="inlineStr"/>
      <c r="N19" s="143" t="inlineStr"/>
      <c r="O19" s="143" t="inlineStr"/>
      <c r="P19" s="143" t="inlineStr"/>
      <c r="Q19" s="143" t="inlineStr"/>
      <c r="R19" s="143" t="inlineStr"/>
      <c r="S19" s="143" t="inlineStr"/>
      <c r="T19" s="143" t="inlineStr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43" t="inlineStr"/>
      <c r="M20" s="143" t="inlineStr"/>
      <c r="N20" s="143" t="inlineStr"/>
      <c r="O20" s="143" t="inlineStr"/>
      <c r="P20" s="143" t="inlineStr"/>
      <c r="Q20" s="143" t="inlineStr"/>
      <c r="R20" s="143" t="inlineStr"/>
      <c r="S20" s="143" t="inlineStr"/>
      <c r="T20" s="143" t="inlineStr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43" t="inlineStr"/>
      <c r="M21" s="143" t="inlineStr"/>
      <c r="N21" s="143" t="inlineStr"/>
      <c r="O21" s="143" t="inlineStr"/>
      <c r="P21" s="143" t="inlineStr"/>
      <c r="Q21" s="143" t="inlineStr"/>
      <c r="R21" s="143" t="inlineStr"/>
      <c r="S21" s="143" t="inlineStr"/>
      <c r="T21" s="143" t="inlineStr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43" t="inlineStr"/>
      <c r="M22" s="143" t="inlineStr"/>
      <c r="N22" s="143" t="inlineStr"/>
      <c r="O22" s="143" t="inlineStr"/>
      <c r="P22" s="143" t="inlineStr"/>
      <c r="Q22" s="143" t="inlineStr"/>
      <c r="R22" s="143" t="inlineStr"/>
      <c r="S22" s="143" t="inlineStr"/>
      <c r="T22" s="143" t="inlineStr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43" t="inlineStr"/>
      <c r="M23" s="143" t="inlineStr"/>
      <c r="N23" s="143" t="inlineStr"/>
      <c r="O23" s="143" t="inlineStr"/>
      <c r="P23" s="143" t="inlineStr"/>
      <c r="Q23" s="143" t="inlineStr"/>
      <c r="R23" s="143" t="inlineStr"/>
      <c r="S23" s="143" t="inlineStr"/>
      <c r="T23" s="143" t="inlineStr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43" t="inlineStr"/>
      <c r="M24" s="143" t="inlineStr"/>
      <c r="N24" s="143" t="inlineStr"/>
      <c r="O24" s="143" t="inlineStr"/>
      <c r="P24" s="143" t="inlineStr"/>
      <c r="Q24" s="143" t="inlineStr"/>
      <c r="R24" s="143" t="inlineStr"/>
      <c r="S24" s="143" t="inlineStr"/>
      <c r="T24" s="143" t="inlineStr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43" t="inlineStr"/>
      <c r="M25" s="143" t="inlineStr"/>
      <c r="N25" s="143" t="inlineStr"/>
      <c r="O25" s="143" t="inlineStr"/>
      <c r="P25" s="143" t="inlineStr"/>
      <c r="Q25" s="143" t="inlineStr"/>
      <c r="R25" s="143" t="inlineStr"/>
      <c r="S25" s="143" t="inlineStr"/>
      <c r="T25" s="143" t="inlineStr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43" t="inlineStr"/>
      <c r="M26" s="143" t="inlineStr"/>
      <c r="N26" s="143" t="inlineStr"/>
      <c r="O26" s="143" t="inlineStr"/>
      <c r="P26" s="143" t="inlineStr"/>
      <c r="Q26" s="143" t="inlineStr"/>
      <c r="R26" s="143" t="inlineStr"/>
      <c r="S26" s="143" t="inlineStr"/>
      <c r="T26" s="143" t="inlineStr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43" t="inlineStr"/>
      <c r="M27" s="143" t="inlineStr"/>
      <c r="N27" s="143" t="inlineStr"/>
      <c r="O27" s="143" t="inlineStr"/>
      <c r="P27" s="143" t="inlineStr"/>
      <c r="Q27" s="143" t="inlineStr"/>
      <c r="R27" s="143" t="inlineStr"/>
      <c r="S27" s="143" t="inlineStr"/>
      <c r="T27" s="143" t="inlineStr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43" t="inlineStr"/>
      <c r="M28" s="143" t="inlineStr"/>
      <c r="N28" s="143" t="inlineStr"/>
      <c r="O28" s="143" t="inlineStr"/>
      <c r="P28" s="143" t="inlineStr"/>
      <c r="Q28" s="143" t="inlineStr"/>
      <c r="R28" s="143" t="inlineStr"/>
      <c r="S28" s="143" t="inlineStr"/>
      <c r="T28" s="143" t="inlineStr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43" t="inlineStr"/>
      <c r="M29" s="143" t="inlineStr"/>
      <c r="N29" s="143" t="inlineStr"/>
      <c r="O29" s="143" t="inlineStr"/>
      <c r="P29" s="143" t="inlineStr"/>
      <c r="Q29" s="143" t="inlineStr"/>
      <c r="R29" s="143" t="inlineStr"/>
      <c r="S29" s="143" t="inlineStr"/>
      <c r="T29" s="143" t="inlineStr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43" t="inlineStr"/>
      <c r="M30" s="143" t="inlineStr"/>
      <c r="N30" s="143" t="inlineStr"/>
      <c r="O30" s="143" t="inlineStr"/>
      <c r="P30" s="143" t="inlineStr"/>
      <c r="Q30" s="143" t="inlineStr"/>
      <c r="R30" s="143" t="inlineStr"/>
      <c r="S30" s="143" t="inlineStr"/>
      <c r="T30" s="143" t="inlineStr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43" t="inlineStr"/>
      <c r="M31" s="143" t="inlineStr"/>
      <c r="N31" s="143" t="inlineStr"/>
      <c r="O31" s="143" t="inlineStr"/>
      <c r="P31" s="143" t="inlineStr"/>
      <c r="Q31" s="143" t="inlineStr"/>
      <c r="R31" s="143" t="inlineStr"/>
      <c r="S31" s="143" t="inlineStr"/>
      <c r="T31" s="143" t="inlineStr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43" t="inlineStr"/>
      <c r="M32" s="143" t="inlineStr"/>
      <c r="N32" s="143" t="inlineStr"/>
      <c r="O32" s="143" t="inlineStr"/>
      <c r="P32" s="143" t="inlineStr"/>
      <c r="Q32" s="143" t="inlineStr"/>
      <c r="R32" s="143" t="inlineStr"/>
      <c r="S32" s="143" t="inlineStr"/>
      <c r="T32" s="143" t="inlineStr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43" t="inlineStr"/>
      <c r="M33" s="143" t="inlineStr"/>
      <c r="N33" s="143" t="inlineStr"/>
      <c r="O33" s="143" t="inlineStr"/>
      <c r="P33" s="143" t="inlineStr"/>
      <c r="Q33" s="143" t="inlineStr"/>
      <c r="R33" s="143" t="inlineStr"/>
      <c r="S33" s="143" t="inlineStr"/>
      <c r="T33" s="143" t="inlineStr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43" t="inlineStr"/>
      <c r="M34" s="143" t="inlineStr"/>
      <c r="N34" s="143" t="inlineStr"/>
      <c r="O34" s="143" t="inlineStr"/>
      <c r="P34" s="143" t="inlineStr"/>
      <c r="Q34" s="143" t="inlineStr"/>
      <c r="R34" s="143" t="inlineStr"/>
      <c r="S34" s="143" t="inlineStr"/>
      <c r="T34" s="143" t="inlineStr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43" t="inlineStr"/>
      <c r="M35" s="143" t="inlineStr"/>
      <c r="N35" s="143" t="inlineStr"/>
      <c r="O35" s="143" t="inlineStr"/>
      <c r="P35" s="143" t="inlineStr"/>
      <c r="Q35" s="143" t="inlineStr"/>
      <c r="R35" s="143" t="inlineStr"/>
      <c r="S35" s="143" t="inlineStr"/>
      <c r="T35" s="143" t="inlineStr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43" t="inlineStr"/>
      <c r="M36" s="143" t="inlineStr"/>
      <c r="N36" s="143" t="inlineStr"/>
      <c r="O36" s="143" t="inlineStr"/>
      <c r="P36" s="143" t="inlineStr"/>
      <c r="Q36" s="143" t="inlineStr"/>
      <c r="R36" s="143" t="inlineStr"/>
      <c r="S36" s="143" t="inlineStr"/>
      <c r="T36" s="143" t="inlineStr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43" t="inlineStr"/>
      <c r="M37" s="143" t="inlineStr"/>
      <c r="N37" s="143" t="inlineStr"/>
      <c r="O37" s="143" t="inlineStr"/>
      <c r="P37" s="143" t="inlineStr"/>
      <c r="Q37" s="143" t="inlineStr"/>
      <c r="R37" s="143" t="inlineStr"/>
      <c r="S37" s="143" t="inlineStr"/>
      <c r="T37" s="143" t="inlineStr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43" t="inlineStr"/>
      <c r="M38" s="143" t="inlineStr"/>
      <c r="N38" s="143" t="inlineStr"/>
      <c r="O38" s="143" t="inlineStr"/>
      <c r="P38" s="143" t="inlineStr"/>
      <c r="Q38" s="143" t="inlineStr"/>
      <c r="R38" s="143" t="inlineStr"/>
      <c r="S38" s="143" t="inlineStr"/>
      <c r="T38" s="143" t="inlineStr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43" t="inlineStr"/>
      <c r="M39" s="143" t="inlineStr"/>
      <c r="N39" s="143" t="inlineStr"/>
      <c r="O39" s="143" t="inlineStr"/>
      <c r="P39" s="143" t="inlineStr"/>
      <c r="Q39" s="143" t="inlineStr"/>
      <c r="R39" s="143" t="inlineStr"/>
      <c r="S39" s="143" t="inlineStr"/>
      <c r="T39" s="143" t="inlineStr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43" t="inlineStr"/>
      <c r="M40" s="143" t="inlineStr"/>
      <c r="N40" s="143" t="inlineStr"/>
      <c r="O40" s="143" t="inlineStr"/>
      <c r="P40" s="143" t="inlineStr"/>
      <c r="Q40" s="143" t="inlineStr"/>
      <c r="R40" s="143" t="inlineStr"/>
      <c r="S40" s="143" t="inlineStr"/>
      <c r="T40" s="143" t="inlineStr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43" t="inlineStr"/>
      <c r="M41" s="143" t="inlineStr"/>
      <c r="N41" s="143" t="inlineStr"/>
      <c r="O41" s="143" t="inlineStr"/>
      <c r="P41" s="143" t="inlineStr"/>
      <c r="Q41" s="143" t="inlineStr"/>
      <c r="R41" s="143" t="inlineStr"/>
      <c r="S41" s="143" t="inlineStr"/>
      <c r="T41" s="143" t="inlineStr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43" t="inlineStr"/>
      <c r="M42" s="143" t="inlineStr"/>
      <c r="N42" s="143" t="inlineStr"/>
      <c r="O42" s="143" t="inlineStr"/>
      <c r="P42" s="143" t="inlineStr"/>
      <c r="Q42" s="143" t="inlineStr"/>
      <c r="R42" s="143" t="inlineStr"/>
      <c r="S42" s="143" t="inlineStr"/>
      <c r="T42" s="143" t="inlineStr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43" t="inlineStr"/>
      <c r="M43" s="143" t="inlineStr"/>
      <c r="N43" s="143" t="inlineStr"/>
      <c r="O43" s="143" t="inlineStr"/>
      <c r="P43" s="143" t="inlineStr"/>
      <c r="Q43" s="143" t="inlineStr"/>
      <c r="R43" s="143" t="inlineStr"/>
      <c r="S43" s="143" t="inlineStr"/>
      <c r="T43" s="143" t="inlineStr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43" t="inlineStr"/>
      <c r="M44" s="143" t="inlineStr"/>
      <c r="N44" s="143" t="inlineStr"/>
      <c r="O44" s="143" t="inlineStr"/>
      <c r="P44" s="143" t="inlineStr"/>
      <c r="Q44" s="143" t="inlineStr"/>
      <c r="R44" s="143" t="inlineStr"/>
      <c r="S44" s="143" t="inlineStr"/>
      <c r="T44" s="143" t="inlineStr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43" t="inlineStr"/>
      <c r="M45" s="143" t="inlineStr"/>
      <c r="N45" s="143" t="inlineStr"/>
      <c r="O45" s="143" t="inlineStr"/>
      <c r="P45" s="143" t="inlineStr"/>
      <c r="Q45" s="143" t="inlineStr"/>
      <c r="R45" s="143" t="inlineStr"/>
      <c r="S45" s="143" t="inlineStr"/>
      <c r="T45" s="143" t="inlineStr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43" t="inlineStr"/>
      <c r="M46" s="143" t="inlineStr"/>
      <c r="N46" s="143" t="inlineStr"/>
      <c r="O46" s="143" t="inlineStr"/>
      <c r="P46" s="143" t="inlineStr"/>
      <c r="Q46" s="143" t="inlineStr"/>
      <c r="R46" s="143" t="inlineStr"/>
      <c r="S46" s="143" t="inlineStr"/>
      <c r="T46" s="143" t="inlineStr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43" t="inlineStr"/>
      <c r="M47" s="143" t="inlineStr"/>
      <c r="N47" s="143" t="inlineStr"/>
      <c r="O47" s="143" t="inlineStr"/>
      <c r="P47" s="143" t="inlineStr"/>
      <c r="Q47" s="143" t="inlineStr"/>
      <c r="R47" s="143" t="inlineStr"/>
      <c r="S47" s="143" t="inlineStr"/>
      <c r="T47" s="143" t="inlineStr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43" t="inlineStr"/>
      <c r="M48" s="143" t="inlineStr"/>
      <c r="N48" s="143" t="inlineStr"/>
      <c r="O48" s="143" t="inlineStr"/>
      <c r="P48" s="143" t="inlineStr"/>
      <c r="Q48" s="143" t="inlineStr"/>
      <c r="R48" s="143" t="inlineStr"/>
      <c r="S48" s="143" t="inlineStr"/>
      <c r="T48" s="143" t="inlineStr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43" t="inlineStr"/>
      <c r="M49" s="143" t="inlineStr"/>
      <c r="N49" s="143" t="inlineStr"/>
      <c r="O49" s="143" t="inlineStr"/>
      <c r="P49" s="143" t="inlineStr"/>
      <c r="Q49" s="143" t="inlineStr"/>
      <c r="R49" s="143" t="inlineStr"/>
      <c r="S49" s="143" t="inlineStr"/>
      <c r="T49" s="143" t="inlineStr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43" t="inlineStr"/>
      <c r="M50" s="143" t="inlineStr"/>
      <c r="N50" s="143" t="inlineStr"/>
      <c r="O50" s="143" t="inlineStr"/>
      <c r="P50" s="143" t="inlineStr"/>
      <c r="Q50" s="143" t="inlineStr"/>
      <c r="R50" s="143" t="inlineStr"/>
      <c r="S50" s="143" t="inlineStr"/>
      <c r="T50" s="143" t="inlineStr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43" t="inlineStr"/>
      <c r="M51" s="143" t="inlineStr"/>
      <c r="N51" s="143" t="inlineStr"/>
      <c r="O51" s="143" t="inlineStr"/>
      <c r="P51" s="143" t="inlineStr"/>
      <c r="Q51" s="143" t="inlineStr"/>
      <c r="R51" s="143" t="inlineStr"/>
      <c r="S51" s="143" t="inlineStr"/>
      <c r="T51" s="143" t="inlineStr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43" t="inlineStr"/>
      <c r="M52" s="143" t="inlineStr"/>
      <c r="N52" s="143" t="inlineStr"/>
      <c r="O52" s="143" t="inlineStr"/>
      <c r="P52" s="143" t="inlineStr"/>
      <c r="Q52" s="143" t="inlineStr"/>
      <c r="R52" s="143" t="inlineStr"/>
      <c r="S52" s="143" t="inlineStr"/>
      <c r="T52" s="143" t="inlineStr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43" t="inlineStr"/>
      <c r="M53" s="143" t="inlineStr"/>
      <c r="N53" s="143" t="inlineStr"/>
      <c r="O53" s="143" t="inlineStr"/>
      <c r="P53" s="143" t="inlineStr"/>
      <c r="Q53" s="143" t="inlineStr"/>
      <c r="R53" s="143" t="inlineStr"/>
      <c r="S53" s="143" t="inlineStr"/>
      <c r="T53" s="143" t="inlineStr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43" t="inlineStr"/>
      <c r="M54" s="143" t="inlineStr"/>
      <c r="N54" s="143" t="inlineStr"/>
      <c r="O54" s="143" t="inlineStr"/>
      <c r="P54" s="143" t="inlineStr"/>
      <c r="Q54" s="143" t="inlineStr"/>
      <c r="R54" s="143" t="inlineStr"/>
      <c r="S54" s="143" t="inlineStr"/>
      <c r="T54" s="143" t="inlineStr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43" t="inlineStr"/>
      <c r="M55" s="143" t="inlineStr"/>
      <c r="N55" s="143" t="inlineStr"/>
      <c r="O55" s="143" t="inlineStr"/>
      <c r="P55" s="143" t="inlineStr"/>
      <c r="Q55" s="143" t="inlineStr"/>
      <c r="R55" s="143" t="inlineStr"/>
      <c r="S55" s="143" t="inlineStr"/>
      <c r="T55" s="143" t="inlineStr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43" t="inlineStr"/>
      <c r="M56" s="143" t="inlineStr"/>
      <c r="N56" s="143" t="inlineStr"/>
      <c r="O56" s="143" t="inlineStr"/>
      <c r="P56" s="143" t="inlineStr"/>
      <c r="Q56" s="143" t="inlineStr"/>
      <c r="R56" s="143" t="inlineStr"/>
      <c r="S56" s="143" t="inlineStr"/>
      <c r="T56" s="143" t="inlineStr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43" t="inlineStr"/>
      <c r="M57" s="143" t="inlineStr"/>
      <c r="N57" s="143" t="inlineStr"/>
      <c r="O57" s="143" t="inlineStr"/>
      <c r="P57" s="143" t="inlineStr"/>
      <c r="Q57" s="143" t="inlineStr"/>
      <c r="R57" s="143" t="inlineStr"/>
      <c r="S57" s="143" t="inlineStr"/>
      <c r="T57" s="143" t="inlineStr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43" t="inlineStr"/>
      <c r="M58" s="143" t="inlineStr"/>
      <c r="N58" s="143" t="inlineStr"/>
      <c r="O58" s="143" t="inlineStr"/>
      <c r="P58" s="143" t="inlineStr"/>
      <c r="Q58" s="143" t="inlineStr"/>
      <c r="R58" s="143" t="inlineStr"/>
      <c r="S58" s="143" t="inlineStr"/>
      <c r="T58" s="143" t="inlineStr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43" t="inlineStr"/>
      <c r="M59" s="143" t="inlineStr"/>
      <c r="N59" s="143" t="inlineStr"/>
      <c r="O59" s="143" t="inlineStr"/>
      <c r="P59" s="143" t="inlineStr"/>
      <c r="Q59" s="143" t="inlineStr"/>
      <c r="R59" s="143" t="inlineStr"/>
      <c r="S59" s="143" t="inlineStr"/>
      <c r="T59" s="143" t="inlineStr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43" t="inlineStr"/>
      <c r="M60" s="143" t="inlineStr"/>
      <c r="N60" s="143" t="inlineStr"/>
      <c r="O60" s="143" t="inlineStr"/>
      <c r="P60" s="143" t="inlineStr"/>
      <c r="Q60" s="143" t="inlineStr"/>
      <c r="R60" s="143" t="inlineStr"/>
      <c r="S60" s="143" t="inlineStr"/>
      <c r="T60" s="143" t="inlineStr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43" t="inlineStr"/>
      <c r="M61" s="143" t="inlineStr"/>
      <c r="N61" s="143" t="inlineStr"/>
      <c r="O61" s="143" t="inlineStr"/>
      <c r="P61" s="143" t="inlineStr"/>
      <c r="Q61" s="143" t="inlineStr"/>
      <c r="R61" s="143" t="inlineStr"/>
      <c r="S61" s="143" t="inlineStr"/>
      <c r="T61" s="143" t="inlineStr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43" t="inlineStr"/>
      <c r="M62" s="143" t="inlineStr"/>
      <c r="N62" s="143" t="inlineStr"/>
      <c r="O62" s="143" t="inlineStr"/>
      <c r="P62" s="143" t="inlineStr"/>
      <c r="Q62" s="143" t="inlineStr"/>
      <c r="R62" s="143" t="inlineStr"/>
      <c r="S62" s="143" t="inlineStr"/>
      <c r="T62" s="143" t="inlineStr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43" t="inlineStr"/>
      <c r="M63" s="143" t="inlineStr"/>
      <c r="N63" s="143" t="inlineStr"/>
      <c r="O63" s="143" t="inlineStr"/>
      <c r="P63" s="143" t="inlineStr"/>
      <c r="Q63" s="143" t="inlineStr"/>
      <c r="R63" s="143" t="inlineStr"/>
      <c r="S63" s="143" t="inlineStr"/>
      <c r="T63" s="143" t="inlineStr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43" t="inlineStr"/>
      <c r="M64" s="143" t="inlineStr"/>
      <c r="N64" s="143" t="inlineStr"/>
      <c r="O64" s="143" t="inlineStr"/>
      <c r="P64" s="143" t="inlineStr"/>
      <c r="Q64" s="143" t="inlineStr"/>
      <c r="R64" s="143" t="inlineStr"/>
      <c r="S64" s="143" t="inlineStr"/>
      <c r="T64" s="143" t="inlineStr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43" t="inlineStr"/>
      <c r="M65" s="143" t="inlineStr"/>
      <c r="N65" s="143" t="inlineStr"/>
      <c r="O65" s="143" t="inlineStr"/>
      <c r="P65" s="143" t="inlineStr"/>
      <c r="Q65" s="143" t="inlineStr"/>
      <c r="R65" s="143" t="inlineStr"/>
      <c r="S65" s="143" t="inlineStr"/>
      <c r="T65" s="143" t="inlineStr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43" t="inlineStr"/>
      <c r="M66" s="143" t="inlineStr"/>
      <c r="N66" s="143" t="inlineStr"/>
      <c r="O66" s="143" t="inlineStr"/>
      <c r="P66" s="143" t="inlineStr"/>
      <c r="Q66" s="143" t="inlineStr"/>
      <c r="R66" s="143" t="inlineStr"/>
      <c r="S66" s="143" t="inlineStr"/>
      <c r="T66" s="143" t="inlineStr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43" t="inlineStr"/>
      <c r="M67" s="143" t="inlineStr"/>
      <c r="N67" s="143" t="inlineStr"/>
      <c r="O67" s="143" t="inlineStr"/>
      <c r="P67" s="143" t="inlineStr"/>
      <c r="Q67" s="143" t="inlineStr"/>
      <c r="R67" s="143" t="inlineStr"/>
      <c r="S67" s="143" t="inlineStr"/>
      <c r="T67" s="143" t="inlineStr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43" t="inlineStr"/>
      <c r="M68" s="143" t="inlineStr"/>
      <c r="N68" s="143" t="inlineStr"/>
      <c r="O68" s="143" t="inlineStr"/>
      <c r="P68" s="143" t="inlineStr"/>
      <c r="Q68" s="143" t="inlineStr"/>
      <c r="R68" s="143" t="inlineStr"/>
      <c r="S68" s="143" t="inlineStr"/>
      <c r="T68" s="143" t="inlineStr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43" t="inlineStr"/>
      <c r="M69" s="143" t="inlineStr"/>
      <c r="N69" s="143" t="inlineStr"/>
      <c r="O69" s="143" t="inlineStr"/>
      <c r="P69" s="143" t="inlineStr"/>
      <c r="Q69" s="143" t="inlineStr"/>
      <c r="R69" s="143" t="inlineStr"/>
      <c r="S69" s="143" t="inlineStr"/>
      <c r="T69" s="143" t="inlineStr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43" t="inlineStr"/>
      <c r="M70" s="143" t="inlineStr"/>
      <c r="N70" s="143" t="inlineStr"/>
      <c r="O70" s="143" t="inlineStr"/>
      <c r="P70" s="143" t="inlineStr"/>
      <c r="Q70" s="143" t="inlineStr"/>
      <c r="R70" s="143" t="inlineStr"/>
      <c r="S70" s="143" t="inlineStr"/>
      <c r="T70" s="143" t="inlineStr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43" t="inlineStr"/>
      <c r="M71" s="143" t="inlineStr"/>
      <c r="N71" s="143" t="inlineStr"/>
      <c r="O71" s="143" t="inlineStr"/>
      <c r="P71" s="143" t="inlineStr"/>
      <c r="Q71" s="143" t="inlineStr"/>
      <c r="R71" s="143" t="inlineStr"/>
      <c r="S71" s="143" t="inlineStr"/>
      <c r="T71" s="143" t="inlineStr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43" t="inlineStr"/>
      <c r="M72" s="143" t="inlineStr"/>
      <c r="N72" s="143" t="inlineStr"/>
      <c r="O72" s="143" t="inlineStr"/>
      <c r="P72" s="143" t="inlineStr"/>
      <c r="Q72" s="143" t="inlineStr"/>
      <c r="R72" s="143" t="inlineStr"/>
      <c r="S72" s="143" t="inlineStr"/>
      <c r="T72" s="143" t="inlineStr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43" t="inlineStr"/>
      <c r="M73" s="143" t="inlineStr"/>
      <c r="N73" s="143" t="inlineStr"/>
      <c r="O73" s="143" t="inlineStr"/>
      <c r="P73" s="143" t="inlineStr"/>
      <c r="Q73" s="143" t="inlineStr"/>
      <c r="R73" s="143" t="inlineStr"/>
      <c r="S73" s="143" t="inlineStr"/>
      <c r="T73" s="143" t="inlineStr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43" t="inlineStr"/>
      <c r="M74" s="143" t="inlineStr"/>
      <c r="N74" s="143" t="inlineStr"/>
      <c r="O74" s="143" t="inlineStr"/>
      <c r="P74" s="143" t="inlineStr"/>
      <c r="Q74" s="143" t="inlineStr"/>
      <c r="R74" s="143" t="inlineStr"/>
      <c r="S74" s="143" t="inlineStr"/>
      <c r="T74" s="143" t="inlineStr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43" t="inlineStr"/>
      <c r="M75" s="143" t="inlineStr"/>
      <c r="N75" s="143" t="inlineStr"/>
      <c r="O75" s="143" t="inlineStr"/>
      <c r="P75" s="143" t="inlineStr"/>
      <c r="Q75" s="143" t="inlineStr"/>
      <c r="R75" s="143" t="inlineStr"/>
      <c r="S75" s="143" t="inlineStr"/>
      <c r="T75" s="143" t="inlineStr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43" t="inlineStr"/>
      <c r="M76" s="143" t="inlineStr"/>
      <c r="N76" s="143" t="inlineStr"/>
      <c r="O76" s="143" t="inlineStr"/>
      <c r="P76" s="143" t="inlineStr"/>
      <c r="Q76" s="143" t="inlineStr"/>
      <c r="R76" s="143" t="inlineStr"/>
      <c r="S76" s="143" t="inlineStr"/>
      <c r="T76" s="143" t="inlineStr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43" t="inlineStr"/>
      <c r="M77" s="143" t="inlineStr"/>
      <c r="N77" s="143" t="inlineStr"/>
      <c r="O77" s="143" t="inlineStr"/>
      <c r="P77" s="143" t="inlineStr"/>
      <c r="Q77" s="143" t="inlineStr"/>
      <c r="R77" s="143" t="inlineStr"/>
      <c r="S77" s="143" t="inlineStr"/>
      <c r="T77" s="143" t="inlineStr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43" t="inlineStr"/>
      <c r="M78" s="143" t="inlineStr"/>
      <c r="N78" s="143" t="inlineStr"/>
      <c r="O78" s="143" t="inlineStr"/>
      <c r="P78" s="143" t="inlineStr"/>
      <c r="Q78" s="143" t="inlineStr"/>
      <c r="R78" s="143" t="inlineStr"/>
      <c r="S78" s="143" t="inlineStr"/>
      <c r="T78" s="143" t="inlineStr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43" t="inlineStr"/>
      <c r="M79" s="143" t="inlineStr"/>
      <c r="N79" s="143" t="inlineStr"/>
      <c r="O79" s="143" t="inlineStr"/>
      <c r="P79" s="143" t="inlineStr"/>
      <c r="Q79" s="143" t="inlineStr"/>
      <c r="R79" s="143" t="inlineStr"/>
      <c r="S79" s="143" t="inlineStr"/>
      <c r="T79" s="143" t="inlineStr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43" t="inlineStr"/>
      <c r="M80" s="143" t="inlineStr"/>
      <c r="N80" s="143" t="inlineStr"/>
      <c r="O80" s="143" t="inlineStr"/>
      <c r="P80" s="143" t="inlineStr"/>
      <c r="Q80" s="143" t="inlineStr"/>
      <c r="R80" s="143" t="inlineStr"/>
      <c r="S80" s="143" t="inlineStr"/>
      <c r="T80" s="143" t="inlineStr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43" t="inlineStr"/>
      <c r="M81" s="143" t="inlineStr"/>
      <c r="N81" s="143" t="inlineStr"/>
      <c r="O81" s="143" t="inlineStr"/>
      <c r="P81" s="143" t="inlineStr"/>
      <c r="Q81" s="143" t="inlineStr"/>
      <c r="R81" s="143" t="inlineStr"/>
      <c r="S81" s="143" t="inlineStr"/>
      <c r="T81" s="143" t="inlineStr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43" t="inlineStr"/>
      <c r="M82" s="143" t="inlineStr"/>
      <c r="N82" s="143" t="inlineStr"/>
      <c r="O82" s="143" t="inlineStr"/>
      <c r="P82" s="143" t="inlineStr"/>
      <c r="Q82" s="143" t="inlineStr"/>
      <c r="R82" s="143" t="inlineStr"/>
      <c r="S82" s="143" t="inlineStr"/>
      <c r="T82" s="143" t="inlineStr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43" t="inlineStr"/>
      <c r="M83" s="143" t="inlineStr"/>
      <c r="N83" s="143" t="inlineStr"/>
      <c r="O83" s="143" t="inlineStr"/>
      <c r="P83" s="143" t="inlineStr"/>
      <c r="Q83" s="143" t="inlineStr"/>
      <c r="R83" s="143" t="inlineStr"/>
      <c r="S83" s="143" t="inlineStr"/>
      <c r="T83" s="143" t="inlineStr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43" t="inlineStr"/>
      <c r="M84" s="143" t="inlineStr"/>
      <c r="N84" s="143" t="inlineStr"/>
      <c r="O84" s="143" t="inlineStr"/>
      <c r="P84" s="143" t="inlineStr"/>
      <c r="Q84" s="143" t="inlineStr"/>
      <c r="R84" s="143" t="inlineStr"/>
      <c r="S84" s="143" t="inlineStr"/>
      <c r="T84" s="143" t="inlineStr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43" t="inlineStr"/>
      <c r="M85" s="143" t="inlineStr"/>
      <c r="N85" s="143" t="inlineStr"/>
      <c r="O85" s="143" t="inlineStr"/>
      <c r="P85" s="143" t="inlineStr"/>
      <c r="Q85" s="143" t="inlineStr"/>
      <c r="R85" s="143" t="inlineStr"/>
      <c r="S85" s="143" t="inlineStr"/>
      <c r="T85" s="143" t="inlineStr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43" t="inlineStr"/>
      <c r="M86" s="143" t="inlineStr"/>
      <c r="N86" s="143" t="inlineStr"/>
      <c r="O86" s="143" t="inlineStr"/>
      <c r="P86" s="143" t="inlineStr"/>
      <c r="Q86" s="143" t="inlineStr"/>
      <c r="R86" s="143" t="inlineStr"/>
      <c r="S86" s="143" t="inlineStr"/>
      <c r="T86" s="143" t="inlineStr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43" t="inlineStr"/>
      <c r="M87" s="143" t="inlineStr"/>
      <c r="N87" s="143" t="inlineStr"/>
      <c r="O87" s="143" t="inlineStr"/>
      <c r="P87" s="143" t="inlineStr"/>
      <c r="Q87" s="143" t="inlineStr"/>
      <c r="R87" s="143" t="inlineStr"/>
      <c r="S87" s="143" t="inlineStr"/>
      <c r="T87" s="143" t="inlineStr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43" t="inlineStr"/>
      <c r="M88" s="143" t="inlineStr"/>
      <c r="N88" s="143" t="inlineStr"/>
      <c r="O88" s="143" t="inlineStr"/>
      <c r="P88" s="143" t="inlineStr"/>
      <c r="Q88" s="143" t="inlineStr"/>
      <c r="R88" s="143" t="inlineStr"/>
      <c r="S88" s="143" t="inlineStr"/>
      <c r="T88" s="143" t="inlineStr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43" t="inlineStr"/>
      <c r="M89" s="143" t="inlineStr"/>
      <c r="N89" s="143" t="inlineStr"/>
      <c r="O89" s="143" t="inlineStr"/>
      <c r="P89" s="143" t="inlineStr"/>
      <c r="Q89" s="143" t="inlineStr"/>
      <c r="R89" s="143" t="inlineStr"/>
      <c r="S89" s="143" t="inlineStr"/>
      <c r="T89" s="143" t="inlineStr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43" t="inlineStr"/>
      <c r="M90" s="143" t="inlineStr"/>
      <c r="N90" s="143" t="inlineStr"/>
      <c r="O90" s="143" t="inlineStr"/>
      <c r="P90" s="143" t="inlineStr"/>
      <c r="Q90" s="143" t="inlineStr"/>
      <c r="R90" s="143" t="inlineStr"/>
      <c r="S90" s="143" t="inlineStr"/>
      <c r="T90" s="143" t="inlineStr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43" t="inlineStr"/>
      <c r="M91" s="143" t="inlineStr"/>
      <c r="N91" s="143" t="inlineStr"/>
      <c r="O91" s="143" t="inlineStr"/>
      <c r="P91" s="143" t="inlineStr"/>
      <c r="Q91" s="143" t="inlineStr"/>
      <c r="R91" s="143" t="inlineStr"/>
      <c r="S91" s="143" t="inlineStr"/>
      <c r="T91" s="143" t="inlineStr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43" t="inlineStr"/>
      <c r="M92" s="143" t="inlineStr"/>
      <c r="N92" s="143" t="inlineStr"/>
      <c r="O92" s="143" t="inlineStr"/>
      <c r="P92" s="143" t="inlineStr"/>
      <c r="Q92" s="143" t="inlineStr"/>
      <c r="R92" s="143" t="inlineStr"/>
      <c r="S92" s="143" t="inlineStr"/>
      <c r="T92" s="143" t="inlineStr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43" t="inlineStr"/>
      <c r="M93" s="143" t="inlineStr"/>
      <c r="N93" s="143" t="inlineStr"/>
      <c r="O93" s="143" t="inlineStr"/>
      <c r="P93" s="143" t="inlineStr"/>
      <c r="Q93" s="143" t="inlineStr"/>
      <c r="R93" s="143" t="inlineStr"/>
      <c r="S93" s="143" t="inlineStr"/>
      <c r="T93" s="143" t="inlineStr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43" t="inlineStr"/>
      <c r="M94" s="143" t="inlineStr"/>
      <c r="N94" s="143" t="inlineStr"/>
      <c r="O94" s="143" t="inlineStr"/>
      <c r="P94" s="143" t="inlineStr"/>
      <c r="Q94" s="143" t="inlineStr"/>
      <c r="R94" s="143" t="inlineStr"/>
      <c r="S94" s="143" t="inlineStr"/>
      <c r="T94" s="143" t="inlineStr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43" t="inlineStr"/>
      <c r="M95" s="143" t="inlineStr"/>
      <c r="N95" s="143" t="inlineStr"/>
      <c r="O95" s="143" t="inlineStr"/>
      <c r="P95" s="143" t="inlineStr"/>
      <c r="Q95" s="143" t="inlineStr"/>
      <c r="R95" s="143" t="inlineStr"/>
      <c r="S95" s="143" t="inlineStr"/>
      <c r="T95" s="143" t="inlineStr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43" t="inlineStr"/>
      <c r="M96" s="143" t="inlineStr"/>
      <c r="N96" s="143" t="inlineStr"/>
      <c r="O96" s="143" t="inlineStr"/>
      <c r="P96" s="143" t="inlineStr"/>
      <c r="Q96" s="143" t="inlineStr"/>
      <c r="R96" s="143" t="inlineStr"/>
      <c r="S96" s="143" t="inlineStr"/>
      <c r="T96" s="143" t="inlineStr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43" t="inlineStr"/>
      <c r="M97" s="143" t="inlineStr"/>
      <c r="N97" s="143" t="inlineStr"/>
      <c r="O97" s="143" t="inlineStr"/>
      <c r="P97" s="143" t="inlineStr"/>
      <c r="Q97" s="143" t="inlineStr"/>
      <c r="R97" s="143" t="inlineStr"/>
      <c r="S97" s="143" t="inlineStr"/>
      <c r="T97" s="143" t="inlineStr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43" t="inlineStr"/>
      <c r="M98" s="143" t="inlineStr"/>
      <c r="N98" s="143" t="inlineStr"/>
      <c r="O98" s="143" t="inlineStr"/>
      <c r="P98" s="143" t="inlineStr"/>
      <c r="Q98" s="143" t="inlineStr"/>
      <c r="R98" s="143" t="inlineStr"/>
      <c r="S98" s="143" t="inlineStr"/>
      <c r="T98" s="143" t="inlineStr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43" t="inlineStr"/>
      <c r="M99" s="143" t="inlineStr"/>
      <c r="N99" s="143" t="inlineStr"/>
      <c r="O99" s="143" t="inlineStr"/>
      <c r="P99" s="143" t="inlineStr"/>
      <c r="Q99" s="143" t="inlineStr"/>
      <c r="R99" s="143" t="inlineStr"/>
      <c r="S99" s="143" t="inlineStr"/>
      <c r="T99" s="143" t="inlineStr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43" t="inlineStr"/>
      <c r="M100" s="143" t="inlineStr"/>
      <c r="N100" s="143" t="inlineStr"/>
      <c r="O100" s="143" t="inlineStr"/>
      <c r="P100" s="143" t="inlineStr"/>
      <c r="Q100" s="143" t="inlineStr"/>
      <c r="R100" s="143" t="inlineStr"/>
      <c r="S100" s="143" t="inlineStr"/>
      <c r="T100" s="143" t="inlineStr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43" t="inlineStr"/>
      <c r="M101" s="143" t="inlineStr"/>
      <c r="N101" s="143" t="inlineStr"/>
      <c r="O101" s="143" t="inlineStr"/>
      <c r="P101" s="143" t="inlineStr"/>
      <c r="Q101" s="143" t="inlineStr"/>
      <c r="R101" s="143" t="inlineStr"/>
      <c r="S101" s="143" t="inlineStr"/>
      <c r="T101" s="143" t="inlineStr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43" t="inlineStr"/>
      <c r="M102" s="143" t="inlineStr"/>
      <c r="N102" s="143" t="inlineStr"/>
      <c r="O102" s="143" t="inlineStr"/>
      <c r="P102" s="143" t="inlineStr"/>
      <c r="Q102" s="143" t="inlineStr"/>
      <c r="R102" s="143" t="inlineStr"/>
      <c r="S102" s="143" t="inlineStr"/>
      <c r="T102" s="143" t="inlineStr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43" t="inlineStr"/>
      <c r="M103" s="143" t="inlineStr"/>
      <c r="N103" s="143" t="inlineStr"/>
      <c r="O103" s="143" t="inlineStr"/>
      <c r="P103" s="143" t="inlineStr"/>
      <c r="Q103" s="143" t="inlineStr"/>
      <c r="R103" s="143" t="inlineStr"/>
      <c r="S103" s="143" t="inlineStr"/>
      <c r="T103" s="143" t="inlineStr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43" t="inlineStr"/>
      <c r="M104" s="143" t="inlineStr"/>
      <c r="N104" s="143" t="inlineStr"/>
      <c r="O104" s="143" t="inlineStr"/>
      <c r="P104" s="143" t="inlineStr"/>
      <c r="Q104" s="143" t="inlineStr"/>
      <c r="R104" s="143" t="inlineStr"/>
      <c r="S104" s="143" t="inlineStr"/>
      <c r="T104" s="143" t="inlineStr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43" t="inlineStr"/>
      <c r="M105" s="143" t="inlineStr"/>
      <c r="N105" s="143" t="inlineStr"/>
      <c r="O105" s="143" t="inlineStr"/>
      <c r="P105" s="143" t="inlineStr"/>
      <c r="Q105" s="143" t="inlineStr"/>
      <c r="R105" s="143" t="inlineStr"/>
      <c r="S105" s="143" t="inlineStr"/>
      <c r="T105" s="143" t="inlineStr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43" t="inlineStr"/>
      <c r="M106" s="143" t="inlineStr"/>
      <c r="N106" s="143" t="inlineStr"/>
      <c r="O106" s="143" t="inlineStr"/>
      <c r="P106" s="143" t="inlineStr"/>
      <c r="Q106" s="143" t="inlineStr"/>
      <c r="R106" s="143" t="inlineStr"/>
      <c r="S106" s="143" t="inlineStr"/>
      <c r="T106" s="143" t="inlineStr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43" t="inlineStr"/>
      <c r="M107" s="143" t="inlineStr"/>
      <c r="N107" s="143" t="inlineStr"/>
      <c r="O107" s="143" t="inlineStr"/>
      <c r="P107" s="143" t="inlineStr"/>
      <c r="Q107" s="143" t="inlineStr"/>
      <c r="R107" s="143" t="inlineStr"/>
      <c r="S107" s="143" t="inlineStr"/>
      <c r="T107" s="143" t="inlineStr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43" t="inlineStr"/>
      <c r="M108" s="143" t="inlineStr"/>
      <c r="N108" s="143" t="inlineStr"/>
      <c r="O108" s="143" t="inlineStr"/>
      <c r="P108" s="143" t="inlineStr"/>
      <c r="Q108" s="143" t="inlineStr"/>
      <c r="R108" s="143" t="inlineStr"/>
      <c r="S108" s="143" t="inlineStr"/>
      <c r="T108" s="143" t="inlineStr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43" t="inlineStr"/>
      <c r="M109" s="143" t="inlineStr"/>
      <c r="N109" s="143" t="inlineStr"/>
      <c r="O109" s="143" t="inlineStr"/>
      <c r="P109" s="143" t="inlineStr"/>
      <c r="Q109" s="143" t="inlineStr"/>
      <c r="R109" s="143" t="inlineStr"/>
      <c r="S109" s="143" t="inlineStr"/>
      <c r="T109" s="143" t="inlineStr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43" t="inlineStr"/>
      <c r="M110" s="143" t="inlineStr"/>
      <c r="N110" s="143" t="inlineStr"/>
      <c r="O110" s="143" t="inlineStr"/>
      <c r="P110" s="143" t="inlineStr"/>
      <c r="Q110" s="143" t="inlineStr"/>
      <c r="R110" s="143" t="inlineStr"/>
      <c r="S110" s="143" t="inlineStr"/>
      <c r="T110" s="143" t="inlineStr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43" t="inlineStr"/>
      <c r="M111" s="143" t="inlineStr"/>
      <c r="N111" s="143" t="inlineStr"/>
      <c r="O111" s="143" t="inlineStr"/>
      <c r="P111" s="143" t="inlineStr"/>
      <c r="Q111" s="143" t="inlineStr"/>
      <c r="R111" s="143" t="inlineStr"/>
      <c r="S111" s="143" t="inlineStr"/>
      <c r="T111" s="143" t="inlineStr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43" t="inlineStr"/>
      <c r="M112" s="143" t="inlineStr"/>
      <c r="N112" s="143" t="inlineStr"/>
      <c r="O112" s="143" t="inlineStr"/>
      <c r="P112" s="143" t="inlineStr"/>
      <c r="Q112" s="143" t="inlineStr"/>
      <c r="R112" s="143" t="inlineStr"/>
      <c r="S112" s="143" t="inlineStr"/>
      <c r="T112" s="143" t="inlineStr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43" t="inlineStr"/>
      <c r="M113" s="143" t="inlineStr"/>
      <c r="N113" s="143" t="inlineStr"/>
      <c r="O113" s="143" t="inlineStr"/>
      <c r="P113" s="143" t="inlineStr"/>
      <c r="Q113" s="143" t="inlineStr"/>
      <c r="R113" s="143" t="inlineStr"/>
      <c r="S113" s="143" t="inlineStr"/>
      <c r="T113" s="143" t="inlineStr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43" t="inlineStr"/>
      <c r="M114" s="143" t="inlineStr"/>
      <c r="N114" s="143" t="inlineStr"/>
      <c r="O114" s="143" t="inlineStr"/>
      <c r="P114" s="143" t="inlineStr"/>
      <c r="Q114" s="143" t="inlineStr"/>
      <c r="R114" s="143" t="inlineStr"/>
      <c r="S114" s="143" t="inlineStr"/>
      <c r="T114" s="143" t="inlineStr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43" t="inlineStr"/>
      <c r="M115" s="143" t="inlineStr"/>
      <c r="N115" s="143" t="inlineStr"/>
      <c r="O115" s="143" t="inlineStr"/>
      <c r="P115" s="143" t="inlineStr"/>
      <c r="Q115" s="143" t="inlineStr"/>
      <c r="R115" s="143" t="inlineStr"/>
      <c r="S115" s="143" t="inlineStr"/>
      <c r="T115" s="143" t="inlineStr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43" t="inlineStr"/>
      <c r="M116" s="143" t="inlineStr"/>
      <c r="N116" s="143" t="inlineStr"/>
      <c r="O116" s="143" t="inlineStr"/>
      <c r="P116" s="143" t="inlineStr"/>
      <c r="Q116" s="143" t="inlineStr"/>
      <c r="R116" s="143" t="inlineStr"/>
      <c r="S116" s="143" t="inlineStr"/>
      <c r="T116" s="143" t="inlineStr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43" t="inlineStr"/>
      <c r="M117" s="143" t="inlineStr"/>
      <c r="N117" s="143" t="inlineStr"/>
      <c r="O117" s="143" t="inlineStr"/>
      <c r="P117" s="143" t="inlineStr"/>
      <c r="Q117" s="143" t="inlineStr"/>
      <c r="R117" s="143" t="inlineStr"/>
      <c r="S117" s="143" t="inlineStr"/>
      <c r="T117" s="143" t="inlineStr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43" t="inlineStr"/>
      <c r="M118" s="143" t="inlineStr"/>
      <c r="N118" s="143" t="inlineStr"/>
      <c r="O118" s="143" t="inlineStr"/>
      <c r="P118" s="143" t="inlineStr"/>
      <c r="Q118" s="143" t="inlineStr"/>
      <c r="R118" s="143" t="inlineStr"/>
      <c r="S118" s="143" t="inlineStr"/>
      <c r="T118" s="143" t="inlineStr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43" t="inlineStr"/>
      <c r="M119" s="143" t="inlineStr"/>
      <c r="N119" s="143" t="inlineStr"/>
      <c r="O119" s="143" t="inlineStr"/>
      <c r="P119" s="143" t="inlineStr"/>
      <c r="Q119" s="143" t="inlineStr"/>
      <c r="R119" s="143" t="inlineStr"/>
      <c r="S119" s="143" t="inlineStr"/>
      <c r="T119" s="143" t="inlineStr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43" t="inlineStr"/>
      <c r="M120" s="143" t="inlineStr"/>
      <c r="N120" s="143" t="inlineStr"/>
      <c r="O120" s="143" t="inlineStr"/>
      <c r="P120" s="143" t="inlineStr"/>
      <c r="Q120" s="143" t="inlineStr"/>
      <c r="R120" s="143" t="inlineStr"/>
      <c r="S120" s="143" t="inlineStr"/>
      <c r="T120" s="143" t="inlineStr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43" t="inlineStr"/>
      <c r="M121" s="143" t="inlineStr"/>
      <c r="N121" s="143" t="inlineStr"/>
      <c r="O121" s="143" t="inlineStr"/>
      <c r="P121" s="143" t="inlineStr"/>
      <c r="Q121" s="143" t="inlineStr"/>
      <c r="R121" s="143" t="inlineStr"/>
      <c r="S121" s="143" t="inlineStr"/>
      <c r="T121" s="143" t="inlineStr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43" t="inlineStr"/>
      <c r="M122" s="143" t="inlineStr"/>
      <c r="N122" s="143" t="inlineStr"/>
      <c r="O122" s="143" t="inlineStr"/>
      <c r="P122" s="143" t="inlineStr"/>
      <c r="Q122" s="143" t="inlineStr"/>
      <c r="R122" s="143" t="inlineStr"/>
      <c r="S122" s="143" t="inlineStr"/>
      <c r="T122" s="143" t="inlineStr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43" t="inlineStr"/>
      <c r="M123" s="143" t="inlineStr"/>
      <c r="N123" s="143" t="inlineStr"/>
      <c r="O123" s="143" t="inlineStr"/>
      <c r="P123" s="143" t="inlineStr"/>
      <c r="Q123" s="143" t="inlineStr"/>
      <c r="R123" s="143" t="inlineStr"/>
      <c r="S123" s="143" t="inlineStr"/>
      <c r="T123" s="143" t="inlineStr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43" t="inlineStr"/>
      <c r="M124" s="143" t="inlineStr"/>
      <c r="N124" s="143" t="inlineStr"/>
      <c r="O124" s="143" t="inlineStr"/>
      <c r="P124" s="143" t="inlineStr"/>
      <c r="Q124" s="143" t="inlineStr"/>
      <c r="R124" s="143" t="inlineStr"/>
      <c r="S124" s="143" t="inlineStr"/>
      <c r="T124" s="143" t="inlineStr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43" t="inlineStr"/>
      <c r="M125" s="143" t="inlineStr"/>
      <c r="N125" s="143" t="inlineStr"/>
      <c r="O125" s="143" t="inlineStr"/>
      <c r="P125" s="143" t="inlineStr"/>
      <c r="Q125" s="143" t="inlineStr"/>
      <c r="R125" s="143" t="inlineStr"/>
      <c r="S125" s="143" t="inlineStr"/>
      <c r="T125" s="143" t="inlineStr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43" t="inlineStr"/>
      <c r="M126" s="143" t="inlineStr"/>
      <c r="N126" s="143" t="inlineStr"/>
      <c r="O126" s="143" t="inlineStr"/>
      <c r="P126" s="143" t="inlineStr"/>
      <c r="Q126" s="143" t="inlineStr"/>
      <c r="R126" s="143" t="inlineStr"/>
      <c r="S126" s="143" t="inlineStr"/>
      <c r="T126" s="143" t="inlineStr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43" t="inlineStr"/>
      <c r="M127" s="143" t="inlineStr"/>
      <c r="N127" s="143" t="inlineStr"/>
      <c r="O127" s="143" t="inlineStr"/>
      <c r="P127" s="143" t="inlineStr"/>
      <c r="Q127" s="143" t="inlineStr"/>
      <c r="R127" s="143" t="inlineStr"/>
      <c r="S127" s="143" t="inlineStr"/>
      <c r="T127" s="143" t="inlineStr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43" t="inlineStr"/>
      <c r="M128" s="143" t="inlineStr"/>
      <c r="N128" s="143" t="inlineStr"/>
      <c r="O128" s="143" t="inlineStr"/>
      <c r="P128" s="143" t="inlineStr"/>
      <c r="Q128" s="143" t="inlineStr"/>
      <c r="R128" s="143" t="inlineStr"/>
      <c r="S128" s="143" t="inlineStr"/>
      <c r="T128" s="143" t="inlineStr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43" t="inlineStr"/>
      <c r="M129" s="143" t="inlineStr"/>
      <c r="N129" s="143" t="inlineStr"/>
      <c r="O129" s="143" t="inlineStr"/>
      <c r="P129" s="143" t="inlineStr"/>
      <c r="Q129" s="143" t="inlineStr"/>
      <c r="R129" s="143" t="inlineStr"/>
      <c r="S129" s="143" t="inlineStr"/>
      <c r="T129" s="143" t="inlineStr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43" t="inlineStr"/>
      <c r="M130" s="143" t="inlineStr"/>
      <c r="N130" s="143" t="inlineStr"/>
      <c r="O130" s="143" t="inlineStr"/>
      <c r="P130" s="143" t="inlineStr"/>
      <c r="Q130" s="143" t="inlineStr"/>
      <c r="R130" s="143" t="inlineStr"/>
      <c r="S130" s="143" t="inlineStr"/>
      <c r="T130" s="143" t="inlineStr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43" t="inlineStr"/>
      <c r="M131" s="143" t="inlineStr"/>
      <c r="N131" s="143" t="inlineStr"/>
      <c r="O131" s="143" t="inlineStr"/>
      <c r="P131" s="143" t="inlineStr"/>
      <c r="Q131" s="143" t="inlineStr"/>
      <c r="R131" s="143" t="inlineStr"/>
      <c r="S131" s="143" t="inlineStr"/>
      <c r="T131" s="143" t="inlineStr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43" t="inlineStr"/>
      <c r="M132" s="143" t="inlineStr"/>
      <c r="N132" s="143" t="inlineStr"/>
      <c r="O132" s="143" t="inlineStr"/>
      <c r="P132" s="143" t="inlineStr"/>
      <c r="Q132" s="143" t="inlineStr"/>
      <c r="R132" s="143" t="inlineStr"/>
      <c r="S132" s="143" t="inlineStr"/>
      <c r="T132" s="143" t="inlineStr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43" t="inlineStr"/>
      <c r="M133" s="143" t="inlineStr"/>
      <c r="N133" s="143" t="inlineStr"/>
      <c r="O133" s="143" t="inlineStr"/>
      <c r="P133" s="143" t="inlineStr"/>
      <c r="Q133" s="143" t="inlineStr"/>
      <c r="R133" s="143" t="inlineStr"/>
      <c r="S133" s="143" t="inlineStr"/>
      <c r="T133" s="143" t="inlineStr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43" t="inlineStr"/>
      <c r="M134" s="143" t="inlineStr"/>
      <c r="N134" s="143" t="inlineStr"/>
      <c r="O134" s="143" t="inlineStr"/>
      <c r="P134" s="143" t="inlineStr"/>
      <c r="Q134" s="143" t="inlineStr"/>
      <c r="R134" s="143" t="inlineStr"/>
      <c r="S134" s="143" t="inlineStr"/>
      <c r="T134" s="143" t="inlineStr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43" t="inlineStr"/>
      <c r="M135" s="143" t="inlineStr"/>
      <c r="N135" s="143" t="inlineStr"/>
      <c r="O135" s="143" t="inlineStr"/>
      <c r="P135" s="143" t="inlineStr"/>
      <c r="Q135" s="143" t="inlineStr"/>
      <c r="R135" s="143" t="inlineStr"/>
      <c r="S135" s="143" t="inlineStr"/>
      <c r="T135" s="143" t="inlineStr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43" t="inlineStr"/>
      <c r="M136" s="143" t="inlineStr"/>
      <c r="N136" s="143" t="inlineStr"/>
      <c r="O136" s="143" t="inlineStr"/>
      <c r="P136" s="143" t="inlineStr"/>
      <c r="Q136" s="143" t="inlineStr"/>
      <c r="R136" s="143" t="inlineStr"/>
      <c r="S136" s="143" t="inlineStr"/>
      <c r="T136" s="143" t="inlineStr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43" t="inlineStr"/>
      <c r="M137" s="143" t="inlineStr"/>
      <c r="N137" s="143" t="inlineStr"/>
      <c r="O137" s="143" t="inlineStr"/>
      <c r="P137" s="143" t="inlineStr"/>
      <c r="Q137" s="143" t="inlineStr"/>
      <c r="R137" s="143" t="inlineStr"/>
      <c r="S137" s="143" t="inlineStr"/>
      <c r="T137" s="143" t="inlineStr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43" t="inlineStr"/>
      <c r="M138" s="143" t="inlineStr"/>
      <c r="N138" s="143" t="inlineStr"/>
      <c r="O138" s="143" t="inlineStr"/>
      <c r="P138" s="143" t="inlineStr"/>
      <c r="Q138" s="143" t="inlineStr"/>
      <c r="R138" s="143" t="inlineStr"/>
      <c r="S138" s="143" t="inlineStr"/>
      <c r="T138" s="143" t="inlineStr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43" t="inlineStr"/>
      <c r="M139" s="143" t="inlineStr"/>
      <c r="N139" s="143" t="inlineStr"/>
      <c r="O139" s="143" t="inlineStr"/>
      <c r="P139" s="143" t="inlineStr"/>
      <c r="Q139" s="143" t="inlineStr"/>
      <c r="R139" s="143" t="inlineStr"/>
      <c r="S139" s="143" t="inlineStr"/>
      <c r="T139" s="143" t="inlineStr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43" t="inlineStr"/>
      <c r="M140" s="143" t="inlineStr"/>
      <c r="N140" s="143" t="inlineStr"/>
      <c r="O140" s="143" t="inlineStr"/>
      <c r="P140" s="143" t="inlineStr"/>
      <c r="Q140" s="143" t="inlineStr"/>
      <c r="R140" s="143" t="inlineStr"/>
      <c r="S140" s="143" t="inlineStr"/>
      <c r="T140" s="143" t="inlineStr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43" t="inlineStr"/>
      <c r="M141" s="143" t="inlineStr"/>
      <c r="N141" s="143" t="inlineStr"/>
      <c r="O141" s="143" t="inlineStr"/>
      <c r="P141" s="143" t="inlineStr"/>
      <c r="Q141" s="143" t="inlineStr"/>
      <c r="R141" s="143" t="inlineStr"/>
      <c r="S141" s="143" t="inlineStr"/>
      <c r="T141" s="143" t="inlineStr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43" t="inlineStr"/>
      <c r="M142" s="143" t="inlineStr"/>
      <c r="N142" s="143" t="inlineStr"/>
      <c r="O142" s="143" t="inlineStr"/>
      <c r="P142" s="143" t="inlineStr"/>
      <c r="Q142" s="143" t="inlineStr"/>
      <c r="R142" s="143" t="inlineStr"/>
      <c r="S142" s="143" t="inlineStr"/>
      <c r="T142" s="143" t="inlineStr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43" t="inlineStr"/>
      <c r="M143" s="143" t="inlineStr"/>
      <c r="N143" s="143" t="inlineStr"/>
      <c r="O143" s="143" t="inlineStr"/>
      <c r="P143" s="143" t="inlineStr"/>
      <c r="Q143" s="143" t="inlineStr"/>
      <c r="R143" s="143" t="inlineStr"/>
      <c r="S143" s="143" t="inlineStr"/>
      <c r="T143" s="143" t="inlineStr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43" t="inlineStr"/>
      <c r="M144" s="143" t="inlineStr"/>
      <c r="N144" s="143" t="inlineStr"/>
      <c r="O144" s="143" t="inlineStr"/>
      <c r="P144" s="143" t="inlineStr"/>
      <c r="Q144" s="143" t="inlineStr"/>
      <c r="R144" s="143" t="inlineStr"/>
      <c r="S144" s="143" t="inlineStr"/>
      <c r="T144" s="143" t="inlineStr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43" t="inlineStr"/>
      <c r="M145" s="143" t="inlineStr"/>
      <c r="N145" s="143" t="inlineStr"/>
      <c r="O145" s="143" t="inlineStr"/>
      <c r="P145" s="143" t="inlineStr"/>
      <c r="Q145" s="143" t="inlineStr"/>
      <c r="R145" s="143" t="inlineStr"/>
      <c r="S145" s="143" t="inlineStr"/>
      <c r="T145" s="143" t="inlineStr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43" t="inlineStr"/>
      <c r="M146" s="143" t="inlineStr"/>
      <c r="N146" s="143" t="inlineStr"/>
      <c r="O146" s="143" t="inlineStr"/>
      <c r="P146" s="143" t="inlineStr"/>
      <c r="Q146" s="143" t="inlineStr"/>
      <c r="R146" s="143" t="inlineStr"/>
      <c r="S146" s="143" t="inlineStr"/>
      <c r="T146" s="143" t="inlineStr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43" t="inlineStr"/>
      <c r="M147" s="143" t="inlineStr"/>
      <c r="N147" s="143" t="inlineStr"/>
      <c r="O147" s="143" t="inlineStr"/>
      <c r="P147" s="143" t="inlineStr"/>
      <c r="Q147" s="143" t="inlineStr"/>
      <c r="R147" s="143" t="inlineStr"/>
      <c r="S147" s="143" t="inlineStr"/>
      <c r="T147" s="143" t="inlineStr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43" t="inlineStr"/>
      <c r="M148" s="143" t="inlineStr"/>
      <c r="N148" s="143" t="inlineStr"/>
      <c r="O148" s="143" t="inlineStr"/>
      <c r="P148" s="143" t="inlineStr"/>
      <c r="Q148" s="143" t="inlineStr"/>
      <c r="R148" s="143" t="inlineStr"/>
      <c r="S148" s="143" t="inlineStr"/>
      <c r="T148" s="143" t="inlineStr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43" t="inlineStr"/>
      <c r="M149" s="143" t="inlineStr"/>
      <c r="N149" s="143" t="inlineStr"/>
      <c r="O149" s="143" t="inlineStr"/>
      <c r="P149" s="143" t="inlineStr"/>
      <c r="Q149" s="143" t="inlineStr"/>
      <c r="R149" s="143" t="inlineStr"/>
      <c r="S149" s="143" t="inlineStr"/>
      <c r="T149" s="143" t="inlineStr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43" t="inlineStr"/>
      <c r="M150" s="143" t="inlineStr"/>
      <c r="N150" s="143" t="inlineStr"/>
      <c r="O150" s="143" t="inlineStr"/>
      <c r="P150" s="143" t="inlineStr"/>
      <c r="Q150" s="143" t="inlineStr"/>
      <c r="R150" s="143" t="inlineStr"/>
      <c r="S150" s="143" t="inlineStr"/>
      <c r="T150" s="143" t="inlineStr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43" t="inlineStr"/>
      <c r="M151" s="143" t="inlineStr"/>
      <c r="N151" s="143" t="inlineStr"/>
      <c r="O151" s="143" t="inlineStr"/>
      <c r="P151" s="143" t="inlineStr"/>
      <c r="Q151" s="143" t="inlineStr"/>
      <c r="R151" s="143" t="inlineStr"/>
      <c r="S151" s="143" t="inlineStr"/>
      <c r="T151" s="143" t="inlineStr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43" t="inlineStr"/>
      <c r="M152" s="143" t="inlineStr"/>
      <c r="N152" s="143" t="inlineStr"/>
      <c r="O152" s="143" t="inlineStr"/>
      <c r="P152" s="143" t="inlineStr"/>
      <c r="Q152" s="143" t="inlineStr"/>
      <c r="R152" s="143" t="inlineStr"/>
      <c r="S152" s="143" t="inlineStr"/>
      <c r="T152" s="143" t="inlineStr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43" t="inlineStr"/>
      <c r="M153" s="143" t="inlineStr"/>
      <c r="N153" s="143" t="inlineStr"/>
      <c r="O153" s="143" t="inlineStr"/>
      <c r="P153" s="143" t="inlineStr"/>
      <c r="Q153" s="143" t="inlineStr"/>
      <c r="R153" s="143" t="inlineStr"/>
      <c r="S153" s="143" t="inlineStr"/>
      <c r="T153" s="143" t="inlineStr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43" t="inlineStr"/>
      <c r="M154" s="143" t="inlineStr"/>
      <c r="N154" s="143" t="inlineStr"/>
      <c r="O154" s="143" t="inlineStr"/>
      <c r="P154" s="143" t="inlineStr"/>
      <c r="Q154" s="143" t="inlineStr"/>
      <c r="R154" s="143" t="inlineStr"/>
      <c r="S154" s="143" t="inlineStr"/>
      <c r="T154" s="143" t="inlineStr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43" t="inlineStr"/>
      <c r="M155" s="143" t="inlineStr"/>
      <c r="N155" s="143" t="inlineStr"/>
      <c r="O155" s="143" t="inlineStr"/>
      <c r="P155" s="143" t="inlineStr"/>
      <c r="Q155" s="143" t="inlineStr"/>
      <c r="R155" s="143" t="inlineStr"/>
      <c r="S155" s="143" t="inlineStr"/>
      <c r="T155" s="143" t="inlineStr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43" t="inlineStr"/>
      <c r="M156" s="143" t="inlineStr"/>
      <c r="N156" s="143" t="inlineStr"/>
      <c r="O156" s="143" t="inlineStr"/>
      <c r="P156" s="143" t="inlineStr"/>
      <c r="Q156" s="143" t="inlineStr"/>
      <c r="R156" s="143" t="inlineStr"/>
      <c r="S156" s="143" t="inlineStr"/>
      <c r="T156" s="143" t="inlineStr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43" t="inlineStr"/>
      <c r="M157" s="143" t="inlineStr"/>
      <c r="N157" s="143" t="inlineStr"/>
      <c r="O157" s="143" t="inlineStr"/>
      <c r="P157" s="143" t="inlineStr"/>
      <c r="Q157" s="143" t="inlineStr"/>
      <c r="R157" s="143" t="inlineStr"/>
      <c r="S157" s="143" t="inlineStr"/>
      <c r="T157" s="143" t="inlineStr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43" t="inlineStr"/>
      <c r="M158" s="143" t="inlineStr"/>
      <c r="N158" s="143" t="inlineStr"/>
      <c r="O158" s="143" t="inlineStr"/>
      <c r="P158" s="143" t="inlineStr"/>
      <c r="Q158" s="143" t="inlineStr"/>
      <c r="R158" s="143" t="inlineStr"/>
      <c r="S158" s="143" t="inlineStr"/>
      <c r="T158" s="143" t="inlineStr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43" t="inlineStr"/>
      <c r="M159" s="143" t="inlineStr"/>
      <c r="N159" s="143" t="inlineStr"/>
      <c r="O159" s="143" t="inlineStr"/>
      <c r="P159" s="143" t="inlineStr"/>
      <c r="Q159" s="143" t="inlineStr"/>
      <c r="R159" s="143" t="inlineStr"/>
      <c r="S159" s="143" t="inlineStr"/>
      <c r="T159" s="143" t="inlineStr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43" t="inlineStr"/>
      <c r="M160" s="143" t="inlineStr"/>
      <c r="N160" s="143" t="inlineStr"/>
      <c r="O160" s="143" t="inlineStr"/>
      <c r="P160" s="143" t="inlineStr"/>
      <c r="Q160" s="143" t="inlineStr"/>
      <c r="R160" s="143" t="inlineStr"/>
      <c r="S160" s="143" t="inlineStr"/>
      <c r="T160" s="143" t="inlineStr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43" t="inlineStr"/>
      <c r="M161" s="143" t="inlineStr"/>
      <c r="N161" s="143" t="inlineStr"/>
      <c r="O161" s="143" t="inlineStr"/>
      <c r="P161" s="143" t="inlineStr"/>
      <c r="Q161" s="143" t="inlineStr"/>
      <c r="R161" s="143" t="inlineStr"/>
      <c r="S161" s="143" t="inlineStr"/>
      <c r="T161" s="143" t="inlineStr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43" t="inlineStr"/>
      <c r="M162" s="143" t="inlineStr"/>
      <c r="N162" s="143" t="inlineStr"/>
      <c r="O162" s="143" t="inlineStr"/>
      <c r="P162" s="143" t="inlineStr"/>
      <c r="Q162" s="143" t="inlineStr"/>
      <c r="R162" s="143" t="inlineStr"/>
      <c r="S162" s="143" t="inlineStr"/>
      <c r="T162" s="143" t="inlineStr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43" t="inlineStr"/>
      <c r="M163" s="143" t="inlineStr"/>
      <c r="N163" s="143" t="inlineStr"/>
      <c r="O163" s="143" t="inlineStr"/>
      <c r="P163" s="143" t="inlineStr"/>
      <c r="Q163" s="143" t="inlineStr"/>
      <c r="R163" s="143" t="inlineStr"/>
      <c r="S163" s="143" t="inlineStr"/>
      <c r="T163" s="143" t="inlineStr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43" t="inlineStr"/>
      <c r="M164" s="143" t="inlineStr"/>
      <c r="N164" s="143" t="inlineStr"/>
      <c r="O164" s="143" t="inlineStr"/>
      <c r="P164" s="143" t="inlineStr"/>
      <c r="Q164" s="143" t="inlineStr"/>
      <c r="R164" s="143" t="inlineStr"/>
      <c r="S164" s="143" t="inlineStr"/>
      <c r="T164" s="143" t="inlineStr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43" t="inlineStr"/>
      <c r="M165" s="143" t="inlineStr"/>
      <c r="N165" s="143" t="inlineStr"/>
      <c r="O165" s="143" t="inlineStr"/>
      <c r="P165" s="143" t="inlineStr"/>
      <c r="Q165" s="143" t="inlineStr"/>
      <c r="R165" s="143" t="inlineStr"/>
      <c r="S165" s="143" t="inlineStr"/>
      <c r="T165" s="143" t="inlineStr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43" t="inlineStr"/>
      <c r="M166" s="143" t="inlineStr"/>
      <c r="N166" s="143" t="inlineStr"/>
      <c r="O166" s="143" t="inlineStr"/>
      <c r="P166" s="143" t="inlineStr"/>
      <c r="Q166" s="143" t="inlineStr"/>
      <c r="R166" s="143" t="inlineStr"/>
      <c r="S166" s="143" t="inlineStr"/>
      <c r="T166" s="143" t="inlineStr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43" t="inlineStr"/>
      <c r="M167" s="143" t="inlineStr"/>
      <c r="N167" s="143" t="inlineStr"/>
      <c r="O167" s="143" t="inlineStr"/>
      <c r="P167" s="143" t="inlineStr"/>
      <c r="Q167" s="143" t="inlineStr"/>
      <c r="R167" s="143" t="inlineStr"/>
      <c r="S167" s="143" t="inlineStr"/>
      <c r="T167" s="143" t="inlineStr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43" t="inlineStr"/>
      <c r="M168" s="143" t="inlineStr"/>
      <c r="N168" s="143" t="inlineStr"/>
      <c r="O168" s="143" t="inlineStr"/>
      <c r="P168" s="143" t="inlineStr"/>
      <c r="Q168" s="143" t="inlineStr"/>
      <c r="R168" s="143" t="inlineStr"/>
      <c r="S168" s="143" t="inlineStr"/>
      <c r="T168" s="143" t="inlineStr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43" t="inlineStr"/>
      <c r="M169" s="143" t="inlineStr"/>
      <c r="N169" s="143" t="inlineStr"/>
      <c r="O169" s="143" t="inlineStr"/>
      <c r="P169" s="143" t="inlineStr"/>
      <c r="Q169" s="143" t="inlineStr"/>
      <c r="R169" s="143" t="inlineStr"/>
      <c r="S169" s="143" t="inlineStr"/>
      <c r="T169" s="143" t="inlineStr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43" t="inlineStr"/>
      <c r="M170" s="143" t="inlineStr"/>
      <c r="N170" s="143" t="inlineStr"/>
      <c r="O170" s="143" t="inlineStr"/>
      <c r="P170" s="143" t="inlineStr"/>
      <c r="Q170" s="143" t="inlineStr"/>
      <c r="R170" s="143" t="inlineStr"/>
      <c r="S170" s="143" t="inlineStr"/>
      <c r="T170" s="143" t="inlineStr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43" t="inlineStr"/>
      <c r="M171" s="143" t="inlineStr"/>
      <c r="N171" s="143" t="inlineStr"/>
      <c r="O171" s="143" t="inlineStr"/>
      <c r="P171" s="143" t="inlineStr"/>
      <c r="Q171" s="143" t="inlineStr"/>
      <c r="R171" s="143" t="inlineStr"/>
      <c r="S171" s="143" t="inlineStr"/>
      <c r="T171" s="143" t="inlineStr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43" t="inlineStr"/>
      <c r="M172" s="143" t="inlineStr"/>
      <c r="N172" s="143" t="inlineStr"/>
      <c r="O172" s="143" t="inlineStr"/>
      <c r="P172" s="143" t="inlineStr"/>
      <c r="Q172" s="143" t="inlineStr"/>
      <c r="R172" s="143" t="inlineStr"/>
      <c r="S172" s="143" t="inlineStr"/>
      <c r="T172" s="143" t="inlineStr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43" t="inlineStr"/>
      <c r="M173" s="143" t="inlineStr"/>
      <c r="N173" s="143" t="inlineStr"/>
      <c r="O173" s="143" t="inlineStr"/>
      <c r="P173" s="143" t="inlineStr"/>
      <c r="Q173" s="143" t="inlineStr"/>
      <c r="R173" s="143" t="inlineStr"/>
      <c r="S173" s="143" t="inlineStr"/>
      <c r="T173" s="143" t="inlineStr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43" t="inlineStr"/>
      <c r="M174" s="143" t="inlineStr"/>
      <c r="N174" s="143" t="inlineStr"/>
      <c r="O174" s="143" t="inlineStr"/>
      <c r="P174" s="143" t="inlineStr"/>
      <c r="Q174" s="143" t="inlineStr"/>
      <c r="R174" s="143" t="inlineStr"/>
      <c r="S174" s="143" t="inlineStr"/>
      <c r="T174" s="143" t="inlineStr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43" t="inlineStr"/>
      <c r="M175" s="143" t="inlineStr"/>
      <c r="N175" s="143" t="inlineStr"/>
      <c r="O175" s="143" t="inlineStr"/>
      <c r="P175" s="143" t="inlineStr"/>
      <c r="Q175" s="143" t="inlineStr"/>
      <c r="R175" s="143" t="inlineStr"/>
      <c r="S175" s="143" t="inlineStr"/>
      <c r="T175" s="143" t="inlineStr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43" t="inlineStr"/>
      <c r="M176" s="143" t="inlineStr"/>
      <c r="N176" s="143" t="inlineStr"/>
      <c r="O176" s="143" t="inlineStr"/>
      <c r="P176" s="143" t="inlineStr"/>
      <c r="Q176" s="143" t="inlineStr"/>
      <c r="R176" s="143" t="inlineStr"/>
      <c r="S176" s="143" t="inlineStr"/>
      <c r="T176" s="143" t="inlineStr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43" t="inlineStr"/>
      <c r="M177" s="143" t="inlineStr"/>
      <c r="N177" s="143" t="inlineStr"/>
      <c r="O177" s="143" t="inlineStr"/>
      <c r="P177" s="143" t="inlineStr"/>
      <c r="Q177" s="143" t="inlineStr"/>
      <c r="R177" s="143" t="inlineStr"/>
      <c r="S177" s="143" t="inlineStr"/>
      <c r="T177" s="143" t="inlineStr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43" t="inlineStr"/>
      <c r="M178" s="143" t="inlineStr"/>
      <c r="N178" s="143" t="inlineStr"/>
      <c r="O178" s="143" t="inlineStr"/>
      <c r="P178" s="143" t="inlineStr"/>
      <c r="Q178" s="143" t="inlineStr"/>
      <c r="R178" s="143" t="inlineStr"/>
      <c r="S178" s="143" t="inlineStr"/>
      <c r="T178" s="143" t="inlineStr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43" t="inlineStr"/>
      <c r="M179" s="143" t="inlineStr"/>
      <c r="N179" s="143" t="inlineStr"/>
      <c r="O179" s="143" t="inlineStr"/>
      <c r="P179" s="143" t="inlineStr"/>
      <c r="Q179" s="143" t="inlineStr"/>
      <c r="R179" s="143" t="inlineStr"/>
      <c r="S179" s="143" t="inlineStr"/>
      <c r="T179" s="143" t="inlineStr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43" t="inlineStr"/>
      <c r="M180" s="143" t="inlineStr"/>
      <c r="N180" s="143" t="inlineStr"/>
      <c r="O180" s="143" t="inlineStr"/>
      <c r="P180" s="143" t="inlineStr"/>
      <c r="Q180" s="143" t="inlineStr"/>
      <c r="R180" s="143" t="inlineStr"/>
      <c r="S180" s="143" t="inlineStr"/>
      <c r="T180" s="143" t="inlineStr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43" t="inlineStr"/>
      <c r="M181" s="143" t="inlineStr"/>
      <c r="N181" s="143" t="inlineStr"/>
      <c r="O181" s="143" t="inlineStr"/>
      <c r="P181" s="143" t="inlineStr"/>
      <c r="Q181" s="143" t="inlineStr"/>
      <c r="R181" s="143" t="inlineStr"/>
      <c r="S181" s="143" t="inlineStr"/>
      <c r="T181" s="143" t="inlineStr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43" t="inlineStr"/>
      <c r="M182" s="143" t="inlineStr"/>
      <c r="N182" s="143" t="inlineStr"/>
      <c r="O182" s="143" t="inlineStr"/>
      <c r="P182" s="143" t="inlineStr"/>
      <c r="Q182" s="143" t="inlineStr"/>
      <c r="R182" s="143" t="inlineStr"/>
      <c r="S182" s="143" t="inlineStr"/>
      <c r="T182" s="143" t="inlineStr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43" t="inlineStr"/>
      <c r="M183" s="143" t="inlineStr"/>
      <c r="N183" s="143" t="inlineStr"/>
      <c r="O183" s="143" t="inlineStr"/>
      <c r="P183" s="143" t="inlineStr"/>
      <c r="Q183" s="143" t="inlineStr"/>
      <c r="R183" s="143" t="inlineStr"/>
      <c r="S183" s="143" t="inlineStr"/>
      <c r="T183" s="143" t="inlineStr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43" t="inlineStr"/>
      <c r="M184" s="143" t="inlineStr"/>
      <c r="N184" s="143" t="inlineStr"/>
      <c r="O184" s="143" t="inlineStr"/>
      <c r="P184" s="143" t="inlineStr"/>
      <c r="Q184" s="143" t="inlineStr"/>
      <c r="R184" s="143" t="inlineStr"/>
      <c r="S184" s="143" t="inlineStr"/>
      <c r="T184" s="143" t="inlineStr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43" t="inlineStr"/>
      <c r="M185" s="143" t="inlineStr"/>
      <c r="N185" s="143" t="inlineStr"/>
      <c r="O185" s="143" t="inlineStr"/>
      <c r="P185" s="143" t="inlineStr"/>
      <c r="Q185" s="143" t="inlineStr"/>
      <c r="R185" s="143" t="inlineStr"/>
      <c r="S185" s="143" t="inlineStr"/>
      <c r="T185" s="143" t="inlineStr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43" t="inlineStr"/>
      <c r="M186" s="143" t="inlineStr"/>
      <c r="N186" s="143" t="inlineStr"/>
      <c r="O186" s="143" t="inlineStr"/>
      <c r="P186" s="143" t="inlineStr"/>
      <c r="Q186" s="143" t="inlineStr"/>
      <c r="R186" s="143" t="inlineStr"/>
      <c r="S186" s="143" t="inlineStr"/>
      <c r="T186" s="143" t="inlineStr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43" t="inlineStr"/>
      <c r="M187" s="143" t="inlineStr"/>
      <c r="N187" s="143" t="inlineStr"/>
      <c r="O187" s="143" t="inlineStr"/>
      <c r="P187" s="143" t="inlineStr"/>
      <c r="Q187" s="143" t="inlineStr"/>
      <c r="R187" s="143" t="inlineStr"/>
      <c r="S187" s="143" t="inlineStr"/>
      <c r="T187" s="143" t="inlineStr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43" t="inlineStr"/>
      <c r="M188" s="143" t="inlineStr"/>
      <c r="N188" s="143" t="inlineStr"/>
      <c r="O188" s="143" t="inlineStr"/>
      <c r="P188" s="143" t="inlineStr"/>
      <c r="Q188" s="143" t="inlineStr"/>
      <c r="R188" s="143" t="inlineStr"/>
      <c r="S188" s="143" t="inlineStr"/>
      <c r="T188" s="143" t="inlineStr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43" t="inlineStr"/>
      <c r="M189" s="143" t="inlineStr"/>
      <c r="N189" s="143" t="inlineStr"/>
      <c r="O189" s="143" t="inlineStr"/>
      <c r="P189" s="143" t="inlineStr"/>
      <c r="Q189" s="143" t="inlineStr"/>
      <c r="R189" s="143" t="inlineStr"/>
      <c r="S189" s="143" t="inlineStr"/>
      <c r="T189" s="143" t="inlineStr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43" t="inlineStr"/>
      <c r="M190" s="143" t="inlineStr"/>
      <c r="N190" s="143" t="inlineStr"/>
      <c r="O190" s="143" t="inlineStr"/>
      <c r="P190" s="143" t="inlineStr"/>
      <c r="Q190" s="143" t="inlineStr"/>
      <c r="R190" s="143" t="inlineStr"/>
      <c r="S190" s="143" t="inlineStr"/>
      <c r="T190" s="143" t="inlineStr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43" t="inlineStr"/>
      <c r="M191" s="143" t="inlineStr"/>
      <c r="N191" s="143" t="inlineStr"/>
      <c r="O191" s="143" t="inlineStr"/>
      <c r="P191" s="143" t="inlineStr"/>
      <c r="Q191" s="143" t="inlineStr"/>
      <c r="R191" s="143" t="inlineStr"/>
      <c r="S191" s="143" t="inlineStr"/>
      <c r="T191" s="143" t="inlineStr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43" t="inlineStr"/>
      <c r="M192" s="143" t="inlineStr"/>
      <c r="N192" s="143" t="inlineStr"/>
      <c r="O192" s="143" t="inlineStr"/>
      <c r="P192" s="143" t="inlineStr"/>
      <c r="Q192" s="143" t="inlineStr"/>
      <c r="R192" s="143" t="inlineStr"/>
      <c r="S192" s="143" t="inlineStr"/>
      <c r="T192" s="143" t="inlineStr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43" t="inlineStr"/>
      <c r="M193" s="143" t="inlineStr"/>
      <c r="N193" s="143" t="inlineStr"/>
      <c r="O193" s="143" t="inlineStr"/>
      <c r="P193" s="143" t="inlineStr"/>
      <c r="Q193" s="143" t="inlineStr"/>
      <c r="R193" s="143" t="inlineStr"/>
      <c r="S193" s="143" t="inlineStr"/>
      <c r="T193" s="143" t="inlineStr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43" t="inlineStr"/>
      <c r="M194" s="143" t="inlineStr"/>
      <c r="N194" s="143" t="inlineStr"/>
      <c r="O194" s="143" t="inlineStr"/>
      <c r="P194" s="143" t="inlineStr"/>
      <c r="Q194" s="143" t="inlineStr"/>
      <c r="R194" s="143" t="inlineStr"/>
      <c r="S194" s="143" t="inlineStr"/>
      <c r="T194" s="143" t="inlineStr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43" t="inlineStr"/>
      <c r="M195" s="143" t="inlineStr"/>
      <c r="N195" s="143" t="inlineStr"/>
      <c r="O195" s="143" t="inlineStr"/>
      <c r="P195" s="143" t="inlineStr"/>
      <c r="Q195" s="143" t="inlineStr"/>
      <c r="R195" s="143" t="inlineStr"/>
      <c r="S195" s="143" t="inlineStr"/>
      <c r="T195" s="143" t="inlineStr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43" t="inlineStr"/>
      <c r="M196" s="143" t="inlineStr"/>
      <c r="N196" s="143" t="inlineStr"/>
      <c r="O196" s="143" t="inlineStr"/>
      <c r="P196" s="143" t="inlineStr"/>
      <c r="Q196" s="143" t="inlineStr"/>
      <c r="R196" s="143" t="inlineStr"/>
      <c r="S196" s="143" t="inlineStr"/>
      <c r="T196" s="143" t="inlineStr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43" t="inlineStr"/>
      <c r="M197" s="143" t="inlineStr"/>
      <c r="N197" s="143" t="inlineStr"/>
      <c r="O197" s="143" t="inlineStr"/>
      <c r="P197" s="143" t="inlineStr"/>
      <c r="Q197" s="143" t="inlineStr"/>
      <c r="R197" s="143" t="inlineStr"/>
      <c r="S197" s="143" t="inlineStr"/>
      <c r="T197" s="143" t="inlineStr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43" t="inlineStr"/>
      <c r="M198" s="143" t="inlineStr"/>
      <c r="N198" s="143" t="inlineStr"/>
      <c r="O198" s="143" t="inlineStr"/>
      <c r="P198" s="143" t="inlineStr"/>
      <c r="Q198" s="143" t="inlineStr"/>
      <c r="R198" s="143" t="inlineStr"/>
      <c r="S198" s="143" t="inlineStr"/>
      <c r="T198" s="143" t="inlineStr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43" t="inlineStr"/>
      <c r="M199" s="143" t="inlineStr"/>
      <c r="N199" s="143" t="inlineStr"/>
      <c r="O199" s="143" t="inlineStr"/>
      <c r="P199" s="143" t="inlineStr"/>
      <c r="Q199" s="143" t="inlineStr"/>
      <c r="R199" s="143" t="inlineStr"/>
      <c r="S199" s="143" t="inlineStr"/>
      <c r="T199" s="143" t="inlineStr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43" t="inlineStr"/>
      <c r="M200" s="143" t="inlineStr"/>
      <c r="N200" s="143" t="inlineStr"/>
      <c r="O200" s="143" t="inlineStr"/>
      <c r="P200" s="143" t="inlineStr"/>
      <c r="Q200" s="143" t="inlineStr"/>
      <c r="R200" s="143" t="inlineStr"/>
      <c r="S200" s="143" t="inlineStr"/>
      <c r="T200" s="143" t="inlineStr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43" t="inlineStr"/>
      <c r="M201" s="143" t="inlineStr"/>
      <c r="N201" s="143" t="inlineStr"/>
      <c r="O201" s="143" t="inlineStr"/>
      <c r="P201" s="143" t="inlineStr"/>
      <c r="Q201" s="143" t="inlineStr"/>
      <c r="R201" s="143" t="inlineStr"/>
      <c r="S201" s="143" t="inlineStr"/>
      <c r="T201" s="143" t="inlineStr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43" t="inlineStr"/>
      <c r="M202" s="143" t="inlineStr"/>
      <c r="N202" s="143" t="inlineStr"/>
      <c r="O202" s="143" t="inlineStr"/>
      <c r="P202" s="143" t="inlineStr"/>
      <c r="Q202" s="143" t="inlineStr"/>
      <c r="R202" s="143" t="inlineStr"/>
      <c r="S202" s="143" t="inlineStr"/>
      <c r="T202" s="143" t="inlineStr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43" t="inlineStr"/>
      <c r="M203" s="143" t="inlineStr"/>
      <c r="N203" s="143" t="inlineStr"/>
      <c r="O203" s="143" t="inlineStr"/>
      <c r="P203" s="143" t="inlineStr"/>
      <c r="Q203" s="143" t="inlineStr"/>
      <c r="R203" s="143" t="inlineStr"/>
      <c r="S203" s="143" t="inlineStr"/>
      <c r="T203" s="143" t="inlineStr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43" t="inlineStr"/>
      <c r="M204" s="143" t="inlineStr"/>
      <c r="N204" s="143" t="inlineStr"/>
      <c r="O204" s="143" t="inlineStr"/>
      <c r="P204" s="143" t="inlineStr"/>
      <c r="Q204" s="143" t="inlineStr"/>
      <c r="R204" s="143" t="inlineStr"/>
      <c r="S204" s="143" t="inlineStr"/>
      <c r="T204" s="143" t="inlineStr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16" customWidth="1" min="4" max="4"/>
    <col width="12" customWidth="1" min="5" max="5"/>
    <col width="22" customWidth="1" min="6" max="6"/>
    <col width="10" customWidth="1" min="7" max="7"/>
    <col width="20" customWidth="1" min="8" max="8"/>
    <col width="20" customWidth="1" min="9" max="9"/>
    <col width="10" customWidth="1" min="10" max="10"/>
    <col width="24" customWidth="1" min="11" max="11"/>
  </cols>
  <sheetData>
    <row r="1">
      <c r="A1" s="141" t="inlineStr">
        <is>
          <t>Evidence Snapshots (for diff/change detection)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snapshot_id</t>
        </is>
      </c>
      <c r="B3" s="149" t="inlineStr">
        <is>
          <t>url</t>
        </is>
      </c>
      <c r="C3" s="149" t="inlineStr">
        <is>
          <t>domain</t>
        </is>
      </c>
      <c r="D3" s="149" t="inlineStr">
        <is>
          <t>source_key</t>
        </is>
      </c>
      <c r="E3" s="149" t="inlineStr">
        <is>
          <t>entity_id</t>
        </is>
      </c>
      <c r="F3" s="149" t="inlineStr">
        <is>
          <t>fetched_at_utc</t>
        </is>
      </c>
      <c r="G3" s="149" t="inlineStr">
        <is>
          <t>http_status</t>
        </is>
      </c>
      <c r="H3" s="149" t="inlineStr">
        <is>
          <t>content_hash</t>
        </is>
      </c>
      <c r="I3" s="149" t="inlineStr">
        <is>
          <t>text_hash</t>
        </is>
      </c>
      <c r="J3" s="149" t="inlineStr">
        <is>
          <t>text_len</t>
        </is>
      </c>
      <c r="K3" s="149" t="inlineStr">
        <is>
          <t>notes</t>
        </is>
      </c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snapshot_id</t>
        </is>
      </c>
      <c r="B4" s="149" t="inlineStr">
        <is>
          <t>url</t>
        </is>
      </c>
      <c r="C4" s="149" t="inlineStr">
        <is>
          <t>domain</t>
        </is>
      </c>
      <c r="D4" s="149" t="inlineStr">
        <is>
          <t>source_key</t>
        </is>
      </c>
      <c r="E4" s="149" t="inlineStr">
        <is>
          <t>entity_id</t>
        </is>
      </c>
      <c r="F4" s="149" t="inlineStr">
        <is>
          <t>fetched_at_utc</t>
        </is>
      </c>
      <c r="G4" s="149" t="inlineStr">
        <is>
          <t>http_status</t>
        </is>
      </c>
      <c r="H4" s="149" t="inlineStr">
        <is>
          <t>content_hash</t>
        </is>
      </c>
      <c r="I4" s="149" t="inlineStr">
        <is>
          <t>text_hash</t>
        </is>
      </c>
      <c r="J4" s="149" t="inlineStr">
        <is>
          <t>text_len</t>
        </is>
      </c>
      <c r="K4" s="149" t="inlineStr">
        <is>
          <t>notes</t>
        </is>
      </c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45" customWidth="1" min="5" max="5"/>
    <col width="22" customWidth="1" min="6" max="6"/>
    <col width="18" customWidth="1" min="7" max="7"/>
    <col width="18" customWidth="1" min="8" max="8"/>
    <col width="40" customWidth="1" min="9" max="9"/>
    <col width="12" customWidth="1" min="10" max="10"/>
    <col width="14" customWidth="1" min="11" max="11"/>
    <col width="10" customWidth="1" min="12" max="12"/>
  </cols>
  <sheetData>
    <row r="1">
      <c r="A1" s="141" t="inlineStr">
        <is>
          <t>Events (auto-generated)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event_id</t>
        </is>
      </c>
      <c r="B3" s="149" t="inlineStr">
        <is>
          <t>event_type</t>
        </is>
      </c>
      <c r="C3" s="149" t="inlineStr">
        <is>
          <t>severity</t>
        </is>
      </c>
      <c r="D3" s="149" t="inlineStr">
        <is>
          <t>entity_id</t>
        </is>
      </c>
      <c r="E3" s="149" t="inlineStr">
        <is>
          <t>url</t>
        </is>
      </c>
      <c r="F3" s="149" t="inlineStr">
        <is>
          <t>detected_at_utc</t>
        </is>
      </c>
      <c r="G3" s="149" t="inlineStr">
        <is>
          <t>prev_text_hash</t>
        </is>
      </c>
      <c r="H3" s="149" t="inlineStr">
        <is>
          <t>new_text_hash</t>
        </is>
      </c>
      <c r="I3" s="149" t="inlineStr">
        <is>
          <t>summary</t>
        </is>
      </c>
      <c r="J3" s="149" t="inlineStr">
        <is>
          <t>evidence_id</t>
        </is>
      </c>
      <c r="K3" s="149" t="inlineStr">
        <is>
          <t>review_task_id</t>
        </is>
      </c>
      <c r="L3" s="149" t="inlineStr">
        <is>
          <t>status</t>
        </is>
      </c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event_id</t>
        </is>
      </c>
      <c r="B4" s="149" t="inlineStr">
        <is>
          <t>event_type</t>
        </is>
      </c>
      <c r="C4" s="149" t="inlineStr">
        <is>
          <t>severity</t>
        </is>
      </c>
      <c r="D4" s="149" t="inlineStr">
        <is>
          <t>entity_id</t>
        </is>
      </c>
      <c r="E4" s="149" t="inlineStr">
        <is>
          <t>url</t>
        </is>
      </c>
      <c r="F4" s="149" t="inlineStr">
        <is>
          <t>detected_at_utc</t>
        </is>
      </c>
      <c r="G4" s="149" t="inlineStr">
        <is>
          <t>prev_text_hash</t>
        </is>
      </c>
      <c r="H4" s="149" t="inlineStr">
        <is>
          <t>new_text_hash</t>
        </is>
      </c>
      <c r="I4" s="149" t="inlineStr">
        <is>
          <t>summary</t>
        </is>
      </c>
      <c r="J4" s="149" t="inlineStr">
        <is>
          <t>evidence_id</t>
        </is>
      </c>
      <c r="K4" s="149" t="inlineStr">
        <is>
          <t>review_task_id</t>
        </is>
      </c>
      <c r="L4" s="149" t="inlineStr">
        <is>
          <t>status</t>
        </is>
      </c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43" t="inlineStr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43" t="inlineStr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43" t="inlineStr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43" t="inlineStr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43" t="inlineStr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43" t="inlineStr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43" t="inlineStr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43" t="inlineStr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43" t="inlineStr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43" t="inlineStr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43" t="inlineStr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43" t="inlineStr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43" t="inlineStr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43" t="inlineStr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43" t="inlineStr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43" t="inlineStr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43" t="inlineStr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43" t="inlineStr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43" t="inlineStr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43" t="inlineStr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43" t="inlineStr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43" t="inlineStr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43" t="inlineStr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43" t="inlineStr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43" t="inlineStr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43" t="inlineStr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43" t="inlineStr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43" t="inlineStr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43" t="inlineStr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43" t="inlineStr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43" t="inlineStr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43" t="inlineStr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43" t="inlineStr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43" t="inlineStr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43" t="inlineStr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43" t="inlineStr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43" t="inlineStr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43" t="inlineStr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43" t="inlineStr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43" t="inlineStr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43" t="inlineStr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43" t="inlineStr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43" t="inlineStr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43" t="inlineStr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43" t="inlineStr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43" t="inlineStr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43" t="inlineStr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43" t="inlineStr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43" t="inlineStr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43" t="inlineStr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43" t="inlineStr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43" t="inlineStr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43" t="inlineStr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43" t="inlineStr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43" t="inlineStr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43" t="inlineStr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43" t="inlineStr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43" t="inlineStr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43" t="inlineStr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43" t="inlineStr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43" t="inlineStr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43" t="inlineStr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43" t="inlineStr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43" t="inlineStr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43" t="inlineStr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43" t="inlineStr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43" t="inlineStr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43" t="inlineStr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43" t="inlineStr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43" t="inlineStr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43" t="inlineStr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43" t="inlineStr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43" t="inlineStr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43" t="inlineStr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43" t="inlineStr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43" t="inlineStr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43" t="inlineStr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43" t="inlineStr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43" t="inlineStr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43" t="inlineStr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43" t="inlineStr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43" t="inlineStr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43" t="inlineStr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43" t="inlineStr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43" t="inlineStr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43" t="inlineStr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43" t="inlineStr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43" t="inlineStr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43" t="inlineStr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43" t="inlineStr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43" t="inlineStr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43" t="inlineStr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43" t="inlineStr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43" t="inlineStr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43" t="inlineStr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43" t="inlineStr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43" t="inlineStr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43" t="inlineStr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43" t="inlineStr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43" t="inlineStr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43" t="inlineStr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43" t="inlineStr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43" t="inlineStr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43" t="inlineStr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43" t="inlineStr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43" t="inlineStr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43" t="inlineStr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43" t="inlineStr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43" t="inlineStr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43" t="inlineStr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43" t="inlineStr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43" t="inlineStr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43" t="inlineStr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43" t="inlineStr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43" t="inlineStr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43" t="inlineStr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43" t="inlineStr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43" t="inlineStr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43" t="inlineStr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43" t="inlineStr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43" t="inlineStr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43" t="inlineStr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43" t="inlineStr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43" t="inlineStr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43" t="inlineStr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43" t="inlineStr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43" t="inlineStr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43" t="inlineStr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43" t="inlineStr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43" t="inlineStr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43" t="inlineStr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43" t="inlineStr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43" t="inlineStr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43" t="inlineStr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43" t="inlineStr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43" t="inlineStr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43" t="inlineStr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43" t="inlineStr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43" t="inlineStr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43" t="inlineStr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43" t="inlineStr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43" t="inlineStr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43" t="inlineStr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43" t="inlineStr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43" t="inlineStr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43" t="inlineStr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43" t="inlineStr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43" t="inlineStr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43" t="inlineStr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43" t="inlineStr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43" t="inlineStr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43" t="inlineStr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43" t="inlineStr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43" t="inlineStr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43" t="inlineStr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43" t="inlineStr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43" t="inlineStr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43" t="inlineStr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43" t="inlineStr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43" t="inlineStr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43" t="inlineStr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43" t="inlineStr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43" t="inlineStr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43" t="inlineStr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43" t="inlineStr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43" t="inlineStr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43" t="inlineStr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43" t="inlineStr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43" t="inlineStr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43" t="inlineStr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43" t="inlineStr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43" t="inlineStr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43" t="inlineStr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43" t="inlineStr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43" t="inlineStr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43" t="inlineStr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43" t="inlineStr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43" t="inlineStr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43" t="inlineStr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43" t="inlineStr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43" t="inlineStr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43" t="inlineStr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43" t="inlineStr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43" t="inlineStr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43" t="inlineStr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43" t="inlineStr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43" t="inlineStr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43" t="inlineStr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43" t="inlineStr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43" t="inlineStr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43" t="inlineStr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43" t="inlineStr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43" t="inlineStr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43" t="inlineStr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43" t="inlineStr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43" t="inlineStr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43" t="inlineStr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43" t="inlineStr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43" t="inlineStr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43" t="inlineStr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22" customWidth="1" min="6" max="6"/>
    <col width="52" customWidth="1" min="7" max="7"/>
    <col width="22" customWidth="1" min="8" max="8"/>
    <col width="24" customWidth="1" min="9" max="9"/>
  </cols>
  <sheetData>
    <row r="1">
      <c r="A1" s="141" t="inlineStr">
        <is>
          <t>Alerts (rules)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alert_id</t>
        </is>
      </c>
      <c r="B3" s="149" t="inlineStr">
        <is>
          <t>rule_key</t>
        </is>
      </c>
      <c r="C3" s="149" t="inlineStr">
        <is>
          <t>enabled</t>
        </is>
      </c>
      <c r="D3" s="149" t="inlineStr">
        <is>
          <t>severity</t>
        </is>
      </c>
      <c r="E3" s="149" t="inlineStr">
        <is>
          <t>scope</t>
        </is>
      </c>
      <c r="F3" s="149" t="inlineStr">
        <is>
          <t>condition</t>
        </is>
      </c>
      <c r="G3" s="149" t="inlineStr">
        <is>
          <t>message_template</t>
        </is>
      </c>
      <c r="H3" s="149" t="inlineStr">
        <is>
          <t>last_fired_at_utc</t>
        </is>
      </c>
      <c r="I3" s="149" t="inlineStr">
        <is>
          <t>notes</t>
        </is>
      </c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alert_id</t>
        </is>
      </c>
      <c r="B4" s="149" t="inlineStr">
        <is>
          <t>rule_key</t>
        </is>
      </c>
      <c r="C4" s="149" t="inlineStr">
        <is>
          <t>enabled</t>
        </is>
      </c>
      <c r="D4" s="149" t="inlineStr">
        <is>
          <t>severity</t>
        </is>
      </c>
      <c r="E4" s="149" t="inlineStr">
        <is>
          <t>scope</t>
        </is>
      </c>
      <c r="F4" s="149" t="inlineStr">
        <is>
          <t>condition</t>
        </is>
      </c>
      <c r="G4" s="149" t="inlineStr">
        <is>
          <t>message_template</t>
        </is>
      </c>
      <c r="H4" s="149" t="inlineStr">
        <is>
          <t>last_fired_at_utc</t>
        </is>
      </c>
      <c r="I4" s="149" t="inlineStr">
        <is>
          <t>notes</t>
        </is>
      </c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144" t="inlineStr">
        <is>
          <t>Self Tests (PASS/FAIL)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Test</t>
        </is>
      </c>
      <c r="B3" s="149" t="inlineStr">
        <is>
          <t>Result</t>
        </is>
      </c>
      <c r="C3" s="149" t="inlineStr">
        <is>
          <t>Notes</t>
        </is>
      </c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3" t="inlineStr">
        <is>
          <t>No PROMOTED candidate without evidence_id</t>
        </is>
      </c>
      <c r="B4" s="143">
        <f>IF(COUNTIFS(Input!tblClaimCandidates[status_final],"PROMOTED",Input!tblClaimCandidates[evidence_id],"")=0,"PASS","FAIL")</f>
        <v/>
      </c>
      <c r="C4" s="143" t="inlineStr">
        <is>
          <t>Fail-closed: promoted claims must have evidence_id</t>
        </is>
      </c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>
        <is>
          <t>No PROMOTED candidate with UNKNOWN/blank value</t>
        </is>
      </c>
      <c r="B5" s="143">
        <f>IF(COUNTIFS(Input!tblClaimCandidates[status_final],"PROMOTED",Input!tblClaimCandidates[value_text],"UNKNOWN") + COUNTIFS(Input!tblClaimCandidates[status_final],"PROMOTED",Input!tblClaimCandidates[value_text],"")&gt;0,"FAIL","PASS")</f>
        <v/>
      </c>
      <c r="C5" s="143" t="inlineStr">
        <is>
          <t>Fail-closed: promoted claims cannot be UNKNOWN/blank</t>
        </is>
      </c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>
        <is>
          <t>All Evidence rows allowlist_ok must be TRUE</t>
        </is>
      </c>
      <c r="B6" s="143">
        <f>IF(COUNTIF(Input!tblEvidence[allowlist_ok],"FALSE")=0,"PASS","FAIL")</f>
        <v/>
      </c>
      <c r="C6" s="143" t="inlineStr">
        <is>
          <t>Allowlist enforcement sanity check</t>
        </is>
      </c>
      <c r="D6" s="112" t="n"/>
      <c r="E6" s="112" t="n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>
        <is>
          <t>Claims_Current status computed</t>
        </is>
      </c>
      <c r="B7" s="143">
        <f>IF(COUNTIF(Claims_Current!tblClaimsCurrent[status],"")=0,"PASS","FAIL")</f>
        <v/>
      </c>
      <c r="C7" s="143" t="inlineStr">
        <is>
          <t>No blank statuses</t>
        </is>
      </c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12" t="n"/>
      <c r="B8" s="112" t="n"/>
      <c r="C8" s="112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12" t="n"/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12" t="n"/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12" t="n"/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12" t="n"/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12" t="n"/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12" t="n"/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12" t="n"/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12" t="n"/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12" t="n"/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12" t="n"/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12" t="n"/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12" t="n"/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12" t="n"/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12" t="n"/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12" t="n"/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12" t="n"/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12" t="n"/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12" t="n"/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12" t="n"/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12" t="n"/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12" t="n"/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12" t="n"/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12" t="n"/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12" t="n"/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12" t="n"/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12" t="n"/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12" t="n"/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12" t="n"/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12" t="n"/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12" t="n"/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12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12" t="n"/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12" t="n"/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12" t="n"/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12" t="n"/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12" t="n"/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44" t="inlineStr">
        <is>
          <t>Macro Install &amp; One-Click Setup (Excel)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 ht="260" customHeight="1">
      <c r="A3" s="145" t="inlineStr">
        <is>
          <t>1) Save this workbook as .XLSM (File → Save As → Excel Macro-Enabled Workbook).
2) Press ALT+F11 to open the VBA editor.
3) File → Import File… and import all .BAS modules from the provided zip.
4) In VBA editor: Run macro SetupUI once (creates Dashboard buttons and binds them).
5) In Config tab: set SEARCH_PROVIDER, SEARCH_API_KEY, and allowed domains in Sources_Allowlist.
6) Use the Dashboard button: Run Pipeline (Refresh → Validate → Diff → Extract → Promote → Alerts).
Fail-closed rules:
- If API key missing or a URL is not allowlisted, ingestion is skipped and a Review Task is created.
- If extraction cannot find an explicit value, value is set to UNKNOWN and a Review Task is created.</t>
        </is>
      </c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12" t="n"/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12" t="n"/>
      <c r="B5" s="112" t="n"/>
      <c r="C5" s="112" t="n"/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12" t="n"/>
      <c r="B6" s="112" t="n"/>
      <c r="C6" s="112" t="n"/>
      <c r="D6" s="112" t="n"/>
      <c r="E6" s="112" t="n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12" t="n"/>
      <c r="B7" s="112" t="n"/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12" t="n"/>
      <c r="B8" s="112" t="n"/>
      <c r="C8" s="112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12" t="n"/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12" t="n"/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12" t="n"/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12" t="n"/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12" t="n"/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12" t="n"/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12" t="n"/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12" t="n"/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12" t="n"/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12" t="n"/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12" t="n"/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12" t="n"/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12" t="n"/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12" t="n"/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12" t="n"/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12" t="n"/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12" t="n"/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12" t="n"/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12" t="n"/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12" t="n"/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12" t="n"/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12" t="n"/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12" t="n"/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12" t="n"/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12" t="n"/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12" t="n"/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12" t="n"/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12" t="n"/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12" t="n"/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12" t="n"/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12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12" t="n"/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12" t="n"/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12" t="n"/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12" t="n"/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12" t="n"/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0" customWidth="1" min="5" max="5"/>
    <col width="20" customWidth="1" min="6" max="6"/>
    <col width="16" customWidth="1" min="7" max="7"/>
    <col width="18" customWidth="1" min="8" max="8"/>
    <col width="18" customWidth="1" min="9" max="9"/>
    <col width="14" customWidth="1" min="10" max="10"/>
    <col width="14" customWidth="1" min="11" max="11"/>
    <col width="16" customWidth="1" min="12" max="12"/>
    <col width="30" customWidth="1" min="13" max="13"/>
  </cols>
  <sheetData>
    <row r="1">
      <c r="A1" s="141" t="inlineStr">
        <is>
          <t>Pipeline Run Log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run_id</t>
        </is>
      </c>
      <c r="B3" s="149" t="inlineStr">
        <is>
          <t>started_at_utc</t>
        </is>
      </c>
      <c r="C3" s="149" t="inlineStr">
        <is>
          <t>ended_at_utc</t>
        </is>
      </c>
      <c r="D3" s="149" t="inlineStr">
        <is>
          <t>mode</t>
        </is>
      </c>
      <c r="E3" s="149" t="inlineStr">
        <is>
          <t>status</t>
        </is>
      </c>
      <c r="F3" s="149" t="inlineStr">
        <is>
          <t>discovered_candidates</t>
        </is>
      </c>
      <c r="G3" s="149" t="inlineStr">
        <is>
          <t>evidence_fetched</t>
        </is>
      </c>
      <c r="H3" s="149" t="inlineStr">
        <is>
          <t>candidates_written</t>
        </is>
      </c>
      <c r="I3" s="149" t="inlineStr">
        <is>
          <t>promoted_versions</t>
        </is>
      </c>
      <c r="J3" s="149" t="inlineStr">
        <is>
          <t>events_created</t>
        </is>
      </c>
      <c r="K3" s="149" t="inlineStr">
        <is>
          <t>alerts_fired</t>
        </is>
      </c>
      <c r="L3" s="149" t="inlineStr">
        <is>
          <t>unknowns_created</t>
        </is>
      </c>
      <c r="M3" s="149" t="inlineStr">
        <is>
          <t>notes</t>
        </is>
      </c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run_id</t>
        </is>
      </c>
      <c r="B4" s="149" t="inlineStr">
        <is>
          <t>started_at_utc</t>
        </is>
      </c>
      <c r="C4" s="149" t="inlineStr">
        <is>
          <t>ended_at_utc</t>
        </is>
      </c>
      <c r="D4" s="149" t="inlineStr">
        <is>
          <t>mode</t>
        </is>
      </c>
      <c r="E4" s="149" t="inlineStr">
        <is>
          <t>status</t>
        </is>
      </c>
      <c r="F4" s="149" t="inlineStr">
        <is>
          <t>discovered_candidates</t>
        </is>
      </c>
      <c r="G4" s="149" t="inlineStr">
        <is>
          <t>evidence_fetched</t>
        </is>
      </c>
      <c r="H4" s="149" t="inlineStr">
        <is>
          <t>candidates_written</t>
        </is>
      </c>
      <c r="I4" s="149" t="inlineStr">
        <is>
          <t>promoted_versions</t>
        </is>
      </c>
      <c r="J4" s="149" t="inlineStr">
        <is>
          <t>events_created</t>
        </is>
      </c>
      <c r="K4" s="149" t="inlineStr">
        <is>
          <t>alerts_fired</t>
        </is>
      </c>
      <c r="L4" s="149" t="inlineStr">
        <is>
          <t>unknowns_created</t>
        </is>
      </c>
      <c r="M4" s="149" t="inlineStr">
        <is>
          <t>notes</t>
        </is>
      </c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43" t="inlineStr"/>
      <c r="M5" s="143" t="inlineStr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43" t="inlineStr"/>
      <c r="M6" s="143" t="inlineStr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43" t="inlineStr"/>
      <c r="M7" s="143" t="inlineStr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43" t="inlineStr"/>
      <c r="M8" s="143" t="inlineStr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43" t="inlineStr"/>
      <c r="M9" s="143" t="inlineStr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43" t="inlineStr"/>
      <c r="M10" s="143" t="inlineStr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43" t="inlineStr"/>
      <c r="M11" s="143" t="inlineStr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43" t="inlineStr"/>
      <c r="M12" s="143" t="inlineStr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43" t="inlineStr"/>
      <c r="M13" s="143" t="inlineStr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43" t="inlineStr"/>
      <c r="M14" s="143" t="inlineStr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43" t="inlineStr"/>
      <c r="M15" s="143" t="inlineStr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43" t="inlineStr"/>
      <c r="M16" s="143" t="inlineStr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43" t="inlineStr"/>
      <c r="M17" s="143" t="inlineStr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43" t="inlineStr"/>
      <c r="M18" s="143" t="inlineStr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43" t="inlineStr"/>
      <c r="M19" s="143" t="inlineStr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43" t="inlineStr"/>
      <c r="M20" s="143" t="inlineStr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43" t="inlineStr"/>
      <c r="M21" s="143" t="inlineStr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43" t="inlineStr"/>
      <c r="M22" s="143" t="inlineStr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43" t="inlineStr"/>
      <c r="M23" s="143" t="inlineStr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43" t="inlineStr"/>
      <c r="M24" s="143" t="inlineStr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43" t="inlineStr"/>
      <c r="M25" s="143" t="inlineStr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43" t="inlineStr"/>
      <c r="M26" s="143" t="inlineStr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43" t="inlineStr"/>
      <c r="M27" s="143" t="inlineStr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43" t="inlineStr"/>
      <c r="M28" s="143" t="inlineStr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43" t="inlineStr"/>
      <c r="M29" s="143" t="inlineStr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43" t="inlineStr"/>
      <c r="M30" s="143" t="inlineStr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43" t="inlineStr"/>
      <c r="M31" s="143" t="inlineStr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43" t="inlineStr"/>
      <c r="M32" s="143" t="inlineStr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43" t="inlineStr"/>
      <c r="M33" s="143" t="inlineStr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43" t="inlineStr"/>
      <c r="M34" s="143" t="inlineStr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43" t="inlineStr"/>
      <c r="M35" s="143" t="inlineStr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43" t="inlineStr"/>
      <c r="M36" s="143" t="inlineStr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43" t="inlineStr"/>
      <c r="M37" s="143" t="inlineStr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43" t="inlineStr"/>
      <c r="M38" s="143" t="inlineStr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43" t="inlineStr"/>
      <c r="M39" s="143" t="inlineStr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43" t="inlineStr"/>
      <c r="M40" s="143" t="inlineStr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43" t="inlineStr"/>
      <c r="M41" s="143" t="inlineStr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43" t="inlineStr"/>
      <c r="M42" s="143" t="inlineStr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43" t="inlineStr"/>
      <c r="M43" s="143" t="inlineStr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43" t="inlineStr"/>
      <c r="M44" s="143" t="inlineStr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43" t="inlineStr"/>
      <c r="M45" s="143" t="inlineStr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43" t="inlineStr"/>
      <c r="M46" s="143" t="inlineStr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43" t="inlineStr"/>
      <c r="M47" s="143" t="inlineStr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43" t="inlineStr"/>
      <c r="M48" s="143" t="inlineStr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43" t="inlineStr"/>
      <c r="M49" s="143" t="inlineStr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43" t="inlineStr"/>
      <c r="M50" s="143" t="inlineStr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43" t="inlineStr"/>
      <c r="M51" s="143" t="inlineStr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43" t="inlineStr"/>
      <c r="M52" s="143" t="inlineStr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43" t="inlineStr"/>
      <c r="M53" s="143" t="inlineStr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43" t="inlineStr"/>
      <c r="M54" s="143" t="inlineStr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43" t="inlineStr"/>
      <c r="M55" s="143" t="inlineStr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43" t="inlineStr"/>
      <c r="M56" s="143" t="inlineStr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43" t="inlineStr"/>
      <c r="M57" s="143" t="inlineStr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43" t="inlineStr"/>
      <c r="M58" s="143" t="inlineStr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43" t="inlineStr"/>
      <c r="M59" s="143" t="inlineStr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43" t="inlineStr"/>
      <c r="M60" s="143" t="inlineStr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43" t="inlineStr"/>
      <c r="M61" s="143" t="inlineStr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43" t="inlineStr"/>
      <c r="M62" s="143" t="inlineStr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43" t="inlineStr"/>
      <c r="M63" s="143" t="inlineStr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43" t="inlineStr"/>
      <c r="M64" s="143" t="inlineStr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43" t="inlineStr"/>
      <c r="M65" s="143" t="inlineStr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43" t="inlineStr"/>
      <c r="M66" s="143" t="inlineStr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43" t="inlineStr"/>
      <c r="M67" s="143" t="inlineStr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43" t="inlineStr"/>
      <c r="M68" s="143" t="inlineStr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43" t="inlineStr"/>
      <c r="M69" s="143" t="inlineStr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43" t="inlineStr"/>
      <c r="M70" s="143" t="inlineStr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43" t="inlineStr"/>
      <c r="M71" s="143" t="inlineStr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43" t="inlineStr"/>
      <c r="M72" s="143" t="inlineStr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43" t="inlineStr"/>
      <c r="M73" s="143" t="inlineStr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43" t="inlineStr"/>
      <c r="M74" s="143" t="inlineStr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43" t="inlineStr"/>
      <c r="M75" s="143" t="inlineStr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43" t="inlineStr"/>
      <c r="M76" s="143" t="inlineStr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43" t="inlineStr"/>
      <c r="M77" s="143" t="inlineStr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43" t="inlineStr"/>
      <c r="M78" s="143" t="inlineStr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43" t="inlineStr"/>
      <c r="M79" s="143" t="inlineStr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43" t="inlineStr"/>
      <c r="M80" s="143" t="inlineStr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43" t="inlineStr"/>
      <c r="M81" s="143" t="inlineStr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43" t="inlineStr"/>
      <c r="M82" s="143" t="inlineStr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43" t="inlineStr"/>
      <c r="M83" s="143" t="inlineStr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43" t="inlineStr"/>
      <c r="M84" s="143" t="inlineStr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43" t="inlineStr"/>
      <c r="M85" s="143" t="inlineStr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43" t="inlineStr"/>
      <c r="M86" s="143" t="inlineStr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43" t="inlineStr"/>
      <c r="M87" s="143" t="inlineStr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43" t="inlineStr"/>
      <c r="M88" s="143" t="inlineStr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43" t="inlineStr"/>
      <c r="M89" s="143" t="inlineStr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43" t="inlineStr"/>
      <c r="M90" s="143" t="inlineStr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43" t="inlineStr"/>
      <c r="M91" s="143" t="inlineStr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43" t="inlineStr"/>
      <c r="M92" s="143" t="inlineStr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43" t="inlineStr"/>
      <c r="M93" s="143" t="inlineStr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43" t="inlineStr"/>
      <c r="M94" s="143" t="inlineStr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43" t="inlineStr"/>
      <c r="M95" s="143" t="inlineStr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43" t="inlineStr"/>
      <c r="M96" s="143" t="inlineStr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43" t="inlineStr"/>
      <c r="M97" s="143" t="inlineStr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43" t="inlineStr"/>
      <c r="M98" s="143" t="inlineStr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43" t="inlineStr"/>
      <c r="M99" s="143" t="inlineStr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43" t="inlineStr"/>
      <c r="M100" s="143" t="inlineStr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43" t="inlineStr"/>
      <c r="M101" s="143" t="inlineStr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43" t="inlineStr"/>
      <c r="M102" s="143" t="inlineStr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43" t="inlineStr"/>
      <c r="M103" s="143" t="inlineStr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43" t="inlineStr"/>
      <c r="M104" s="143" t="inlineStr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43" t="inlineStr"/>
      <c r="M105" s="143" t="inlineStr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43" t="inlineStr"/>
      <c r="M106" s="143" t="inlineStr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43" t="inlineStr"/>
      <c r="M107" s="143" t="inlineStr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43" t="inlineStr"/>
      <c r="M108" s="143" t="inlineStr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43" t="inlineStr"/>
      <c r="M109" s="143" t="inlineStr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43" t="inlineStr"/>
      <c r="M110" s="143" t="inlineStr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43" t="inlineStr"/>
      <c r="M111" s="143" t="inlineStr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43" t="inlineStr"/>
      <c r="M112" s="143" t="inlineStr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43" t="inlineStr"/>
      <c r="M113" s="143" t="inlineStr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43" t="inlineStr"/>
      <c r="M114" s="143" t="inlineStr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43" t="inlineStr"/>
      <c r="M115" s="143" t="inlineStr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43" t="inlineStr"/>
      <c r="M116" s="143" t="inlineStr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43" t="inlineStr"/>
      <c r="M117" s="143" t="inlineStr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43" t="inlineStr"/>
      <c r="M118" s="143" t="inlineStr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43" t="inlineStr"/>
      <c r="M119" s="143" t="inlineStr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43" t="inlineStr"/>
      <c r="M120" s="143" t="inlineStr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43" t="inlineStr"/>
      <c r="M121" s="143" t="inlineStr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43" t="inlineStr"/>
      <c r="M122" s="143" t="inlineStr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43" t="inlineStr"/>
      <c r="M123" s="143" t="inlineStr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43" t="inlineStr"/>
      <c r="M124" s="143" t="inlineStr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43" t="inlineStr"/>
      <c r="M125" s="143" t="inlineStr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43" t="inlineStr"/>
      <c r="M126" s="143" t="inlineStr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43" t="inlineStr"/>
      <c r="M127" s="143" t="inlineStr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43" t="inlineStr"/>
      <c r="M128" s="143" t="inlineStr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43" t="inlineStr"/>
      <c r="M129" s="143" t="inlineStr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43" t="inlineStr"/>
      <c r="M130" s="143" t="inlineStr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43" t="inlineStr"/>
      <c r="M131" s="143" t="inlineStr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43" t="inlineStr"/>
      <c r="M132" s="143" t="inlineStr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43" t="inlineStr"/>
      <c r="M133" s="143" t="inlineStr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43" t="inlineStr"/>
      <c r="M134" s="143" t="inlineStr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43" t="inlineStr"/>
      <c r="M135" s="143" t="inlineStr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43" t="inlineStr"/>
      <c r="M136" s="143" t="inlineStr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43" t="inlineStr"/>
      <c r="M137" s="143" t="inlineStr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43" t="inlineStr"/>
      <c r="M138" s="143" t="inlineStr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43" t="inlineStr"/>
      <c r="M139" s="143" t="inlineStr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43" t="inlineStr"/>
      <c r="M140" s="143" t="inlineStr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43" t="inlineStr"/>
      <c r="M141" s="143" t="inlineStr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43" t="inlineStr"/>
      <c r="M142" s="143" t="inlineStr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43" t="inlineStr"/>
      <c r="M143" s="143" t="inlineStr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43" t="inlineStr"/>
      <c r="M144" s="143" t="inlineStr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43" t="inlineStr"/>
      <c r="M145" s="143" t="inlineStr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43" t="inlineStr"/>
      <c r="M146" s="143" t="inlineStr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43" t="inlineStr"/>
      <c r="M147" s="143" t="inlineStr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43" t="inlineStr"/>
      <c r="M148" s="143" t="inlineStr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43" t="inlineStr"/>
      <c r="M149" s="143" t="inlineStr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43" t="inlineStr"/>
      <c r="M150" s="143" t="inlineStr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43" t="inlineStr"/>
      <c r="M151" s="143" t="inlineStr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43" t="inlineStr"/>
      <c r="M152" s="143" t="inlineStr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43" t="inlineStr"/>
      <c r="M153" s="143" t="inlineStr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43" t="inlineStr"/>
      <c r="M154" s="143" t="inlineStr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43" t="inlineStr"/>
      <c r="M155" s="143" t="inlineStr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43" t="inlineStr"/>
      <c r="M156" s="143" t="inlineStr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43" t="inlineStr"/>
      <c r="M157" s="143" t="inlineStr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43" t="inlineStr"/>
      <c r="M158" s="143" t="inlineStr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43" t="inlineStr"/>
      <c r="M159" s="143" t="inlineStr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43" t="inlineStr"/>
      <c r="M160" s="143" t="inlineStr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43" t="inlineStr"/>
      <c r="M161" s="143" t="inlineStr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43" t="inlineStr"/>
      <c r="M162" s="143" t="inlineStr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43" t="inlineStr"/>
      <c r="M163" s="143" t="inlineStr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43" t="inlineStr"/>
      <c r="M164" s="143" t="inlineStr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43" t="inlineStr"/>
      <c r="M165" s="143" t="inlineStr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43" t="inlineStr"/>
      <c r="M166" s="143" t="inlineStr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43" t="inlineStr"/>
      <c r="M167" s="143" t="inlineStr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43" t="inlineStr"/>
      <c r="M168" s="143" t="inlineStr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43" t="inlineStr"/>
      <c r="M169" s="143" t="inlineStr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43" t="inlineStr"/>
      <c r="M170" s="143" t="inlineStr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43" t="inlineStr"/>
      <c r="M171" s="143" t="inlineStr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43" t="inlineStr"/>
      <c r="M172" s="143" t="inlineStr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43" t="inlineStr"/>
      <c r="M173" s="143" t="inlineStr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43" t="inlineStr"/>
      <c r="M174" s="143" t="inlineStr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43" t="inlineStr"/>
      <c r="M175" s="143" t="inlineStr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43" t="inlineStr"/>
      <c r="M176" s="143" t="inlineStr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43" t="inlineStr"/>
      <c r="M177" s="143" t="inlineStr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43" t="inlineStr"/>
      <c r="M178" s="143" t="inlineStr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43" t="inlineStr"/>
      <c r="M179" s="143" t="inlineStr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43" t="inlineStr"/>
      <c r="M180" s="143" t="inlineStr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43" t="inlineStr"/>
      <c r="M181" s="143" t="inlineStr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43" t="inlineStr"/>
      <c r="M182" s="143" t="inlineStr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43" t="inlineStr"/>
      <c r="M183" s="143" t="inlineStr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43" t="inlineStr"/>
      <c r="M184" s="143" t="inlineStr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43" t="inlineStr"/>
      <c r="M185" s="143" t="inlineStr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43" t="inlineStr"/>
      <c r="M186" s="143" t="inlineStr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43" t="inlineStr"/>
      <c r="M187" s="143" t="inlineStr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43" t="inlineStr"/>
      <c r="M188" s="143" t="inlineStr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43" t="inlineStr"/>
      <c r="M189" s="143" t="inlineStr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43" t="inlineStr"/>
      <c r="M190" s="143" t="inlineStr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43" t="inlineStr"/>
      <c r="M191" s="143" t="inlineStr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43" t="inlineStr"/>
      <c r="M192" s="143" t="inlineStr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43" t="inlineStr"/>
      <c r="M193" s="143" t="inlineStr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43" t="inlineStr"/>
      <c r="M194" s="143" t="inlineStr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43" t="inlineStr"/>
      <c r="M195" s="143" t="inlineStr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43" t="inlineStr"/>
      <c r="M196" s="143" t="inlineStr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43" t="inlineStr"/>
      <c r="M197" s="143" t="inlineStr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43" t="inlineStr"/>
      <c r="M198" s="143" t="inlineStr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43" t="inlineStr"/>
      <c r="M199" s="143" t="inlineStr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43" t="inlineStr"/>
      <c r="M200" s="143" t="inlineStr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43" t="inlineStr"/>
      <c r="M201" s="143" t="inlineStr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43" t="inlineStr"/>
      <c r="M202" s="143" t="inlineStr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43" t="inlineStr"/>
      <c r="M203" s="143" t="inlineStr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43" t="inlineStr"/>
      <c r="M204" s="143" t="inlineStr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44" t="inlineStr">
        <is>
          <t>Competitor Feature Matrix (heatmap-ready)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Competitor</t>
        </is>
      </c>
      <c r="B3" s="149">
        <f>IFERROR(INDEX(Feature_Taxonomy!tblFeatureTaxonomy[feature_name],1),"")</f>
        <v/>
      </c>
      <c r="C3" s="149">
        <f>IFERROR(INDEX(Feature_Taxonomy!tblFeatureTaxonomy[feature_name],2),"")</f>
        <v/>
      </c>
      <c r="D3" s="149">
        <f>IFERROR(INDEX(Feature_Taxonomy!tblFeatureTaxonomy[feature_name],3),"")</f>
        <v/>
      </c>
      <c r="E3" s="149">
        <f>IFERROR(INDEX(Feature_Taxonomy!tblFeatureTaxonomy[feature_name],4),"")</f>
        <v/>
      </c>
      <c r="F3" s="149">
        <f>IFERROR(INDEX(Feature_Taxonomy!tblFeatureTaxonomy[feature_name],5),"")</f>
        <v/>
      </c>
      <c r="G3" s="149">
        <f>IFERROR(INDEX(Feature_Taxonomy!tblFeatureTaxonomy[feature_name],6),"")</f>
        <v/>
      </c>
      <c r="H3" s="149">
        <f>IFERROR(INDEX(Feature_Taxonomy!tblFeatureTaxonomy[feature_name],7),"")</f>
        <v/>
      </c>
      <c r="I3" s="149">
        <f>IFERROR(INDEX(Feature_Taxonomy!tblFeatureTaxonomy[feature_name],8),"")</f>
        <v/>
      </c>
      <c r="J3" s="149">
        <f>IFERROR(INDEX(Feature_Taxonomy!tblFeatureTaxonomy[feature_name],9),"")</f>
        <v/>
      </c>
      <c r="K3" s="149">
        <f>IFERROR(INDEX(Feature_Taxonomy!tblFeatureTaxonomy[feature_name],10),"")</f>
        <v/>
      </c>
      <c r="L3" s="149">
        <f>IFERROR(INDEX(Feature_Taxonomy!tblFeatureTaxonomy[feature_name],11),"")</f>
        <v/>
      </c>
      <c r="M3" s="149">
        <f>IFERROR(INDEX(Feature_Taxonomy!tblFeatureTaxonomy[feature_name],12),"")</f>
        <v/>
      </c>
      <c r="N3" s="149">
        <f>IFERROR(INDEX(Feature_Taxonomy!tblFeatureTaxonomy[feature_name],13),"")</f>
        <v/>
      </c>
      <c r="O3" s="149">
        <f>IFERROR(INDEX(Feature_Taxonomy!tblFeatureTaxonomy[feature_name],14),"")</f>
        <v/>
      </c>
      <c r="P3" s="149">
        <f>IFERROR(INDEX(Feature_Taxonomy!tblFeatureTaxonomy[feature_name],15),"")</f>
        <v/>
      </c>
      <c r="Q3" s="149">
        <f>IFERROR(INDEX(Feature_Taxonomy!tblFeatureTaxonomy[feature_name],16),"")</f>
        <v/>
      </c>
      <c r="R3" s="149">
        <f>IFERROR(INDEX(Feature_Taxonomy!tblFeatureTaxonomy[feature_name],17),"")</f>
        <v/>
      </c>
      <c r="S3" s="149">
        <f>IFERROR(INDEX(Feature_Taxonomy!tblFeatureTaxonomy[feature_name],18),"")</f>
        <v/>
      </c>
      <c r="T3" s="149">
        <f>IFERROR(INDEX(Feature_Taxonomy!tblFeatureTaxonomy[feature_name],19),"")</f>
        <v/>
      </c>
      <c r="U3" s="149">
        <f>IFERROR(INDEX(Feature_Taxonomy!tblFeatureTaxonomy[feature_name],20),"")</f>
        <v/>
      </c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3">
        <f>IFERROR(INDEX(Metrics!$AA$8#,ROW()-3),"")</f>
        <v/>
      </c>
      <c r="B4" s="164">
        <f>IF($A4="","",IFERROR(--ISNUMBER(SEARCH(B$3, XLOOKUP($A4, Metrics!$B$8:$B$57, Metrics!$H$8:$H$57, ""))),0))</f>
        <v/>
      </c>
      <c r="C4" s="164">
        <f>IF($A4="","",IFERROR(--ISNUMBER(SEARCH(C$3, XLOOKUP($A4, Metrics!$B$8:$B$57, Metrics!$H$8:$H$57, ""))),0))</f>
        <v/>
      </c>
      <c r="D4" s="164">
        <f>IF($A4="","",IFERROR(--ISNUMBER(SEARCH(D$3, XLOOKUP($A4, Metrics!$B$8:$B$57, Metrics!$H$8:$H$57, ""))),0))</f>
        <v/>
      </c>
      <c r="E4" s="164">
        <f>IF($A4="","",IFERROR(--ISNUMBER(SEARCH(E$3, XLOOKUP($A4, Metrics!$B$8:$B$57, Metrics!$H$8:$H$57, ""))),0))</f>
        <v/>
      </c>
      <c r="F4" s="164">
        <f>IF($A4="","",IFERROR(--ISNUMBER(SEARCH(F$3, XLOOKUP($A4, Metrics!$B$8:$B$57, Metrics!$H$8:$H$57, ""))),0))</f>
        <v/>
      </c>
      <c r="G4" s="164">
        <f>IF($A4="","",IFERROR(--ISNUMBER(SEARCH(G$3, XLOOKUP($A4, Metrics!$B$8:$B$57, Metrics!$H$8:$H$57, ""))),0))</f>
        <v/>
      </c>
      <c r="H4" s="164">
        <f>IF($A4="","",IFERROR(--ISNUMBER(SEARCH(H$3, XLOOKUP($A4, Metrics!$B$8:$B$57, Metrics!$H$8:$H$57, ""))),0))</f>
        <v/>
      </c>
      <c r="I4" s="164">
        <f>IF($A4="","",IFERROR(--ISNUMBER(SEARCH(I$3, XLOOKUP($A4, Metrics!$B$8:$B$57, Metrics!$H$8:$H$57, ""))),0))</f>
        <v/>
      </c>
      <c r="J4" s="164">
        <f>IF($A4="","",IFERROR(--ISNUMBER(SEARCH(J$3, XLOOKUP($A4, Metrics!$B$8:$B$57, Metrics!$H$8:$H$57, ""))),0))</f>
        <v/>
      </c>
      <c r="K4" s="164">
        <f>IF($A4="","",IFERROR(--ISNUMBER(SEARCH(K$3, XLOOKUP($A4, Metrics!$B$8:$B$57, Metrics!$H$8:$H$57, ""))),0))</f>
        <v/>
      </c>
      <c r="L4" s="164">
        <f>IF($A4="","",IFERROR(--ISNUMBER(SEARCH(L$3, XLOOKUP($A4, Metrics!$B$8:$B$57, Metrics!$H$8:$H$57, ""))),0))</f>
        <v/>
      </c>
      <c r="M4" s="164">
        <f>IF($A4="","",IFERROR(--ISNUMBER(SEARCH(M$3, XLOOKUP($A4, Metrics!$B$8:$B$57, Metrics!$H$8:$H$57, ""))),0))</f>
        <v/>
      </c>
      <c r="N4" s="164">
        <f>IF($A4="","",IFERROR(--ISNUMBER(SEARCH(N$3, XLOOKUP($A4, Metrics!$B$8:$B$57, Metrics!$H$8:$H$57, ""))),0))</f>
        <v/>
      </c>
      <c r="O4" s="164">
        <f>IF($A4="","",IFERROR(--ISNUMBER(SEARCH(O$3, XLOOKUP($A4, Metrics!$B$8:$B$57, Metrics!$H$8:$H$57, ""))),0))</f>
        <v/>
      </c>
      <c r="P4" s="164">
        <f>IF($A4="","",IFERROR(--ISNUMBER(SEARCH(P$3, XLOOKUP($A4, Metrics!$B$8:$B$57, Metrics!$H$8:$H$57, ""))),0))</f>
        <v/>
      </c>
      <c r="Q4" s="164">
        <f>IF($A4="","",IFERROR(--ISNUMBER(SEARCH(Q$3, XLOOKUP($A4, Metrics!$B$8:$B$57, Metrics!$H$8:$H$57, ""))),0))</f>
        <v/>
      </c>
      <c r="R4" s="164">
        <f>IF($A4="","",IFERROR(--ISNUMBER(SEARCH(R$3, XLOOKUP($A4, Metrics!$B$8:$B$57, Metrics!$H$8:$H$57, ""))),0))</f>
        <v/>
      </c>
      <c r="S4" s="164">
        <f>IF($A4="","",IFERROR(--ISNUMBER(SEARCH(S$3, XLOOKUP($A4, Metrics!$B$8:$B$57, Metrics!$H$8:$H$57, ""))),0))</f>
        <v/>
      </c>
      <c r="T4" s="164">
        <f>IF($A4="","",IFERROR(--ISNUMBER(SEARCH(T$3, XLOOKUP($A4, Metrics!$B$8:$B$57, Metrics!$H$8:$H$57, ""))),0))</f>
        <v/>
      </c>
      <c r="U4" s="164">
        <f>IF($A4="","",IFERROR(--ISNUMBER(SEARCH(U$3, XLOOKUP($A4, Metrics!$B$8:$B$57, Metrics!$H$8:$H$57, ""))),0))</f>
        <v/>
      </c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>
        <f>IFERROR(INDEX(Metrics!$AA$8#,ROW()-3),"")</f>
        <v/>
      </c>
      <c r="B5" s="164">
        <f>IF($A5="","",IFERROR(--ISNUMBER(SEARCH(B$3, XLOOKUP($A5, Metrics!$B$8:$B$57, Metrics!$H$8:$H$57, ""))),0))</f>
        <v/>
      </c>
      <c r="C5" s="164">
        <f>IF($A5="","",IFERROR(--ISNUMBER(SEARCH(C$3, XLOOKUP($A5, Metrics!$B$8:$B$57, Metrics!$H$8:$H$57, ""))),0))</f>
        <v/>
      </c>
      <c r="D5" s="164">
        <f>IF($A5="","",IFERROR(--ISNUMBER(SEARCH(D$3, XLOOKUP($A5, Metrics!$B$8:$B$57, Metrics!$H$8:$H$57, ""))),0))</f>
        <v/>
      </c>
      <c r="E5" s="164">
        <f>IF($A5="","",IFERROR(--ISNUMBER(SEARCH(E$3, XLOOKUP($A5, Metrics!$B$8:$B$57, Metrics!$H$8:$H$57, ""))),0))</f>
        <v/>
      </c>
      <c r="F5" s="164">
        <f>IF($A5="","",IFERROR(--ISNUMBER(SEARCH(F$3, XLOOKUP($A5, Metrics!$B$8:$B$57, Metrics!$H$8:$H$57, ""))),0))</f>
        <v/>
      </c>
      <c r="G5" s="164">
        <f>IF($A5="","",IFERROR(--ISNUMBER(SEARCH(G$3, XLOOKUP($A5, Metrics!$B$8:$B$57, Metrics!$H$8:$H$57, ""))),0))</f>
        <v/>
      </c>
      <c r="H5" s="164">
        <f>IF($A5="","",IFERROR(--ISNUMBER(SEARCH(H$3, XLOOKUP($A5, Metrics!$B$8:$B$57, Metrics!$H$8:$H$57, ""))),0))</f>
        <v/>
      </c>
      <c r="I5" s="164">
        <f>IF($A5="","",IFERROR(--ISNUMBER(SEARCH(I$3, XLOOKUP($A5, Metrics!$B$8:$B$57, Metrics!$H$8:$H$57, ""))),0))</f>
        <v/>
      </c>
      <c r="J5" s="164">
        <f>IF($A5="","",IFERROR(--ISNUMBER(SEARCH(J$3, XLOOKUP($A5, Metrics!$B$8:$B$57, Metrics!$H$8:$H$57, ""))),0))</f>
        <v/>
      </c>
      <c r="K5" s="164">
        <f>IF($A5="","",IFERROR(--ISNUMBER(SEARCH(K$3, XLOOKUP($A5, Metrics!$B$8:$B$57, Metrics!$H$8:$H$57, ""))),0))</f>
        <v/>
      </c>
      <c r="L5" s="164">
        <f>IF($A5="","",IFERROR(--ISNUMBER(SEARCH(L$3, XLOOKUP($A5, Metrics!$B$8:$B$57, Metrics!$H$8:$H$57, ""))),0))</f>
        <v/>
      </c>
      <c r="M5" s="164">
        <f>IF($A5="","",IFERROR(--ISNUMBER(SEARCH(M$3, XLOOKUP($A5, Metrics!$B$8:$B$57, Metrics!$H$8:$H$57, ""))),0))</f>
        <v/>
      </c>
      <c r="N5" s="164">
        <f>IF($A5="","",IFERROR(--ISNUMBER(SEARCH(N$3, XLOOKUP($A5, Metrics!$B$8:$B$57, Metrics!$H$8:$H$57, ""))),0))</f>
        <v/>
      </c>
      <c r="O5" s="164">
        <f>IF($A5="","",IFERROR(--ISNUMBER(SEARCH(O$3, XLOOKUP($A5, Metrics!$B$8:$B$57, Metrics!$H$8:$H$57, ""))),0))</f>
        <v/>
      </c>
      <c r="P5" s="164">
        <f>IF($A5="","",IFERROR(--ISNUMBER(SEARCH(P$3, XLOOKUP($A5, Metrics!$B$8:$B$57, Metrics!$H$8:$H$57, ""))),0))</f>
        <v/>
      </c>
      <c r="Q5" s="164">
        <f>IF($A5="","",IFERROR(--ISNUMBER(SEARCH(Q$3, XLOOKUP($A5, Metrics!$B$8:$B$57, Metrics!$H$8:$H$57, ""))),0))</f>
        <v/>
      </c>
      <c r="R5" s="164">
        <f>IF($A5="","",IFERROR(--ISNUMBER(SEARCH(R$3, XLOOKUP($A5, Metrics!$B$8:$B$57, Metrics!$H$8:$H$57, ""))),0))</f>
        <v/>
      </c>
      <c r="S5" s="164">
        <f>IF($A5="","",IFERROR(--ISNUMBER(SEARCH(S$3, XLOOKUP($A5, Metrics!$B$8:$B$57, Metrics!$H$8:$H$57, ""))),0))</f>
        <v/>
      </c>
      <c r="T5" s="164">
        <f>IF($A5="","",IFERROR(--ISNUMBER(SEARCH(T$3, XLOOKUP($A5, Metrics!$B$8:$B$57, Metrics!$H$8:$H$57, ""))),0))</f>
        <v/>
      </c>
      <c r="U5" s="164">
        <f>IF($A5="","",IFERROR(--ISNUMBER(SEARCH(U$3, XLOOKUP($A5, Metrics!$B$8:$B$57, Metrics!$H$8:$H$57, ""))),0))</f>
        <v/>
      </c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>
        <f>IFERROR(INDEX(Metrics!$AA$8#,ROW()-3),"")</f>
        <v/>
      </c>
      <c r="B6" s="164">
        <f>IF($A6="","",IFERROR(--ISNUMBER(SEARCH(B$3, XLOOKUP($A6, Metrics!$B$8:$B$57, Metrics!$H$8:$H$57, ""))),0))</f>
        <v/>
      </c>
      <c r="C6" s="164">
        <f>IF($A6="","",IFERROR(--ISNUMBER(SEARCH(C$3, XLOOKUP($A6, Metrics!$B$8:$B$57, Metrics!$H$8:$H$57, ""))),0))</f>
        <v/>
      </c>
      <c r="D6" s="164">
        <f>IF($A6="","",IFERROR(--ISNUMBER(SEARCH(D$3, XLOOKUP($A6, Metrics!$B$8:$B$57, Metrics!$H$8:$H$57, ""))),0))</f>
        <v/>
      </c>
      <c r="E6" s="164">
        <f>IF($A6="","",IFERROR(--ISNUMBER(SEARCH(E$3, XLOOKUP($A6, Metrics!$B$8:$B$57, Metrics!$H$8:$H$57, ""))),0))</f>
        <v/>
      </c>
      <c r="F6" s="164">
        <f>IF($A6="","",IFERROR(--ISNUMBER(SEARCH(F$3, XLOOKUP($A6, Metrics!$B$8:$B$57, Metrics!$H$8:$H$57, ""))),0))</f>
        <v/>
      </c>
      <c r="G6" s="164">
        <f>IF($A6="","",IFERROR(--ISNUMBER(SEARCH(G$3, XLOOKUP($A6, Metrics!$B$8:$B$57, Metrics!$H$8:$H$57, ""))),0))</f>
        <v/>
      </c>
      <c r="H6" s="164">
        <f>IF($A6="","",IFERROR(--ISNUMBER(SEARCH(H$3, XLOOKUP($A6, Metrics!$B$8:$B$57, Metrics!$H$8:$H$57, ""))),0))</f>
        <v/>
      </c>
      <c r="I6" s="164">
        <f>IF($A6="","",IFERROR(--ISNUMBER(SEARCH(I$3, XLOOKUP($A6, Metrics!$B$8:$B$57, Metrics!$H$8:$H$57, ""))),0))</f>
        <v/>
      </c>
      <c r="J6" s="164">
        <f>IF($A6="","",IFERROR(--ISNUMBER(SEARCH(J$3, XLOOKUP($A6, Metrics!$B$8:$B$57, Metrics!$H$8:$H$57, ""))),0))</f>
        <v/>
      </c>
      <c r="K6" s="164">
        <f>IF($A6="","",IFERROR(--ISNUMBER(SEARCH(K$3, XLOOKUP($A6, Metrics!$B$8:$B$57, Metrics!$H$8:$H$57, ""))),0))</f>
        <v/>
      </c>
      <c r="L6" s="164">
        <f>IF($A6="","",IFERROR(--ISNUMBER(SEARCH(L$3, XLOOKUP($A6, Metrics!$B$8:$B$57, Metrics!$H$8:$H$57, ""))),0))</f>
        <v/>
      </c>
      <c r="M6" s="164">
        <f>IF($A6="","",IFERROR(--ISNUMBER(SEARCH(M$3, XLOOKUP($A6, Metrics!$B$8:$B$57, Metrics!$H$8:$H$57, ""))),0))</f>
        <v/>
      </c>
      <c r="N6" s="164">
        <f>IF($A6="","",IFERROR(--ISNUMBER(SEARCH(N$3, XLOOKUP($A6, Metrics!$B$8:$B$57, Metrics!$H$8:$H$57, ""))),0))</f>
        <v/>
      </c>
      <c r="O6" s="164">
        <f>IF($A6="","",IFERROR(--ISNUMBER(SEARCH(O$3, XLOOKUP($A6, Metrics!$B$8:$B$57, Metrics!$H$8:$H$57, ""))),0))</f>
        <v/>
      </c>
      <c r="P6" s="164">
        <f>IF($A6="","",IFERROR(--ISNUMBER(SEARCH(P$3, XLOOKUP($A6, Metrics!$B$8:$B$57, Metrics!$H$8:$H$57, ""))),0))</f>
        <v/>
      </c>
      <c r="Q6" s="164">
        <f>IF($A6="","",IFERROR(--ISNUMBER(SEARCH(Q$3, XLOOKUP($A6, Metrics!$B$8:$B$57, Metrics!$H$8:$H$57, ""))),0))</f>
        <v/>
      </c>
      <c r="R6" s="164">
        <f>IF($A6="","",IFERROR(--ISNUMBER(SEARCH(R$3, XLOOKUP($A6, Metrics!$B$8:$B$57, Metrics!$H$8:$H$57, ""))),0))</f>
        <v/>
      </c>
      <c r="S6" s="164">
        <f>IF($A6="","",IFERROR(--ISNUMBER(SEARCH(S$3, XLOOKUP($A6, Metrics!$B$8:$B$57, Metrics!$H$8:$H$57, ""))),0))</f>
        <v/>
      </c>
      <c r="T6" s="164">
        <f>IF($A6="","",IFERROR(--ISNUMBER(SEARCH(T$3, XLOOKUP($A6, Metrics!$B$8:$B$57, Metrics!$H$8:$H$57, ""))),0))</f>
        <v/>
      </c>
      <c r="U6" s="164">
        <f>IF($A6="","",IFERROR(--ISNUMBER(SEARCH(U$3, XLOOKUP($A6, Metrics!$B$8:$B$57, Metrics!$H$8:$H$57, ""))),0))</f>
        <v/>
      </c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>
        <f>IFERROR(INDEX(Metrics!$AA$8#,ROW()-3),"")</f>
        <v/>
      </c>
      <c r="B7" s="164">
        <f>IF($A7="","",IFERROR(--ISNUMBER(SEARCH(B$3, XLOOKUP($A7, Metrics!$B$8:$B$57, Metrics!$H$8:$H$57, ""))),0))</f>
        <v/>
      </c>
      <c r="C7" s="164">
        <f>IF($A7="","",IFERROR(--ISNUMBER(SEARCH(C$3, XLOOKUP($A7, Metrics!$B$8:$B$57, Metrics!$H$8:$H$57, ""))),0))</f>
        <v/>
      </c>
      <c r="D7" s="164">
        <f>IF($A7="","",IFERROR(--ISNUMBER(SEARCH(D$3, XLOOKUP($A7, Metrics!$B$8:$B$57, Metrics!$H$8:$H$57, ""))),0))</f>
        <v/>
      </c>
      <c r="E7" s="164">
        <f>IF($A7="","",IFERROR(--ISNUMBER(SEARCH(E$3, XLOOKUP($A7, Metrics!$B$8:$B$57, Metrics!$H$8:$H$57, ""))),0))</f>
        <v/>
      </c>
      <c r="F7" s="164">
        <f>IF($A7="","",IFERROR(--ISNUMBER(SEARCH(F$3, XLOOKUP($A7, Metrics!$B$8:$B$57, Metrics!$H$8:$H$57, ""))),0))</f>
        <v/>
      </c>
      <c r="G7" s="164">
        <f>IF($A7="","",IFERROR(--ISNUMBER(SEARCH(G$3, XLOOKUP($A7, Metrics!$B$8:$B$57, Metrics!$H$8:$H$57, ""))),0))</f>
        <v/>
      </c>
      <c r="H7" s="164">
        <f>IF($A7="","",IFERROR(--ISNUMBER(SEARCH(H$3, XLOOKUP($A7, Metrics!$B$8:$B$57, Metrics!$H$8:$H$57, ""))),0))</f>
        <v/>
      </c>
      <c r="I7" s="164">
        <f>IF($A7="","",IFERROR(--ISNUMBER(SEARCH(I$3, XLOOKUP($A7, Metrics!$B$8:$B$57, Metrics!$H$8:$H$57, ""))),0))</f>
        <v/>
      </c>
      <c r="J7" s="164">
        <f>IF($A7="","",IFERROR(--ISNUMBER(SEARCH(J$3, XLOOKUP($A7, Metrics!$B$8:$B$57, Metrics!$H$8:$H$57, ""))),0))</f>
        <v/>
      </c>
      <c r="K7" s="164">
        <f>IF($A7="","",IFERROR(--ISNUMBER(SEARCH(K$3, XLOOKUP($A7, Metrics!$B$8:$B$57, Metrics!$H$8:$H$57, ""))),0))</f>
        <v/>
      </c>
      <c r="L7" s="164">
        <f>IF($A7="","",IFERROR(--ISNUMBER(SEARCH(L$3, XLOOKUP($A7, Metrics!$B$8:$B$57, Metrics!$H$8:$H$57, ""))),0))</f>
        <v/>
      </c>
      <c r="M7" s="164">
        <f>IF($A7="","",IFERROR(--ISNUMBER(SEARCH(M$3, XLOOKUP($A7, Metrics!$B$8:$B$57, Metrics!$H$8:$H$57, ""))),0))</f>
        <v/>
      </c>
      <c r="N7" s="164">
        <f>IF($A7="","",IFERROR(--ISNUMBER(SEARCH(N$3, XLOOKUP($A7, Metrics!$B$8:$B$57, Metrics!$H$8:$H$57, ""))),0))</f>
        <v/>
      </c>
      <c r="O7" s="164">
        <f>IF($A7="","",IFERROR(--ISNUMBER(SEARCH(O$3, XLOOKUP($A7, Metrics!$B$8:$B$57, Metrics!$H$8:$H$57, ""))),0))</f>
        <v/>
      </c>
      <c r="P7" s="164">
        <f>IF($A7="","",IFERROR(--ISNUMBER(SEARCH(P$3, XLOOKUP($A7, Metrics!$B$8:$B$57, Metrics!$H$8:$H$57, ""))),0))</f>
        <v/>
      </c>
      <c r="Q7" s="164">
        <f>IF($A7="","",IFERROR(--ISNUMBER(SEARCH(Q$3, XLOOKUP($A7, Metrics!$B$8:$B$57, Metrics!$H$8:$H$57, ""))),0))</f>
        <v/>
      </c>
      <c r="R7" s="164">
        <f>IF($A7="","",IFERROR(--ISNUMBER(SEARCH(R$3, XLOOKUP($A7, Metrics!$B$8:$B$57, Metrics!$H$8:$H$57, ""))),0))</f>
        <v/>
      </c>
      <c r="S7" s="164">
        <f>IF($A7="","",IFERROR(--ISNUMBER(SEARCH(S$3, XLOOKUP($A7, Metrics!$B$8:$B$57, Metrics!$H$8:$H$57, ""))),0))</f>
        <v/>
      </c>
      <c r="T7" s="164">
        <f>IF($A7="","",IFERROR(--ISNUMBER(SEARCH(T$3, XLOOKUP($A7, Metrics!$B$8:$B$57, Metrics!$H$8:$H$57, ""))),0))</f>
        <v/>
      </c>
      <c r="U7" s="164">
        <f>IF($A7="","",IFERROR(--ISNUMBER(SEARCH(U$3, XLOOKUP($A7, Metrics!$B$8:$B$57, Metrics!$H$8:$H$57, ""))),0))</f>
        <v/>
      </c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>
        <f>IFERROR(INDEX(Metrics!$AA$8#,ROW()-3),"")</f>
        <v/>
      </c>
      <c r="B8" s="164">
        <f>IF($A8="","",IFERROR(--ISNUMBER(SEARCH(B$3, XLOOKUP($A8, Metrics!$B$8:$B$57, Metrics!$H$8:$H$57, ""))),0))</f>
        <v/>
      </c>
      <c r="C8" s="164">
        <f>IF($A8="","",IFERROR(--ISNUMBER(SEARCH(C$3, XLOOKUP($A8, Metrics!$B$8:$B$57, Metrics!$H$8:$H$57, ""))),0))</f>
        <v/>
      </c>
      <c r="D8" s="164">
        <f>IF($A8="","",IFERROR(--ISNUMBER(SEARCH(D$3, XLOOKUP($A8, Metrics!$B$8:$B$57, Metrics!$H$8:$H$57, ""))),0))</f>
        <v/>
      </c>
      <c r="E8" s="164">
        <f>IF($A8="","",IFERROR(--ISNUMBER(SEARCH(E$3, XLOOKUP($A8, Metrics!$B$8:$B$57, Metrics!$H$8:$H$57, ""))),0))</f>
        <v/>
      </c>
      <c r="F8" s="164">
        <f>IF($A8="","",IFERROR(--ISNUMBER(SEARCH(F$3, XLOOKUP($A8, Metrics!$B$8:$B$57, Metrics!$H$8:$H$57, ""))),0))</f>
        <v/>
      </c>
      <c r="G8" s="164">
        <f>IF($A8="","",IFERROR(--ISNUMBER(SEARCH(G$3, XLOOKUP($A8, Metrics!$B$8:$B$57, Metrics!$H$8:$H$57, ""))),0))</f>
        <v/>
      </c>
      <c r="H8" s="164">
        <f>IF($A8="","",IFERROR(--ISNUMBER(SEARCH(H$3, XLOOKUP($A8, Metrics!$B$8:$B$57, Metrics!$H$8:$H$57, ""))),0))</f>
        <v/>
      </c>
      <c r="I8" s="164">
        <f>IF($A8="","",IFERROR(--ISNUMBER(SEARCH(I$3, XLOOKUP($A8, Metrics!$B$8:$B$57, Metrics!$H$8:$H$57, ""))),0))</f>
        <v/>
      </c>
      <c r="J8" s="164">
        <f>IF($A8="","",IFERROR(--ISNUMBER(SEARCH(J$3, XLOOKUP($A8, Metrics!$B$8:$B$57, Metrics!$H$8:$H$57, ""))),0))</f>
        <v/>
      </c>
      <c r="K8" s="164">
        <f>IF($A8="","",IFERROR(--ISNUMBER(SEARCH(K$3, XLOOKUP($A8, Metrics!$B$8:$B$57, Metrics!$H$8:$H$57, ""))),0))</f>
        <v/>
      </c>
      <c r="L8" s="164">
        <f>IF($A8="","",IFERROR(--ISNUMBER(SEARCH(L$3, XLOOKUP($A8, Metrics!$B$8:$B$57, Metrics!$H$8:$H$57, ""))),0))</f>
        <v/>
      </c>
      <c r="M8" s="164">
        <f>IF($A8="","",IFERROR(--ISNUMBER(SEARCH(M$3, XLOOKUP($A8, Metrics!$B$8:$B$57, Metrics!$H$8:$H$57, ""))),0))</f>
        <v/>
      </c>
      <c r="N8" s="164">
        <f>IF($A8="","",IFERROR(--ISNUMBER(SEARCH(N$3, XLOOKUP($A8, Metrics!$B$8:$B$57, Metrics!$H$8:$H$57, ""))),0))</f>
        <v/>
      </c>
      <c r="O8" s="164">
        <f>IF($A8="","",IFERROR(--ISNUMBER(SEARCH(O$3, XLOOKUP($A8, Metrics!$B$8:$B$57, Metrics!$H$8:$H$57, ""))),0))</f>
        <v/>
      </c>
      <c r="P8" s="164">
        <f>IF($A8="","",IFERROR(--ISNUMBER(SEARCH(P$3, XLOOKUP($A8, Metrics!$B$8:$B$57, Metrics!$H$8:$H$57, ""))),0))</f>
        <v/>
      </c>
      <c r="Q8" s="164">
        <f>IF($A8="","",IFERROR(--ISNUMBER(SEARCH(Q$3, XLOOKUP($A8, Metrics!$B$8:$B$57, Metrics!$H$8:$H$57, ""))),0))</f>
        <v/>
      </c>
      <c r="R8" s="164">
        <f>IF($A8="","",IFERROR(--ISNUMBER(SEARCH(R$3, XLOOKUP($A8, Metrics!$B$8:$B$57, Metrics!$H$8:$H$57, ""))),0))</f>
        <v/>
      </c>
      <c r="S8" s="164">
        <f>IF($A8="","",IFERROR(--ISNUMBER(SEARCH(S$3, XLOOKUP($A8, Metrics!$B$8:$B$57, Metrics!$H$8:$H$57, ""))),0))</f>
        <v/>
      </c>
      <c r="T8" s="164">
        <f>IF($A8="","",IFERROR(--ISNUMBER(SEARCH(T$3, XLOOKUP($A8, Metrics!$B$8:$B$57, Metrics!$H$8:$H$57, ""))),0))</f>
        <v/>
      </c>
      <c r="U8" s="164">
        <f>IF($A8="","",IFERROR(--ISNUMBER(SEARCH(U$3, XLOOKUP($A8, Metrics!$B$8:$B$57, Metrics!$H$8:$H$57, ""))),0))</f>
        <v/>
      </c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>
        <f>IFERROR(INDEX(Metrics!$AA$8#,ROW()-3),"")</f>
        <v/>
      </c>
      <c r="B9" s="164">
        <f>IF($A9="","",IFERROR(--ISNUMBER(SEARCH(B$3, XLOOKUP($A9, Metrics!$B$8:$B$57, Metrics!$H$8:$H$57, ""))),0))</f>
        <v/>
      </c>
      <c r="C9" s="164">
        <f>IF($A9="","",IFERROR(--ISNUMBER(SEARCH(C$3, XLOOKUP($A9, Metrics!$B$8:$B$57, Metrics!$H$8:$H$57, ""))),0))</f>
        <v/>
      </c>
      <c r="D9" s="164">
        <f>IF($A9="","",IFERROR(--ISNUMBER(SEARCH(D$3, XLOOKUP($A9, Metrics!$B$8:$B$57, Metrics!$H$8:$H$57, ""))),0))</f>
        <v/>
      </c>
      <c r="E9" s="164">
        <f>IF($A9="","",IFERROR(--ISNUMBER(SEARCH(E$3, XLOOKUP($A9, Metrics!$B$8:$B$57, Metrics!$H$8:$H$57, ""))),0))</f>
        <v/>
      </c>
      <c r="F9" s="164">
        <f>IF($A9="","",IFERROR(--ISNUMBER(SEARCH(F$3, XLOOKUP($A9, Metrics!$B$8:$B$57, Metrics!$H$8:$H$57, ""))),0))</f>
        <v/>
      </c>
      <c r="G9" s="164">
        <f>IF($A9="","",IFERROR(--ISNUMBER(SEARCH(G$3, XLOOKUP($A9, Metrics!$B$8:$B$57, Metrics!$H$8:$H$57, ""))),0))</f>
        <v/>
      </c>
      <c r="H9" s="164">
        <f>IF($A9="","",IFERROR(--ISNUMBER(SEARCH(H$3, XLOOKUP($A9, Metrics!$B$8:$B$57, Metrics!$H$8:$H$57, ""))),0))</f>
        <v/>
      </c>
      <c r="I9" s="164">
        <f>IF($A9="","",IFERROR(--ISNUMBER(SEARCH(I$3, XLOOKUP($A9, Metrics!$B$8:$B$57, Metrics!$H$8:$H$57, ""))),0))</f>
        <v/>
      </c>
      <c r="J9" s="164">
        <f>IF($A9="","",IFERROR(--ISNUMBER(SEARCH(J$3, XLOOKUP($A9, Metrics!$B$8:$B$57, Metrics!$H$8:$H$57, ""))),0))</f>
        <v/>
      </c>
      <c r="K9" s="164">
        <f>IF($A9="","",IFERROR(--ISNUMBER(SEARCH(K$3, XLOOKUP($A9, Metrics!$B$8:$B$57, Metrics!$H$8:$H$57, ""))),0))</f>
        <v/>
      </c>
      <c r="L9" s="164">
        <f>IF($A9="","",IFERROR(--ISNUMBER(SEARCH(L$3, XLOOKUP($A9, Metrics!$B$8:$B$57, Metrics!$H$8:$H$57, ""))),0))</f>
        <v/>
      </c>
      <c r="M9" s="164">
        <f>IF($A9="","",IFERROR(--ISNUMBER(SEARCH(M$3, XLOOKUP($A9, Metrics!$B$8:$B$57, Metrics!$H$8:$H$57, ""))),0))</f>
        <v/>
      </c>
      <c r="N9" s="164">
        <f>IF($A9="","",IFERROR(--ISNUMBER(SEARCH(N$3, XLOOKUP($A9, Metrics!$B$8:$B$57, Metrics!$H$8:$H$57, ""))),0))</f>
        <v/>
      </c>
      <c r="O9" s="164">
        <f>IF($A9="","",IFERROR(--ISNUMBER(SEARCH(O$3, XLOOKUP($A9, Metrics!$B$8:$B$57, Metrics!$H$8:$H$57, ""))),0))</f>
        <v/>
      </c>
      <c r="P9" s="164">
        <f>IF($A9="","",IFERROR(--ISNUMBER(SEARCH(P$3, XLOOKUP($A9, Metrics!$B$8:$B$57, Metrics!$H$8:$H$57, ""))),0))</f>
        <v/>
      </c>
      <c r="Q9" s="164">
        <f>IF($A9="","",IFERROR(--ISNUMBER(SEARCH(Q$3, XLOOKUP($A9, Metrics!$B$8:$B$57, Metrics!$H$8:$H$57, ""))),0))</f>
        <v/>
      </c>
      <c r="R9" s="164">
        <f>IF($A9="","",IFERROR(--ISNUMBER(SEARCH(R$3, XLOOKUP($A9, Metrics!$B$8:$B$57, Metrics!$H$8:$H$57, ""))),0))</f>
        <v/>
      </c>
      <c r="S9" s="164">
        <f>IF($A9="","",IFERROR(--ISNUMBER(SEARCH(S$3, XLOOKUP($A9, Metrics!$B$8:$B$57, Metrics!$H$8:$H$57, ""))),0))</f>
        <v/>
      </c>
      <c r="T9" s="164">
        <f>IF($A9="","",IFERROR(--ISNUMBER(SEARCH(T$3, XLOOKUP($A9, Metrics!$B$8:$B$57, Metrics!$H$8:$H$57, ""))),0))</f>
        <v/>
      </c>
      <c r="U9" s="164">
        <f>IF($A9="","",IFERROR(--ISNUMBER(SEARCH(U$3, XLOOKUP($A9, Metrics!$B$8:$B$57, Metrics!$H$8:$H$57, ""))),0))</f>
        <v/>
      </c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>
        <f>IFERROR(INDEX(Metrics!$AA$8#,ROW()-3),"")</f>
        <v/>
      </c>
      <c r="B10" s="164">
        <f>IF($A10="","",IFERROR(--ISNUMBER(SEARCH(B$3, XLOOKUP($A10, Metrics!$B$8:$B$57, Metrics!$H$8:$H$57, ""))),0))</f>
        <v/>
      </c>
      <c r="C10" s="164">
        <f>IF($A10="","",IFERROR(--ISNUMBER(SEARCH(C$3, XLOOKUP($A10, Metrics!$B$8:$B$57, Metrics!$H$8:$H$57, ""))),0))</f>
        <v/>
      </c>
      <c r="D10" s="164">
        <f>IF($A10="","",IFERROR(--ISNUMBER(SEARCH(D$3, XLOOKUP($A10, Metrics!$B$8:$B$57, Metrics!$H$8:$H$57, ""))),0))</f>
        <v/>
      </c>
      <c r="E10" s="164">
        <f>IF($A10="","",IFERROR(--ISNUMBER(SEARCH(E$3, XLOOKUP($A10, Metrics!$B$8:$B$57, Metrics!$H$8:$H$57, ""))),0))</f>
        <v/>
      </c>
      <c r="F10" s="164">
        <f>IF($A10="","",IFERROR(--ISNUMBER(SEARCH(F$3, XLOOKUP($A10, Metrics!$B$8:$B$57, Metrics!$H$8:$H$57, ""))),0))</f>
        <v/>
      </c>
      <c r="G10" s="164">
        <f>IF($A10="","",IFERROR(--ISNUMBER(SEARCH(G$3, XLOOKUP($A10, Metrics!$B$8:$B$57, Metrics!$H$8:$H$57, ""))),0))</f>
        <v/>
      </c>
      <c r="H10" s="164">
        <f>IF($A10="","",IFERROR(--ISNUMBER(SEARCH(H$3, XLOOKUP($A10, Metrics!$B$8:$B$57, Metrics!$H$8:$H$57, ""))),0))</f>
        <v/>
      </c>
      <c r="I10" s="164">
        <f>IF($A10="","",IFERROR(--ISNUMBER(SEARCH(I$3, XLOOKUP($A10, Metrics!$B$8:$B$57, Metrics!$H$8:$H$57, ""))),0))</f>
        <v/>
      </c>
      <c r="J10" s="164">
        <f>IF($A10="","",IFERROR(--ISNUMBER(SEARCH(J$3, XLOOKUP($A10, Metrics!$B$8:$B$57, Metrics!$H$8:$H$57, ""))),0))</f>
        <v/>
      </c>
      <c r="K10" s="164">
        <f>IF($A10="","",IFERROR(--ISNUMBER(SEARCH(K$3, XLOOKUP($A10, Metrics!$B$8:$B$57, Metrics!$H$8:$H$57, ""))),0))</f>
        <v/>
      </c>
      <c r="L10" s="164">
        <f>IF($A10="","",IFERROR(--ISNUMBER(SEARCH(L$3, XLOOKUP($A10, Metrics!$B$8:$B$57, Metrics!$H$8:$H$57, ""))),0))</f>
        <v/>
      </c>
      <c r="M10" s="164">
        <f>IF($A10="","",IFERROR(--ISNUMBER(SEARCH(M$3, XLOOKUP($A10, Metrics!$B$8:$B$57, Metrics!$H$8:$H$57, ""))),0))</f>
        <v/>
      </c>
      <c r="N10" s="164">
        <f>IF($A10="","",IFERROR(--ISNUMBER(SEARCH(N$3, XLOOKUP($A10, Metrics!$B$8:$B$57, Metrics!$H$8:$H$57, ""))),0))</f>
        <v/>
      </c>
      <c r="O10" s="164">
        <f>IF($A10="","",IFERROR(--ISNUMBER(SEARCH(O$3, XLOOKUP($A10, Metrics!$B$8:$B$57, Metrics!$H$8:$H$57, ""))),0))</f>
        <v/>
      </c>
      <c r="P10" s="164">
        <f>IF($A10="","",IFERROR(--ISNUMBER(SEARCH(P$3, XLOOKUP($A10, Metrics!$B$8:$B$57, Metrics!$H$8:$H$57, ""))),0))</f>
        <v/>
      </c>
      <c r="Q10" s="164">
        <f>IF($A10="","",IFERROR(--ISNUMBER(SEARCH(Q$3, XLOOKUP($A10, Metrics!$B$8:$B$57, Metrics!$H$8:$H$57, ""))),0))</f>
        <v/>
      </c>
      <c r="R10" s="164">
        <f>IF($A10="","",IFERROR(--ISNUMBER(SEARCH(R$3, XLOOKUP($A10, Metrics!$B$8:$B$57, Metrics!$H$8:$H$57, ""))),0))</f>
        <v/>
      </c>
      <c r="S10" s="164">
        <f>IF($A10="","",IFERROR(--ISNUMBER(SEARCH(S$3, XLOOKUP($A10, Metrics!$B$8:$B$57, Metrics!$H$8:$H$57, ""))),0))</f>
        <v/>
      </c>
      <c r="T10" s="164">
        <f>IF($A10="","",IFERROR(--ISNUMBER(SEARCH(T$3, XLOOKUP($A10, Metrics!$B$8:$B$57, Metrics!$H$8:$H$57, ""))),0))</f>
        <v/>
      </c>
      <c r="U10" s="164">
        <f>IF($A10="","",IFERROR(--ISNUMBER(SEARCH(U$3, XLOOKUP($A10, Metrics!$B$8:$B$57, Metrics!$H$8:$H$57, ""))),0))</f>
        <v/>
      </c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>
        <f>IFERROR(INDEX(Metrics!$AA$8#,ROW()-3),"")</f>
        <v/>
      </c>
      <c r="B11" s="164">
        <f>IF($A11="","",IFERROR(--ISNUMBER(SEARCH(B$3, XLOOKUP($A11, Metrics!$B$8:$B$57, Metrics!$H$8:$H$57, ""))),0))</f>
        <v/>
      </c>
      <c r="C11" s="164">
        <f>IF($A11="","",IFERROR(--ISNUMBER(SEARCH(C$3, XLOOKUP($A11, Metrics!$B$8:$B$57, Metrics!$H$8:$H$57, ""))),0))</f>
        <v/>
      </c>
      <c r="D11" s="164">
        <f>IF($A11="","",IFERROR(--ISNUMBER(SEARCH(D$3, XLOOKUP($A11, Metrics!$B$8:$B$57, Metrics!$H$8:$H$57, ""))),0))</f>
        <v/>
      </c>
      <c r="E11" s="164">
        <f>IF($A11="","",IFERROR(--ISNUMBER(SEARCH(E$3, XLOOKUP($A11, Metrics!$B$8:$B$57, Metrics!$H$8:$H$57, ""))),0))</f>
        <v/>
      </c>
      <c r="F11" s="164">
        <f>IF($A11="","",IFERROR(--ISNUMBER(SEARCH(F$3, XLOOKUP($A11, Metrics!$B$8:$B$57, Metrics!$H$8:$H$57, ""))),0))</f>
        <v/>
      </c>
      <c r="G11" s="164">
        <f>IF($A11="","",IFERROR(--ISNUMBER(SEARCH(G$3, XLOOKUP($A11, Metrics!$B$8:$B$57, Metrics!$H$8:$H$57, ""))),0))</f>
        <v/>
      </c>
      <c r="H11" s="164">
        <f>IF($A11="","",IFERROR(--ISNUMBER(SEARCH(H$3, XLOOKUP($A11, Metrics!$B$8:$B$57, Metrics!$H$8:$H$57, ""))),0))</f>
        <v/>
      </c>
      <c r="I11" s="164">
        <f>IF($A11="","",IFERROR(--ISNUMBER(SEARCH(I$3, XLOOKUP($A11, Metrics!$B$8:$B$57, Metrics!$H$8:$H$57, ""))),0))</f>
        <v/>
      </c>
      <c r="J11" s="164">
        <f>IF($A11="","",IFERROR(--ISNUMBER(SEARCH(J$3, XLOOKUP($A11, Metrics!$B$8:$B$57, Metrics!$H$8:$H$57, ""))),0))</f>
        <v/>
      </c>
      <c r="K11" s="164">
        <f>IF($A11="","",IFERROR(--ISNUMBER(SEARCH(K$3, XLOOKUP($A11, Metrics!$B$8:$B$57, Metrics!$H$8:$H$57, ""))),0))</f>
        <v/>
      </c>
      <c r="L11" s="164">
        <f>IF($A11="","",IFERROR(--ISNUMBER(SEARCH(L$3, XLOOKUP($A11, Metrics!$B$8:$B$57, Metrics!$H$8:$H$57, ""))),0))</f>
        <v/>
      </c>
      <c r="M11" s="164">
        <f>IF($A11="","",IFERROR(--ISNUMBER(SEARCH(M$3, XLOOKUP($A11, Metrics!$B$8:$B$57, Metrics!$H$8:$H$57, ""))),0))</f>
        <v/>
      </c>
      <c r="N11" s="164">
        <f>IF($A11="","",IFERROR(--ISNUMBER(SEARCH(N$3, XLOOKUP($A11, Metrics!$B$8:$B$57, Metrics!$H$8:$H$57, ""))),0))</f>
        <v/>
      </c>
      <c r="O11" s="164">
        <f>IF($A11="","",IFERROR(--ISNUMBER(SEARCH(O$3, XLOOKUP($A11, Metrics!$B$8:$B$57, Metrics!$H$8:$H$57, ""))),0))</f>
        <v/>
      </c>
      <c r="P11" s="164">
        <f>IF($A11="","",IFERROR(--ISNUMBER(SEARCH(P$3, XLOOKUP($A11, Metrics!$B$8:$B$57, Metrics!$H$8:$H$57, ""))),0))</f>
        <v/>
      </c>
      <c r="Q11" s="164">
        <f>IF($A11="","",IFERROR(--ISNUMBER(SEARCH(Q$3, XLOOKUP($A11, Metrics!$B$8:$B$57, Metrics!$H$8:$H$57, ""))),0))</f>
        <v/>
      </c>
      <c r="R11" s="164">
        <f>IF($A11="","",IFERROR(--ISNUMBER(SEARCH(R$3, XLOOKUP($A11, Metrics!$B$8:$B$57, Metrics!$H$8:$H$57, ""))),0))</f>
        <v/>
      </c>
      <c r="S11" s="164">
        <f>IF($A11="","",IFERROR(--ISNUMBER(SEARCH(S$3, XLOOKUP($A11, Metrics!$B$8:$B$57, Metrics!$H$8:$H$57, ""))),0))</f>
        <v/>
      </c>
      <c r="T11" s="164">
        <f>IF($A11="","",IFERROR(--ISNUMBER(SEARCH(T$3, XLOOKUP($A11, Metrics!$B$8:$B$57, Metrics!$H$8:$H$57, ""))),0))</f>
        <v/>
      </c>
      <c r="U11" s="164">
        <f>IF($A11="","",IFERROR(--ISNUMBER(SEARCH(U$3, XLOOKUP($A11, Metrics!$B$8:$B$57, Metrics!$H$8:$H$57, ""))),0))</f>
        <v/>
      </c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>
        <f>IFERROR(INDEX(Metrics!$AA$8#,ROW()-3),"")</f>
        <v/>
      </c>
      <c r="B12" s="164">
        <f>IF($A12="","",IFERROR(--ISNUMBER(SEARCH(B$3, XLOOKUP($A12, Metrics!$B$8:$B$57, Metrics!$H$8:$H$57, ""))),0))</f>
        <v/>
      </c>
      <c r="C12" s="164">
        <f>IF($A12="","",IFERROR(--ISNUMBER(SEARCH(C$3, XLOOKUP($A12, Metrics!$B$8:$B$57, Metrics!$H$8:$H$57, ""))),0))</f>
        <v/>
      </c>
      <c r="D12" s="164">
        <f>IF($A12="","",IFERROR(--ISNUMBER(SEARCH(D$3, XLOOKUP($A12, Metrics!$B$8:$B$57, Metrics!$H$8:$H$57, ""))),0))</f>
        <v/>
      </c>
      <c r="E12" s="164">
        <f>IF($A12="","",IFERROR(--ISNUMBER(SEARCH(E$3, XLOOKUP($A12, Metrics!$B$8:$B$57, Metrics!$H$8:$H$57, ""))),0))</f>
        <v/>
      </c>
      <c r="F12" s="164">
        <f>IF($A12="","",IFERROR(--ISNUMBER(SEARCH(F$3, XLOOKUP($A12, Metrics!$B$8:$B$57, Metrics!$H$8:$H$57, ""))),0))</f>
        <v/>
      </c>
      <c r="G12" s="164">
        <f>IF($A12="","",IFERROR(--ISNUMBER(SEARCH(G$3, XLOOKUP($A12, Metrics!$B$8:$B$57, Metrics!$H$8:$H$57, ""))),0))</f>
        <v/>
      </c>
      <c r="H12" s="164">
        <f>IF($A12="","",IFERROR(--ISNUMBER(SEARCH(H$3, XLOOKUP($A12, Metrics!$B$8:$B$57, Metrics!$H$8:$H$57, ""))),0))</f>
        <v/>
      </c>
      <c r="I12" s="164">
        <f>IF($A12="","",IFERROR(--ISNUMBER(SEARCH(I$3, XLOOKUP($A12, Metrics!$B$8:$B$57, Metrics!$H$8:$H$57, ""))),0))</f>
        <v/>
      </c>
      <c r="J12" s="164">
        <f>IF($A12="","",IFERROR(--ISNUMBER(SEARCH(J$3, XLOOKUP($A12, Metrics!$B$8:$B$57, Metrics!$H$8:$H$57, ""))),0))</f>
        <v/>
      </c>
      <c r="K12" s="164">
        <f>IF($A12="","",IFERROR(--ISNUMBER(SEARCH(K$3, XLOOKUP($A12, Metrics!$B$8:$B$57, Metrics!$H$8:$H$57, ""))),0))</f>
        <v/>
      </c>
      <c r="L12" s="164">
        <f>IF($A12="","",IFERROR(--ISNUMBER(SEARCH(L$3, XLOOKUP($A12, Metrics!$B$8:$B$57, Metrics!$H$8:$H$57, ""))),0))</f>
        <v/>
      </c>
      <c r="M12" s="164">
        <f>IF($A12="","",IFERROR(--ISNUMBER(SEARCH(M$3, XLOOKUP($A12, Metrics!$B$8:$B$57, Metrics!$H$8:$H$57, ""))),0))</f>
        <v/>
      </c>
      <c r="N12" s="164">
        <f>IF($A12="","",IFERROR(--ISNUMBER(SEARCH(N$3, XLOOKUP($A12, Metrics!$B$8:$B$57, Metrics!$H$8:$H$57, ""))),0))</f>
        <v/>
      </c>
      <c r="O12" s="164">
        <f>IF($A12="","",IFERROR(--ISNUMBER(SEARCH(O$3, XLOOKUP($A12, Metrics!$B$8:$B$57, Metrics!$H$8:$H$57, ""))),0))</f>
        <v/>
      </c>
      <c r="P12" s="164">
        <f>IF($A12="","",IFERROR(--ISNUMBER(SEARCH(P$3, XLOOKUP($A12, Metrics!$B$8:$B$57, Metrics!$H$8:$H$57, ""))),0))</f>
        <v/>
      </c>
      <c r="Q12" s="164">
        <f>IF($A12="","",IFERROR(--ISNUMBER(SEARCH(Q$3, XLOOKUP($A12, Metrics!$B$8:$B$57, Metrics!$H$8:$H$57, ""))),0))</f>
        <v/>
      </c>
      <c r="R12" s="164">
        <f>IF($A12="","",IFERROR(--ISNUMBER(SEARCH(R$3, XLOOKUP($A12, Metrics!$B$8:$B$57, Metrics!$H$8:$H$57, ""))),0))</f>
        <v/>
      </c>
      <c r="S12" s="164">
        <f>IF($A12="","",IFERROR(--ISNUMBER(SEARCH(S$3, XLOOKUP($A12, Metrics!$B$8:$B$57, Metrics!$H$8:$H$57, ""))),0))</f>
        <v/>
      </c>
      <c r="T12" s="164">
        <f>IF($A12="","",IFERROR(--ISNUMBER(SEARCH(T$3, XLOOKUP($A12, Metrics!$B$8:$B$57, Metrics!$H$8:$H$57, ""))),0))</f>
        <v/>
      </c>
      <c r="U12" s="164">
        <f>IF($A12="","",IFERROR(--ISNUMBER(SEARCH(U$3, XLOOKUP($A12, Metrics!$B$8:$B$57, Metrics!$H$8:$H$57, ""))),0))</f>
        <v/>
      </c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>
        <f>IFERROR(INDEX(Metrics!$AA$8#,ROW()-3),"")</f>
        <v/>
      </c>
      <c r="B13" s="164">
        <f>IF($A13="","",IFERROR(--ISNUMBER(SEARCH(B$3, XLOOKUP($A13, Metrics!$B$8:$B$57, Metrics!$H$8:$H$57, ""))),0))</f>
        <v/>
      </c>
      <c r="C13" s="164">
        <f>IF($A13="","",IFERROR(--ISNUMBER(SEARCH(C$3, XLOOKUP($A13, Metrics!$B$8:$B$57, Metrics!$H$8:$H$57, ""))),0))</f>
        <v/>
      </c>
      <c r="D13" s="164">
        <f>IF($A13="","",IFERROR(--ISNUMBER(SEARCH(D$3, XLOOKUP($A13, Metrics!$B$8:$B$57, Metrics!$H$8:$H$57, ""))),0))</f>
        <v/>
      </c>
      <c r="E13" s="164">
        <f>IF($A13="","",IFERROR(--ISNUMBER(SEARCH(E$3, XLOOKUP($A13, Metrics!$B$8:$B$57, Metrics!$H$8:$H$57, ""))),0))</f>
        <v/>
      </c>
      <c r="F13" s="164">
        <f>IF($A13="","",IFERROR(--ISNUMBER(SEARCH(F$3, XLOOKUP($A13, Metrics!$B$8:$B$57, Metrics!$H$8:$H$57, ""))),0))</f>
        <v/>
      </c>
      <c r="G13" s="164">
        <f>IF($A13="","",IFERROR(--ISNUMBER(SEARCH(G$3, XLOOKUP($A13, Metrics!$B$8:$B$57, Metrics!$H$8:$H$57, ""))),0))</f>
        <v/>
      </c>
      <c r="H13" s="164">
        <f>IF($A13="","",IFERROR(--ISNUMBER(SEARCH(H$3, XLOOKUP($A13, Metrics!$B$8:$B$57, Metrics!$H$8:$H$57, ""))),0))</f>
        <v/>
      </c>
      <c r="I13" s="164">
        <f>IF($A13="","",IFERROR(--ISNUMBER(SEARCH(I$3, XLOOKUP($A13, Metrics!$B$8:$B$57, Metrics!$H$8:$H$57, ""))),0))</f>
        <v/>
      </c>
      <c r="J13" s="164">
        <f>IF($A13="","",IFERROR(--ISNUMBER(SEARCH(J$3, XLOOKUP($A13, Metrics!$B$8:$B$57, Metrics!$H$8:$H$57, ""))),0))</f>
        <v/>
      </c>
      <c r="K13" s="164">
        <f>IF($A13="","",IFERROR(--ISNUMBER(SEARCH(K$3, XLOOKUP($A13, Metrics!$B$8:$B$57, Metrics!$H$8:$H$57, ""))),0))</f>
        <v/>
      </c>
      <c r="L13" s="164">
        <f>IF($A13="","",IFERROR(--ISNUMBER(SEARCH(L$3, XLOOKUP($A13, Metrics!$B$8:$B$57, Metrics!$H$8:$H$57, ""))),0))</f>
        <v/>
      </c>
      <c r="M13" s="164">
        <f>IF($A13="","",IFERROR(--ISNUMBER(SEARCH(M$3, XLOOKUP($A13, Metrics!$B$8:$B$57, Metrics!$H$8:$H$57, ""))),0))</f>
        <v/>
      </c>
      <c r="N13" s="164">
        <f>IF($A13="","",IFERROR(--ISNUMBER(SEARCH(N$3, XLOOKUP($A13, Metrics!$B$8:$B$57, Metrics!$H$8:$H$57, ""))),0))</f>
        <v/>
      </c>
      <c r="O13" s="164">
        <f>IF($A13="","",IFERROR(--ISNUMBER(SEARCH(O$3, XLOOKUP($A13, Metrics!$B$8:$B$57, Metrics!$H$8:$H$57, ""))),0))</f>
        <v/>
      </c>
      <c r="P13" s="164">
        <f>IF($A13="","",IFERROR(--ISNUMBER(SEARCH(P$3, XLOOKUP($A13, Metrics!$B$8:$B$57, Metrics!$H$8:$H$57, ""))),0))</f>
        <v/>
      </c>
      <c r="Q13" s="164">
        <f>IF($A13="","",IFERROR(--ISNUMBER(SEARCH(Q$3, XLOOKUP($A13, Metrics!$B$8:$B$57, Metrics!$H$8:$H$57, ""))),0))</f>
        <v/>
      </c>
      <c r="R13" s="164">
        <f>IF($A13="","",IFERROR(--ISNUMBER(SEARCH(R$3, XLOOKUP($A13, Metrics!$B$8:$B$57, Metrics!$H$8:$H$57, ""))),0))</f>
        <v/>
      </c>
      <c r="S13" s="164">
        <f>IF($A13="","",IFERROR(--ISNUMBER(SEARCH(S$3, XLOOKUP($A13, Metrics!$B$8:$B$57, Metrics!$H$8:$H$57, ""))),0))</f>
        <v/>
      </c>
      <c r="T13" s="164">
        <f>IF($A13="","",IFERROR(--ISNUMBER(SEARCH(T$3, XLOOKUP($A13, Metrics!$B$8:$B$57, Metrics!$H$8:$H$57, ""))),0))</f>
        <v/>
      </c>
      <c r="U13" s="164">
        <f>IF($A13="","",IFERROR(--ISNUMBER(SEARCH(U$3, XLOOKUP($A13, Metrics!$B$8:$B$57, Metrics!$H$8:$H$57, ""))),0))</f>
        <v/>
      </c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>
        <f>IFERROR(INDEX(Metrics!$AA$8#,ROW()-3),"")</f>
        <v/>
      </c>
      <c r="B14" s="164">
        <f>IF($A14="","",IFERROR(--ISNUMBER(SEARCH(B$3, XLOOKUP($A14, Metrics!$B$8:$B$57, Metrics!$H$8:$H$57, ""))),0))</f>
        <v/>
      </c>
      <c r="C14" s="164">
        <f>IF($A14="","",IFERROR(--ISNUMBER(SEARCH(C$3, XLOOKUP($A14, Metrics!$B$8:$B$57, Metrics!$H$8:$H$57, ""))),0))</f>
        <v/>
      </c>
      <c r="D14" s="164">
        <f>IF($A14="","",IFERROR(--ISNUMBER(SEARCH(D$3, XLOOKUP($A14, Metrics!$B$8:$B$57, Metrics!$H$8:$H$57, ""))),0))</f>
        <v/>
      </c>
      <c r="E14" s="164">
        <f>IF($A14="","",IFERROR(--ISNUMBER(SEARCH(E$3, XLOOKUP($A14, Metrics!$B$8:$B$57, Metrics!$H$8:$H$57, ""))),0))</f>
        <v/>
      </c>
      <c r="F14" s="164">
        <f>IF($A14="","",IFERROR(--ISNUMBER(SEARCH(F$3, XLOOKUP($A14, Metrics!$B$8:$B$57, Metrics!$H$8:$H$57, ""))),0))</f>
        <v/>
      </c>
      <c r="G14" s="164">
        <f>IF($A14="","",IFERROR(--ISNUMBER(SEARCH(G$3, XLOOKUP($A14, Metrics!$B$8:$B$57, Metrics!$H$8:$H$57, ""))),0))</f>
        <v/>
      </c>
      <c r="H14" s="164">
        <f>IF($A14="","",IFERROR(--ISNUMBER(SEARCH(H$3, XLOOKUP($A14, Metrics!$B$8:$B$57, Metrics!$H$8:$H$57, ""))),0))</f>
        <v/>
      </c>
      <c r="I14" s="164">
        <f>IF($A14="","",IFERROR(--ISNUMBER(SEARCH(I$3, XLOOKUP($A14, Metrics!$B$8:$B$57, Metrics!$H$8:$H$57, ""))),0))</f>
        <v/>
      </c>
      <c r="J14" s="164">
        <f>IF($A14="","",IFERROR(--ISNUMBER(SEARCH(J$3, XLOOKUP($A14, Metrics!$B$8:$B$57, Metrics!$H$8:$H$57, ""))),0))</f>
        <v/>
      </c>
      <c r="K14" s="164">
        <f>IF($A14="","",IFERROR(--ISNUMBER(SEARCH(K$3, XLOOKUP($A14, Metrics!$B$8:$B$57, Metrics!$H$8:$H$57, ""))),0))</f>
        <v/>
      </c>
      <c r="L14" s="164">
        <f>IF($A14="","",IFERROR(--ISNUMBER(SEARCH(L$3, XLOOKUP($A14, Metrics!$B$8:$B$57, Metrics!$H$8:$H$57, ""))),0))</f>
        <v/>
      </c>
      <c r="M14" s="164">
        <f>IF($A14="","",IFERROR(--ISNUMBER(SEARCH(M$3, XLOOKUP($A14, Metrics!$B$8:$B$57, Metrics!$H$8:$H$57, ""))),0))</f>
        <v/>
      </c>
      <c r="N14" s="164">
        <f>IF($A14="","",IFERROR(--ISNUMBER(SEARCH(N$3, XLOOKUP($A14, Metrics!$B$8:$B$57, Metrics!$H$8:$H$57, ""))),0))</f>
        <v/>
      </c>
      <c r="O14" s="164">
        <f>IF($A14="","",IFERROR(--ISNUMBER(SEARCH(O$3, XLOOKUP($A14, Metrics!$B$8:$B$57, Metrics!$H$8:$H$57, ""))),0))</f>
        <v/>
      </c>
      <c r="P14" s="164">
        <f>IF($A14="","",IFERROR(--ISNUMBER(SEARCH(P$3, XLOOKUP($A14, Metrics!$B$8:$B$57, Metrics!$H$8:$H$57, ""))),0))</f>
        <v/>
      </c>
      <c r="Q14" s="164">
        <f>IF($A14="","",IFERROR(--ISNUMBER(SEARCH(Q$3, XLOOKUP($A14, Metrics!$B$8:$B$57, Metrics!$H$8:$H$57, ""))),0))</f>
        <v/>
      </c>
      <c r="R14" s="164">
        <f>IF($A14="","",IFERROR(--ISNUMBER(SEARCH(R$3, XLOOKUP($A14, Metrics!$B$8:$B$57, Metrics!$H$8:$H$57, ""))),0))</f>
        <v/>
      </c>
      <c r="S14" s="164">
        <f>IF($A14="","",IFERROR(--ISNUMBER(SEARCH(S$3, XLOOKUP($A14, Metrics!$B$8:$B$57, Metrics!$H$8:$H$57, ""))),0))</f>
        <v/>
      </c>
      <c r="T14" s="164">
        <f>IF($A14="","",IFERROR(--ISNUMBER(SEARCH(T$3, XLOOKUP($A14, Metrics!$B$8:$B$57, Metrics!$H$8:$H$57, ""))),0))</f>
        <v/>
      </c>
      <c r="U14" s="164">
        <f>IF($A14="","",IFERROR(--ISNUMBER(SEARCH(U$3, XLOOKUP($A14, Metrics!$B$8:$B$57, Metrics!$H$8:$H$57, ""))),0))</f>
        <v/>
      </c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>
        <f>IFERROR(INDEX(Metrics!$AA$8#,ROW()-3),"")</f>
        <v/>
      </c>
      <c r="B15" s="164">
        <f>IF($A15="","",IFERROR(--ISNUMBER(SEARCH(B$3, XLOOKUP($A15, Metrics!$B$8:$B$57, Metrics!$H$8:$H$57, ""))),0))</f>
        <v/>
      </c>
      <c r="C15" s="164">
        <f>IF($A15="","",IFERROR(--ISNUMBER(SEARCH(C$3, XLOOKUP($A15, Metrics!$B$8:$B$57, Metrics!$H$8:$H$57, ""))),0))</f>
        <v/>
      </c>
      <c r="D15" s="164">
        <f>IF($A15="","",IFERROR(--ISNUMBER(SEARCH(D$3, XLOOKUP($A15, Metrics!$B$8:$B$57, Metrics!$H$8:$H$57, ""))),0))</f>
        <v/>
      </c>
      <c r="E15" s="164">
        <f>IF($A15="","",IFERROR(--ISNUMBER(SEARCH(E$3, XLOOKUP($A15, Metrics!$B$8:$B$57, Metrics!$H$8:$H$57, ""))),0))</f>
        <v/>
      </c>
      <c r="F15" s="164">
        <f>IF($A15="","",IFERROR(--ISNUMBER(SEARCH(F$3, XLOOKUP($A15, Metrics!$B$8:$B$57, Metrics!$H$8:$H$57, ""))),0))</f>
        <v/>
      </c>
      <c r="G15" s="164">
        <f>IF($A15="","",IFERROR(--ISNUMBER(SEARCH(G$3, XLOOKUP($A15, Metrics!$B$8:$B$57, Metrics!$H$8:$H$57, ""))),0))</f>
        <v/>
      </c>
      <c r="H15" s="164">
        <f>IF($A15="","",IFERROR(--ISNUMBER(SEARCH(H$3, XLOOKUP($A15, Metrics!$B$8:$B$57, Metrics!$H$8:$H$57, ""))),0))</f>
        <v/>
      </c>
      <c r="I15" s="164">
        <f>IF($A15="","",IFERROR(--ISNUMBER(SEARCH(I$3, XLOOKUP($A15, Metrics!$B$8:$B$57, Metrics!$H$8:$H$57, ""))),0))</f>
        <v/>
      </c>
      <c r="J15" s="164">
        <f>IF($A15="","",IFERROR(--ISNUMBER(SEARCH(J$3, XLOOKUP($A15, Metrics!$B$8:$B$57, Metrics!$H$8:$H$57, ""))),0))</f>
        <v/>
      </c>
      <c r="K15" s="164">
        <f>IF($A15="","",IFERROR(--ISNUMBER(SEARCH(K$3, XLOOKUP($A15, Metrics!$B$8:$B$57, Metrics!$H$8:$H$57, ""))),0))</f>
        <v/>
      </c>
      <c r="L15" s="164">
        <f>IF($A15="","",IFERROR(--ISNUMBER(SEARCH(L$3, XLOOKUP($A15, Metrics!$B$8:$B$57, Metrics!$H$8:$H$57, ""))),0))</f>
        <v/>
      </c>
      <c r="M15" s="164">
        <f>IF($A15="","",IFERROR(--ISNUMBER(SEARCH(M$3, XLOOKUP($A15, Metrics!$B$8:$B$57, Metrics!$H$8:$H$57, ""))),0))</f>
        <v/>
      </c>
      <c r="N15" s="164">
        <f>IF($A15="","",IFERROR(--ISNUMBER(SEARCH(N$3, XLOOKUP($A15, Metrics!$B$8:$B$57, Metrics!$H$8:$H$57, ""))),0))</f>
        <v/>
      </c>
      <c r="O15" s="164">
        <f>IF($A15="","",IFERROR(--ISNUMBER(SEARCH(O$3, XLOOKUP($A15, Metrics!$B$8:$B$57, Metrics!$H$8:$H$57, ""))),0))</f>
        <v/>
      </c>
      <c r="P15" s="164">
        <f>IF($A15="","",IFERROR(--ISNUMBER(SEARCH(P$3, XLOOKUP($A15, Metrics!$B$8:$B$57, Metrics!$H$8:$H$57, ""))),0))</f>
        <v/>
      </c>
      <c r="Q15" s="164">
        <f>IF($A15="","",IFERROR(--ISNUMBER(SEARCH(Q$3, XLOOKUP($A15, Metrics!$B$8:$B$57, Metrics!$H$8:$H$57, ""))),0))</f>
        <v/>
      </c>
      <c r="R15" s="164">
        <f>IF($A15="","",IFERROR(--ISNUMBER(SEARCH(R$3, XLOOKUP($A15, Metrics!$B$8:$B$57, Metrics!$H$8:$H$57, ""))),0))</f>
        <v/>
      </c>
      <c r="S15" s="164">
        <f>IF($A15="","",IFERROR(--ISNUMBER(SEARCH(S$3, XLOOKUP($A15, Metrics!$B$8:$B$57, Metrics!$H$8:$H$57, ""))),0))</f>
        <v/>
      </c>
      <c r="T15" s="164">
        <f>IF($A15="","",IFERROR(--ISNUMBER(SEARCH(T$3, XLOOKUP($A15, Metrics!$B$8:$B$57, Metrics!$H$8:$H$57, ""))),0))</f>
        <v/>
      </c>
      <c r="U15" s="164">
        <f>IF($A15="","",IFERROR(--ISNUMBER(SEARCH(U$3, XLOOKUP($A15, Metrics!$B$8:$B$57, Metrics!$H$8:$H$57, ""))),0))</f>
        <v/>
      </c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>
        <f>IFERROR(INDEX(Metrics!$AA$8#,ROW()-3),"")</f>
        <v/>
      </c>
      <c r="B16" s="164">
        <f>IF($A16="","",IFERROR(--ISNUMBER(SEARCH(B$3, XLOOKUP($A16, Metrics!$B$8:$B$57, Metrics!$H$8:$H$57, ""))),0))</f>
        <v/>
      </c>
      <c r="C16" s="164">
        <f>IF($A16="","",IFERROR(--ISNUMBER(SEARCH(C$3, XLOOKUP($A16, Metrics!$B$8:$B$57, Metrics!$H$8:$H$57, ""))),0))</f>
        <v/>
      </c>
      <c r="D16" s="164">
        <f>IF($A16="","",IFERROR(--ISNUMBER(SEARCH(D$3, XLOOKUP($A16, Metrics!$B$8:$B$57, Metrics!$H$8:$H$57, ""))),0))</f>
        <v/>
      </c>
      <c r="E16" s="164">
        <f>IF($A16="","",IFERROR(--ISNUMBER(SEARCH(E$3, XLOOKUP($A16, Metrics!$B$8:$B$57, Metrics!$H$8:$H$57, ""))),0))</f>
        <v/>
      </c>
      <c r="F16" s="164">
        <f>IF($A16="","",IFERROR(--ISNUMBER(SEARCH(F$3, XLOOKUP($A16, Metrics!$B$8:$B$57, Metrics!$H$8:$H$57, ""))),0))</f>
        <v/>
      </c>
      <c r="G16" s="164">
        <f>IF($A16="","",IFERROR(--ISNUMBER(SEARCH(G$3, XLOOKUP($A16, Metrics!$B$8:$B$57, Metrics!$H$8:$H$57, ""))),0))</f>
        <v/>
      </c>
      <c r="H16" s="164">
        <f>IF($A16="","",IFERROR(--ISNUMBER(SEARCH(H$3, XLOOKUP($A16, Metrics!$B$8:$B$57, Metrics!$H$8:$H$57, ""))),0))</f>
        <v/>
      </c>
      <c r="I16" s="164">
        <f>IF($A16="","",IFERROR(--ISNUMBER(SEARCH(I$3, XLOOKUP($A16, Metrics!$B$8:$B$57, Metrics!$H$8:$H$57, ""))),0))</f>
        <v/>
      </c>
      <c r="J16" s="164">
        <f>IF($A16="","",IFERROR(--ISNUMBER(SEARCH(J$3, XLOOKUP($A16, Metrics!$B$8:$B$57, Metrics!$H$8:$H$57, ""))),0))</f>
        <v/>
      </c>
      <c r="K16" s="164">
        <f>IF($A16="","",IFERROR(--ISNUMBER(SEARCH(K$3, XLOOKUP($A16, Metrics!$B$8:$B$57, Metrics!$H$8:$H$57, ""))),0))</f>
        <v/>
      </c>
      <c r="L16" s="164">
        <f>IF($A16="","",IFERROR(--ISNUMBER(SEARCH(L$3, XLOOKUP($A16, Metrics!$B$8:$B$57, Metrics!$H$8:$H$57, ""))),0))</f>
        <v/>
      </c>
      <c r="M16" s="164">
        <f>IF($A16="","",IFERROR(--ISNUMBER(SEARCH(M$3, XLOOKUP($A16, Metrics!$B$8:$B$57, Metrics!$H$8:$H$57, ""))),0))</f>
        <v/>
      </c>
      <c r="N16" s="164">
        <f>IF($A16="","",IFERROR(--ISNUMBER(SEARCH(N$3, XLOOKUP($A16, Metrics!$B$8:$B$57, Metrics!$H$8:$H$57, ""))),0))</f>
        <v/>
      </c>
      <c r="O16" s="164">
        <f>IF($A16="","",IFERROR(--ISNUMBER(SEARCH(O$3, XLOOKUP($A16, Metrics!$B$8:$B$57, Metrics!$H$8:$H$57, ""))),0))</f>
        <v/>
      </c>
      <c r="P16" s="164">
        <f>IF($A16="","",IFERROR(--ISNUMBER(SEARCH(P$3, XLOOKUP($A16, Metrics!$B$8:$B$57, Metrics!$H$8:$H$57, ""))),0))</f>
        <v/>
      </c>
      <c r="Q16" s="164">
        <f>IF($A16="","",IFERROR(--ISNUMBER(SEARCH(Q$3, XLOOKUP($A16, Metrics!$B$8:$B$57, Metrics!$H$8:$H$57, ""))),0))</f>
        <v/>
      </c>
      <c r="R16" s="164">
        <f>IF($A16="","",IFERROR(--ISNUMBER(SEARCH(R$3, XLOOKUP($A16, Metrics!$B$8:$B$57, Metrics!$H$8:$H$57, ""))),0))</f>
        <v/>
      </c>
      <c r="S16" s="164">
        <f>IF($A16="","",IFERROR(--ISNUMBER(SEARCH(S$3, XLOOKUP($A16, Metrics!$B$8:$B$57, Metrics!$H$8:$H$57, ""))),0))</f>
        <v/>
      </c>
      <c r="T16" s="164">
        <f>IF($A16="","",IFERROR(--ISNUMBER(SEARCH(T$3, XLOOKUP($A16, Metrics!$B$8:$B$57, Metrics!$H$8:$H$57, ""))),0))</f>
        <v/>
      </c>
      <c r="U16" s="164">
        <f>IF($A16="","",IFERROR(--ISNUMBER(SEARCH(U$3, XLOOKUP($A16, Metrics!$B$8:$B$57, Metrics!$H$8:$H$57, ""))),0))</f>
        <v/>
      </c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>
        <f>IFERROR(INDEX(Metrics!$AA$8#,ROW()-3),"")</f>
        <v/>
      </c>
      <c r="B17" s="164">
        <f>IF($A17="","",IFERROR(--ISNUMBER(SEARCH(B$3, XLOOKUP($A17, Metrics!$B$8:$B$57, Metrics!$H$8:$H$57, ""))),0))</f>
        <v/>
      </c>
      <c r="C17" s="164">
        <f>IF($A17="","",IFERROR(--ISNUMBER(SEARCH(C$3, XLOOKUP($A17, Metrics!$B$8:$B$57, Metrics!$H$8:$H$57, ""))),0))</f>
        <v/>
      </c>
      <c r="D17" s="164">
        <f>IF($A17="","",IFERROR(--ISNUMBER(SEARCH(D$3, XLOOKUP($A17, Metrics!$B$8:$B$57, Metrics!$H$8:$H$57, ""))),0))</f>
        <v/>
      </c>
      <c r="E17" s="164">
        <f>IF($A17="","",IFERROR(--ISNUMBER(SEARCH(E$3, XLOOKUP($A17, Metrics!$B$8:$B$57, Metrics!$H$8:$H$57, ""))),0))</f>
        <v/>
      </c>
      <c r="F17" s="164">
        <f>IF($A17="","",IFERROR(--ISNUMBER(SEARCH(F$3, XLOOKUP($A17, Metrics!$B$8:$B$57, Metrics!$H$8:$H$57, ""))),0))</f>
        <v/>
      </c>
      <c r="G17" s="164">
        <f>IF($A17="","",IFERROR(--ISNUMBER(SEARCH(G$3, XLOOKUP($A17, Metrics!$B$8:$B$57, Metrics!$H$8:$H$57, ""))),0))</f>
        <v/>
      </c>
      <c r="H17" s="164">
        <f>IF($A17="","",IFERROR(--ISNUMBER(SEARCH(H$3, XLOOKUP($A17, Metrics!$B$8:$B$57, Metrics!$H$8:$H$57, ""))),0))</f>
        <v/>
      </c>
      <c r="I17" s="164">
        <f>IF($A17="","",IFERROR(--ISNUMBER(SEARCH(I$3, XLOOKUP($A17, Metrics!$B$8:$B$57, Metrics!$H$8:$H$57, ""))),0))</f>
        <v/>
      </c>
      <c r="J17" s="164">
        <f>IF($A17="","",IFERROR(--ISNUMBER(SEARCH(J$3, XLOOKUP($A17, Metrics!$B$8:$B$57, Metrics!$H$8:$H$57, ""))),0))</f>
        <v/>
      </c>
      <c r="K17" s="164">
        <f>IF($A17="","",IFERROR(--ISNUMBER(SEARCH(K$3, XLOOKUP($A17, Metrics!$B$8:$B$57, Metrics!$H$8:$H$57, ""))),0))</f>
        <v/>
      </c>
      <c r="L17" s="164">
        <f>IF($A17="","",IFERROR(--ISNUMBER(SEARCH(L$3, XLOOKUP($A17, Metrics!$B$8:$B$57, Metrics!$H$8:$H$57, ""))),0))</f>
        <v/>
      </c>
      <c r="M17" s="164">
        <f>IF($A17="","",IFERROR(--ISNUMBER(SEARCH(M$3, XLOOKUP($A17, Metrics!$B$8:$B$57, Metrics!$H$8:$H$57, ""))),0))</f>
        <v/>
      </c>
      <c r="N17" s="164">
        <f>IF($A17="","",IFERROR(--ISNUMBER(SEARCH(N$3, XLOOKUP($A17, Metrics!$B$8:$B$57, Metrics!$H$8:$H$57, ""))),0))</f>
        <v/>
      </c>
      <c r="O17" s="164">
        <f>IF($A17="","",IFERROR(--ISNUMBER(SEARCH(O$3, XLOOKUP($A17, Metrics!$B$8:$B$57, Metrics!$H$8:$H$57, ""))),0))</f>
        <v/>
      </c>
      <c r="P17" s="164">
        <f>IF($A17="","",IFERROR(--ISNUMBER(SEARCH(P$3, XLOOKUP($A17, Metrics!$B$8:$B$57, Metrics!$H$8:$H$57, ""))),0))</f>
        <v/>
      </c>
      <c r="Q17" s="164">
        <f>IF($A17="","",IFERROR(--ISNUMBER(SEARCH(Q$3, XLOOKUP($A17, Metrics!$B$8:$B$57, Metrics!$H$8:$H$57, ""))),0))</f>
        <v/>
      </c>
      <c r="R17" s="164">
        <f>IF($A17="","",IFERROR(--ISNUMBER(SEARCH(R$3, XLOOKUP($A17, Metrics!$B$8:$B$57, Metrics!$H$8:$H$57, ""))),0))</f>
        <v/>
      </c>
      <c r="S17" s="164">
        <f>IF($A17="","",IFERROR(--ISNUMBER(SEARCH(S$3, XLOOKUP($A17, Metrics!$B$8:$B$57, Metrics!$H$8:$H$57, ""))),0))</f>
        <v/>
      </c>
      <c r="T17" s="164">
        <f>IF($A17="","",IFERROR(--ISNUMBER(SEARCH(T$3, XLOOKUP($A17, Metrics!$B$8:$B$57, Metrics!$H$8:$H$57, ""))),0))</f>
        <v/>
      </c>
      <c r="U17" s="164">
        <f>IF($A17="","",IFERROR(--ISNUMBER(SEARCH(U$3, XLOOKUP($A17, Metrics!$B$8:$B$57, Metrics!$H$8:$H$57, ""))),0))</f>
        <v/>
      </c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>
        <f>IFERROR(INDEX(Metrics!$AA$8#,ROW()-3),"")</f>
        <v/>
      </c>
      <c r="B18" s="164">
        <f>IF($A18="","",IFERROR(--ISNUMBER(SEARCH(B$3, XLOOKUP($A18, Metrics!$B$8:$B$57, Metrics!$H$8:$H$57, ""))),0))</f>
        <v/>
      </c>
      <c r="C18" s="164">
        <f>IF($A18="","",IFERROR(--ISNUMBER(SEARCH(C$3, XLOOKUP($A18, Metrics!$B$8:$B$57, Metrics!$H$8:$H$57, ""))),0))</f>
        <v/>
      </c>
      <c r="D18" s="164">
        <f>IF($A18="","",IFERROR(--ISNUMBER(SEARCH(D$3, XLOOKUP($A18, Metrics!$B$8:$B$57, Metrics!$H$8:$H$57, ""))),0))</f>
        <v/>
      </c>
      <c r="E18" s="164">
        <f>IF($A18="","",IFERROR(--ISNUMBER(SEARCH(E$3, XLOOKUP($A18, Metrics!$B$8:$B$57, Metrics!$H$8:$H$57, ""))),0))</f>
        <v/>
      </c>
      <c r="F18" s="164">
        <f>IF($A18="","",IFERROR(--ISNUMBER(SEARCH(F$3, XLOOKUP($A18, Metrics!$B$8:$B$57, Metrics!$H$8:$H$57, ""))),0))</f>
        <v/>
      </c>
      <c r="G18" s="164">
        <f>IF($A18="","",IFERROR(--ISNUMBER(SEARCH(G$3, XLOOKUP($A18, Metrics!$B$8:$B$57, Metrics!$H$8:$H$57, ""))),0))</f>
        <v/>
      </c>
      <c r="H18" s="164">
        <f>IF($A18="","",IFERROR(--ISNUMBER(SEARCH(H$3, XLOOKUP($A18, Metrics!$B$8:$B$57, Metrics!$H$8:$H$57, ""))),0))</f>
        <v/>
      </c>
      <c r="I18" s="164">
        <f>IF($A18="","",IFERROR(--ISNUMBER(SEARCH(I$3, XLOOKUP($A18, Metrics!$B$8:$B$57, Metrics!$H$8:$H$57, ""))),0))</f>
        <v/>
      </c>
      <c r="J18" s="164">
        <f>IF($A18="","",IFERROR(--ISNUMBER(SEARCH(J$3, XLOOKUP($A18, Metrics!$B$8:$B$57, Metrics!$H$8:$H$57, ""))),0))</f>
        <v/>
      </c>
      <c r="K18" s="164">
        <f>IF($A18="","",IFERROR(--ISNUMBER(SEARCH(K$3, XLOOKUP($A18, Metrics!$B$8:$B$57, Metrics!$H$8:$H$57, ""))),0))</f>
        <v/>
      </c>
      <c r="L18" s="164">
        <f>IF($A18="","",IFERROR(--ISNUMBER(SEARCH(L$3, XLOOKUP($A18, Metrics!$B$8:$B$57, Metrics!$H$8:$H$57, ""))),0))</f>
        <v/>
      </c>
      <c r="M18" s="164">
        <f>IF($A18="","",IFERROR(--ISNUMBER(SEARCH(M$3, XLOOKUP($A18, Metrics!$B$8:$B$57, Metrics!$H$8:$H$57, ""))),0))</f>
        <v/>
      </c>
      <c r="N18" s="164">
        <f>IF($A18="","",IFERROR(--ISNUMBER(SEARCH(N$3, XLOOKUP($A18, Metrics!$B$8:$B$57, Metrics!$H$8:$H$57, ""))),0))</f>
        <v/>
      </c>
      <c r="O18" s="164">
        <f>IF($A18="","",IFERROR(--ISNUMBER(SEARCH(O$3, XLOOKUP($A18, Metrics!$B$8:$B$57, Metrics!$H$8:$H$57, ""))),0))</f>
        <v/>
      </c>
      <c r="P18" s="164">
        <f>IF($A18="","",IFERROR(--ISNUMBER(SEARCH(P$3, XLOOKUP($A18, Metrics!$B$8:$B$57, Metrics!$H$8:$H$57, ""))),0))</f>
        <v/>
      </c>
      <c r="Q18" s="164">
        <f>IF($A18="","",IFERROR(--ISNUMBER(SEARCH(Q$3, XLOOKUP($A18, Metrics!$B$8:$B$57, Metrics!$H$8:$H$57, ""))),0))</f>
        <v/>
      </c>
      <c r="R18" s="164">
        <f>IF($A18="","",IFERROR(--ISNUMBER(SEARCH(R$3, XLOOKUP($A18, Metrics!$B$8:$B$57, Metrics!$H$8:$H$57, ""))),0))</f>
        <v/>
      </c>
      <c r="S18" s="164">
        <f>IF($A18="","",IFERROR(--ISNUMBER(SEARCH(S$3, XLOOKUP($A18, Metrics!$B$8:$B$57, Metrics!$H$8:$H$57, ""))),0))</f>
        <v/>
      </c>
      <c r="T18" s="164">
        <f>IF($A18="","",IFERROR(--ISNUMBER(SEARCH(T$3, XLOOKUP($A18, Metrics!$B$8:$B$57, Metrics!$H$8:$H$57, ""))),0))</f>
        <v/>
      </c>
      <c r="U18" s="164">
        <f>IF($A18="","",IFERROR(--ISNUMBER(SEARCH(U$3, XLOOKUP($A18, Metrics!$B$8:$B$57, Metrics!$H$8:$H$57, ""))),0))</f>
        <v/>
      </c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>
        <f>IFERROR(INDEX(Metrics!$AA$8#,ROW()-3),"")</f>
        <v/>
      </c>
      <c r="B19" s="164">
        <f>IF($A19="","",IFERROR(--ISNUMBER(SEARCH(B$3, XLOOKUP($A19, Metrics!$B$8:$B$57, Metrics!$H$8:$H$57, ""))),0))</f>
        <v/>
      </c>
      <c r="C19" s="164">
        <f>IF($A19="","",IFERROR(--ISNUMBER(SEARCH(C$3, XLOOKUP($A19, Metrics!$B$8:$B$57, Metrics!$H$8:$H$57, ""))),0))</f>
        <v/>
      </c>
      <c r="D19" s="164">
        <f>IF($A19="","",IFERROR(--ISNUMBER(SEARCH(D$3, XLOOKUP($A19, Metrics!$B$8:$B$57, Metrics!$H$8:$H$57, ""))),0))</f>
        <v/>
      </c>
      <c r="E19" s="164">
        <f>IF($A19="","",IFERROR(--ISNUMBER(SEARCH(E$3, XLOOKUP($A19, Metrics!$B$8:$B$57, Metrics!$H$8:$H$57, ""))),0))</f>
        <v/>
      </c>
      <c r="F19" s="164">
        <f>IF($A19="","",IFERROR(--ISNUMBER(SEARCH(F$3, XLOOKUP($A19, Metrics!$B$8:$B$57, Metrics!$H$8:$H$57, ""))),0))</f>
        <v/>
      </c>
      <c r="G19" s="164">
        <f>IF($A19="","",IFERROR(--ISNUMBER(SEARCH(G$3, XLOOKUP($A19, Metrics!$B$8:$B$57, Metrics!$H$8:$H$57, ""))),0))</f>
        <v/>
      </c>
      <c r="H19" s="164">
        <f>IF($A19="","",IFERROR(--ISNUMBER(SEARCH(H$3, XLOOKUP($A19, Metrics!$B$8:$B$57, Metrics!$H$8:$H$57, ""))),0))</f>
        <v/>
      </c>
      <c r="I19" s="164">
        <f>IF($A19="","",IFERROR(--ISNUMBER(SEARCH(I$3, XLOOKUP($A19, Metrics!$B$8:$B$57, Metrics!$H$8:$H$57, ""))),0))</f>
        <v/>
      </c>
      <c r="J19" s="164">
        <f>IF($A19="","",IFERROR(--ISNUMBER(SEARCH(J$3, XLOOKUP($A19, Metrics!$B$8:$B$57, Metrics!$H$8:$H$57, ""))),0))</f>
        <v/>
      </c>
      <c r="K19" s="164">
        <f>IF($A19="","",IFERROR(--ISNUMBER(SEARCH(K$3, XLOOKUP($A19, Metrics!$B$8:$B$57, Metrics!$H$8:$H$57, ""))),0))</f>
        <v/>
      </c>
      <c r="L19" s="164">
        <f>IF($A19="","",IFERROR(--ISNUMBER(SEARCH(L$3, XLOOKUP($A19, Metrics!$B$8:$B$57, Metrics!$H$8:$H$57, ""))),0))</f>
        <v/>
      </c>
      <c r="M19" s="164">
        <f>IF($A19="","",IFERROR(--ISNUMBER(SEARCH(M$3, XLOOKUP($A19, Metrics!$B$8:$B$57, Metrics!$H$8:$H$57, ""))),0))</f>
        <v/>
      </c>
      <c r="N19" s="164">
        <f>IF($A19="","",IFERROR(--ISNUMBER(SEARCH(N$3, XLOOKUP($A19, Metrics!$B$8:$B$57, Metrics!$H$8:$H$57, ""))),0))</f>
        <v/>
      </c>
      <c r="O19" s="164">
        <f>IF($A19="","",IFERROR(--ISNUMBER(SEARCH(O$3, XLOOKUP($A19, Metrics!$B$8:$B$57, Metrics!$H$8:$H$57, ""))),0))</f>
        <v/>
      </c>
      <c r="P19" s="164">
        <f>IF($A19="","",IFERROR(--ISNUMBER(SEARCH(P$3, XLOOKUP($A19, Metrics!$B$8:$B$57, Metrics!$H$8:$H$57, ""))),0))</f>
        <v/>
      </c>
      <c r="Q19" s="164">
        <f>IF($A19="","",IFERROR(--ISNUMBER(SEARCH(Q$3, XLOOKUP($A19, Metrics!$B$8:$B$57, Metrics!$H$8:$H$57, ""))),0))</f>
        <v/>
      </c>
      <c r="R19" s="164">
        <f>IF($A19="","",IFERROR(--ISNUMBER(SEARCH(R$3, XLOOKUP($A19, Metrics!$B$8:$B$57, Metrics!$H$8:$H$57, ""))),0))</f>
        <v/>
      </c>
      <c r="S19" s="164">
        <f>IF($A19="","",IFERROR(--ISNUMBER(SEARCH(S$3, XLOOKUP($A19, Metrics!$B$8:$B$57, Metrics!$H$8:$H$57, ""))),0))</f>
        <v/>
      </c>
      <c r="T19" s="164">
        <f>IF($A19="","",IFERROR(--ISNUMBER(SEARCH(T$3, XLOOKUP($A19, Metrics!$B$8:$B$57, Metrics!$H$8:$H$57, ""))),0))</f>
        <v/>
      </c>
      <c r="U19" s="164">
        <f>IF($A19="","",IFERROR(--ISNUMBER(SEARCH(U$3, XLOOKUP($A19, Metrics!$B$8:$B$57, Metrics!$H$8:$H$57, ""))),0))</f>
        <v/>
      </c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>
        <f>IFERROR(INDEX(Metrics!$AA$8#,ROW()-3),"")</f>
        <v/>
      </c>
      <c r="B20" s="164">
        <f>IF($A20="","",IFERROR(--ISNUMBER(SEARCH(B$3, XLOOKUP($A20, Metrics!$B$8:$B$57, Metrics!$H$8:$H$57, ""))),0))</f>
        <v/>
      </c>
      <c r="C20" s="164">
        <f>IF($A20="","",IFERROR(--ISNUMBER(SEARCH(C$3, XLOOKUP($A20, Metrics!$B$8:$B$57, Metrics!$H$8:$H$57, ""))),0))</f>
        <v/>
      </c>
      <c r="D20" s="164">
        <f>IF($A20="","",IFERROR(--ISNUMBER(SEARCH(D$3, XLOOKUP($A20, Metrics!$B$8:$B$57, Metrics!$H$8:$H$57, ""))),0))</f>
        <v/>
      </c>
      <c r="E20" s="164">
        <f>IF($A20="","",IFERROR(--ISNUMBER(SEARCH(E$3, XLOOKUP($A20, Metrics!$B$8:$B$57, Metrics!$H$8:$H$57, ""))),0))</f>
        <v/>
      </c>
      <c r="F20" s="164">
        <f>IF($A20="","",IFERROR(--ISNUMBER(SEARCH(F$3, XLOOKUP($A20, Metrics!$B$8:$B$57, Metrics!$H$8:$H$57, ""))),0))</f>
        <v/>
      </c>
      <c r="G20" s="164">
        <f>IF($A20="","",IFERROR(--ISNUMBER(SEARCH(G$3, XLOOKUP($A20, Metrics!$B$8:$B$57, Metrics!$H$8:$H$57, ""))),0))</f>
        <v/>
      </c>
      <c r="H20" s="164">
        <f>IF($A20="","",IFERROR(--ISNUMBER(SEARCH(H$3, XLOOKUP($A20, Metrics!$B$8:$B$57, Metrics!$H$8:$H$57, ""))),0))</f>
        <v/>
      </c>
      <c r="I20" s="164">
        <f>IF($A20="","",IFERROR(--ISNUMBER(SEARCH(I$3, XLOOKUP($A20, Metrics!$B$8:$B$57, Metrics!$H$8:$H$57, ""))),0))</f>
        <v/>
      </c>
      <c r="J20" s="164">
        <f>IF($A20="","",IFERROR(--ISNUMBER(SEARCH(J$3, XLOOKUP($A20, Metrics!$B$8:$B$57, Metrics!$H$8:$H$57, ""))),0))</f>
        <v/>
      </c>
      <c r="K20" s="164">
        <f>IF($A20="","",IFERROR(--ISNUMBER(SEARCH(K$3, XLOOKUP($A20, Metrics!$B$8:$B$57, Metrics!$H$8:$H$57, ""))),0))</f>
        <v/>
      </c>
      <c r="L20" s="164">
        <f>IF($A20="","",IFERROR(--ISNUMBER(SEARCH(L$3, XLOOKUP($A20, Metrics!$B$8:$B$57, Metrics!$H$8:$H$57, ""))),0))</f>
        <v/>
      </c>
      <c r="M20" s="164">
        <f>IF($A20="","",IFERROR(--ISNUMBER(SEARCH(M$3, XLOOKUP($A20, Metrics!$B$8:$B$57, Metrics!$H$8:$H$57, ""))),0))</f>
        <v/>
      </c>
      <c r="N20" s="164">
        <f>IF($A20="","",IFERROR(--ISNUMBER(SEARCH(N$3, XLOOKUP($A20, Metrics!$B$8:$B$57, Metrics!$H$8:$H$57, ""))),0))</f>
        <v/>
      </c>
      <c r="O20" s="164">
        <f>IF($A20="","",IFERROR(--ISNUMBER(SEARCH(O$3, XLOOKUP($A20, Metrics!$B$8:$B$57, Metrics!$H$8:$H$57, ""))),0))</f>
        <v/>
      </c>
      <c r="P20" s="164">
        <f>IF($A20="","",IFERROR(--ISNUMBER(SEARCH(P$3, XLOOKUP($A20, Metrics!$B$8:$B$57, Metrics!$H$8:$H$57, ""))),0))</f>
        <v/>
      </c>
      <c r="Q20" s="164">
        <f>IF($A20="","",IFERROR(--ISNUMBER(SEARCH(Q$3, XLOOKUP($A20, Metrics!$B$8:$B$57, Metrics!$H$8:$H$57, ""))),0))</f>
        <v/>
      </c>
      <c r="R20" s="164">
        <f>IF($A20="","",IFERROR(--ISNUMBER(SEARCH(R$3, XLOOKUP($A20, Metrics!$B$8:$B$57, Metrics!$H$8:$H$57, ""))),0))</f>
        <v/>
      </c>
      <c r="S20" s="164">
        <f>IF($A20="","",IFERROR(--ISNUMBER(SEARCH(S$3, XLOOKUP($A20, Metrics!$B$8:$B$57, Metrics!$H$8:$H$57, ""))),0))</f>
        <v/>
      </c>
      <c r="T20" s="164">
        <f>IF($A20="","",IFERROR(--ISNUMBER(SEARCH(T$3, XLOOKUP($A20, Metrics!$B$8:$B$57, Metrics!$H$8:$H$57, ""))),0))</f>
        <v/>
      </c>
      <c r="U20" s="164">
        <f>IF($A20="","",IFERROR(--ISNUMBER(SEARCH(U$3, XLOOKUP($A20, Metrics!$B$8:$B$57, Metrics!$H$8:$H$57, ""))),0))</f>
        <v/>
      </c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>
        <f>IFERROR(INDEX(Metrics!$AA$8#,ROW()-3),"")</f>
        <v/>
      </c>
      <c r="B21" s="164">
        <f>IF($A21="","",IFERROR(--ISNUMBER(SEARCH(B$3, XLOOKUP($A21, Metrics!$B$8:$B$57, Metrics!$H$8:$H$57, ""))),0))</f>
        <v/>
      </c>
      <c r="C21" s="164">
        <f>IF($A21="","",IFERROR(--ISNUMBER(SEARCH(C$3, XLOOKUP($A21, Metrics!$B$8:$B$57, Metrics!$H$8:$H$57, ""))),0))</f>
        <v/>
      </c>
      <c r="D21" s="164">
        <f>IF($A21="","",IFERROR(--ISNUMBER(SEARCH(D$3, XLOOKUP($A21, Metrics!$B$8:$B$57, Metrics!$H$8:$H$57, ""))),0))</f>
        <v/>
      </c>
      <c r="E21" s="164">
        <f>IF($A21="","",IFERROR(--ISNUMBER(SEARCH(E$3, XLOOKUP($A21, Metrics!$B$8:$B$57, Metrics!$H$8:$H$57, ""))),0))</f>
        <v/>
      </c>
      <c r="F21" s="164">
        <f>IF($A21="","",IFERROR(--ISNUMBER(SEARCH(F$3, XLOOKUP($A21, Metrics!$B$8:$B$57, Metrics!$H$8:$H$57, ""))),0))</f>
        <v/>
      </c>
      <c r="G21" s="164">
        <f>IF($A21="","",IFERROR(--ISNUMBER(SEARCH(G$3, XLOOKUP($A21, Metrics!$B$8:$B$57, Metrics!$H$8:$H$57, ""))),0))</f>
        <v/>
      </c>
      <c r="H21" s="164">
        <f>IF($A21="","",IFERROR(--ISNUMBER(SEARCH(H$3, XLOOKUP($A21, Metrics!$B$8:$B$57, Metrics!$H$8:$H$57, ""))),0))</f>
        <v/>
      </c>
      <c r="I21" s="164">
        <f>IF($A21="","",IFERROR(--ISNUMBER(SEARCH(I$3, XLOOKUP($A21, Metrics!$B$8:$B$57, Metrics!$H$8:$H$57, ""))),0))</f>
        <v/>
      </c>
      <c r="J21" s="164">
        <f>IF($A21="","",IFERROR(--ISNUMBER(SEARCH(J$3, XLOOKUP($A21, Metrics!$B$8:$B$57, Metrics!$H$8:$H$57, ""))),0))</f>
        <v/>
      </c>
      <c r="K21" s="164">
        <f>IF($A21="","",IFERROR(--ISNUMBER(SEARCH(K$3, XLOOKUP($A21, Metrics!$B$8:$B$57, Metrics!$H$8:$H$57, ""))),0))</f>
        <v/>
      </c>
      <c r="L21" s="164">
        <f>IF($A21="","",IFERROR(--ISNUMBER(SEARCH(L$3, XLOOKUP($A21, Metrics!$B$8:$B$57, Metrics!$H$8:$H$57, ""))),0))</f>
        <v/>
      </c>
      <c r="M21" s="164">
        <f>IF($A21="","",IFERROR(--ISNUMBER(SEARCH(M$3, XLOOKUP($A21, Metrics!$B$8:$B$57, Metrics!$H$8:$H$57, ""))),0))</f>
        <v/>
      </c>
      <c r="N21" s="164">
        <f>IF($A21="","",IFERROR(--ISNUMBER(SEARCH(N$3, XLOOKUP($A21, Metrics!$B$8:$B$57, Metrics!$H$8:$H$57, ""))),0))</f>
        <v/>
      </c>
      <c r="O21" s="164">
        <f>IF($A21="","",IFERROR(--ISNUMBER(SEARCH(O$3, XLOOKUP($A21, Metrics!$B$8:$B$57, Metrics!$H$8:$H$57, ""))),0))</f>
        <v/>
      </c>
      <c r="P21" s="164">
        <f>IF($A21="","",IFERROR(--ISNUMBER(SEARCH(P$3, XLOOKUP($A21, Metrics!$B$8:$B$57, Metrics!$H$8:$H$57, ""))),0))</f>
        <v/>
      </c>
      <c r="Q21" s="164">
        <f>IF($A21="","",IFERROR(--ISNUMBER(SEARCH(Q$3, XLOOKUP($A21, Metrics!$B$8:$B$57, Metrics!$H$8:$H$57, ""))),0))</f>
        <v/>
      </c>
      <c r="R21" s="164">
        <f>IF($A21="","",IFERROR(--ISNUMBER(SEARCH(R$3, XLOOKUP($A21, Metrics!$B$8:$B$57, Metrics!$H$8:$H$57, ""))),0))</f>
        <v/>
      </c>
      <c r="S21" s="164">
        <f>IF($A21="","",IFERROR(--ISNUMBER(SEARCH(S$3, XLOOKUP($A21, Metrics!$B$8:$B$57, Metrics!$H$8:$H$57, ""))),0))</f>
        <v/>
      </c>
      <c r="T21" s="164">
        <f>IF($A21="","",IFERROR(--ISNUMBER(SEARCH(T$3, XLOOKUP($A21, Metrics!$B$8:$B$57, Metrics!$H$8:$H$57, ""))),0))</f>
        <v/>
      </c>
      <c r="U21" s="164">
        <f>IF($A21="","",IFERROR(--ISNUMBER(SEARCH(U$3, XLOOKUP($A21, Metrics!$B$8:$B$57, Metrics!$H$8:$H$57, ""))),0))</f>
        <v/>
      </c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>
        <f>IFERROR(INDEX(Metrics!$AA$8#,ROW()-3),"")</f>
        <v/>
      </c>
      <c r="B22" s="164">
        <f>IF($A22="","",IFERROR(--ISNUMBER(SEARCH(B$3, XLOOKUP($A22, Metrics!$B$8:$B$57, Metrics!$H$8:$H$57, ""))),0))</f>
        <v/>
      </c>
      <c r="C22" s="164">
        <f>IF($A22="","",IFERROR(--ISNUMBER(SEARCH(C$3, XLOOKUP($A22, Metrics!$B$8:$B$57, Metrics!$H$8:$H$57, ""))),0))</f>
        <v/>
      </c>
      <c r="D22" s="164">
        <f>IF($A22="","",IFERROR(--ISNUMBER(SEARCH(D$3, XLOOKUP($A22, Metrics!$B$8:$B$57, Metrics!$H$8:$H$57, ""))),0))</f>
        <v/>
      </c>
      <c r="E22" s="164">
        <f>IF($A22="","",IFERROR(--ISNUMBER(SEARCH(E$3, XLOOKUP($A22, Metrics!$B$8:$B$57, Metrics!$H$8:$H$57, ""))),0))</f>
        <v/>
      </c>
      <c r="F22" s="164">
        <f>IF($A22="","",IFERROR(--ISNUMBER(SEARCH(F$3, XLOOKUP($A22, Metrics!$B$8:$B$57, Metrics!$H$8:$H$57, ""))),0))</f>
        <v/>
      </c>
      <c r="G22" s="164">
        <f>IF($A22="","",IFERROR(--ISNUMBER(SEARCH(G$3, XLOOKUP($A22, Metrics!$B$8:$B$57, Metrics!$H$8:$H$57, ""))),0))</f>
        <v/>
      </c>
      <c r="H22" s="164">
        <f>IF($A22="","",IFERROR(--ISNUMBER(SEARCH(H$3, XLOOKUP($A22, Metrics!$B$8:$B$57, Metrics!$H$8:$H$57, ""))),0))</f>
        <v/>
      </c>
      <c r="I22" s="164">
        <f>IF($A22="","",IFERROR(--ISNUMBER(SEARCH(I$3, XLOOKUP($A22, Metrics!$B$8:$B$57, Metrics!$H$8:$H$57, ""))),0))</f>
        <v/>
      </c>
      <c r="J22" s="164">
        <f>IF($A22="","",IFERROR(--ISNUMBER(SEARCH(J$3, XLOOKUP($A22, Metrics!$B$8:$B$57, Metrics!$H$8:$H$57, ""))),0))</f>
        <v/>
      </c>
      <c r="K22" s="164">
        <f>IF($A22="","",IFERROR(--ISNUMBER(SEARCH(K$3, XLOOKUP($A22, Metrics!$B$8:$B$57, Metrics!$H$8:$H$57, ""))),0))</f>
        <v/>
      </c>
      <c r="L22" s="164">
        <f>IF($A22="","",IFERROR(--ISNUMBER(SEARCH(L$3, XLOOKUP($A22, Metrics!$B$8:$B$57, Metrics!$H$8:$H$57, ""))),0))</f>
        <v/>
      </c>
      <c r="M22" s="164">
        <f>IF($A22="","",IFERROR(--ISNUMBER(SEARCH(M$3, XLOOKUP($A22, Metrics!$B$8:$B$57, Metrics!$H$8:$H$57, ""))),0))</f>
        <v/>
      </c>
      <c r="N22" s="164">
        <f>IF($A22="","",IFERROR(--ISNUMBER(SEARCH(N$3, XLOOKUP($A22, Metrics!$B$8:$B$57, Metrics!$H$8:$H$57, ""))),0))</f>
        <v/>
      </c>
      <c r="O22" s="164">
        <f>IF($A22="","",IFERROR(--ISNUMBER(SEARCH(O$3, XLOOKUP($A22, Metrics!$B$8:$B$57, Metrics!$H$8:$H$57, ""))),0))</f>
        <v/>
      </c>
      <c r="P22" s="164">
        <f>IF($A22="","",IFERROR(--ISNUMBER(SEARCH(P$3, XLOOKUP($A22, Metrics!$B$8:$B$57, Metrics!$H$8:$H$57, ""))),0))</f>
        <v/>
      </c>
      <c r="Q22" s="164">
        <f>IF($A22="","",IFERROR(--ISNUMBER(SEARCH(Q$3, XLOOKUP($A22, Metrics!$B$8:$B$57, Metrics!$H$8:$H$57, ""))),0))</f>
        <v/>
      </c>
      <c r="R22" s="164">
        <f>IF($A22="","",IFERROR(--ISNUMBER(SEARCH(R$3, XLOOKUP($A22, Metrics!$B$8:$B$57, Metrics!$H$8:$H$57, ""))),0))</f>
        <v/>
      </c>
      <c r="S22" s="164">
        <f>IF($A22="","",IFERROR(--ISNUMBER(SEARCH(S$3, XLOOKUP($A22, Metrics!$B$8:$B$57, Metrics!$H$8:$H$57, ""))),0))</f>
        <v/>
      </c>
      <c r="T22" s="164">
        <f>IF($A22="","",IFERROR(--ISNUMBER(SEARCH(T$3, XLOOKUP($A22, Metrics!$B$8:$B$57, Metrics!$H$8:$H$57, ""))),0))</f>
        <v/>
      </c>
      <c r="U22" s="164">
        <f>IF($A22="","",IFERROR(--ISNUMBER(SEARCH(U$3, XLOOKUP($A22, Metrics!$B$8:$B$57, Metrics!$H$8:$H$57, ""))),0))</f>
        <v/>
      </c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>
        <f>IFERROR(INDEX(Metrics!$AA$8#,ROW()-3),"")</f>
        <v/>
      </c>
      <c r="B23" s="164">
        <f>IF($A23="","",IFERROR(--ISNUMBER(SEARCH(B$3, XLOOKUP($A23, Metrics!$B$8:$B$57, Metrics!$H$8:$H$57, ""))),0))</f>
        <v/>
      </c>
      <c r="C23" s="164">
        <f>IF($A23="","",IFERROR(--ISNUMBER(SEARCH(C$3, XLOOKUP($A23, Metrics!$B$8:$B$57, Metrics!$H$8:$H$57, ""))),0))</f>
        <v/>
      </c>
      <c r="D23" s="164">
        <f>IF($A23="","",IFERROR(--ISNUMBER(SEARCH(D$3, XLOOKUP($A23, Metrics!$B$8:$B$57, Metrics!$H$8:$H$57, ""))),0))</f>
        <v/>
      </c>
      <c r="E23" s="164">
        <f>IF($A23="","",IFERROR(--ISNUMBER(SEARCH(E$3, XLOOKUP($A23, Metrics!$B$8:$B$57, Metrics!$H$8:$H$57, ""))),0))</f>
        <v/>
      </c>
      <c r="F23" s="164">
        <f>IF($A23="","",IFERROR(--ISNUMBER(SEARCH(F$3, XLOOKUP($A23, Metrics!$B$8:$B$57, Metrics!$H$8:$H$57, ""))),0))</f>
        <v/>
      </c>
      <c r="G23" s="164">
        <f>IF($A23="","",IFERROR(--ISNUMBER(SEARCH(G$3, XLOOKUP($A23, Metrics!$B$8:$B$57, Metrics!$H$8:$H$57, ""))),0))</f>
        <v/>
      </c>
      <c r="H23" s="164">
        <f>IF($A23="","",IFERROR(--ISNUMBER(SEARCH(H$3, XLOOKUP($A23, Metrics!$B$8:$B$57, Metrics!$H$8:$H$57, ""))),0))</f>
        <v/>
      </c>
      <c r="I23" s="164">
        <f>IF($A23="","",IFERROR(--ISNUMBER(SEARCH(I$3, XLOOKUP($A23, Metrics!$B$8:$B$57, Metrics!$H$8:$H$57, ""))),0))</f>
        <v/>
      </c>
      <c r="J23" s="164">
        <f>IF($A23="","",IFERROR(--ISNUMBER(SEARCH(J$3, XLOOKUP($A23, Metrics!$B$8:$B$57, Metrics!$H$8:$H$57, ""))),0))</f>
        <v/>
      </c>
      <c r="K23" s="164">
        <f>IF($A23="","",IFERROR(--ISNUMBER(SEARCH(K$3, XLOOKUP($A23, Metrics!$B$8:$B$57, Metrics!$H$8:$H$57, ""))),0))</f>
        <v/>
      </c>
      <c r="L23" s="164">
        <f>IF($A23="","",IFERROR(--ISNUMBER(SEARCH(L$3, XLOOKUP($A23, Metrics!$B$8:$B$57, Metrics!$H$8:$H$57, ""))),0))</f>
        <v/>
      </c>
      <c r="M23" s="164">
        <f>IF($A23="","",IFERROR(--ISNUMBER(SEARCH(M$3, XLOOKUP($A23, Metrics!$B$8:$B$57, Metrics!$H$8:$H$57, ""))),0))</f>
        <v/>
      </c>
      <c r="N23" s="164">
        <f>IF($A23="","",IFERROR(--ISNUMBER(SEARCH(N$3, XLOOKUP($A23, Metrics!$B$8:$B$57, Metrics!$H$8:$H$57, ""))),0))</f>
        <v/>
      </c>
      <c r="O23" s="164">
        <f>IF($A23="","",IFERROR(--ISNUMBER(SEARCH(O$3, XLOOKUP($A23, Metrics!$B$8:$B$57, Metrics!$H$8:$H$57, ""))),0))</f>
        <v/>
      </c>
      <c r="P23" s="164">
        <f>IF($A23="","",IFERROR(--ISNUMBER(SEARCH(P$3, XLOOKUP($A23, Metrics!$B$8:$B$57, Metrics!$H$8:$H$57, ""))),0))</f>
        <v/>
      </c>
      <c r="Q23" s="164">
        <f>IF($A23="","",IFERROR(--ISNUMBER(SEARCH(Q$3, XLOOKUP($A23, Metrics!$B$8:$B$57, Metrics!$H$8:$H$57, ""))),0))</f>
        <v/>
      </c>
      <c r="R23" s="164">
        <f>IF($A23="","",IFERROR(--ISNUMBER(SEARCH(R$3, XLOOKUP($A23, Metrics!$B$8:$B$57, Metrics!$H$8:$H$57, ""))),0))</f>
        <v/>
      </c>
      <c r="S23" s="164">
        <f>IF($A23="","",IFERROR(--ISNUMBER(SEARCH(S$3, XLOOKUP($A23, Metrics!$B$8:$B$57, Metrics!$H$8:$H$57, ""))),0))</f>
        <v/>
      </c>
      <c r="T23" s="164">
        <f>IF($A23="","",IFERROR(--ISNUMBER(SEARCH(T$3, XLOOKUP($A23, Metrics!$B$8:$B$57, Metrics!$H$8:$H$57, ""))),0))</f>
        <v/>
      </c>
      <c r="U23" s="164">
        <f>IF($A23="","",IFERROR(--ISNUMBER(SEARCH(U$3, XLOOKUP($A23, Metrics!$B$8:$B$57, Metrics!$H$8:$H$57, ""))),0))</f>
        <v/>
      </c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>
        <f>IFERROR(INDEX(Metrics!$AA$8#,ROW()-3),"")</f>
        <v/>
      </c>
      <c r="B24" s="164">
        <f>IF($A24="","",IFERROR(--ISNUMBER(SEARCH(B$3, XLOOKUP($A24, Metrics!$B$8:$B$57, Metrics!$H$8:$H$57, ""))),0))</f>
        <v/>
      </c>
      <c r="C24" s="164">
        <f>IF($A24="","",IFERROR(--ISNUMBER(SEARCH(C$3, XLOOKUP($A24, Metrics!$B$8:$B$57, Metrics!$H$8:$H$57, ""))),0))</f>
        <v/>
      </c>
      <c r="D24" s="164">
        <f>IF($A24="","",IFERROR(--ISNUMBER(SEARCH(D$3, XLOOKUP($A24, Metrics!$B$8:$B$57, Metrics!$H$8:$H$57, ""))),0))</f>
        <v/>
      </c>
      <c r="E24" s="164">
        <f>IF($A24="","",IFERROR(--ISNUMBER(SEARCH(E$3, XLOOKUP($A24, Metrics!$B$8:$B$57, Metrics!$H$8:$H$57, ""))),0))</f>
        <v/>
      </c>
      <c r="F24" s="164">
        <f>IF($A24="","",IFERROR(--ISNUMBER(SEARCH(F$3, XLOOKUP($A24, Metrics!$B$8:$B$57, Metrics!$H$8:$H$57, ""))),0))</f>
        <v/>
      </c>
      <c r="G24" s="164">
        <f>IF($A24="","",IFERROR(--ISNUMBER(SEARCH(G$3, XLOOKUP($A24, Metrics!$B$8:$B$57, Metrics!$H$8:$H$57, ""))),0))</f>
        <v/>
      </c>
      <c r="H24" s="164">
        <f>IF($A24="","",IFERROR(--ISNUMBER(SEARCH(H$3, XLOOKUP($A24, Metrics!$B$8:$B$57, Metrics!$H$8:$H$57, ""))),0))</f>
        <v/>
      </c>
      <c r="I24" s="164">
        <f>IF($A24="","",IFERROR(--ISNUMBER(SEARCH(I$3, XLOOKUP($A24, Metrics!$B$8:$B$57, Metrics!$H$8:$H$57, ""))),0))</f>
        <v/>
      </c>
      <c r="J24" s="164">
        <f>IF($A24="","",IFERROR(--ISNUMBER(SEARCH(J$3, XLOOKUP($A24, Metrics!$B$8:$B$57, Metrics!$H$8:$H$57, ""))),0))</f>
        <v/>
      </c>
      <c r="K24" s="164">
        <f>IF($A24="","",IFERROR(--ISNUMBER(SEARCH(K$3, XLOOKUP($A24, Metrics!$B$8:$B$57, Metrics!$H$8:$H$57, ""))),0))</f>
        <v/>
      </c>
      <c r="L24" s="164">
        <f>IF($A24="","",IFERROR(--ISNUMBER(SEARCH(L$3, XLOOKUP($A24, Metrics!$B$8:$B$57, Metrics!$H$8:$H$57, ""))),0))</f>
        <v/>
      </c>
      <c r="M24" s="164">
        <f>IF($A24="","",IFERROR(--ISNUMBER(SEARCH(M$3, XLOOKUP($A24, Metrics!$B$8:$B$57, Metrics!$H$8:$H$57, ""))),0))</f>
        <v/>
      </c>
      <c r="N24" s="164">
        <f>IF($A24="","",IFERROR(--ISNUMBER(SEARCH(N$3, XLOOKUP($A24, Metrics!$B$8:$B$57, Metrics!$H$8:$H$57, ""))),0))</f>
        <v/>
      </c>
      <c r="O24" s="164">
        <f>IF($A24="","",IFERROR(--ISNUMBER(SEARCH(O$3, XLOOKUP($A24, Metrics!$B$8:$B$57, Metrics!$H$8:$H$57, ""))),0))</f>
        <v/>
      </c>
      <c r="P24" s="164">
        <f>IF($A24="","",IFERROR(--ISNUMBER(SEARCH(P$3, XLOOKUP($A24, Metrics!$B$8:$B$57, Metrics!$H$8:$H$57, ""))),0))</f>
        <v/>
      </c>
      <c r="Q24" s="164">
        <f>IF($A24="","",IFERROR(--ISNUMBER(SEARCH(Q$3, XLOOKUP($A24, Metrics!$B$8:$B$57, Metrics!$H$8:$H$57, ""))),0))</f>
        <v/>
      </c>
      <c r="R24" s="164">
        <f>IF($A24="","",IFERROR(--ISNUMBER(SEARCH(R$3, XLOOKUP($A24, Metrics!$B$8:$B$57, Metrics!$H$8:$H$57, ""))),0))</f>
        <v/>
      </c>
      <c r="S24" s="164">
        <f>IF($A24="","",IFERROR(--ISNUMBER(SEARCH(S$3, XLOOKUP($A24, Metrics!$B$8:$B$57, Metrics!$H$8:$H$57, ""))),0))</f>
        <v/>
      </c>
      <c r="T24" s="164">
        <f>IF($A24="","",IFERROR(--ISNUMBER(SEARCH(T$3, XLOOKUP($A24, Metrics!$B$8:$B$57, Metrics!$H$8:$H$57, ""))),0))</f>
        <v/>
      </c>
      <c r="U24" s="164">
        <f>IF($A24="","",IFERROR(--ISNUMBER(SEARCH(U$3, XLOOKUP($A24, Metrics!$B$8:$B$57, Metrics!$H$8:$H$57, ""))),0))</f>
        <v/>
      </c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>
        <f>IFERROR(INDEX(Metrics!$AA$8#,ROW()-3),"")</f>
        <v/>
      </c>
      <c r="B25" s="164">
        <f>IF($A25="","",IFERROR(--ISNUMBER(SEARCH(B$3, XLOOKUP($A25, Metrics!$B$8:$B$57, Metrics!$H$8:$H$57, ""))),0))</f>
        <v/>
      </c>
      <c r="C25" s="164">
        <f>IF($A25="","",IFERROR(--ISNUMBER(SEARCH(C$3, XLOOKUP($A25, Metrics!$B$8:$B$57, Metrics!$H$8:$H$57, ""))),0))</f>
        <v/>
      </c>
      <c r="D25" s="164">
        <f>IF($A25="","",IFERROR(--ISNUMBER(SEARCH(D$3, XLOOKUP($A25, Metrics!$B$8:$B$57, Metrics!$H$8:$H$57, ""))),0))</f>
        <v/>
      </c>
      <c r="E25" s="164">
        <f>IF($A25="","",IFERROR(--ISNUMBER(SEARCH(E$3, XLOOKUP($A25, Metrics!$B$8:$B$57, Metrics!$H$8:$H$57, ""))),0))</f>
        <v/>
      </c>
      <c r="F25" s="164">
        <f>IF($A25="","",IFERROR(--ISNUMBER(SEARCH(F$3, XLOOKUP($A25, Metrics!$B$8:$B$57, Metrics!$H$8:$H$57, ""))),0))</f>
        <v/>
      </c>
      <c r="G25" s="164">
        <f>IF($A25="","",IFERROR(--ISNUMBER(SEARCH(G$3, XLOOKUP($A25, Metrics!$B$8:$B$57, Metrics!$H$8:$H$57, ""))),0))</f>
        <v/>
      </c>
      <c r="H25" s="164">
        <f>IF($A25="","",IFERROR(--ISNUMBER(SEARCH(H$3, XLOOKUP($A25, Metrics!$B$8:$B$57, Metrics!$H$8:$H$57, ""))),0))</f>
        <v/>
      </c>
      <c r="I25" s="164">
        <f>IF($A25="","",IFERROR(--ISNUMBER(SEARCH(I$3, XLOOKUP($A25, Metrics!$B$8:$B$57, Metrics!$H$8:$H$57, ""))),0))</f>
        <v/>
      </c>
      <c r="J25" s="164">
        <f>IF($A25="","",IFERROR(--ISNUMBER(SEARCH(J$3, XLOOKUP($A25, Metrics!$B$8:$B$57, Metrics!$H$8:$H$57, ""))),0))</f>
        <v/>
      </c>
      <c r="K25" s="164">
        <f>IF($A25="","",IFERROR(--ISNUMBER(SEARCH(K$3, XLOOKUP($A25, Metrics!$B$8:$B$57, Metrics!$H$8:$H$57, ""))),0))</f>
        <v/>
      </c>
      <c r="L25" s="164">
        <f>IF($A25="","",IFERROR(--ISNUMBER(SEARCH(L$3, XLOOKUP($A25, Metrics!$B$8:$B$57, Metrics!$H$8:$H$57, ""))),0))</f>
        <v/>
      </c>
      <c r="M25" s="164">
        <f>IF($A25="","",IFERROR(--ISNUMBER(SEARCH(M$3, XLOOKUP($A25, Metrics!$B$8:$B$57, Metrics!$H$8:$H$57, ""))),0))</f>
        <v/>
      </c>
      <c r="N25" s="164">
        <f>IF($A25="","",IFERROR(--ISNUMBER(SEARCH(N$3, XLOOKUP($A25, Metrics!$B$8:$B$57, Metrics!$H$8:$H$57, ""))),0))</f>
        <v/>
      </c>
      <c r="O25" s="164">
        <f>IF($A25="","",IFERROR(--ISNUMBER(SEARCH(O$3, XLOOKUP($A25, Metrics!$B$8:$B$57, Metrics!$H$8:$H$57, ""))),0))</f>
        <v/>
      </c>
      <c r="P25" s="164">
        <f>IF($A25="","",IFERROR(--ISNUMBER(SEARCH(P$3, XLOOKUP($A25, Metrics!$B$8:$B$57, Metrics!$H$8:$H$57, ""))),0))</f>
        <v/>
      </c>
      <c r="Q25" s="164">
        <f>IF($A25="","",IFERROR(--ISNUMBER(SEARCH(Q$3, XLOOKUP($A25, Metrics!$B$8:$B$57, Metrics!$H$8:$H$57, ""))),0))</f>
        <v/>
      </c>
      <c r="R25" s="164">
        <f>IF($A25="","",IFERROR(--ISNUMBER(SEARCH(R$3, XLOOKUP($A25, Metrics!$B$8:$B$57, Metrics!$H$8:$H$57, ""))),0))</f>
        <v/>
      </c>
      <c r="S25" s="164">
        <f>IF($A25="","",IFERROR(--ISNUMBER(SEARCH(S$3, XLOOKUP($A25, Metrics!$B$8:$B$57, Metrics!$H$8:$H$57, ""))),0))</f>
        <v/>
      </c>
      <c r="T25" s="164">
        <f>IF($A25="","",IFERROR(--ISNUMBER(SEARCH(T$3, XLOOKUP($A25, Metrics!$B$8:$B$57, Metrics!$H$8:$H$57, ""))),0))</f>
        <v/>
      </c>
      <c r="U25" s="164">
        <f>IF($A25="","",IFERROR(--ISNUMBER(SEARCH(U$3, XLOOKUP($A25, Metrics!$B$8:$B$57, Metrics!$H$8:$H$57, ""))),0))</f>
        <v/>
      </c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>
        <f>IFERROR(INDEX(Metrics!$AA$8#,ROW()-3),"")</f>
        <v/>
      </c>
      <c r="B26" s="164">
        <f>IF($A26="","",IFERROR(--ISNUMBER(SEARCH(B$3, XLOOKUP($A26, Metrics!$B$8:$B$57, Metrics!$H$8:$H$57, ""))),0))</f>
        <v/>
      </c>
      <c r="C26" s="164">
        <f>IF($A26="","",IFERROR(--ISNUMBER(SEARCH(C$3, XLOOKUP($A26, Metrics!$B$8:$B$57, Metrics!$H$8:$H$57, ""))),0))</f>
        <v/>
      </c>
      <c r="D26" s="164">
        <f>IF($A26="","",IFERROR(--ISNUMBER(SEARCH(D$3, XLOOKUP($A26, Metrics!$B$8:$B$57, Metrics!$H$8:$H$57, ""))),0))</f>
        <v/>
      </c>
      <c r="E26" s="164">
        <f>IF($A26="","",IFERROR(--ISNUMBER(SEARCH(E$3, XLOOKUP($A26, Metrics!$B$8:$B$57, Metrics!$H$8:$H$57, ""))),0))</f>
        <v/>
      </c>
      <c r="F26" s="164">
        <f>IF($A26="","",IFERROR(--ISNUMBER(SEARCH(F$3, XLOOKUP($A26, Metrics!$B$8:$B$57, Metrics!$H$8:$H$57, ""))),0))</f>
        <v/>
      </c>
      <c r="G26" s="164">
        <f>IF($A26="","",IFERROR(--ISNUMBER(SEARCH(G$3, XLOOKUP($A26, Metrics!$B$8:$B$57, Metrics!$H$8:$H$57, ""))),0))</f>
        <v/>
      </c>
      <c r="H26" s="164">
        <f>IF($A26="","",IFERROR(--ISNUMBER(SEARCH(H$3, XLOOKUP($A26, Metrics!$B$8:$B$57, Metrics!$H$8:$H$57, ""))),0))</f>
        <v/>
      </c>
      <c r="I26" s="164">
        <f>IF($A26="","",IFERROR(--ISNUMBER(SEARCH(I$3, XLOOKUP($A26, Metrics!$B$8:$B$57, Metrics!$H$8:$H$57, ""))),0))</f>
        <v/>
      </c>
      <c r="J26" s="164">
        <f>IF($A26="","",IFERROR(--ISNUMBER(SEARCH(J$3, XLOOKUP($A26, Metrics!$B$8:$B$57, Metrics!$H$8:$H$57, ""))),0))</f>
        <v/>
      </c>
      <c r="K26" s="164">
        <f>IF($A26="","",IFERROR(--ISNUMBER(SEARCH(K$3, XLOOKUP($A26, Metrics!$B$8:$B$57, Metrics!$H$8:$H$57, ""))),0))</f>
        <v/>
      </c>
      <c r="L26" s="164">
        <f>IF($A26="","",IFERROR(--ISNUMBER(SEARCH(L$3, XLOOKUP($A26, Metrics!$B$8:$B$57, Metrics!$H$8:$H$57, ""))),0))</f>
        <v/>
      </c>
      <c r="M26" s="164">
        <f>IF($A26="","",IFERROR(--ISNUMBER(SEARCH(M$3, XLOOKUP($A26, Metrics!$B$8:$B$57, Metrics!$H$8:$H$57, ""))),0))</f>
        <v/>
      </c>
      <c r="N26" s="164">
        <f>IF($A26="","",IFERROR(--ISNUMBER(SEARCH(N$3, XLOOKUP($A26, Metrics!$B$8:$B$57, Metrics!$H$8:$H$57, ""))),0))</f>
        <v/>
      </c>
      <c r="O26" s="164">
        <f>IF($A26="","",IFERROR(--ISNUMBER(SEARCH(O$3, XLOOKUP($A26, Metrics!$B$8:$B$57, Metrics!$H$8:$H$57, ""))),0))</f>
        <v/>
      </c>
      <c r="P26" s="164">
        <f>IF($A26="","",IFERROR(--ISNUMBER(SEARCH(P$3, XLOOKUP($A26, Metrics!$B$8:$B$57, Metrics!$H$8:$H$57, ""))),0))</f>
        <v/>
      </c>
      <c r="Q26" s="164">
        <f>IF($A26="","",IFERROR(--ISNUMBER(SEARCH(Q$3, XLOOKUP($A26, Metrics!$B$8:$B$57, Metrics!$H$8:$H$57, ""))),0))</f>
        <v/>
      </c>
      <c r="R26" s="164">
        <f>IF($A26="","",IFERROR(--ISNUMBER(SEARCH(R$3, XLOOKUP($A26, Metrics!$B$8:$B$57, Metrics!$H$8:$H$57, ""))),0))</f>
        <v/>
      </c>
      <c r="S26" s="164">
        <f>IF($A26="","",IFERROR(--ISNUMBER(SEARCH(S$3, XLOOKUP($A26, Metrics!$B$8:$B$57, Metrics!$H$8:$H$57, ""))),0))</f>
        <v/>
      </c>
      <c r="T26" s="164">
        <f>IF($A26="","",IFERROR(--ISNUMBER(SEARCH(T$3, XLOOKUP($A26, Metrics!$B$8:$B$57, Metrics!$H$8:$H$57, ""))),0))</f>
        <v/>
      </c>
      <c r="U26" s="164">
        <f>IF($A26="","",IFERROR(--ISNUMBER(SEARCH(U$3, XLOOKUP($A26, Metrics!$B$8:$B$57, Metrics!$H$8:$H$57, ""))),0))</f>
        <v/>
      </c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>
        <f>IFERROR(INDEX(Metrics!$AA$8#,ROW()-3),"")</f>
        <v/>
      </c>
      <c r="B27" s="164">
        <f>IF($A27="","",IFERROR(--ISNUMBER(SEARCH(B$3, XLOOKUP($A27, Metrics!$B$8:$B$57, Metrics!$H$8:$H$57, ""))),0))</f>
        <v/>
      </c>
      <c r="C27" s="164">
        <f>IF($A27="","",IFERROR(--ISNUMBER(SEARCH(C$3, XLOOKUP($A27, Metrics!$B$8:$B$57, Metrics!$H$8:$H$57, ""))),0))</f>
        <v/>
      </c>
      <c r="D27" s="164">
        <f>IF($A27="","",IFERROR(--ISNUMBER(SEARCH(D$3, XLOOKUP($A27, Metrics!$B$8:$B$57, Metrics!$H$8:$H$57, ""))),0))</f>
        <v/>
      </c>
      <c r="E27" s="164">
        <f>IF($A27="","",IFERROR(--ISNUMBER(SEARCH(E$3, XLOOKUP($A27, Metrics!$B$8:$B$57, Metrics!$H$8:$H$57, ""))),0))</f>
        <v/>
      </c>
      <c r="F27" s="164">
        <f>IF($A27="","",IFERROR(--ISNUMBER(SEARCH(F$3, XLOOKUP($A27, Metrics!$B$8:$B$57, Metrics!$H$8:$H$57, ""))),0))</f>
        <v/>
      </c>
      <c r="G27" s="164">
        <f>IF($A27="","",IFERROR(--ISNUMBER(SEARCH(G$3, XLOOKUP($A27, Metrics!$B$8:$B$57, Metrics!$H$8:$H$57, ""))),0))</f>
        <v/>
      </c>
      <c r="H27" s="164">
        <f>IF($A27="","",IFERROR(--ISNUMBER(SEARCH(H$3, XLOOKUP($A27, Metrics!$B$8:$B$57, Metrics!$H$8:$H$57, ""))),0))</f>
        <v/>
      </c>
      <c r="I27" s="164">
        <f>IF($A27="","",IFERROR(--ISNUMBER(SEARCH(I$3, XLOOKUP($A27, Metrics!$B$8:$B$57, Metrics!$H$8:$H$57, ""))),0))</f>
        <v/>
      </c>
      <c r="J27" s="164">
        <f>IF($A27="","",IFERROR(--ISNUMBER(SEARCH(J$3, XLOOKUP($A27, Metrics!$B$8:$B$57, Metrics!$H$8:$H$57, ""))),0))</f>
        <v/>
      </c>
      <c r="K27" s="164">
        <f>IF($A27="","",IFERROR(--ISNUMBER(SEARCH(K$3, XLOOKUP($A27, Metrics!$B$8:$B$57, Metrics!$H$8:$H$57, ""))),0))</f>
        <v/>
      </c>
      <c r="L27" s="164">
        <f>IF($A27="","",IFERROR(--ISNUMBER(SEARCH(L$3, XLOOKUP($A27, Metrics!$B$8:$B$57, Metrics!$H$8:$H$57, ""))),0))</f>
        <v/>
      </c>
      <c r="M27" s="164">
        <f>IF($A27="","",IFERROR(--ISNUMBER(SEARCH(M$3, XLOOKUP($A27, Metrics!$B$8:$B$57, Metrics!$H$8:$H$57, ""))),0))</f>
        <v/>
      </c>
      <c r="N27" s="164">
        <f>IF($A27="","",IFERROR(--ISNUMBER(SEARCH(N$3, XLOOKUP($A27, Metrics!$B$8:$B$57, Metrics!$H$8:$H$57, ""))),0))</f>
        <v/>
      </c>
      <c r="O27" s="164">
        <f>IF($A27="","",IFERROR(--ISNUMBER(SEARCH(O$3, XLOOKUP($A27, Metrics!$B$8:$B$57, Metrics!$H$8:$H$57, ""))),0))</f>
        <v/>
      </c>
      <c r="P27" s="164">
        <f>IF($A27="","",IFERROR(--ISNUMBER(SEARCH(P$3, XLOOKUP($A27, Metrics!$B$8:$B$57, Metrics!$H$8:$H$57, ""))),0))</f>
        <v/>
      </c>
      <c r="Q27" s="164">
        <f>IF($A27="","",IFERROR(--ISNUMBER(SEARCH(Q$3, XLOOKUP($A27, Metrics!$B$8:$B$57, Metrics!$H$8:$H$57, ""))),0))</f>
        <v/>
      </c>
      <c r="R27" s="164">
        <f>IF($A27="","",IFERROR(--ISNUMBER(SEARCH(R$3, XLOOKUP($A27, Metrics!$B$8:$B$57, Metrics!$H$8:$H$57, ""))),0))</f>
        <v/>
      </c>
      <c r="S27" s="164">
        <f>IF($A27="","",IFERROR(--ISNUMBER(SEARCH(S$3, XLOOKUP($A27, Metrics!$B$8:$B$57, Metrics!$H$8:$H$57, ""))),0))</f>
        <v/>
      </c>
      <c r="T27" s="164">
        <f>IF($A27="","",IFERROR(--ISNUMBER(SEARCH(T$3, XLOOKUP($A27, Metrics!$B$8:$B$57, Metrics!$H$8:$H$57, ""))),0))</f>
        <v/>
      </c>
      <c r="U27" s="164">
        <f>IF($A27="","",IFERROR(--ISNUMBER(SEARCH(U$3, XLOOKUP($A27, Metrics!$B$8:$B$57, Metrics!$H$8:$H$57, ""))),0))</f>
        <v/>
      </c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>
        <f>IFERROR(INDEX(Metrics!$AA$8#,ROW()-3),"")</f>
        <v/>
      </c>
      <c r="B28" s="164">
        <f>IF($A28="","",IFERROR(--ISNUMBER(SEARCH(B$3, XLOOKUP($A28, Metrics!$B$8:$B$57, Metrics!$H$8:$H$57, ""))),0))</f>
        <v/>
      </c>
      <c r="C28" s="164">
        <f>IF($A28="","",IFERROR(--ISNUMBER(SEARCH(C$3, XLOOKUP($A28, Metrics!$B$8:$B$57, Metrics!$H$8:$H$57, ""))),0))</f>
        <v/>
      </c>
      <c r="D28" s="164">
        <f>IF($A28="","",IFERROR(--ISNUMBER(SEARCH(D$3, XLOOKUP($A28, Metrics!$B$8:$B$57, Metrics!$H$8:$H$57, ""))),0))</f>
        <v/>
      </c>
      <c r="E28" s="164">
        <f>IF($A28="","",IFERROR(--ISNUMBER(SEARCH(E$3, XLOOKUP($A28, Metrics!$B$8:$B$57, Metrics!$H$8:$H$57, ""))),0))</f>
        <v/>
      </c>
      <c r="F28" s="164">
        <f>IF($A28="","",IFERROR(--ISNUMBER(SEARCH(F$3, XLOOKUP($A28, Metrics!$B$8:$B$57, Metrics!$H$8:$H$57, ""))),0))</f>
        <v/>
      </c>
      <c r="G28" s="164">
        <f>IF($A28="","",IFERROR(--ISNUMBER(SEARCH(G$3, XLOOKUP($A28, Metrics!$B$8:$B$57, Metrics!$H$8:$H$57, ""))),0))</f>
        <v/>
      </c>
      <c r="H28" s="164">
        <f>IF($A28="","",IFERROR(--ISNUMBER(SEARCH(H$3, XLOOKUP($A28, Metrics!$B$8:$B$57, Metrics!$H$8:$H$57, ""))),0))</f>
        <v/>
      </c>
      <c r="I28" s="164">
        <f>IF($A28="","",IFERROR(--ISNUMBER(SEARCH(I$3, XLOOKUP($A28, Metrics!$B$8:$B$57, Metrics!$H$8:$H$57, ""))),0))</f>
        <v/>
      </c>
      <c r="J28" s="164">
        <f>IF($A28="","",IFERROR(--ISNUMBER(SEARCH(J$3, XLOOKUP($A28, Metrics!$B$8:$B$57, Metrics!$H$8:$H$57, ""))),0))</f>
        <v/>
      </c>
      <c r="K28" s="164">
        <f>IF($A28="","",IFERROR(--ISNUMBER(SEARCH(K$3, XLOOKUP($A28, Metrics!$B$8:$B$57, Metrics!$H$8:$H$57, ""))),0))</f>
        <v/>
      </c>
      <c r="L28" s="164">
        <f>IF($A28="","",IFERROR(--ISNUMBER(SEARCH(L$3, XLOOKUP($A28, Metrics!$B$8:$B$57, Metrics!$H$8:$H$57, ""))),0))</f>
        <v/>
      </c>
      <c r="M28" s="164">
        <f>IF($A28="","",IFERROR(--ISNUMBER(SEARCH(M$3, XLOOKUP($A28, Metrics!$B$8:$B$57, Metrics!$H$8:$H$57, ""))),0))</f>
        <v/>
      </c>
      <c r="N28" s="164">
        <f>IF($A28="","",IFERROR(--ISNUMBER(SEARCH(N$3, XLOOKUP($A28, Metrics!$B$8:$B$57, Metrics!$H$8:$H$57, ""))),0))</f>
        <v/>
      </c>
      <c r="O28" s="164">
        <f>IF($A28="","",IFERROR(--ISNUMBER(SEARCH(O$3, XLOOKUP($A28, Metrics!$B$8:$B$57, Metrics!$H$8:$H$57, ""))),0))</f>
        <v/>
      </c>
      <c r="P28" s="164">
        <f>IF($A28="","",IFERROR(--ISNUMBER(SEARCH(P$3, XLOOKUP($A28, Metrics!$B$8:$B$57, Metrics!$H$8:$H$57, ""))),0))</f>
        <v/>
      </c>
      <c r="Q28" s="164">
        <f>IF($A28="","",IFERROR(--ISNUMBER(SEARCH(Q$3, XLOOKUP($A28, Metrics!$B$8:$B$57, Metrics!$H$8:$H$57, ""))),0))</f>
        <v/>
      </c>
      <c r="R28" s="164">
        <f>IF($A28="","",IFERROR(--ISNUMBER(SEARCH(R$3, XLOOKUP($A28, Metrics!$B$8:$B$57, Metrics!$H$8:$H$57, ""))),0))</f>
        <v/>
      </c>
      <c r="S28" s="164">
        <f>IF($A28="","",IFERROR(--ISNUMBER(SEARCH(S$3, XLOOKUP($A28, Metrics!$B$8:$B$57, Metrics!$H$8:$H$57, ""))),0))</f>
        <v/>
      </c>
      <c r="T28" s="164">
        <f>IF($A28="","",IFERROR(--ISNUMBER(SEARCH(T$3, XLOOKUP($A28, Metrics!$B$8:$B$57, Metrics!$H$8:$H$57, ""))),0))</f>
        <v/>
      </c>
      <c r="U28" s="164">
        <f>IF($A28="","",IFERROR(--ISNUMBER(SEARCH(U$3, XLOOKUP($A28, Metrics!$B$8:$B$57, Metrics!$H$8:$H$57, ""))),0))</f>
        <v/>
      </c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>
        <f>IFERROR(INDEX(Metrics!$AA$8#,ROW()-3),"")</f>
        <v/>
      </c>
      <c r="B29" s="164">
        <f>IF($A29="","",IFERROR(--ISNUMBER(SEARCH(B$3, XLOOKUP($A29, Metrics!$B$8:$B$57, Metrics!$H$8:$H$57, ""))),0))</f>
        <v/>
      </c>
      <c r="C29" s="164">
        <f>IF($A29="","",IFERROR(--ISNUMBER(SEARCH(C$3, XLOOKUP($A29, Metrics!$B$8:$B$57, Metrics!$H$8:$H$57, ""))),0))</f>
        <v/>
      </c>
      <c r="D29" s="164">
        <f>IF($A29="","",IFERROR(--ISNUMBER(SEARCH(D$3, XLOOKUP($A29, Metrics!$B$8:$B$57, Metrics!$H$8:$H$57, ""))),0))</f>
        <v/>
      </c>
      <c r="E29" s="164">
        <f>IF($A29="","",IFERROR(--ISNUMBER(SEARCH(E$3, XLOOKUP($A29, Metrics!$B$8:$B$57, Metrics!$H$8:$H$57, ""))),0))</f>
        <v/>
      </c>
      <c r="F29" s="164">
        <f>IF($A29="","",IFERROR(--ISNUMBER(SEARCH(F$3, XLOOKUP($A29, Metrics!$B$8:$B$57, Metrics!$H$8:$H$57, ""))),0))</f>
        <v/>
      </c>
      <c r="G29" s="164">
        <f>IF($A29="","",IFERROR(--ISNUMBER(SEARCH(G$3, XLOOKUP($A29, Metrics!$B$8:$B$57, Metrics!$H$8:$H$57, ""))),0))</f>
        <v/>
      </c>
      <c r="H29" s="164">
        <f>IF($A29="","",IFERROR(--ISNUMBER(SEARCH(H$3, XLOOKUP($A29, Metrics!$B$8:$B$57, Metrics!$H$8:$H$57, ""))),0))</f>
        <v/>
      </c>
      <c r="I29" s="164">
        <f>IF($A29="","",IFERROR(--ISNUMBER(SEARCH(I$3, XLOOKUP($A29, Metrics!$B$8:$B$57, Metrics!$H$8:$H$57, ""))),0))</f>
        <v/>
      </c>
      <c r="J29" s="164">
        <f>IF($A29="","",IFERROR(--ISNUMBER(SEARCH(J$3, XLOOKUP($A29, Metrics!$B$8:$B$57, Metrics!$H$8:$H$57, ""))),0))</f>
        <v/>
      </c>
      <c r="K29" s="164">
        <f>IF($A29="","",IFERROR(--ISNUMBER(SEARCH(K$3, XLOOKUP($A29, Metrics!$B$8:$B$57, Metrics!$H$8:$H$57, ""))),0))</f>
        <v/>
      </c>
      <c r="L29" s="164">
        <f>IF($A29="","",IFERROR(--ISNUMBER(SEARCH(L$3, XLOOKUP($A29, Metrics!$B$8:$B$57, Metrics!$H$8:$H$57, ""))),0))</f>
        <v/>
      </c>
      <c r="M29" s="164">
        <f>IF($A29="","",IFERROR(--ISNUMBER(SEARCH(M$3, XLOOKUP($A29, Metrics!$B$8:$B$57, Metrics!$H$8:$H$57, ""))),0))</f>
        <v/>
      </c>
      <c r="N29" s="164">
        <f>IF($A29="","",IFERROR(--ISNUMBER(SEARCH(N$3, XLOOKUP($A29, Metrics!$B$8:$B$57, Metrics!$H$8:$H$57, ""))),0))</f>
        <v/>
      </c>
      <c r="O29" s="164">
        <f>IF($A29="","",IFERROR(--ISNUMBER(SEARCH(O$3, XLOOKUP($A29, Metrics!$B$8:$B$57, Metrics!$H$8:$H$57, ""))),0))</f>
        <v/>
      </c>
      <c r="P29" s="164">
        <f>IF($A29="","",IFERROR(--ISNUMBER(SEARCH(P$3, XLOOKUP($A29, Metrics!$B$8:$B$57, Metrics!$H$8:$H$57, ""))),0))</f>
        <v/>
      </c>
      <c r="Q29" s="164">
        <f>IF($A29="","",IFERROR(--ISNUMBER(SEARCH(Q$3, XLOOKUP($A29, Metrics!$B$8:$B$57, Metrics!$H$8:$H$57, ""))),0))</f>
        <v/>
      </c>
      <c r="R29" s="164">
        <f>IF($A29="","",IFERROR(--ISNUMBER(SEARCH(R$3, XLOOKUP($A29, Metrics!$B$8:$B$57, Metrics!$H$8:$H$57, ""))),0))</f>
        <v/>
      </c>
      <c r="S29" s="164">
        <f>IF($A29="","",IFERROR(--ISNUMBER(SEARCH(S$3, XLOOKUP($A29, Metrics!$B$8:$B$57, Metrics!$H$8:$H$57, ""))),0))</f>
        <v/>
      </c>
      <c r="T29" s="164">
        <f>IF($A29="","",IFERROR(--ISNUMBER(SEARCH(T$3, XLOOKUP($A29, Metrics!$B$8:$B$57, Metrics!$H$8:$H$57, ""))),0))</f>
        <v/>
      </c>
      <c r="U29" s="164">
        <f>IF($A29="","",IFERROR(--ISNUMBER(SEARCH(U$3, XLOOKUP($A29, Metrics!$B$8:$B$57, Metrics!$H$8:$H$57, ""))),0))</f>
        <v/>
      </c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>
        <f>IFERROR(INDEX(Metrics!$AA$8#,ROW()-3),"")</f>
        <v/>
      </c>
      <c r="B30" s="164">
        <f>IF($A30="","",IFERROR(--ISNUMBER(SEARCH(B$3, XLOOKUP($A30, Metrics!$B$8:$B$57, Metrics!$H$8:$H$57, ""))),0))</f>
        <v/>
      </c>
      <c r="C30" s="164">
        <f>IF($A30="","",IFERROR(--ISNUMBER(SEARCH(C$3, XLOOKUP($A30, Metrics!$B$8:$B$57, Metrics!$H$8:$H$57, ""))),0))</f>
        <v/>
      </c>
      <c r="D30" s="164">
        <f>IF($A30="","",IFERROR(--ISNUMBER(SEARCH(D$3, XLOOKUP($A30, Metrics!$B$8:$B$57, Metrics!$H$8:$H$57, ""))),0))</f>
        <v/>
      </c>
      <c r="E30" s="164">
        <f>IF($A30="","",IFERROR(--ISNUMBER(SEARCH(E$3, XLOOKUP($A30, Metrics!$B$8:$B$57, Metrics!$H$8:$H$57, ""))),0))</f>
        <v/>
      </c>
      <c r="F30" s="164">
        <f>IF($A30="","",IFERROR(--ISNUMBER(SEARCH(F$3, XLOOKUP($A30, Metrics!$B$8:$B$57, Metrics!$H$8:$H$57, ""))),0))</f>
        <v/>
      </c>
      <c r="G30" s="164">
        <f>IF($A30="","",IFERROR(--ISNUMBER(SEARCH(G$3, XLOOKUP($A30, Metrics!$B$8:$B$57, Metrics!$H$8:$H$57, ""))),0))</f>
        <v/>
      </c>
      <c r="H30" s="164">
        <f>IF($A30="","",IFERROR(--ISNUMBER(SEARCH(H$3, XLOOKUP($A30, Metrics!$B$8:$B$57, Metrics!$H$8:$H$57, ""))),0))</f>
        <v/>
      </c>
      <c r="I30" s="164">
        <f>IF($A30="","",IFERROR(--ISNUMBER(SEARCH(I$3, XLOOKUP($A30, Metrics!$B$8:$B$57, Metrics!$H$8:$H$57, ""))),0))</f>
        <v/>
      </c>
      <c r="J30" s="164">
        <f>IF($A30="","",IFERROR(--ISNUMBER(SEARCH(J$3, XLOOKUP($A30, Metrics!$B$8:$B$57, Metrics!$H$8:$H$57, ""))),0))</f>
        <v/>
      </c>
      <c r="K30" s="164">
        <f>IF($A30="","",IFERROR(--ISNUMBER(SEARCH(K$3, XLOOKUP($A30, Metrics!$B$8:$B$57, Metrics!$H$8:$H$57, ""))),0))</f>
        <v/>
      </c>
      <c r="L30" s="164">
        <f>IF($A30="","",IFERROR(--ISNUMBER(SEARCH(L$3, XLOOKUP($A30, Metrics!$B$8:$B$57, Metrics!$H$8:$H$57, ""))),0))</f>
        <v/>
      </c>
      <c r="M30" s="164">
        <f>IF($A30="","",IFERROR(--ISNUMBER(SEARCH(M$3, XLOOKUP($A30, Metrics!$B$8:$B$57, Metrics!$H$8:$H$57, ""))),0))</f>
        <v/>
      </c>
      <c r="N30" s="164">
        <f>IF($A30="","",IFERROR(--ISNUMBER(SEARCH(N$3, XLOOKUP($A30, Metrics!$B$8:$B$57, Metrics!$H$8:$H$57, ""))),0))</f>
        <v/>
      </c>
      <c r="O30" s="164">
        <f>IF($A30="","",IFERROR(--ISNUMBER(SEARCH(O$3, XLOOKUP($A30, Metrics!$B$8:$B$57, Metrics!$H$8:$H$57, ""))),0))</f>
        <v/>
      </c>
      <c r="P30" s="164">
        <f>IF($A30="","",IFERROR(--ISNUMBER(SEARCH(P$3, XLOOKUP($A30, Metrics!$B$8:$B$57, Metrics!$H$8:$H$57, ""))),0))</f>
        <v/>
      </c>
      <c r="Q30" s="164">
        <f>IF($A30="","",IFERROR(--ISNUMBER(SEARCH(Q$3, XLOOKUP($A30, Metrics!$B$8:$B$57, Metrics!$H$8:$H$57, ""))),0))</f>
        <v/>
      </c>
      <c r="R30" s="164">
        <f>IF($A30="","",IFERROR(--ISNUMBER(SEARCH(R$3, XLOOKUP($A30, Metrics!$B$8:$B$57, Metrics!$H$8:$H$57, ""))),0))</f>
        <v/>
      </c>
      <c r="S30" s="164">
        <f>IF($A30="","",IFERROR(--ISNUMBER(SEARCH(S$3, XLOOKUP($A30, Metrics!$B$8:$B$57, Metrics!$H$8:$H$57, ""))),0))</f>
        <v/>
      </c>
      <c r="T30" s="164">
        <f>IF($A30="","",IFERROR(--ISNUMBER(SEARCH(T$3, XLOOKUP($A30, Metrics!$B$8:$B$57, Metrics!$H$8:$H$57, ""))),0))</f>
        <v/>
      </c>
      <c r="U30" s="164">
        <f>IF($A30="","",IFERROR(--ISNUMBER(SEARCH(U$3, XLOOKUP($A30, Metrics!$B$8:$B$57, Metrics!$H$8:$H$57, ""))),0))</f>
        <v/>
      </c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>
        <f>IFERROR(INDEX(Metrics!$AA$8#,ROW()-3),"")</f>
        <v/>
      </c>
      <c r="B31" s="164">
        <f>IF($A31="","",IFERROR(--ISNUMBER(SEARCH(B$3, XLOOKUP($A31, Metrics!$B$8:$B$57, Metrics!$H$8:$H$57, ""))),0))</f>
        <v/>
      </c>
      <c r="C31" s="164">
        <f>IF($A31="","",IFERROR(--ISNUMBER(SEARCH(C$3, XLOOKUP($A31, Metrics!$B$8:$B$57, Metrics!$H$8:$H$57, ""))),0))</f>
        <v/>
      </c>
      <c r="D31" s="164">
        <f>IF($A31="","",IFERROR(--ISNUMBER(SEARCH(D$3, XLOOKUP($A31, Metrics!$B$8:$B$57, Metrics!$H$8:$H$57, ""))),0))</f>
        <v/>
      </c>
      <c r="E31" s="164">
        <f>IF($A31="","",IFERROR(--ISNUMBER(SEARCH(E$3, XLOOKUP($A31, Metrics!$B$8:$B$57, Metrics!$H$8:$H$57, ""))),0))</f>
        <v/>
      </c>
      <c r="F31" s="164">
        <f>IF($A31="","",IFERROR(--ISNUMBER(SEARCH(F$3, XLOOKUP($A31, Metrics!$B$8:$B$57, Metrics!$H$8:$H$57, ""))),0))</f>
        <v/>
      </c>
      <c r="G31" s="164">
        <f>IF($A31="","",IFERROR(--ISNUMBER(SEARCH(G$3, XLOOKUP($A31, Metrics!$B$8:$B$57, Metrics!$H$8:$H$57, ""))),0))</f>
        <v/>
      </c>
      <c r="H31" s="164">
        <f>IF($A31="","",IFERROR(--ISNUMBER(SEARCH(H$3, XLOOKUP($A31, Metrics!$B$8:$B$57, Metrics!$H$8:$H$57, ""))),0))</f>
        <v/>
      </c>
      <c r="I31" s="164">
        <f>IF($A31="","",IFERROR(--ISNUMBER(SEARCH(I$3, XLOOKUP($A31, Metrics!$B$8:$B$57, Metrics!$H$8:$H$57, ""))),0))</f>
        <v/>
      </c>
      <c r="J31" s="164">
        <f>IF($A31="","",IFERROR(--ISNUMBER(SEARCH(J$3, XLOOKUP($A31, Metrics!$B$8:$B$57, Metrics!$H$8:$H$57, ""))),0))</f>
        <v/>
      </c>
      <c r="K31" s="164">
        <f>IF($A31="","",IFERROR(--ISNUMBER(SEARCH(K$3, XLOOKUP($A31, Metrics!$B$8:$B$57, Metrics!$H$8:$H$57, ""))),0))</f>
        <v/>
      </c>
      <c r="L31" s="164">
        <f>IF($A31="","",IFERROR(--ISNUMBER(SEARCH(L$3, XLOOKUP($A31, Metrics!$B$8:$B$57, Metrics!$H$8:$H$57, ""))),0))</f>
        <v/>
      </c>
      <c r="M31" s="164">
        <f>IF($A31="","",IFERROR(--ISNUMBER(SEARCH(M$3, XLOOKUP($A31, Metrics!$B$8:$B$57, Metrics!$H$8:$H$57, ""))),0))</f>
        <v/>
      </c>
      <c r="N31" s="164">
        <f>IF($A31="","",IFERROR(--ISNUMBER(SEARCH(N$3, XLOOKUP($A31, Metrics!$B$8:$B$57, Metrics!$H$8:$H$57, ""))),0))</f>
        <v/>
      </c>
      <c r="O31" s="164">
        <f>IF($A31="","",IFERROR(--ISNUMBER(SEARCH(O$3, XLOOKUP($A31, Metrics!$B$8:$B$57, Metrics!$H$8:$H$57, ""))),0))</f>
        <v/>
      </c>
      <c r="P31" s="164">
        <f>IF($A31="","",IFERROR(--ISNUMBER(SEARCH(P$3, XLOOKUP($A31, Metrics!$B$8:$B$57, Metrics!$H$8:$H$57, ""))),0))</f>
        <v/>
      </c>
      <c r="Q31" s="164">
        <f>IF($A31="","",IFERROR(--ISNUMBER(SEARCH(Q$3, XLOOKUP($A31, Metrics!$B$8:$B$57, Metrics!$H$8:$H$57, ""))),0))</f>
        <v/>
      </c>
      <c r="R31" s="164">
        <f>IF($A31="","",IFERROR(--ISNUMBER(SEARCH(R$3, XLOOKUP($A31, Metrics!$B$8:$B$57, Metrics!$H$8:$H$57, ""))),0))</f>
        <v/>
      </c>
      <c r="S31" s="164">
        <f>IF($A31="","",IFERROR(--ISNUMBER(SEARCH(S$3, XLOOKUP($A31, Metrics!$B$8:$B$57, Metrics!$H$8:$H$57, ""))),0))</f>
        <v/>
      </c>
      <c r="T31" s="164">
        <f>IF($A31="","",IFERROR(--ISNUMBER(SEARCH(T$3, XLOOKUP($A31, Metrics!$B$8:$B$57, Metrics!$H$8:$H$57, ""))),0))</f>
        <v/>
      </c>
      <c r="U31" s="164">
        <f>IF($A31="","",IFERROR(--ISNUMBER(SEARCH(U$3, XLOOKUP($A31, Metrics!$B$8:$B$57, Metrics!$H$8:$H$57, ""))),0))</f>
        <v/>
      </c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>
        <f>IFERROR(INDEX(Metrics!$AA$8#,ROW()-3),"")</f>
        <v/>
      </c>
      <c r="B32" s="164">
        <f>IF($A32="","",IFERROR(--ISNUMBER(SEARCH(B$3, XLOOKUP($A32, Metrics!$B$8:$B$57, Metrics!$H$8:$H$57, ""))),0))</f>
        <v/>
      </c>
      <c r="C32" s="164">
        <f>IF($A32="","",IFERROR(--ISNUMBER(SEARCH(C$3, XLOOKUP($A32, Metrics!$B$8:$B$57, Metrics!$H$8:$H$57, ""))),0))</f>
        <v/>
      </c>
      <c r="D32" s="164">
        <f>IF($A32="","",IFERROR(--ISNUMBER(SEARCH(D$3, XLOOKUP($A32, Metrics!$B$8:$B$57, Metrics!$H$8:$H$57, ""))),0))</f>
        <v/>
      </c>
      <c r="E32" s="164">
        <f>IF($A32="","",IFERROR(--ISNUMBER(SEARCH(E$3, XLOOKUP($A32, Metrics!$B$8:$B$57, Metrics!$H$8:$H$57, ""))),0))</f>
        <v/>
      </c>
      <c r="F32" s="164">
        <f>IF($A32="","",IFERROR(--ISNUMBER(SEARCH(F$3, XLOOKUP($A32, Metrics!$B$8:$B$57, Metrics!$H$8:$H$57, ""))),0))</f>
        <v/>
      </c>
      <c r="G32" s="164">
        <f>IF($A32="","",IFERROR(--ISNUMBER(SEARCH(G$3, XLOOKUP($A32, Metrics!$B$8:$B$57, Metrics!$H$8:$H$57, ""))),0))</f>
        <v/>
      </c>
      <c r="H32" s="164">
        <f>IF($A32="","",IFERROR(--ISNUMBER(SEARCH(H$3, XLOOKUP($A32, Metrics!$B$8:$B$57, Metrics!$H$8:$H$57, ""))),0))</f>
        <v/>
      </c>
      <c r="I32" s="164">
        <f>IF($A32="","",IFERROR(--ISNUMBER(SEARCH(I$3, XLOOKUP($A32, Metrics!$B$8:$B$57, Metrics!$H$8:$H$57, ""))),0))</f>
        <v/>
      </c>
      <c r="J32" s="164">
        <f>IF($A32="","",IFERROR(--ISNUMBER(SEARCH(J$3, XLOOKUP($A32, Metrics!$B$8:$B$57, Metrics!$H$8:$H$57, ""))),0))</f>
        <v/>
      </c>
      <c r="K32" s="164">
        <f>IF($A32="","",IFERROR(--ISNUMBER(SEARCH(K$3, XLOOKUP($A32, Metrics!$B$8:$B$57, Metrics!$H$8:$H$57, ""))),0))</f>
        <v/>
      </c>
      <c r="L32" s="164">
        <f>IF($A32="","",IFERROR(--ISNUMBER(SEARCH(L$3, XLOOKUP($A32, Metrics!$B$8:$B$57, Metrics!$H$8:$H$57, ""))),0))</f>
        <v/>
      </c>
      <c r="M32" s="164">
        <f>IF($A32="","",IFERROR(--ISNUMBER(SEARCH(M$3, XLOOKUP($A32, Metrics!$B$8:$B$57, Metrics!$H$8:$H$57, ""))),0))</f>
        <v/>
      </c>
      <c r="N32" s="164">
        <f>IF($A32="","",IFERROR(--ISNUMBER(SEARCH(N$3, XLOOKUP($A32, Metrics!$B$8:$B$57, Metrics!$H$8:$H$57, ""))),0))</f>
        <v/>
      </c>
      <c r="O32" s="164">
        <f>IF($A32="","",IFERROR(--ISNUMBER(SEARCH(O$3, XLOOKUP($A32, Metrics!$B$8:$B$57, Metrics!$H$8:$H$57, ""))),0))</f>
        <v/>
      </c>
      <c r="P32" s="164">
        <f>IF($A32="","",IFERROR(--ISNUMBER(SEARCH(P$3, XLOOKUP($A32, Metrics!$B$8:$B$57, Metrics!$H$8:$H$57, ""))),0))</f>
        <v/>
      </c>
      <c r="Q32" s="164">
        <f>IF($A32="","",IFERROR(--ISNUMBER(SEARCH(Q$3, XLOOKUP($A32, Metrics!$B$8:$B$57, Metrics!$H$8:$H$57, ""))),0))</f>
        <v/>
      </c>
      <c r="R32" s="164">
        <f>IF($A32="","",IFERROR(--ISNUMBER(SEARCH(R$3, XLOOKUP($A32, Metrics!$B$8:$B$57, Metrics!$H$8:$H$57, ""))),0))</f>
        <v/>
      </c>
      <c r="S32" s="164">
        <f>IF($A32="","",IFERROR(--ISNUMBER(SEARCH(S$3, XLOOKUP($A32, Metrics!$B$8:$B$57, Metrics!$H$8:$H$57, ""))),0))</f>
        <v/>
      </c>
      <c r="T32" s="164">
        <f>IF($A32="","",IFERROR(--ISNUMBER(SEARCH(T$3, XLOOKUP($A32, Metrics!$B$8:$B$57, Metrics!$H$8:$H$57, ""))),0))</f>
        <v/>
      </c>
      <c r="U32" s="164">
        <f>IF($A32="","",IFERROR(--ISNUMBER(SEARCH(U$3, XLOOKUP($A32, Metrics!$B$8:$B$57, Metrics!$H$8:$H$57, ""))),0))</f>
        <v/>
      </c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>
        <f>IFERROR(INDEX(Metrics!$AA$8#,ROW()-3),"")</f>
        <v/>
      </c>
      <c r="B33" s="164">
        <f>IF($A33="","",IFERROR(--ISNUMBER(SEARCH(B$3, XLOOKUP($A33, Metrics!$B$8:$B$57, Metrics!$H$8:$H$57, ""))),0))</f>
        <v/>
      </c>
      <c r="C33" s="164">
        <f>IF($A33="","",IFERROR(--ISNUMBER(SEARCH(C$3, XLOOKUP($A33, Metrics!$B$8:$B$57, Metrics!$H$8:$H$57, ""))),0))</f>
        <v/>
      </c>
      <c r="D33" s="164">
        <f>IF($A33="","",IFERROR(--ISNUMBER(SEARCH(D$3, XLOOKUP($A33, Metrics!$B$8:$B$57, Metrics!$H$8:$H$57, ""))),0))</f>
        <v/>
      </c>
      <c r="E33" s="164">
        <f>IF($A33="","",IFERROR(--ISNUMBER(SEARCH(E$3, XLOOKUP($A33, Metrics!$B$8:$B$57, Metrics!$H$8:$H$57, ""))),0))</f>
        <v/>
      </c>
      <c r="F33" s="164">
        <f>IF($A33="","",IFERROR(--ISNUMBER(SEARCH(F$3, XLOOKUP($A33, Metrics!$B$8:$B$57, Metrics!$H$8:$H$57, ""))),0))</f>
        <v/>
      </c>
      <c r="G33" s="164">
        <f>IF($A33="","",IFERROR(--ISNUMBER(SEARCH(G$3, XLOOKUP($A33, Metrics!$B$8:$B$57, Metrics!$H$8:$H$57, ""))),0))</f>
        <v/>
      </c>
      <c r="H33" s="164">
        <f>IF($A33="","",IFERROR(--ISNUMBER(SEARCH(H$3, XLOOKUP($A33, Metrics!$B$8:$B$57, Metrics!$H$8:$H$57, ""))),0))</f>
        <v/>
      </c>
      <c r="I33" s="164">
        <f>IF($A33="","",IFERROR(--ISNUMBER(SEARCH(I$3, XLOOKUP($A33, Metrics!$B$8:$B$57, Metrics!$H$8:$H$57, ""))),0))</f>
        <v/>
      </c>
      <c r="J33" s="164">
        <f>IF($A33="","",IFERROR(--ISNUMBER(SEARCH(J$3, XLOOKUP($A33, Metrics!$B$8:$B$57, Metrics!$H$8:$H$57, ""))),0))</f>
        <v/>
      </c>
      <c r="K33" s="164">
        <f>IF($A33="","",IFERROR(--ISNUMBER(SEARCH(K$3, XLOOKUP($A33, Metrics!$B$8:$B$57, Metrics!$H$8:$H$57, ""))),0))</f>
        <v/>
      </c>
      <c r="L33" s="164">
        <f>IF($A33="","",IFERROR(--ISNUMBER(SEARCH(L$3, XLOOKUP($A33, Metrics!$B$8:$B$57, Metrics!$H$8:$H$57, ""))),0))</f>
        <v/>
      </c>
      <c r="M33" s="164">
        <f>IF($A33="","",IFERROR(--ISNUMBER(SEARCH(M$3, XLOOKUP($A33, Metrics!$B$8:$B$57, Metrics!$H$8:$H$57, ""))),0))</f>
        <v/>
      </c>
      <c r="N33" s="164">
        <f>IF($A33="","",IFERROR(--ISNUMBER(SEARCH(N$3, XLOOKUP($A33, Metrics!$B$8:$B$57, Metrics!$H$8:$H$57, ""))),0))</f>
        <v/>
      </c>
      <c r="O33" s="164">
        <f>IF($A33="","",IFERROR(--ISNUMBER(SEARCH(O$3, XLOOKUP($A33, Metrics!$B$8:$B$57, Metrics!$H$8:$H$57, ""))),0))</f>
        <v/>
      </c>
      <c r="P33" s="164">
        <f>IF($A33="","",IFERROR(--ISNUMBER(SEARCH(P$3, XLOOKUP($A33, Metrics!$B$8:$B$57, Metrics!$H$8:$H$57, ""))),0))</f>
        <v/>
      </c>
      <c r="Q33" s="164">
        <f>IF($A33="","",IFERROR(--ISNUMBER(SEARCH(Q$3, XLOOKUP($A33, Metrics!$B$8:$B$57, Metrics!$H$8:$H$57, ""))),0))</f>
        <v/>
      </c>
      <c r="R33" s="164">
        <f>IF($A33="","",IFERROR(--ISNUMBER(SEARCH(R$3, XLOOKUP($A33, Metrics!$B$8:$B$57, Metrics!$H$8:$H$57, ""))),0))</f>
        <v/>
      </c>
      <c r="S33" s="164">
        <f>IF($A33="","",IFERROR(--ISNUMBER(SEARCH(S$3, XLOOKUP($A33, Metrics!$B$8:$B$57, Metrics!$H$8:$H$57, ""))),0))</f>
        <v/>
      </c>
      <c r="T33" s="164">
        <f>IF($A33="","",IFERROR(--ISNUMBER(SEARCH(T$3, XLOOKUP($A33, Metrics!$B$8:$B$57, Metrics!$H$8:$H$57, ""))),0))</f>
        <v/>
      </c>
      <c r="U33" s="164">
        <f>IF($A33="","",IFERROR(--ISNUMBER(SEARCH(U$3, XLOOKUP($A33, Metrics!$B$8:$B$57, Metrics!$H$8:$H$57, ""))),0))</f>
        <v/>
      </c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>
        <f>IFERROR(INDEX(Metrics!$AA$8#,ROW()-3),"")</f>
        <v/>
      </c>
      <c r="B34" s="164">
        <f>IF($A34="","",IFERROR(--ISNUMBER(SEARCH(B$3, XLOOKUP($A34, Metrics!$B$8:$B$57, Metrics!$H$8:$H$57, ""))),0))</f>
        <v/>
      </c>
      <c r="C34" s="164">
        <f>IF($A34="","",IFERROR(--ISNUMBER(SEARCH(C$3, XLOOKUP($A34, Metrics!$B$8:$B$57, Metrics!$H$8:$H$57, ""))),0))</f>
        <v/>
      </c>
      <c r="D34" s="164">
        <f>IF($A34="","",IFERROR(--ISNUMBER(SEARCH(D$3, XLOOKUP($A34, Metrics!$B$8:$B$57, Metrics!$H$8:$H$57, ""))),0))</f>
        <v/>
      </c>
      <c r="E34" s="164">
        <f>IF($A34="","",IFERROR(--ISNUMBER(SEARCH(E$3, XLOOKUP($A34, Metrics!$B$8:$B$57, Metrics!$H$8:$H$57, ""))),0))</f>
        <v/>
      </c>
      <c r="F34" s="164">
        <f>IF($A34="","",IFERROR(--ISNUMBER(SEARCH(F$3, XLOOKUP($A34, Metrics!$B$8:$B$57, Metrics!$H$8:$H$57, ""))),0))</f>
        <v/>
      </c>
      <c r="G34" s="164">
        <f>IF($A34="","",IFERROR(--ISNUMBER(SEARCH(G$3, XLOOKUP($A34, Metrics!$B$8:$B$57, Metrics!$H$8:$H$57, ""))),0))</f>
        <v/>
      </c>
      <c r="H34" s="164">
        <f>IF($A34="","",IFERROR(--ISNUMBER(SEARCH(H$3, XLOOKUP($A34, Metrics!$B$8:$B$57, Metrics!$H$8:$H$57, ""))),0))</f>
        <v/>
      </c>
      <c r="I34" s="164">
        <f>IF($A34="","",IFERROR(--ISNUMBER(SEARCH(I$3, XLOOKUP($A34, Metrics!$B$8:$B$57, Metrics!$H$8:$H$57, ""))),0))</f>
        <v/>
      </c>
      <c r="J34" s="164">
        <f>IF($A34="","",IFERROR(--ISNUMBER(SEARCH(J$3, XLOOKUP($A34, Metrics!$B$8:$B$57, Metrics!$H$8:$H$57, ""))),0))</f>
        <v/>
      </c>
      <c r="K34" s="164">
        <f>IF($A34="","",IFERROR(--ISNUMBER(SEARCH(K$3, XLOOKUP($A34, Metrics!$B$8:$B$57, Metrics!$H$8:$H$57, ""))),0))</f>
        <v/>
      </c>
      <c r="L34" s="164">
        <f>IF($A34="","",IFERROR(--ISNUMBER(SEARCH(L$3, XLOOKUP($A34, Metrics!$B$8:$B$57, Metrics!$H$8:$H$57, ""))),0))</f>
        <v/>
      </c>
      <c r="M34" s="164">
        <f>IF($A34="","",IFERROR(--ISNUMBER(SEARCH(M$3, XLOOKUP($A34, Metrics!$B$8:$B$57, Metrics!$H$8:$H$57, ""))),0))</f>
        <v/>
      </c>
      <c r="N34" s="164">
        <f>IF($A34="","",IFERROR(--ISNUMBER(SEARCH(N$3, XLOOKUP($A34, Metrics!$B$8:$B$57, Metrics!$H$8:$H$57, ""))),0))</f>
        <v/>
      </c>
      <c r="O34" s="164">
        <f>IF($A34="","",IFERROR(--ISNUMBER(SEARCH(O$3, XLOOKUP($A34, Metrics!$B$8:$B$57, Metrics!$H$8:$H$57, ""))),0))</f>
        <v/>
      </c>
      <c r="P34" s="164">
        <f>IF($A34="","",IFERROR(--ISNUMBER(SEARCH(P$3, XLOOKUP($A34, Metrics!$B$8:$B$57, Metrics!$H$8:$H$57, ""))),0))</f>
        <v/>
      </c>
      <c r="Q34" s="164">
        <f>IF($A34="","",IFERROR(--ISNUMBER(SEARCH(Q$3, XLOOKUP($A34, Metrics!$B$8:$B$57, Metrics!$H$8:$H$57, ""))),0))</f>
        <v/>
      </c>
      <c r="R34" s="164">
        <f>IF($A34="","",IFERROR(--ISNUMBER(SEARCH(R$3, XLOOKUP($A34, Metrics!$B$8:$B$57, Metrics!$H$8:$H$57, ""))),0))</f>
        <v/>
      </c>
      <c r="S34" s="164">
        <f>IF($A34="","",IFERROR(--ISNUMBER(SEARCH(S$3, XLOOKUP($A34, Metrics!$B$8:$B$57, Metrics!$H$8:$H$57, ""))),0))</f>
        <v/>
      </c>
      <c r="T34" s="164">
        <f>IF($A34="","",IFERROR(--ISNUMBER(SEARCH(T$3, XLOOKUP($A34, Metrics!$B$8:$B$57, Metrics!$H$8:$H$57, ""))),0))</f>
        <v/>
      </c>
      <c r="U34" s="164">
        <f>IF($A34="","",IFERROR(--ISNUMBER(SEARCH(U$3, XLOOKUP($A34, Metrics!$B$8:$B$57, Metrics!$H$8:$H$57, ""))),0))</f>
        <v/>
      </c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>
        <f>IFERROR(INDEX(Metrics!$AA$8#,ROW()-3),"")</f>
        <v/>
      </c>
      <c r="B35" s="164">
        <f>IF($A35="","",IFERROR(--ISNUMBER(SEARCH(B$3, XLOOKUP($A35, Metrics!$B$8:$B$57, Metrics!$H$8:$H$57, ""))),0))</f>
        <v/>
      </c>
      <c r="C35" s="164">
        <f>IF($A35="","",IFERROR(--ISNUMBER(SEARCH(C$3, XLOOKUP($A35, Metrics!$B$8:$B$57, Metrics!$H$8:$H$57, ""))),0))</f>
        <v/>
      </c>
      <c r="D35" s="164">
        <f>IF($A35="","",IFERROR(--ISNUMBER(SEARCH(D$3, XLOOKUP($A35, Metrics!$B$8:$B$57, Metrics!$H$8:$H$57, ""))),0))</f>
        <v/>
      </c>
      <c r="E35" s="164">
        <f>IF($A35="","",IFERROR(--ISNUMBER(SEARCH(E$3, XLOOKUP($A35, Metrics!$B$8:$B$57, Metrics!$H$8:$H$57, ""))),0))</f>
        <v/>
      </c>
      <c r="F35" s="164">
        <f>IF($A35="","",IFERROR(--ISNUMBER(SEARCH(F$3, XLOOKUP($A35, Metrics!$B$8:$B$57, Metrics!$H$8:$H$57, ""))),0))</f>
        <v/>
      </c>
      <c r="G35" s="164">
        <f>IF($A35="","",IFERROR(--ISNUMBER(SEARCH(G$3, XLOOKUP($A35, Metrics!$B$8:$B$57, Metrics!$H$8:$H$57, ""))),0))</f>
        <v/>
      </c>
      <c r="H35" s="164">
        <f>IF($A35="","",IFERROR(--ISNUMBER(SEARCH(H$3, XLOOKUP($A35, Metrics!$B$8:$B$57, Metrics!$H$8:$H$57, ""))),0))</f>
        <v/>
      </c>
      <c r="I35" s="164">
        <f>IF($A35="","",IFERROR(--ISNUMBER(SEARCH(I$3, XLOOKUP($A35, Metrics!$B$8:$B$57, Metrics!$H$8:$H$57, ""))),0))</f>
        <v/>
      </c>
      <c r="J35" s="164">
        <f>IF($A35="","",IFERROR(--ISNUMBER(SEARCH(J$3, XLOOKUP($A35, Metrics!$B$8:$B$57, Metrics!$H$8:$H$57, ""))),0))</f>
        <v/>
      </c>
      <c r="K35" s="164">
        <f>IF($A35="","",IFERROR(--ISNUMBER(SEARCH(K$3, XLOOKUP($A35, Metrics!$B$8:$B$57, Metrics!$H$8:$H$57, ""))),0))</f>
        <v/>
      </c>
      <c r="L35" s="164">
        <f>IF($A35="","",IFERROR(--ISNUMBER(SEARCH(L$3, XLOOKUP($A35, Metrics!$B$8:$B$57, Metrics!$H$8:$H$57, ""))),0))</f>
        <v/>
      </c>
      <c r="M35" s="164">
        <f>IF($A35="","",IFERROR(--ISNUMBER(SEARCH(M$3, XLOOKUP($A35, Metrics!$B$8:$B$57, Metrics!$H$8:$H$57, ""))),0))</f>
        <v/>
      </c>
      <c r="N35" s="164">
        <f>IF($A35="","",IFERROR(--ISNUMBER(SEARCH(N$3, XLOOKUP($A35, Metrics!$B$8:$B$57, Metrics!$H$8:$H$57, ""))),0))</f>
        <v/>
      </c>
      <c r="O35" s="164">
        <f>IF($A35="","",IFERROR(--ISNUMBER(SEARCH(O$3, XLOOKUP($A35, Metrics!$B$8:$B$57, Metrics!$H$8:$H$57, ""))),0))</f>
        <v/>
      </c>
      <c r="P35" s="164">
        <f>IF($A35="","",IFERROR(--ISNUMBER(SEARCH(P$3, XLOOKUP($A35, Metrics!$B$8:$B$57, Metrics!$H$8:$H$57, ""))),0))</f>
        <v/>
      </c>
      <c r="Q35" s="164">
        <f>IF($A35="","",IFERROR(--ISNUMBER(SEARCH(Q$3, XLOOKUP($A35, Metrics!$B$8:$B$57, Metrics!$H$8:$H$57, ""))),0))</f>
        <v/>
      </c>
      <c r="R35" s="164">
        <f>IF($A35="","",IFERROR(--ISNUMBER(SEARCH(R$3, XLOOKUP($A35, Metrics!$B$8:$B$57, Metrics!$H$8:$H$57, ""))),0))</f>
        <v/>
      </c>
      <c r="S35" s="164">
        <f>IF($A35="","",IFERROR(--ISNUMBER(SEARCH(S$3, XLOOKUP($A35, Metrics!$B$8:$B$57, Metrics!$H$8:$H$57, ""))),0))</f>
        <v/>
      </c>
      <c r="T35" s="164">
        <f>IF($A35="","",IFERROR(--ISNUMBER(SEARCH(T$3, XLOOKUP($A35, Metrics!$B$8:$B$57, Metrics!$H$8:$H$57, ""))),0))</f>
        <v/>
      </c>
      <c r="U35" s="164">
        <f>IF($A35="","",IFERROR(--ISNUMBER(SEARCH(U$3, XLOOKUP($A35, Metrics!$B$8:$B$57, Metrics!$H$8:$H$57, ""))),0))</f>
        <v/>
      </c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>
        <f>IFERROR(INDEX(Metrics!$AA$8#,ROW()-3),"")</f>
        <v/>
      </c>
      <c r="B36" s="164">
        <f>IF($A36="","",IFERROR(--ISNUMBER(SEARCH(B$3, XLOOKUP($A36, Metrics!$B$8:$B$57, Metrics!$H$8:$H$57, ""))),0))</f>
        <v/>
      </c>
      <c r="C36" s="164">
        <f>IF($A36="","",IFERROR(--ISNUMBER(SEARCH(C$3, XLOOKUP($A36, Metrics!$B$8:$B$57, Metrics!$H$8:$H$57, ""))),0))</f>
        <v/>
      </c>
      <c r="D36" s="164">
        <f>IF($A36="","",IFERROR(--ISNUMBER(SEARCH(D$3, XLOOKUP($A36, Metrics!$B$8:$B$57, Metrics!$H$8:$H$57, ""))),0))</f>
        <v/>
      </c>
      <c r="E36" s="164">
        <f>IF($A36="","",IFERROR(--ISNUMBER(SEARCH(E$3, XLOOKUP($A36, Metrics!$B$8:$B$57, Metrics!$H$8:$H$57, ""))),0))</f>
        <v/>
      </c>
      <c r="F36" s="164">
        <f>IF($A36="","",IFERROR(--ISNUMBER(SEARCH(F$3, XLOOKUP($A36, Metrics!$B$8:$B$57, Metrics!$H$8:$H$57, ""))),0))</f>
        <v/>
      </c>
      <c r="G36" s="164">
        <f>IF($A36="","",IFERROR(--ISNUMBER(SEARCH(G$3, XLOOKUP($A36, Metrics!$B$8:$B$57, Metrics!$H$8:$H$57, ""))),0))</f>
        <v/>
      </c>
      <c r="H36" s="164">
        <f>IF($A36="","",IFERROR(--ISNUMBER(SEARCH(H$3, XLOOKUP($A36, Metrics!$B$8:$B$57, Metrics!$H$8:$H$57, ""))),0))</f>
        <v/>
      </c>
      <c r="I36" s="164">
        <f>IF($A36="","",IFERROR(--ISNUMBER(SEARCH(I$3, XLOOKUP($A36, Metrics!$B$8:$B$57, Metrics!$H$8:$H$57, ""))),0))</f>
        <v/>
      </c>
      <c r="J36" s="164">
        <f>IF($A36="","",IFERROR(--ISNUMBER(SEARCH(J$3, XLOOKUP($A36, Metrics!$B$8:$B$57, Metrics!$H$8:$H$57, ""))),0))</f>
        <v/>
      </c>
      <c r="K36" s="164">
        <f>IF($A36="","",IFERROR(--ISNUMBER(SEARCH(K$3, XLOOKUP($A36, Metrics!$B$8:$B$57, Metrics!$H$8:$H$57, ""))),0))</f>
        <v/>
      </c>
      <c r="L36" s="164">
        <f>IF($A36="","",IFERROR(--ISNUMBER(SEARCH(L$3, XLOOKUP($A36, Metrics!$B$8:$B$57, Metrics!$H$8:$H$57, ""))),0))</f>
        <v/>
      </c>
      <c r="M36" s="164">
        <f>IF($A36="","",IFERROR(--ISNUMBER(SEARCH(M$3, XLOOKUP($A36, Metrics!$B$8:$B$57, Metrics!$H$8:$H$57, ""))),0))</f>
        <v/>
      </c>
      <c r="N36" s="164">
        <f>IF($A36="","",IFERROR(--ISNUMBER(SEARCH(N$3, XLOOKUP($A36, Metrics!$B$8:$B$57, Metrics!$H$8:$H$57, ""))),0))</f>
        <v/>
      </c>
      <c r="O36" s="164">
        <f>IF($A36="","",IFERROR(--ISNUMBER(SEARCH(O$3, XLOOKUP($A36, Metrics!$B$8:$B$57, Metrics!$H$8:$H$57, ""))),0))</f>
        <v/>
      </c>
      <c r="P36" s="164">
        <f>IF($A36="","",IFERROR(--ISNUMBER(SEARCH(P$3, XLOOKUP($A36, Metrics!$B$8:$B$57, Metrics!$H$8:$H$57, ""))),0))</f>
        <v/>
      </c>
      <c r="Q36" s="164">
        <f>IF($A36="","",IFERROR(--ISNUMBER(SEARCH(Q$3, XLOOKUP($A36, Metrics!$B$8:$B$57, Metrics!$H$8:$H$57, ""))),0))</f>
        <v/>
      </c>
      <c r="R36" s="164">
        <f>IF($A36="","",IFERROR(--ISNUMBER(SEARCH(R$3, XLOOKUP($A36, Metrics!$B$8:$B$57, Metrics!$H$8:$H$57, ""))),0))</f>
        <v/>
      </c>
      <c r="S36" s="164">
        <f>IF($A36="","",IFERROR(--ISNUMBER(SEARCH(S$3, XLOOKUP($A36, Metrics!$B$8:$B$57, Metrics!$H$8:$H$57, ""))),0))</f>
        <v/>
      </c>
      <c r="T36" s="164">
        <f>IF($A36="","",IFERROR(--ISNUMBER(SEARCH(T$3, XLOOKUP($A36, Metrics!$B$8:$B$57, Metrics!$H$8:$H$57, ""))),0))</f>
        <v/>
      </c>
      <c r="U36" s="164">
        <f>IF($A36="","",IFERROR(--ISNUMBER(SEARCH(U$3, XLOOKUP($A36, Metrics!$B$8:$B$57, Metrics!$H$8:$H$57, ""))),0))</f>
        <v/>
      </c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>
        <f>IFERROR(INDEX(Metrics!$AA$8#,ROW()-3),"")</f>
        <v/>
      </c>
      <c r="B37" s="164">
        <f>IF($A37="","",IFERROR(--ISNUMBER(SEARCH(B$3, XLOOKUP($A37, Metrics!$B$8:$B$57, Metrics!$H$8:$H$57, ""))),0))</f>
        <v/>
      </c>
      <c r="C37" s="164">
        <f>IF($A37="","",IFERROR(--ISNUMBER(SEARCH(C$3, XLOOKUP($A37, Metrics!$B$8:$B$57, Metrics!$H$8:$H$57, ""))),0))</f>
        <v/>
      </c>
      <c r="D37" s="164">
        <f>IF($A37="","",IFERROR(--ISNUMBER(SEARCH(D$3, XLOOKUP($A37, Metrics!$B$8:$B$57, Metrics!$H$8:$H$57, ""))),0))</f>
        <v/>
      </c>
      <c r="E37" s="164">
        <f>IF($A37="","",IFERROR(--ISNUMBER(SEARCH(E$3, XLOOKUP($A37, Metrics!$B$8:$B$57, Metrics!$H$8:$H$57, ""))),0))</f>
        <v/>
      </c>
      <c r="F37" s="164">
        <f>IF($A37="","",IFERROR(--ISNUMBER(SEARCH(F$3, XLOOKUP($A37, Metrics!$B$8:$B$57, Metrics!$H$8:$H$57, ""))),0))</f>
        <v/>
      </c>
      <c r="G37" s="164">
        <f>IF($A37="","",IFERROR(--ISNUMBER(SEARCH(G$3, XLOOKUP($A37, Metrics!$B$8:$B$57, Metrics!$H$8:$H$57, ""))),0))</f>
        <v/>
      </c>
      <c r="H37" s="164">
        <f>IF($A37="","",IFERROR(--ISNUMBER(SEARCH(H$3, XLOOKUP($A37, Metrics!$B$8:$B$57, Metrics!$H$8:$H$57, ""))),0))</f>
        <v/>
      </c>
      <c r="I37" s="164">
        <f>IF($A37="","",IFERROR(--ISNUMBER(SEARCH(I$3, XLOOKUP($A37, Metrics!$B$8:$B$57, Metrics!$H$8:$H$57, ""))),0))</f>
        <v/>
      </c>
      <c r="J37" s="164">
        <f>IF($A37="","",IFERROR(--ISNUMBER(SEARCH(J$3, XLOOKUP($A37, Metrics!$B$8:$B$57, Metrics!$H$8:$H$57, ""))),0))</f>
        <v/>
      </c>
      <c r="K37" s="164">
        <f>IF($A37="","",IFERROR(--ISNUMBER(SEARCH(K$3, XLOOKUP($A37, Metrics!$B$8:$B$57, Metrics!$H$8:$H$57, ""))),0))</f>
        <v/>
      </c>
      <c r="L37" s="164">
        <f>IF($A37="","",IFERROR(--ISNUMBER(SEARCH(L$3, XLOOKUP($A37, Metrics!$B$8:$B$57, Metrics!$H$8:$H$57, ""))),0))</f>
        <v/>
      </c>
      <c r="M37" s="164">
        <f>IF($A37="","",IFERROR(--ISNUMBER(SEARCH(M$3, XLOOKUP($A37, Metrics!$B$8:$B$57, Metrics!$H$8:$H$57, ""))),0))</f>
        <v/>
      </c>
      <c r="N37" s="164">
        <f>IF($A37="","",IFERROR(--ISNUMBER(SEARCH(N$3, XLOOKUP($A37, Metrics!$B$8:$B$57, Metrics!$H$8:$H$57, ""))),0))</f>
        <v/>
      </c>
      <c r="O37" s="164">
        <f>IF($A37="","",IFERROR(--ISNUMBER(SEARCH(O$3, XLOOKUP($A37, Metrics!$B$8:$B$57, Metrics!$H$8:$H$57, ""))),0))</f>
        <v/>
      </c>
      <c r="P37" s="164">
        <f>IF($A37="","",IFERROR(--ISNUMBER(SEARCH(P$3, XLOOKUP($A37, Metrics!$B$8:$B$57, Metrics!$H$8:$H$57, ""))),0))</f>
        <v/>
      </c>
      <c r="Q37" s="164">
        <f>IF($A37="","",IFERROR(--ISNUMBER(SEARCH(Q$3, XLOOKUP($A37, Metrics!$B$8:$B$57, Metrics!$H$8:$H$57, ""))),0))</f>
        <v/>
      </c>
      <c r="R37" s="164">
        <f>IF($A37="","",IFERROR(--ISNUMBER(SEARCH(R$3, XLOOKUP($A37, Metrics!$B$8:$B$57, Metrics!$H$8:$H$57, ""))),0))</f>
        <v/>
      </c>
      <c r="S37" s="164">
        <f>IF($A37="","",IFERROR(--ISNUMBER(SEARCH(S$3, XLOOKUP($A37, Metrics!$B$8:$B$57, Metrics!$H$8:$H$57, ""))),0))</f>
        <v/>
      </c>
      <c r="T37" s="164">
        <f>IF($A37="","",IFERROR(--ISNUMBER(SEARCH(T$3, XLOOKUP($A37, Metrics!$B$8:$B$57, Metrics!$H$8:$H$57, ""))),0))</f>
        <v/>
      </c>
      <c r="U37" s="164">
        <f>IF($A37="","",IFERROR(--ISNUMBER(SEARCH(U$3, XLOOKUP($A37, Metrics!$B$8:$B$57, Metrics!$H$8:$H$57, ""))),0))</f>
        <v/>
      </c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>
        <f>IFERROR(INDEX(Metrics!$AA$8#,ROW()-3),"")</f>
        <v/>
      </c>
      <c r="B38" s="164">
        <f>IF($A38="","",IFERROR(--ISNUMBER(SEARCH(B$3, XLOOKUP($A38, Metrics!$B$8:$B$57, Metrics!$H$8:$H$57, ""))),0))</f>
        <v/>
      </c>
      <c r="C38" s="164">
        <f>IF($A38="","",IFERROR(--ISNUMBER(SEARCH(C$3, XLOOKUP($A38, Metrics!$B$8:$B$57, Metrics!$H$8:$H$57, ""))),0))</f>
        <v/>
      </c>
      <c r="D38" s="164">
        <f>IF($A38="","",IFERROR(--ISNUMBER(SEARCH(D$3, XLOOKUP($A38, Metrics!$B$8:$B$57, Metrics!$H$8:$H$57, ""))),0))</f>
        <v/>
      </c>
      <c r="E38" s="164">
        <f>IF($A38="","",IFERROR(--ISNUMBER(SEARCH(E$3, XLOOKUP($A38, Metrics!$B$8:$B$57, Metrics!$H$8:$H$57, ""))),0))</f>
        <v/>
      </c>
      <c r="F38" s="164">
        <f>IF($A38="","",IFERROR(--ISNUMBER(SEARCH(F$3, XLOOKUP($A38, Metrics!$B$8:$B$57, Metrics!$H$8:$H$57, ""))),0))</f>
        <v/>
      </c>
      <c r="G38" s="164">
        <f>IF($A38="","",IFERROR(--ISNUMBER(SEARCH(G$3, XLOOKUP($A38, Metrics!$B$8:$B$57, Metrics!$H$8:$H$57, ""))),0))</f>
        <v/>
      </c>
      <c r="H38" s="164">
        <f>IF($A38="","",IFERROR(--ISNUMBER(SEARCH(H$3, XLOOKUP($A38, Metrics!$B$8:$B$57, Metrics!$H$8:$H$57, ""))),0))</f>
        <v/>
      </c>
      <c r="I38" s="164">
        <f>IF($A38="","",IFERROR(--ISNUMBER(SEARCH(I$3, XLOOKUP($A38, Metrics!$B$8:$B$57, Metrics!$H$8:$H$57, ""))),0))</f>
        <v/>
      </c>
      <c r="J38" s="164">
        <f>IF($A38="","",IFERROR(--ISNUMBER(SEARCH(J$3, XLOOKUP($A38, Metrics!$B$8:$B$57, Metrics!$H$8:$H$57, ""))),0))</f>
        <v/>
      </c>
      <c r="K38" s="164">
        <f>IF($A38="","",IFERROR(--ISNUMBER(SEARCH(K$3, XLOOKUP($A38, Metrics!$B$8:$B$57, Metrics!$H$8:$H$57, ""))),0))</f>
        <v/>
      </c>
      <c r="L38" s="164">
        <f>IF($A38="","",IFERROR(--ISNUMBER(SEARCH(L$3, XLOOKUP($A38, Metrics!$B$8:$B$57, Metrics!$H$8:$H$57, ""))),0))</f>
        <v/>
      </c>
      <c r="M38" s="164">
        <f>IF($A38="","",IFERROR(--ISNUMBER(SEARCH(M$3, XLOOKUP($A38, Metrics!$B$8:$B$57, Metrics!$H$8:$H$57, ""))),0))</f>
        <v/>
      </c>
      <c r="N38" s="164">
        <f>IF($A38="","",IFERROR(--ISNUMBER(SEARCH(N$3, XLOOKUP($A38, Metrics!$B$8:$B$57, Metrics!$H$8:$H$57, ""))),0))</f>
        <v/>
      </c>
      <c r="O38" s="164">
        <f>IF($A38="","",IFERROR(--ISNUMBER(SEARCH(O$3, XLOOKUP($A38, Metrics!$B$8:$B$57, Metrics!$H$8:$H$57, ""))),0))</f>
        <v/>
      </c>
      <c r="P38" s="164">
        <f>IF($A38="","",IFERROR(--ISNUMBER(SEARCH(P$3, XLOOKUP($A38, Metrics!$B$8:$B$57, Metrics!$H$8:$H$57, ""))),0))</f>
        <v/>
      </c>
      <c r="Q38" s="164">
        <f>IF($A38="","",IFERROR(--ISNUMBER(SEARCH(Q$3, XLOOKUP($A38, Metrics!$B$8:$B$57, Metrics!$H$8:$H$57, ""))),0))</f>
        <v/>
      </c>
      <c r="R38" s="164">
        <f>IF($A38="","",IFERROR(--ISNUMBER(SEARCH(R$3, XLOOKUP($A38, Metrics!$B$8:$B$57, Metrics!$H$8:$H$57, ""))),0))</f>
        <v/>
      </c>
      <c r="S38" s="164">
        <f>IF($A38="","",IFERROR(--ISNUMBER(SEARCH(S$3, XLOOKUP($A38, Metrics!$B$8:$B$57, Metrics!$H$8:$H$57, ""))),0))</f>
        <v/>
      </c>
      <c r="T38" s="164">
        <f>IF($A38="","",IFERROR(--ISNUMBER(SEARCH(T$3, XLOOKUP($A38, Metrics!$B$8:$B$57, Metrics!$H$8:$H$57, ""))),0))</f>
        <v/>
      </c>
      <c r="U38" s="164">
        <f>IF($A38="","",IFERROR(--ISNUMBER(SEARCH(U$3, XLOOKUP($A38, Metrics!$B$8:$B$57, Metrics!$H$8:$H$57, ""))),0))</f>
        <v/>
      </c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>
        <f>IFERROR(INDEX(Metrics!$AA$8#,ROW()-3),"")</f>
        <v/>
      </c>
      <c r="B39" s="164">
        <f>IF($A39="","",IFERROR(--ISNUMBER(SEARCH(B$3, XLOOKUP($A39, Metrics!$B$8:$B$57, Metrics!$H$8:$H$57, ""))),0))</f>
        <v/>
      </c>
      <c r="C39" s="164">
        <f>IF($A39="","",IFERROR(--ISNUMBER(SEARCH(C$3, XLOOKUP($A39, Metrics!$B$8:$B$57, Metrics!$H$8:$H$57, ""))),0))</f>
        <v/>
      </c>
      <c r="D39" s="164">
        <f>IF($A39="","",IFERROR(--ISNUMBER(SEARCH(D$3, XLOOKUP($A39, Metrics!$B$8:$B$57, Metrics!$H$8:$H$57, ""))),0))</f>
        <v/>
      </c>
      <c r="E39" s="164">
        <f>IF($A39="","",IFERROR(--ISNUMBER(SEARCH(E$3, XLOOKUP($A39, Metrics!$B$8:$B$57, Metrics!$H$8:$H$57, ""))),0))</f>
        <v/>
      </c>
      <c r="F39" s="164">
        <f>IF($A39="","",IFERROR(--ISNUMBER(SEARCH(F$3, XLOOKUP($A39, Metrics!$B$8:$B$57, Metrics!$H$8:$H$57, ""))),0))</f>
        <v/>
      </c>
      <c r="G39" s="164">
        <f>IF($A39="","",IFERROR(--ISNUMBER(SEARCH(G$3, XLOOKUP($A39, Metrics!$B$8:$B$57, Metrics!$H$8:$H$57, ""))),0))</f>
        <v/>
      </c>
      <c r="H39" s="164">
        <f>IF($A39="","",IFERROR(--ISNUMBER(SEARCH(H$3, XLOOKUP($A39, Metrics!$B$8:$B$57, Metrics!$H$8:$H$57, ""))),0))</f>
        <v/>
      </c>
      <c r="I39" s="164">
        <f>IF($A39="","",IFERROR(--ISNUMBER(SEARCH(I$3, XLOOKUP($A39, Metrics!$B$8:$B$57, Metrics!$H$8:$H$57, ""))),0))</f>
        <v/>
      </c>
      <c r="J39" s="164">
        <f>IF($A39="","",IFERROR(--ISNUMBER(SEARCH(J$3, XLOOKUP($A39, Metrics!$B$8:$B$57, Metrics!$H$8:$H$57, ""))),0))</f>
        <v/>
      </c>
      <c r="K39" s="164">
        <f>IF($A39="","",IFERROR(--ISNUMBER(SEARCH(K$3, XLOOKUP($A39, Metrics!$B$8:$B$57, Metrics!$H$8:$H$57, ""))),0))</f>
        <v/>
      </c>
      <c r="L39" s="164">
        <f>IF($A39="","",IFERROR(--ISNUMBER(SEARCH(L$3, XLOOKUP($A39, Metrics!$B$8:$B$57, Metrics!$H$8:$H$57, ""))),0))</f>
        <v/>
      </c>
      <c r="M39" s="164">
        <f>IF($A39="","",IFERROR(--ISNUMBER(SEARCH(M$3, XLOOKUP($A39, Metrics!$B$8:$B$57, Metrics!$H$8:$H$57, ""))),0))</f>
        <v/>
      </c>
      <c r="N39" s="164">
        <f>IF($A39="","",IFERROR(--ISNUMBER(SEARCH(N$3, XLOOKUP($A39, Metrics!$B$8:$B$57, Metrics!$H$8:$H$57, ""))),0))</f>
        <v/>
      </c>
      <c r="O39" s="164">
        <f>IF($A39="","",IFERROR(--ISNUMBER(SEARCH(O$3, XLOOKUP($A39, Metrics!$B$8:$B$57, Metrics!$H$8:$H$57, ""))),0))</f>
        <v/>
      </c>
      <c r="P39" s="164">
        <f>IF($A39="","",IFERROR(--ISNUMBER(SEARCH(P$3, XLOOKUP($A39, Metrics!$B$8:$B$57, Metrics!$H$8:$H$57, ""))),0))</f>
        <v/>
      </c>
      <c r="Q39" s="164">
        <f>IF($A39="","",IFERROR(--ISNUMBER(SEARCH(Q$3, XLOOKUP($A39, Metrics!$B$8:$B$57, Metrics!$H$8:$H$57, ""))),0))</f>
        <v/>
      </c>
      <c r="R39" s="164">
        <f>IF($A39="","",IFERROR(--ISNUMBER(SEARCH(R$3, XLOOKUP($A39, Metrics!$B$8:$B$57, Metrics!$H$8:$H$57, ""))),0))</f>
        <v/>
      </c>
      <c r="S39" s="164">
        <f>IF($A39="","",IFERROR(--ISNUMBER(SEARCH(S$3, XLOOKUP($A39, Metrics!$B$8:$B$57, Metrics!$H$8:$H$57, ""))),0))</f>
        <v/>
      </c>
      <c r="T39" s="164">
        <f>IF($A39="","",IFERROR(--ISNUMBER(SEARCH(T$3, XLOOKUP($A39, Metrics!$B$8:$B$57, Metrics!$H$8:$H$57, ""))),0))</f>
        <v/>
      </c>
      <c r="U39" s="164">
        <f>IF($A39="","",IFERROR(--ISNUMBER(SEARCH(U$3, XLOOKUP($A39, Metrics!$B$8:$B$57, Metrics!$H$8:$H$57, ""))),0))</f>
        <v/>
      </c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>
        <f>IFERROR(INDEX(Metrics!$AA$8#,ROW()-3),"")</f>
        <v/>
      </c>
      <c r="B40" s="164">
        <f>IF($A40="","",IFERROR(--ISNUMBER(SEARCH(B$3, XLOOKUP($A40, Metrics!$B$8:$B$57, Metrics!$H$8:$H$57, ""))),0))</f>
        <v/>
      </c>
      <c r="C40" s="164">
        <f>IF($A40="","",IFERROR(--ISNUMBER(SEARCH(C$3, XLOOKUP($A40, Metrics!$B$8:$B$57, Metrics!$H$8:$H$57, ""))),0))</f>
        <v/>
      </c>
      <c r="D40" s="164">
        <f>IF($A40="","",IFERROR(--ISNUMBER(SEARCH(D$3, XLOOKUP($A40, Metrics!$B$8:$B$57, Metrics!$H$8:$H$57, ""))),0))</f>
        <v/>
      </c>
      <c r="E40" s="164">
        <f>IF($A40="","",IFERROR(--ISNUMBER(SEARCH(E$3, XLOOKUP($A40, Metrics!$B$8:$B$57, Metrics!$H$8:$H$57, ""))),0))</f>
        <v/>
      </c>
      <c r="F40" s="164">
        <f>IF($A40="","",IFERROR(--ISNUMBER(SEARCH(F$3, XLOOKUP($A40, Metrics!$B$8:$B$57, Metrics!$H$8:$H$57, ""))),0))</f>
        <v/>
      </c>
      <c r="G40" s="164">
        <f>IF($A40="","",IFERROR(--ISNUMBER(SEARCH(G$3, XLOOKUP($A40, Metrics!$B$8:$B$57, Metrics!$H$8:$H$57, ""))),0))</f>
        <v/>
      </c>
      <c r="H40" s="164">
        <f>IF($A40="","",IFERROR(--ISNUMBER(SEARCH(H$3, XLOOKUP($A40, Metrics!$B$8:$B$57, Metrics!$H$8:$H$57, ""))),0))</f>
        <v/>
      </c>
      <c r="I40" s="164">
        <f>IF($A40="","",IFERROR(--ISNUMBER(SEARCH(I$3, XLOOKUP($A40, Metrics!$B$8:$B$57, Metrics!$H$8:$H$57, ""))),0))</f>
        <v/>
      </c>
      <c r="J40" s="164">
        <f>IF($A40="","",IFERROR(--ISNUMBER(SEARCH(J$3, XLOOKUP($A40, Metrics!$B$8:$B$57, Metrics!$H$8:$H$57, ""))),0))</f>
        <v/>
      </c>
      <c r="K40" s="164">
        <f>IF($A40="","",IFERROR(--ISNUMBER(SEARCH(K$3, XLOOKUP($A40, Metrics!$B$8:$B$57, Metrics!$H$8:$H$57, ""))),0))</f>
        <v/>
      </c>
      <c r="L40" s="164">
        <f>IF($A40="","",IFERROR(--ISNUMBER(SEARCH(L$3, XLOOKUP($A40, Metrics!$B$8:$B$57, Metrics!$H$8:$H$57, ""))),0))</f>
        <v/>
      </c>
      <c r="M40" s="164">
        <f>IF($A40="","",IFERROR(--ISNUMBER(SEARCH(M$3, XLOOKUP($A40, Metrics!$B$8:$B$57, Metrics!$H$8:$H$57, ""))),0))</f>
        <v/>
      </c>
      <c r="N40" s="164">
        <f>IF($A40="","",IFERROR(--ISNUMBER(SEARCH(N$3, XLOOKUP($A40, Metrics!$B$8:$B$57, Metrics!$H$8:$H$57, ""))),0))</f>
        <v/>
      </c>
      <c r="O40" s="164">
        <f>IF($A40="","",IFERROR(--ISNUMBER(SEARCH(O$3, XLOOKUP($A40, Metrics!$B$8:$B$57, Metrics!$H$8:$H$57, ""))),0))</f>
        <v/>
      </c>
      <c r="P40" s="164">
        <f>IF($A40="","",IFERROR(--ISNUMBER(SEARCH(P$3, XLOOKUP($A40, Metrics!$B$8:$B$57, Metrics!$H$8:$H$57, ""))),0))</f>
        <v/>
      </c>
      <c r="Q40" s="164">
        <f>IF($A40="","",IFERROR(--ISNUMBER(SEARCH(Q$3, XLOOKUP($A40, Metrics!$B$8:$B$57, Metrics!$H$8:$H$57, ""))),0))</f>
        <v/>
      </c>
      <c r="R40" s="164">
        <f>IF($A40="","",IFERROR(--ISNUMBER(SEARCH(R$3, XLOOKUP($A40, Metrics!$B$8:$B$57, Metrics!$H$8:$H$57, ""))),0))</f>
        <v/>
      </c>
      <c r="S40" s="164">
        <f>IF($A40="","",IFERROR(--ISNUMBER(SEARCH(S$3, XLOOKUP($A40, Metrics!$B$8:$B$57, Metrics!$H$8:$H$57, ""))),0))</f>
        <v/>
      </c>
      <c r="T40" s="164">
        <f>IF($A40="","",IFERROR(--ISNUMBER(SEARCH(T$3, XLOOKUP($A40, Metrics!$B$8:$B$57, Metrics!$H$8:$H$57, ""))),0))</f>
        <v/>
      </c>
      <c r="U40" s="164">
        <f>IF($A40="","",IFERROR(--ISNUMBER(SEARCH(U$3, XLOOKUP($A40, Metrics!$B$8:$B$57, Metrics!$H$8:$H$57, ""))),0))</f>
        <v/>
      </c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>
        <f>IFERROR(INDEX(Metrics!$AA$8#,ROW()-3),"")</f>
        <v/>
      </c>
      <c r="B41" s="164">
        <f>IF($A41="","",IFERROR(--ISNUMBER(SEARCH(B$3, XLOOKUP($A41, Metrics!$B$8:$B$57, Metrics!$H$8:$H$57, ""))),0))</f>
        <v/>
      </c>
      <c r="C41" s="164">
        <f>IF($A41="","",IFERROR(--ISNUMBER(SEARCH(C$3, XLOOKUP($A41, Metrics!$B$8:$B$57, Metrics!$H$8:$H$57, ""))),0))</f>
        <v/>
      </c>
      <c r="D41" s="164">
        <f>IF($A41="","",IFERROR(--ISNUMBER(SEARCH(D$3, XLOOKUP($A41, Metrics!$B$8:$B$57, Metrics!$H$8:$H$57, ""))),0))</f>
        <v/>
      </c>
      <c r="E41" s="164">
        <f>IF($A41="","",IFERROR(--ISNUMBER(SEARCH(E$3, XLOOKUP($A41, Metrics!$B$8:$B$57, Metrics!$H$8:$H$57, ""))),0))</f>
        <v/>
      </c>
      <c r="F41" s="164">
        <f>IF($A41="","",IFERROR(--ISNUMBER(SEARCH(F$3, XLOOKUP($A41, Metrics!$B$8:$B$57, Metrics!$H$8:$H$57, ""))),0))</f>
        <v/>
      </c>
      <c r="G41" s="164">
        <f>IF($A41="","",IFERROR(--ISNUMBER(SEARCH(G$3, XLOOKUP($A41, Metrics!$B$8:$B$57, Metrics!$H$8:$H$57, ""))),0))</f>
        <v/>
      </c>
      <c r="H41" s="164">
        <f>IF($A41="","",IFERROR(--ISNUMBER(SEARCH(H$3, XLOOKUP($A41, Metrics!$B$8:$B$57, Metrics!$H$8:$H$57, ""))),0))</f>
        <v/>
      </c>
      <c r="I41" s="164">
        <f>IF($A41="","",IFERROR(--ISNUMBER(SEARCH(I$3, XLOOKUP($A41, Metrics!$B$8:$B$57, Metrics!$H$8:$H$57, ""))),0))</f>
        <v/>
      </c>
      <c r="J41" s="164">
        <f>IF($A41="","",IFERROR(--ISNUMBER(SEARCH(J$3, XLOOKUP($A41, Metrics!$B$8:$B$57, Metrics!$H$8:$H$57, ""))),0))</f>
        <v/>
      </c>
      <c r="K41" s="164">
        <f>IF($A41="","",IFERROR(--ISNUMBER(SEARCH(K$3, XLOOKUP($A41, Metrics!$B$8:$B$57, Metrics!$H$8:$H$57, ""))),0))</f>
        <v/>
      </c>
      <c r="L41" s="164">
        <f>IF($A41="","",IFERROR(--ISNUMBER(SEARCH(L$3, XLOOKUP($A41, Metrics!$B$8:$B$57, Metrics!$H$8:$H$57, ""))),0))</f>
        <v/>
      </c>
      <c r="M41" s="164">
        <f>IF($A41="","",IFERROR(--ISNUMBER(SEARCH(M$3, XLOOKUP($A41, Metrics!$B$8:$B$57, Metrics!$H$8:$H$57, ""))),0))</f>
        <v/>
      </c>
      <c r="N41" s="164">
        <f>IF($A41="","",IFERROR(--ISNUMBER(SEARCH(N$3, XLOOKUP($A41, Metrics!$B$8:$B$57, Metrics!$H$8:$H$57, ""))),0))</f>
        <v/>
      </c>
      <c r="O41" s="164">
        <f>IF($A41="","",IFERROR(--ISNUMBER(SEARCH(O$3, XLOOKUP($A41, Metrics!$B$8:$B$57, Metrics!$H$8:$H$57, ""))),0))</f>
        <v/>
      </c>
      <c r="P41" s="164">
        <f>IF($A41="","",IFERROR(--ISNUMBER(SEARCH(P$3, XLOOKUP($A41, Metrics!$B$8:$B$57, Metrics!$H$8:$H$57, ""))),0))</f>
        <v/>
      </c>
      <c r="Q41" s="164">
        <f>IF($A41="","",IFERROR(--ISNUMBER(SEARCH(Q$3, XLOOKUP($A41, Metrics!$B$8:$B$57, Metrics!$H$8:$H$57, ""))),0))</f>
        <v/>
      </c>
      <c r="R41" s="164">
        <f>IF($A41="","",IFERROR(--ISNUMBER(SEARCH(R$3, XLOOKUP($A41, Metrics!$B$8:$B$57, Metrics!$H$8:$H$57, ""))),0))</f>
        <v/>
      </c>
      <c r="S41" s="164">
        <f>IF($A41="","",IFERROR(--ISNUMBER(SEARCH(S$3, XLOOKUP($A41, Metrics!$B$8:$B$57, Metrics!$H$8:$H$57, ""))),0))</f>
        <v/>
      </c>
      <c r="T41" s="164">
        <f>IF($A41="","",IFERROR(--ISNUMBER(SEARCH(T$3, XLOOKUP($A41, Metrics!$B$8:$B$57, Metrics!$H$8:$H$57, ""))),0))</f>
        <v/>
      </c>
      <c r="U41" s="164">
        <f>IF($A41="","",IFERROR(--ISNUMBER(SEARCH(U$3, XLOOKUP($A41, Metrics!$B$8:$B$57, Metrics!$H$8:$H$57, ""))),0))</f>
        <v/>
      </c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>
        <f>IFERROR(INDEX(Metrics!$AA$8#,ROW()-3),"")</f>
        <v/>
      </c>
      <c r="B42" s="164">
        <f>IF($A42="","",IFERROR(--ISNUMBER(SEARCH(B$3, XLOOKUP($A42, Metrics!$B$8:$B$57, Metrics!$H$8:$H$57, ""))),0))</f>
        <v/>
      </c>
      <c r="C42" s="164">
        <f>IF($A42="","",IFERROR(--ISNUMBER(SEARCH(C$3, XLOOKUP($A42, Metrics!$B$8:$B$57, Metrics!$H$8:$H$57, ""))),0))</f>
        <v/>
      </c>
      <c r="D42" s="164">
        <f>IF($A42="","",IFERROR(--ISNUMBER(SEARCH(D$3, XLOOKUP($A42, Metrics!$B$8:$B$57, Metrics!$H$8:$H$57, ""))),0))</f>
        <v/>
      </c>
      <c r="E42" s="164">
        <f>IF($A42="","",IFERROR(--ISNUMBER(SEARCH(E$3, XLOOKUP($A42, Metrics!$B$8:$B$57, Metrics!$H$8:$H$57, ""))),0))</f>
        <v/>
      </c>
      <c r="F42" s="164">
        <f>IF($A42="","",IFERROR(--ISNUMBER(SEARCH(F$3, XLOOKUP($A42, Metrics!$B$8:$B$57, Metrics!$H$8:$H$57, ""))),0))</f>
        <v/>
      </c>
      <c r="G42" s="164">
        <f>IF($A42="","",IFERROR(--ISNUMBER(SEARCH(G$3, XLOOKUP($A42, Metrics!$B$8:$B$57, Metrics!$H$8:$H$57, ""))),0))</f>
        <v/>
      </c>
      <c r="H42" s="164">
        <f>IF($A42="","",IFERROR(--ISNUMBER(SEARCH(H$3, XLOOKUP($A42, Metrics!$B$8:$B$57, Metrics!$H$8:$H$57, ""))),0))</f>
        <v/>
      </c>
      <c r="I42" s="164">
        <f>IF($A42="","",IFERROR(--ISNUMBER(SEARCH(I$3, XLOOKUP($A42, Metrics!$B$8:$B$57, Metrics!$H$8:$H$57, ""))),0))</f>
        <v/>
      </c>
      <c r="J42" s="164">
        <f>IF($A42="","",IFERROR(--ISNUMBER(SEARCH(J$3, XLOOKUP($A42, Metrics!$B$8:$B$57, Metrics!$H$8:$H$57, ""))),0))</f>
        <v/>
      </c>
      <c r="K42" s="164">
        <f>IF($A42="","",IFERROR(--ISNUMBER(SEARCH(K$3, XLOOKUP($A42, Metrics!$B$8:$B$57, Metrics!$H$8:$H$57, ""))),0))</f>
        <v/>
      </c>
      <c r="L42" s="164">
        <f>IF($A42="","",IFERROR(--ISNUMBER(SEARCH(L$3, XLOOKUP($A42, Metrics!$B$8:$B$57, Metrics!$H$8:$H$57, ""))),0))</f>
        <v/>
      </c>
      <c r="M42" s="164">
        <f>IF($A42="","",IFERROR(--ISNUMBER(SEARCH(M$3, XLOOKUP($A42, Metrics!$B$8:$B$57, Metrics!$H$8:$H$57, ""))),0))</f>
        <v/>
      </c>
      <c r="N42" s="164">
        <f>IF($A42="","",IFERROR(--ISNUMBER(SEARCH(N$3, XLOOKUP($A42, Metrics!$B$8:$B$57, Metrics!$H$8:$H$57, ""))),0))</f>
        <v/>
      </c>
      <c r="O42" s="164">
        <f>IF($A42="","",IFERROR(--ISNUMBER(SEARCH(O$3, XLOOKUP($A42, Metrics!$B$8:$B$57, Metrics!$H$8:$H$57, ""))),0))</f>
        <v/>
      </c>
      <c r="P42" s="164">
        <f>IF($A42="","",IFERROR(--ISNUMBER(SEARCH(P$3, XLOOKUP($A42, Metrics!$B$8:$B$57, Metrics!$H$8:$H$57, ""))),0))</f>
        <v/>
      </c>
      <c r="Q42" s="164">
        <f>IF($A42="","",IFERROR(--ISNUMBER(SEARCH(Q$3, XLOOKUP($A42, Metrics!$B$8:$B$57, Metrics!$H$8:$H$57, ""))),0))</f>
        <v/>
      </c>
      <c r="R42" s="164">
        <f>IF($A42="","",IFERROR(--ISNUMBER(SEARCH(R$3, XLOOKUP($A42, Metrics!$B$8:$B$57, Metrics!$H$8:$H$57, ""))),0))</f>
        <v/>
      </c>
      <c r="S42" s="164">
        <f>IF($A42="","",IFERROR(--ISNUMBER(SEARCH(S$3, XLOOKUP($A42, Metrics!$B$8:$B$57, Metrics!$H$8:$H$57, ""))),0))</f>
        <v/>
      </c>
      <c r="T42" s="164">
        <f>IF($A42="","",IFERROR(--ISNUMBER(SEARCH(T$3, XLOOKUP($A42, Metrics!$B$8:$B$57, Metrics!$H$8:$H$57, ""))),0))</f>
        <v/>
      </c>
      <c r="U42" s="164">
        <f>IF($A42="","",IFERROR(--ISNUMBER(SEARCH(U$3, XLOOKUP($A42, Metrics!$B$8:$B$57, Metrics!$H$8:$H$57, ""))),0))</f>
        <v/>
      </c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>
        <f>IFERROR(INDEX(Metrics!$AA$8#,ROW()-3),"")</f>
        <v/>
      </c>
      <c r="B43" s="164">
        <f>IF($A43="","",IFERROR(--ISNUMBER(SEARCH(B$3, XLOOKUP($A43, Metrics!$B$8:$B$57, Metrics!$H$8:$H$57, ""))),0))</f>
        <v/>
      </c>
      <c r="C43" s="164">
        <f>IF($A43="","",IFERROR(--ISNUMBER(SEARCH(C$3, XLOOKUP($A43, Metrics!$B$8:$B$57, Metrics!$H$8:$H$57, ""))),0))</f>
        <v/>
      </c>
      <c r="D43" s="164">
        <f>IF($A43="","",IFERROR(--ISNUMBER(SEARCH(D$3, XLOOKUP($A43, Metrics!$B$8:$B$57, Metrics!$H$8:$H$57, ""))),0))</f>
        <v/>
      </c>
      <c r="E43" s="164">
        <f>IF($A43="","",IFERROR(--ISNUMBER(SEARCH(E$3, XLOOKUP($A43, Metrics!$B$8:$B$57, Metrics!$H$8:$H$57, ""))),0))</f>
        <v/>
      </c>
      <c r="F43" s="164">
        <f>IF($A43="","",IFERROR(--ISNUMBER(SEARCH(F$3, XLOOKUP($A43, Metrics!$B$8:$B$57, Metrics!$H$8:$H$57, ""))),0))</f>
        <v/>
      </c>
      <c r="G43" s="164">
        <f>IF($A43="","",IFERROR(--ISNUMBER(SEARCH(G$3, XLOOKUP($A43, Metrics!$B$8:$B$57, Metrics!$H$8:$H$57, ""))),0))</f>
        <v/>
      </c>
      <c r="H43" s="164">
        <f>IF($A43="","",IFERROR(--ISNUMBER(SEARCH(H$3, XLOOKUP($A43, Metrics!$B$8:$B$57, Metrics!$H$8:$H$57, ""))),0))</f>
        <v/>
      </c>
      <c r="I43" s="164">
        <f>IF($A43="","",IFERROR(--ISNUMBER(SEARCH(I$3, XLOOKUP($A43, Metrics!$B$8:$B$57, Metrics!$H$8:$H$57, ""))),0))</f>
        <v/>
      </c>
      <c r="J43" s="164">
        <f>IF($A43="","",IFERROR(--ISNUMBER(SEARCH(J$3, XLOOKUP($A43, Metrics!$B$8:$B$57, Metrics!$H$8:$H$57, ""))),0))</f>
        <v/>
      </c>
      <c r="K43" s="164">
        <f>IF($A43="","",IFERROR(--ISNUMBER(SEARCH(K$3, XLOOKUP($A43, Metrics!$B$8:$B$57, Metrics!$H$8:$H$57, ""))),0))</f>
        <v/>
      </c>
      <c r="L43" s="164">
        <f>IF($A43="","",IFERROR(--ISNUMBER(SEARCH(L$3, XLOOKUP($A43, Metrics!$B$8:$B$57, Metrics!$H$8:$H$57, ""))),0))</f>
        <v/>
      </c>
      <c r="M43" s="164">
        <f>IF($A43="","",IFERROR(--ISNUMBER(SEARCH(M$3, XLOOKUP($A43, Metrics!$B$8:$B$57, Metrics!$H$8:$H$57, ""))),0))</f>
        <v/>
      </c>
      <c r="N43" s="164">
        <f>IF($A43="","",IFERROR(--ISNUMBER(SEARCH(N$3, XLOOKUP($A43, Metrics!$B$8:$B$57, Metrics!$H$8:$H$57, ""))),0))</f>
        <v/>
      </c>
      <c r="O43" s="164">
        <f>IF($A43="","",IFERROR(--ISNUMBER(SEARCH(O$3, XLOOKUP($A43, Metrics!$B$8:$B$57, Metrics!$H$8:$H$57, ""))),0))</f>
        <v/>
      </c>
      <c r="P43" s="164">
        <f>IF($A43="","",IFERROR(--ISNUMBER(SEARCH(P$3, XLOOKUP($A43, Metrics!$B$8:$B$57, Metrics!$H$8:$H$57, ""))),0))</f>
        <v/>
      </c>
      <c r="Q43" s="164">
        <f>IF($A43="","",IFERROR(--ISNUMBER(SEARCH(Q$3, XLOOKUP($A43, Metrics!$B$8:$B$57, Metrics!$H$8:$H$57, ""))),0))</f>
        <v/>
      </c>
      <c r="R43" s="164">
        <f>IF($A43="","",IFERROR(--ISNUMBER(SEARCH(R$3, XLOOKUP($A43, Metrics!$B$8:$B$57, Metrics!$H$8:$H$57, ""))),0))</f>
        <v/>
      </c>
      <c r="S43" s="164">
        <f>IF($A43="","",IFERROR(--ISNUMBER(SEARCH(S$3, XLOOKUP($A43, Metrics!$B$8:$B$57, Metrics!$H$8:$H$57, ""))),0))</f>
        <v/>
      </c>
      <c r="T43" s="164">
        <f>IF($A43="","",IFERROR(--ISNUMBER(SEARCH(T$3, XLOOKUP($A43, Metrics!$B$8:$B$57, Metrics!$H$8:$H$57, ""))),0))</f>
        <v/>
      </c>
      <c r="U43" s="164">
        <f>IF($A43="","",IFERROR(--ISNUMBER(SEARCH(U$3, XLOOKUP($A43, Metrics!$B$8:$B$57, Metrics!$H$8:$H$57, ""))),0))</f>
        <v/>
      </c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>
        <f>IFERROR(INDEX(Metrics!$AA$8#,ROW()-3),"")</f>
        <v/>
      </c>
      <c r="B44" s="164">
        <f>IF($A44="","",IFERROR(--ISNUMBER(SEARCH(B$3, XLOOKUP($A44, Metrics!$B$8:$B$57, Metrics!$H$8:$H$57, ""))),0))</f>
        <v/>
      </c>
      <c r="C44" s="164">
        <f>IF($A44="","",IFERROR(--ISNUMBER(SEARCH(C$3, XLOOKUP($A44, Metrics!$B$8:$B$57, Metrics!$H$8:$H$57, ""))),0))</f>
        <v/>
      </c>
      <c r="D44" s="164">
        <f>IF($A44="","",IFERROR(--ISNUMBER(SEARCH(D$3, XLOOKUP($A44, Metrics!$B$8:$B$57, Metrics!$H$8:$H$57, ""))),0))</f>
        <v/>
      </c>
      <c r="E44" s="164">
        <f>IF($A44="","",IFERROR(--ISNUMBER(SEARCH(E$3, XLOOKUP($A44, Metrics!$B$8:$B$57, Metrics!$H$8:$H$57, ""))),0))</f>
        <v/>
      </c>
      <c r="F44" s="164">
        <f>IF($A44="","",IFERROR(--ISNUMBER(SEARCH(F$3, XLOOKUP($A44, Metrics!$B$8:$B$57, Metrics!$H$8:$H$57, ""))),0))</f>
        <v/>
      </c>
      <c r="G44" s="164">
        <f>IF($A44="","",IFERROR(--ISNUMBER(SEARCH(G$3, XLOOKUP($A44, Metrics!$B$8:$B$57, Metrics!$H$8:$H$57, ""))),0))</f>
        <v/>
      </c>
      <c r="H44" s="164">
        <f>IF($A44="","",IFERROR(--ISNUMBER(SEARCH(H$3, XLOOKUP($A44, Metrics!$B$8:$B$57, Metrics!$H$8:$H$57, ""))),0))</f>
        <v/>
      </c>
      <c r="I44" s="164">
        <f>IF($A44="","",IFERROR(--ISNUMBER(SEARCH(I$3, XLOOKUP($A44, Metrics!$B$8:$B$57, Metrics!$H$8:$H$57, ""))),0))</f>
        <v/>
      </c>
      <c r="J44" s="164">
        <f>IF($A44="","",IFERROR(--ISNUMBER(SEARCH(J$3, XLOOKUP($A44, Metrics!$B$8:$B$57, Metrics!$H$8:$H$57, ""))),0))</f>
        <v/>
      </c>
      <c r="K44" s="164">
        <f>IF($A44="","",IFERROR(--ISNUMBER(SEARCH(K$3, XLOOKUP($A44, Metrics!$B$8:$B$57, Metrics!$H$8:$H$57, ""))),0))</f>
        <v/>
      </c>
      <c r="L44" s="164">
        <f>IF($A44="","",IFERROR(--ISNUMBER(SEARCH(L$3, XLOOKUP($A44, Metrics!$B$8:$B$57, Metrics!$H$8:$H$57, ""))),0))</f>
        <v/>
      </c>
      <c r="M44" s="164">
        <f>IF($A44="","",IFERROR(--ISNUMBER(SEARCH(M$3, XLOOKUP($A44, Metrics!$B$8:$B$57, Metrics!$H$8:$H$57, ""))),0))</f>
        <v/>
      </c>
      <c r="N44" s="164">
        <f>IF($A44="","",IFERROR(--ISNUMBER(SEARCH(N$3, XLOOKUP($A44, Metrics!$B$8:$B$57, Metrics!$H$8:$H$57, ""))),0))</f>
        <v/>
      </c>
      <c r="O44" s="164">
        <f>IF($A44="","",IFERROR(--ISNUMBER(SEARCH(O$3, XLOOKUP($A44, Metrics!$B$8:$B$57, Metrics!$H$8:$H$57, ""))),0))</f>
        <v/>
      </c>
      <c r="P44" s="164">
        <f>IF($A44="","",IFERROR(--ISNUMBER(SEARCH(P$3, XLOOKUP($A44, Metrics!$B$8:$B$57, Metrics!$H$8:$H$57, ""))),0))</f>
        <v/>
      </c>
      <c r="Q44" s="164">
        <f>IF($A44="","",IFERROR(--ISNUMBER(SEARCH(Q$3, XLOOKUP($A44, Metrics!$B$8:$B$57, Metrics!$H$8:$H$57, ""))),0))</f>
        <v/>
      </c>
      <c r="R44" s="164">
        <f>IF($A44="","",IFERROR(--ISNUMBER(SEARCH(R$3, XLOOKUP($A44, Metrics!$B$8:$B$57, Metrics!$H$8:$H$57, ""))),0))</f>
        <v/>
      </c>
      <c r="S44" s="164">
        <f>IF($A44="","",IFERROR(--ISNUMBER(SEARCH(S$3, XLOOKUP($A44, Metrics!$B$8:$B$57, Metrics!$H$8:$H$57, ""))),0))</f>
        <v/>
      </c>
      <c r="T44" s="164">
        <f>IF($A44="","",IFERROR(--ISNUMBER(SEARCH(T$3, XLOOKUP($A44, Metrics!$B$8:$B$57, Metrics!$H$8:$H$57, ""))),0))</f>
        <v/>
      </c>
      <c r="U44" s="164">
        <f>IF($A44="","",IFERROR(--ISNUMBER(SEARCH(U$3, XLOOKUP($A44, Metrics!$B$8:$B$57, Metrics!$H$8:$H$57, ""))),0))</f>
        <v/>
      </c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>
        <f>IFERROR(INDEX(Metrics!$AA$8#,ROW()-3),"")</f>
        <v/>
      </c>
      <c r="B45" s="164">
        <f>IF($A45="","",IFERROR(--ISNUMBER(SEARCH(B$3, XLOOKUP($A45, Metrics!$B$8:$B$57, Metrics!$H$8:$H$57, ""))),0))</f>
        <v/>
      </c>
      <c r="C45" s="164">
        <f>IF($A45="","",IFERROR(--ISNUMBER(SEARCH(C$3, XLOOKUP($A45, Metrics!$B$8:$B$57, Metrics!$H$8:$H$57, ""))),0))</f>
        <v/>
      </c>
      <c r="D45" s="164">
        <f>IF($A45="","",IFERROR(--ISNUMBER(SEARCH(D$3, XLOOKUP($A45, Metrics!$B$8:$B$57, Metrics!$H$8:$H$57, ""))),0))</f>
        <v/>
      </c>
      <c r="E45" s="164">
        <f>IF($A45="","",IFERROR(--ISNUMBER(SEARCH(E$3, XLOOKUP($A45, Metrics!$B$8:$B$57, Metrics!$H$8:$H$57, ""))),0))</f>
        <v/>
      </c>
      <c r="F45" s="164">
        <f>IF($A45="","",IFERROR(--ISNUMBER(SEARCH(F$3, XLOOKUP($A45, Metrics!$B$8:$B$57, Metrics!$H$8:$H$57, ""))),0))</f>
        <v/>
      </c>
      <c r="G45" s="164">
        <f>IF($A45="","",IFERROR(--ISNUMBER(SEARCH(G$3, XLOOKUP($A45, Metrics!$B$8:$B$57, Metrics!$H$8:$H$57, ""))),0))</f>
        <v/>
      </c>
      <c r="H45" s="164">
        <f>IF($A45="","",IFERROR(--ISNUMBER(SEARCH(H$3, XLOOKUP($A45, Metrics!$B$8:$B$57, Metrics!$H$8:$H$57, ""))),0))</f>
        <v/>
      </c>
      <c r="I45" s="164">
        <f>IF($A45="","",IFERROR(--ISNUMBER(SEARCH(I$3, XLOOKUP($A45, Metrics!$B$8:$B$57, Metrics!$H$8:$H$57, ""))),0))</f>
        <v/>
      </c>
      <c r="J45" s="164">
        <f>IF($A45="","",IFERROR(--ISNUMBER(SEARCH(J$3, XLOOKUP($A45, Metrics!$B$8:$B$57, Metrics!$H$8:$H$57, ""))),0))</f>
        <v/>
      </c>
      <c r="K45" s="164">
        <f>IF($A45="","",IFERROR(--ISNUMBER(SEARCH(K$3, XLOOKUP($A45, Metrics!$B$8:$B$57, Metrics!$H$8:$H$57, ""))),0))</f>
        <v/>
      </c>
      <c r="L45" s="164">
        <f>IF($A45="","",IFERROR(--ISNUMBER(SEARCH(L$3, XLOOKUP($A45, Metrics!$B$8:$B$57, Metrics!$H$8:$H$57, ""))),0))</f>
        <v/>
      </c>
      <c r="M45" s="164">
        <f>IF($A45="","",IFERROR(--ISNUMBER(SEARCH(M$3, XLOOKUP($A45, Metrics!$B$8:$B$57, Metrics!$H$8:$H$57, ""))),0))</f>
        <v/>
      </c>
      <c r="N45" s="164">
        <f>IF($A45="","",IFERROR(--ISNUMBER(SEARCH(N$3, XLOOKUP($A45, Metrics!$B$8:$B$57, Metrics!$H$8:$H$57, ""))),0))</f>
        <v/>
      </c>
      <c r="O45" s="164">
        <f>IF($A45="","",IFERROR(--ISNUMBER(SEARCH(O$3, XLOOKUP($A45, Metrics!$B$8:$B$57, Metrics!$H$8:$H$57, ""))),0))</f>
        <v/>
      </c>
      <c r="P45" s="164">
        <f>IF($A45="","",IFERROR(--ISNUMBER(SEARCH(P$3, XLOOKUP($A45, Metrics!$B$8:$B$57, Metrics!$H$8:$H$57, ""))),0))</f>
        <v/>
      </c>
      <c r="Q45" s="164">
        <f>IF($A45="","",IFERROR(--ISNUMBER(SEARCH(Q$3, XLOOKUP($A45, Metrics!$B$8:$B$57, Metrics!$H$8:$H$57, ""))),0))</f>
        <v/>
      </c>
      <c r="R45" s="164">
        <f>IF($A45="","",IFERROR(--ISNUMBER(SEARCH(R$3, XLOOKUP($A45, Metrics!$B$8:$B$57, Metrics!$H$8:$H$57, ""))),0))</f>
        <v/>
      </c>
      <c r="S45" s="164">
        <f>IF($A45="","",IFERROR(--ISNUMBER(SEARCH(S$3, XLOOKUP($A45, Metrics!$B$8:$B$57, Metrics!$H$8:$H$57, ""))),0))</f>
        <v/>
      </c>
      <c r="T45" s="164">
        <f>IF($A45="","",IFERROR(--ISNUMBER(SEARCH(T$3, XLOOKUP($A45, Metrics!$B$8:$B$57, Metrics!$H$8:$H$57, ""))),0))</f>
        <v/>
      </c>
      <c r="U45" s="164">
        <f>IF($A45="","",IFERROR(--ISNUMBER(SEARCH(U$3, XLOOKUP($A45, Metrics!$B$8:$B$57, Metrics!$H$8:$H$57, ""))),0))</f>
        <v/>
      </c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>
        <f>IFERROR(INDEX(Metrics!$AA$8#,ROW()-3),"")</f>
        <v/>
      </c>
      <c r="B46" s="164">
        <f>IF($A46="","",IFERROR(--ISNUMBER(SEARCH(B$3, XLOOKUP($A46, Metrics!$B$8:$B$57, Metrics!$H$8:$H$57, ""))),0))</f>
        <v/>
      </c>
      <c r="C46" s="164">
        <f>IF($A46="","",IFERROR(--ISNUMBER(SEARCH(C$3, XLOOKUP($A46, Metrics!$B$8:$B$57, Metrics!$H$8:$H$57, ""))),0))</f>
        <v/>
      </c>
      <c r="D46" s="164">
        <f>IF($A46="","",IFERROR(--ISNUMBER(SEARCH(D$3, XLOOKUP($A46, Metrics!$B$8:$B$57, Metrics!$H$8:$H$57, ""))),0))</f>
        <v/>
      </c>
      <c r="E46" s="164">
        <f>IF($A46="","",IFERROR(--ISNUMBER(SEARCH(E$3, XLOOKUP($A46, Metrics!$B$8:$B$57, Metrics!$H$8:$H$57, ""))),0))</f>
        <v/>
      </c>
      <c r="F46" s="164">
        <f>IF($A46="","",IFERROR(--ISNUMBER(SEARCH(F$3, XLOOKUP($A46, Metrics!$B$8:$B$57, Metrics!$H$8:$H$57, ""))),0))</f>
        <v/>
      </c>
      <c r="G46" s="164">
        <f>IF($A46="","",IFERROR(--ISNUMBER(SEARCH(G$3, XLOOKUP($A46, Metrics!$B$8:$B$57, Metrics!$H$8:$H$57, ""))),0))</f>
        <v/>
      </c>
      <c r="H46" s="164">
        <f>IF($A46="","",IFERROR(--ISNUMBER(SEARCH(H$3, XLOOKUP($A46, Metrics!$B$8:$B$57, Metrics!$H$8:$H$57, ""))),0))</f>
        <v/>
      </c>
      <c r="I46" s="164">
        <f>IF($A46="","",IFERROR(--ISNUMBER(SEARCH(I$3, XLOOKUP($A46, Metrics!$B$8:$B$57, Metrics!$H$8:$H$57, ""))),0))</f>
        <v/>
      </c>
      <c r="J46" s="164">
        <f>IF($A46="","",IFERROR(--ISNUMBER(SEARCH(J$3, XLOOKUP($A46, Metrics!$B$8:$B$57, Metrics!$H$8:$H$57, ""))),0))</f>
        <v/>
      </c>
      <c r="K46" s="164">
        <f>IF($A46="","",IFERROR(--ISNUMBER(SEARCH(K$3, XLOOKUP($A46, Metrics!$B$8:$B$57, Metrics!$H$8:$H$57, ""))),0))</f>
        <v/>
      </c>
      <c r="L46" s="164">
        <f>IF($A46="","",IFERROR(--ISNUMBER(SEARCH(L$3, XLOOKUP($A46, Metrics!$B$8:$B$57, Metrics!$H$8:$H$57, ""))),0))</f>
        <v/>
      </c>
      <c r="M46" s="164">
        <f>IF($A46="","",IFERROR(--ISNUMBER(SEARCH(M$3, XLOOKUP($A46, Metrics!$B$8:$B$57, Metrics!$H$8:$H$57, ""))),0))</f>
        <v/>
      </c>
      <c r="N46" s="164">
        <f>IF($A46="","",IFERROR(--ISNUMBER(SEARCH(N$3, XLOOKUP($A46, Metrics!$B$8:$B$57, Metrics!$H$8:$H$57, ""))),0))</f>
        <v/>
      </c>
      <c r="O46" s="164">
        <f>IF($A46="","",IFERROR(--ISNUMBER(SEARCH(O$3, XLOOKUP($A46, Metrics!$B$8:$B$57, Metrics!$H$8:$H$57, ""))),0))</f>
        <v/>
      </c>
      <c r="P46" s="164">
        <f>IF($A46="","",IFERROR(--ISNUMBER(SEARCH(P$3, XLOOKUP($A46, Metrics!$B$8:$B$57, Metrics!$H$8:$H$57, ""))),0))</f>
        <v/>
      </c>
      <c r="Q46" s="164">
        <f>IF($A46="","",IFERROR(--ISNUMBER(SEARCH(Q$3, XLOOKUP($A46, Metrics!$B$8:$B$57, Metrics!$H$8:$H$57, ""))),0))</f>
        <v/>
      </c>
      <c r="R46" s="164">
        <f>IF($A46="","",IFERROR(--ISNUMBER(SEARCH(R$3, XLOOKUP($A46, Metrics!$B$8:$B$57, Metrics!$H$8:$H$57, ""))),0))</f>
        <v/>
      </c>
      <c r="S46" s="164">
        <f>IF($A46="","",IFERROR(--ISNUMBER(SEARCH(S$3, XLOOKUP($A46, Metrics!$B$8:$B$57, Metrics!$H$8:$H$57, ""))),0))</f>
        <v/>
      </c>
      <c r="T46" s="164">
        <f>IF($A46="","",IFERROR(--ISNUMBER(SEARCH(T$3, XLOOKUP($A46, Metrics!$B$8:$B$57, Metrics!$H$8:$H$57, ""))),0))</f>
        <v/>
      </c>
      <c r="U46" s="164">
        <f>IF($A46="","",IFERROR(--ISNUMBER(SEARCH(U$3, XLOOKUP($A46, Metrics!$B$8:$B$57, Metrics!$H$8:$H$57, ""))),0))</f>
        <v/>
      </c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>
        <f>IFERROR(INDEX(Metrics!$AA$8#,ROW()-3),"")</f>
        <v/>
      </c>
      <c r="B47" s="164">
        <f>IF($A47="","",IFERROR(--ISNUMBER(SEARCH(B$3, XLOOKUP($A47, Metrics!$B$8:$B$57, Metrics!$H$8:$H$57, ""))),0))</f>
        <v/>
      </c>
      <c r="C47" s="164">
        <f>IF($A47="","",IFERROR(--ISNUMBER(SEARCH(C$3, XLOOKUP($A47, Metrics!$B$8:$B$57, Metrics!$H$8:$H$57, ""))),0))</f>
        <v/>
      </c>
      <c r="D47" s="164">
        <f>IF($A47="","",IFERROR(--ISNUMBER(SEARCH(D$3, XLOOKUP($A47, Metrics!$B$8:$B$57, Metrics!$H$8:$H$57, ""))),0))</f>
        <v/>
      </c>
      <c r="E47" s="164">
        <f>IF($A47="","",IFERROR(--ISNUMBER(SEARCH(E$3, XLOOKUP($A47, Metrics!$B$8:$B$57, Metrics!$H$8:$H$57, ""))),0))</f>
        <v/>
      </c>
      <c r="F47" s="164">
        <f>IF($A47="","",IFERROR(--ISNUMBER(SEARCH(F$3, XLOOKUP($A47, Metrics!$B$8:$B$57, Metrics!$H$8:$H$57, ""))),0))</f>
        <v/>
      </c>
      <c r="G47" s="164">
        <f>IF($A47="","",IFERROR(--ISNUMBER(SEARCH(G$3, XLOOKUP($A47, Metrics!$B$8:$B$57, Metrics!$H$8:$H$57, ""))),0))</f>
        <v/>
      </c>
      <c r="H47" s="164">
        <f>IF($A47="","",IFERROR(--ISNUMBER(SEARCH(H$3, XLOOKUP($A47, Metrics!$B$8:$B$57, Metrics!$H$8:$H$57, ""))),0))</f>
        <v/>
      </c>
      <c r="I47" s="164">
        <f>IF($A47="","",IFERROR(--ISNUMBER(SEARCH(I$3, XLOOKUP($A47, Metrics!$B$8:$B$57, Metrics!$H$8:$H$57, ""))),0))</f>
        <v/>
      </c>
      <c r="J47" s="164">
        <f>IF($A47="","",IFERROR(--ISNUMBER(SEARCH(J$3, XLOOKUP($A47, Metrics!$B$8:$B$57, Metrics!$H$8:$H$57, ""))),0))</f>
        <v/>
      </c>
      <c r="K47" s="164">
        <f>IF($A47="","",IFERROR(--ISNUMBER(SEARCH(K$3, XLOOKUP($A47, Metrics!$B$8:$B$57, Metrics!$H$8:$H$57, ""))),0))</f>
        <v/>
      </c>
      <c r="L47" s="164">
        <f>IF($A47="","",IFERROR(--ISNUMBER(SEARCH(L$3, XLOOKUP($A47, Metrics!$B$8:$B$57, Metrics!$H$8:$H$57, ""))),0))</f>
        <v/>
      </c>
      <c r="M47" s="164">
        <f>IF($A47="","",IFERROR(--ISNUMBER(SEARCH(M$3, XLOOKUP($A47, Metrics!$B$8:$B$57, Metrics!$H$8:$H$57, ""))),0))</f>
        <v/>
      </c>
      <c r="N47" s="164">
        <f>IF($A47="","",IFERROR(--ISNUMBER(SEARCH(N$3, XLOOKUP($A47, Metrics!$B$8:$B$57, Metrics!$H$8:$H$57, ""))),0))</f>
        <v/>
      </c>
      <c r="O47" s="164">
        <f>IF($A47="","",IFERROR(--ISNUMBER(SEARCH(O$3, XLOOKUP($A47, Metrics!$B$8:$B$57, Metrics!$H$8:$H$57, ""))),0))</f>
        <v/>
      </c>
      <c r="P47" s="164">
        <f>IF($A47="","",IFERROR(--ISNUMBER(SEARCH(P$3, XLOOKUP($A47, Metrics!$B$8:$B$57, Metrics!$H$8:$H$57, ""))),0))</f>
        <v/>
      </c>
      <c r="Q47" s="164">
        <f>IF($A47="","",IFERROR(--ISNUMBER(SEARCH(Q$3, XLOOKUP($A47, Metrics!$B$8:$B$57, Metrics!$H$8:$H$57, ""))),0))</f>
        <v/>
      </c>
      <c r="R47" s="164">
        <f>IF($A47="","",IFERROR(--ISNUMBER(SEARCH(R$3, XLOOKUP($A47, Metrics!$B$8:$B$57, Metrics!$H$8:$H$57, ""))),0))</f>
        <v/>
      </c>
      <c r="S47" s="164">
        <f>IF($A47="","",IFERROR(--ISNUMBER(SEARCH(S$3, XLOOKUP($A47, Metrics!$B$8:$B$57, Metrics!$H$8:$H$57, ""))),0))</f>
        <v/>
      </c>
      <c r="T47" s="164">
        <f>IF($A47="","",IFERROR(--ISNUMBER(SEARCH(T$3, XLOOKUP($A47, Metrics!$B$8:$B$57, Metrics!$H$8:$H$57, ""))),0))</f>
        <v/>
      </c>
      <c r="U47" s="164">
        <f>IF($A47="","",IFERROR(--ISNUMBER(SEARCH(U$3, XLOOKUP($A47, Metrics!$B$8:$B$57, Metrics!$H$8:$H$57, ""))),0))</f>
        <v/>
      </c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>
        <f>IFERROR(INDEX(Metrics!$AA$8#,ROW()-3),"")</f>
        <v/>
      </c>
      <c r="B48" s="164">
        <f>IF($A48="","",IFERROR(--ISNUMBER(SEARCH(B$3, XLOOKUP($A48, Metrics!$B$8:$B$57, Metrics!$H$8:$H$57, ""))),0))</f>
        <v/>
      </c>
      <c r="C48" s="164">
        <f>IF($A48="","",IFERROR(--ISNUMBER(SEARCH(C$3, XLOOKUP($A48, Metrics!$B$8:$B$57, Metrics!$H$8:$H$57, ""))),0))</f>
        <v/>
      </c>
      <c r="D48" s="164">
        <f>IF($A48="","",IFERROR(--ISNUMBER(SEARCH(D$3, XLOOKUP($A48, Metrics!$B$8:$B$57, Metrics!$H$8:$H$57, ""))),0))</f>
        <v/>
      </c>
      <c r="E48" s="164">
        <f>IF($A48="","",IFERROR(--ISNUMBER(SEARCH(E$3, XLOOKUP($A48, Metrics!$B$8:$B$57, Metrics!$H$8:$H$57, ""))),0))</f>
        <v/>
      </c>
      <c r="F48" s="164">
        <f>IF($A48="","",IFERROR(--ISNUMBER(SEARCH(F$3, XLOOKUP($A48, Metrics!$B$8:$B$57, Metrics!$H$8:$H$57, ""))),0))</f>
        <v/>
      </c>
      <c r="G48" s="164">
        <f>IF($A48="","",IFERROR(--ISNUMBER(SEARCH(G$3, XLOOKUP($A48, Metrics!$B$8:$B$57, Metrics!$H$8:$H$57, ""))),0))</f>
        <v/>
      </c>
      <c r="H48" s="164">
        <f>IF($A48="","",IFERROR(--ISNUMBER(SEARCH(H$3, XLOOKUP($A48, Metrics!$B$8:$B$57, Metrics!$H$8:$H$57, ""))),0))</f>
        <v/>
      </c>
      <c r="I48" s="164">
        <f>IF($A48="","",IFERROR(--ISNUMBER(SEARCH(I$3, XLOOKUP($A48, Metrics!$B$8:$B$57, Metrics!$H$8:$H$57, ""))),0))</f>
        <v/>
      </c>
      <c r="J48" s="164">
        <f>IF($A48="","",IFERROR(--ISNUMBER(SEARCH(J$3, XLOOKUP($A48, Metrics!$B$8:$B$57, Metrics!$H$8:$H$57, ""))),0))</f>
        <v/>
      </c>
      <c r="K48" s="164">
        <f>IF($A48="","",IFERROR(--ISNUMBER(SEARCH(K$3, XLOOKUP($A48, Metrics!$B$8:$B$57, Metrics!$H$8:$H$57, ""))),0))</f>
        <v/>
      </c>
      <c r="L48" s="164">
        <f>IF($A48="","",IFERROR(--ISNUMBER(SEARCH(L$3, XLOOKUP($A48, Metrics!$B$8:$B$57, Metrics!$H$8:$H$57, ""))),0))</f>
        <v/>
      </c>
      <c r="M48" s="164">
        <f>IF($A48="","",IFERROR(--ISNUMBER(SEARCH(M$3, XLOOKUP($A48, Metrics!$B$8:$B$57, Metrics!$H$8:$H$57, ""))),0))</f>
        <v/>
      </c>
      <c r="N48" s="164">
        <f>IF($A48="","",IFERROR(--ISNUMBER(SEARCH(N$3, XLOOKUP($A48, Metrics!$B$8:$B$57, Metrics!$H$8:$H$57, ""))),0))</f>
        <v/>
      </c>
      <c r="O48" s="164">
        <f>IF($A48="","",IFERROR(--ISNUMBER(SEARCH(O$3, XLOOKUP($A48, Metrics!$B$8:$B$57, Metrics!$H$8:$H$57, ""))),0))</f>
        <v/>
      </c>
      <c r="P48" s="164">
        <f>IF($A48="","",IFERROR(--ISNUMBER(SEARCH(P$3, XLOOKUP($A48, Metrics!$B$8:$B$57, Metrics!$H$8:$H$57, ""))),0))</f>
        <v/>
      </c>
      <c r="Q48" s="164">
        <f>IF($A48="","",IFERROR(--ISNUMBER(SEARCH(Q$3, XLOOKUP($A48, Metrics!$B$8:$B$57, Metrics!$H$8:$H$57, ""))),0))</f>
        <v/>
      </c>
      <c r="R48" s="164">
        <f>IF($A48="","",IFERROR(--ISNUMBER(SEARCH(R$3, XLOOKUP($A48, Metrics!$B$8:$B$57, Metrics!$H$8:$H$57, ""))),0))</f>
        <v/>
      </c>
      <c r="S48" s="164">
        <f>IF($A48="","",IFERROR(--ISNUMBER(SEARCH(S$3, XLOOKUP($A48, Metrics!$B$8:$B$57, Metrics!$H$8:$H$57, ""))),0))</f>
        <v/>
      </c>
      <c r="T48" s="164">
        <f>IF($A48="","",IFERROR(--ISNUMBER(SEARCH(T$3, XLOOKUP($A48, Metrics!$B$8:$B$57, Metrics!$H$8:$H$57, ""))),0))</f>
        <v/>
      </c>
      <c r="U48" s="164">
        <f>IF($A48="","",IFERROR(--ISNUMBER(SEARCH(U$3, XLOOKUP($A48, Metrics!$B$8:$B$57, Metrics!$H$8:$H$57, ""))),0))</f>
        <v/>
      </c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>
        <f>IFERROR(INDEX(Metrics!$AA$8#,ROW()-3),"")</f>
        <v/>
      </c>
      <c r="B49" s="164">
        <f>IF($A49="","",IFERROR(--ISNUMBER(SEARCH(B$3, XLOOKUP($A49, Metrics!$B$8:$B$57, Metrics!$H$8:$H$57, ""))),0))</f>
        <v/>
      </c>
      <c r="C49" s="164">
        <f>IF($A49="","",IFERROR(--ISNUMBER(SEARCH(C$3, XLOOKUP($A49, Metrics!$B$8:$B$57, Metrics!$H$8:$H$57, ""))),0))</f>
        <v/>
      </c>
      <c r="D49" s="164">
        <f>IF($A49="","",IFERROR(--ISNUMBER(SEARCH(D$3, XLOOKUP($A49, Metrics!$B$8:$B$57, Metrics!$H$8:$H$57, ""))),0))</f>
        <v/>
      </c>
      <c r="E49" s="164">
        <f>IF($A49="","",IFERROR(--ISNUMBER(SEARCH(E$3, XLOOKUP($A49, Metrics!$B$8:$B$57, Metrics!$H$8:$H$57, ""))),0))</f>
        <v/>
      </c>
      <c r="F49" s="164">
        <f>IF($A49="","",IFERROR(--ISNUMBER(SEARCH(F$3, XLOOKUP($A49, Metrics!$B$8:$B$57, Metrics!$H$8:$H$57, ""))),0))</f>
        <v/>
      </c>
      <c r="G49" s="164">
        <f>IF($A49="","",IFERROR(--ISNUMBER(SEARCH(G$3, XLOOKUP($A49, Metrics!$B$8:$B$57, Metrics!$H$8:$H$57, ""))),0))</f>
        <v/>
      </c>
      <c r="H49" s="164">
        <f>IF($A49="","",IFERROR(--ISNUMBER(SEARCH(H$3, XLOOKUP($A49, Metrics!$B$8:$B$57, Metrics!$H$8:$H$57, ""))),0))</f>
        <v/>
      </c>
      <c r="I49" s="164">
        <f>IF($A49="","",IFERROR(--ISNUMBER(SEARCH(I$3, XLOOKUP($A49, Metrics!$B$8:$B$57, Metrics!$H$8:$H$57, ""))),0))</f>
        <v/>
      </c>
      <c r="J49" s="164">
        <f>IF($A49="","",IFERROR(--ISNUMBER(SEARCH(J$3, XLOOKUP($A49, Metrics!$B$8:$B$57, Metrics!$H$8:$H$57, ""))),0))</f>
        <v/>
      </c>
      <c r="K49" s="164">
        <f>IF($A49="","",IFERROR(--ISNUMBER(SEARCH(K$3, XLOOKUP($A49, Metrics!$B$8:$B$57, Metrics!$H$8:$H$57, ""))),0))</f>
        <v/>
      </c>
      <c r="L49" s="164">
        <f>IF($A49="","",IFERROR(--ISNUMBER(SEARCH(L$3, XLOOKUP($A49, Metrics!$B$8:$B$57, Metrics!$H$8:$H$57, ""))),0))</f>
        <v/>
      </c>
      <c r="M49" s="164">
        <f>IF($A49="","",IFERROR(--ISNUMBER(SEARCH(M$3, XLOOKUP($A49, Metrics!$B$8:$B$57, Metrics!$H$8:$H$57, ""))),0))</f>
        <v/>
      </c>
      <c r="N49" s="164">
        <f>IF($A49="","",IFERROR(--ISNUMBER(SEARCH(N$3, XLOOKUP($A49, Metrics!$B$8:$B$57, Metrics!$H$8:$H$57, ""))),0))</f>
        <v/>
      </c>
      <c r="O49" s="164">
        <f>IF($A49="","",IFERROR(--ISNUMBER(SEARCH(O$3, XLOOKUP($A49, Metrics!$B$8:$B$57, Metrics!$H$8:$H$57, ""))),0))</f>
        <v/>
      </c>
      <c r="P49" s="164">
        <f>IF($A49="","",IFERROR(--ISNUMBER(SEARCH(P$3, XLOOKUP($A49, Metrics!$B$8:$B$57, Metrics!$H$8:$H$57, ""))),0))</f>
        <v/>
      </c>
      <c r="Q49" s="164">
        <f>IF($A49="","",IFERROR(--ISNUMBER(SEARCH(Q$3, XLOOKUP($A49, Metrics!$B$8:$B$57, Metrics!$H$8:$H$57, ""))),0))</f>
        <v/>
      </c>
      <c r="R49" s="164">
        <f>IF($A49="","",IFERROR(--ISNUMBER(SEARCH(R$3, XLOOKUP($A49, Metrics!$B$8:$B$57, Metrics!$H$8:$H$57, ""))),0))</f>
        <v/>
      </c>
      <c r="S49" s="164">
        <f>IF($A49="","",IFERROR(--ISNUMBER(SEARCH(S$3, XLOOKUP($A49, Metrics!$B$8:$B$57, Metrics!$H$8:$H$57, ""))),0))</f>
        <v/>
      </c>
      <c r="T49" s="164">
        <f>IF($A49="","",IFERROR(--ISNUMBER(SEARCH(T$3, XLOOKUP($A49, Metrics!$B$8:$B$57, Metrics!$H$8:$H$57, ""))),0))</f>
        <v/>
      </c>
      <c r="U49" s="164">
        <f>IF($A49="","",IFERROR(--ISNUMBER(SEARCH(U$3, XLOOKUP($A49, Metrics!$B$8:$B$57, Metrics!$H$8:$H$57, ""))),0))</f>
        <v/>
      </c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>
        <f>IFERROR(INDEX(Metrics!$AA$8#,ROW()-3),"")</f>
        <v/>
      </c>
      <c r="B50" s="164">
        <f>IF($A50="","",IFERROR(--ISNUMBER(SEARCH(B$3, XLOOKUP($A50, Metrics!$B$8:$B$57, Metrics!$H$8:$H$57, ""))),0))</f>
        <v/>
      </c>
      <c r="C50" s="164">
        <f>IF($A50="","",IFERROR(--ISNUMBER(SEARCH(C$3, XLOOKUP($A50, Metrics!$B$8:$B$57, Metrics!$H$8:$H$57, ""))),0))</f>
        <v/>
      </c>
      <c r="D50" s="164">
        <f>IF($A50="","",IFERROR(--ISNUMBER(SEARCH(D$3, XLOOKUP($A50, Metrics!$B$8:$B$57, Metrics!$H$8:$H$57, ""))),0))</f>
        <v/>
      </c>
      <c r="E50" s="164">
        <f>IF($A50="","",IFERROR(--ISNUMBER(SEARCH(E$3, XLOOKUP($A50, Metrics!$B$8:$B$57, Metrics!$H$8:$H$57, ""))),0))</f>
        <v/>
      </c>
      <c r="F50" s="164">
        <f>IF($A50="","",IFERROR(--ISNUMBER(SEARCH(F$3, XLOOKUP($A50, Metrics!$B$8:$B$57, Metrics!$H$8:$H$57, ""))),0))</f>
        <v/>
      </c>
      <c r="G50" s="164">
        <f>IF($A50="","",IFERROR(--ISNUMBER(SEARCH(G$3, XLOOKUP($A50, Metrics!$B$8:$B$57, Metrics!$H$8:$H$57, ""))),0))</f>
        <v/>
      </c>
      <c r="H50" s="164">
        <f>IF($A50="","",IFERROR(--ISNUMBER(SEARCH(H$3, XLOOKUP($A50, Metrics!$B$8:$B$57, Metrics!$H$8:$H$57, ""))),0))</f>
        <v/>
      </c>
      <c r="I50" s="164">
        <f>IF($A50="","",IFERROR(--ISNUMBER(SEARCH(I$3, XLOOKUP($A50, Metrics!$B$8:$B$57, Metrics!$H$8:$H$57, ""))),0))</f>
        <v/>
      </c>
      <c r="J50" s="164">
        <f>IF($A50="","",IFERROR(--ISNUMBER(SEARCH(J$3, XLOOKUP($A50, Metrics!$B$8:$B$57, Metrics!$H$8:$H$57, ""))),0))</f>
        <v/>
      </c>
      <c r="K50" s="164">
        <f>IF($A50="","",IFERROR(--ISNUMBER(SEARCH(K$3, XLOOKUP($A50, Metrics!$B$8:$B$57, Metrics!$H$8:$H$57, ""))),0))</f>
        <v/>
      </c>
      <c r="L50" s="164">
        <f>IF($A50="","",IFERROR(--ISNUMBER(SEARCH(L$3, XLOOKUP($A50, Metrics!$B$8:$B$57, Metrics!$H$8:$H$57, ""))),0))</f>
        <v/>
      </c>
      <c r="M50" s="164">
        <f>IF($A50="","",IFERROR(--ISNUMBER(SEARCH(M$3, XLOOKUP($A50, Metrics!$B$8:$B$57, Metrics!$H$8:$H$57, ""))),0))</f>
        <v/>
      </c>
      <c r="N50" s="164">
        <f>IF($A50="","",IFERROR(--ISNUMBER(SEARCH(N$3, XLOOKUP($A50, Metrics!$B$8:$B$57, Metrics!$H$8:$H$57, ""))),0))</f>
        <v/>
      </c>
      <c r="O50" s="164">
        <f>IF($A50="","",IFERROR(--ISNUMBER(SEARCH(O$3, XLOOKUP($A50, Metrics!$B$8:$B$57, Metrics!$H$8:$H$57, ""))),0))</f>
        <v/>
      </c>
      <c r="P50" s="164">
        <f>IF($A50="","",IFERROR(--ISNUMBER(SEARCH(P$3, XLOOKUP($A50, Metrics!$B$8:$B$57, Metrics!$H$8:$H$57, ""))),0))</f>
        <v/>
      </c>
      <c r="Q50" s="164">
        <f>IF($A50="","",IFERROR(--ISNUMBER(SEARCH(Q$3, XLOOKUP($A50, Metrics!$B$8:$B$57, Metrics!$H$8:$H$57, ""))),0))</f>
        <v/>
      </c>
      <c r="R50" s="164">
        <f>IF($A50="","",IFERROR(--ISNUMBER(SEARCH(R$3, XLOOKUP($A50, Metrics!$B$8:$B$57, Metrics!$H$8:$H$57, ""))),0))</f>
        <v/>
      </c>
      <c r="S50" s="164">
        <f>IF($A50="","",IFERROR(--ISNUMBER(SEARCH(S$3, XLOOKUP($A50, Metrics!$B$8:$B$57, Metrics!$H$8:$H$57, ""))),0))</f>
        <v/>
      </c>
      <c r="T50" s="164">
        <f>IF($A50="","",IFERROR(--ISNUMBER(SEARCH(T$3, XLOOKUP($A50, Metrics!$B$8:$B$57, Metrics!$H$8:$H$57, ""))),0))</f>
        <v/>
      </c>
      <c r="U50" s="164">
        <f>IF($A50="","",IFERROR(--ISNUMBER(SEARCH(U$3, XLOOKUP($A50, Metrics!$B$8:$B$57, Metrics!$H$8:$H$57, ""))),0))</f>
        <v/>
      </c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>
        <f>IFERROR(INDEX(Metrics!$AA$8#,ROW()-3),"")</f>
        <v/>
      </c>
      <c r="B51" s="164">
        <f>IF($A51="","",IFERROR(--ISNUMBER(SEARCH(B$3, XLOOKUP($A51, Metrics!$B$8:$B$57, Metrics!$H$8:$H$57, ""))),0))</f>
        <v/>
      </c>
      <c r="C51" s="164">
        <f>IF($A51="","",IFERROR(--ISNUMBER(SEARCH(C$3, XLOOKUP($A51, Metrics!$B$8:$B$57, Metrics!$H$8:$H$57, ""))),0))</f>
        <v/>
      </c>
      <c r="D51" s="164">
        <f>IF($A51="","",IFERROR(--ISNUMBER(SEARCH(D$3, XLOOKUP($A51, Metrics!$B$8:$B$57, Metrics!$H$8:$H$57, ""))),0))</f>
        <v/>
      </c>
      <c r="E51" s="164">
        <f>IF($A51="","",IFERROR(--ISNUMBER(SEARCH(E$3, XLOOKUP($A51, Metrics!$B$8:$B$57, Metrics!$H$8:$H$57, ""))),0))</f>
        <v/>
      </c>
      <c r="F51" s="164">
        <f>IF($A51="","",IFERROR(--ISNUMBER(SEARCH(F$3, XLOOKUP($A51, Metrics!$B$8:$B$57, Metrics!$H$8:$H$57, ""))),0))</f>
        <v/>
      </c>
      <c r="G51" s="164">
        <f>IF($A51="","",IFERROR(--ISNUMBER(SEARCH(G$3, XLOOKUP($A51, Metrics!$B$8:$B$57, Metrics!$H$8:$H$57, ""))),0))</f>
        <v/>
      </c>
      <c r="H51" s="164">
        <f>IF($A51="","",IFERROR(--ISNUMBER(SEARCH(H$3, XLOOKUP($A51, Metrics!$B$8:$B$57, Metrics!$H$8:$H$57, ""))),0))</f>
        <v/>
      </c>
      <c r="I51" s="164">
        <f>IF($A51="","",IFERROR(--ISNUMBER(SEARCH(I$3, XLOOKUP($A51, Metrics!$B$8:$B$57, Metrics!$H$8:$H$57, ""))),0))</f>
        <v/>
      </c>
      <c r="J51" s="164">
        <f>IF($A51="","",IFERROR(--ISNUMBER(SEARCH(J$3, XLOOKUP($A51, Metrics!$B$8:$B$57, Metrics!$H$8:$H$57, ""))),0))</f>
        <v/>
      </c>
      <c r="K51" s="164">
        <f>IF($A51="","",IFERROR(--ISNUMBER(SEARCH(K$3, XLOOKUP($A51, Metrics!$B$8:$B$57, Metrics!$H$8:$H$57, ""))),0))</f>
        <v/>
      </c>
      <c r="L51" s="164">
        <f>IF($A51="","",IFERROR(--ISNUMBER(SEARCH(L$3, XLOOKUP($A51, Metrics!$B$8:$B$57, Metrics!$H$8:$H$57, ""))),0))</f>
        <v/>
      </c>
      <c r="M51" s="164">
        <f>IF($A51="","",IFERROR(--ISNUMBER(SEARCH(M$3, XLOOKUP($A51, Metrics!$B$8:$B$57, Metrics!$H$8:$H$57, ""))),0))</f>
        <v/>
      </c>
      <c r="N51" s="164">
        <f>IF($A51="","",IFERROR(--ISNUMBER(SEARCH(N$3, XLOOKUP($A51, Metrics!$B$8:$B$57, Metrics!$H$8:$H$57, ""))),0))</f>
        <v/>
      </c>
      <c r="O51" s="164">
        <f>IF($A51="","",IFERROR(--ISNUMBER(SEARCH(O$3, XLOOKUP($A51, Metrics!$B$8:$B$57, Metrics!$H$8:$H$57, ""))),0))</f>
        <v/>
      </c>
      <c r="P51" s="164">
        <f>IF($A51="","",IFERROR(--ISNUMBER(SEARCH(P$3, XLOOKUP($A51, Metrics!$B$8:$B$57, Metrics!$H$8:$H$57, ""))),0))</f>
        <v/>
      </c>
      <c r="Q51" s="164">
        <f>IF($A51="","",IFERROR(--ISNUMBER(SEARCH(Q$3, XLOOKUP($A51, Metrics!$B$8:$B$57, Metrics!$H$8:$H$57, ""))),0))</f>
        <v/>
      </c>
      <c r="R51" s="164">
        <f>IF($A51="","",IFERROR(--ISNUMBER(SEARCH(R$3, XLOOKUP($A51, Metrics!$B$8:$B$57, Metrics!$H$8:$H$57, ""))),0))</f>
        <v/>
      </c>
      <c r="S51" s="164">
        <f>IF($A51="","",IFERROR(--ISNUMBER(SEARCH(S$3, XLOOKUP($A51, Metrics!$B$8:$B$57, Metrics!$H$8:$H$57, ""))),0))</f>
        <v/>
      </c>
      <c r="T51" s="164">
        <f>IF($A51="","",IFERROR(--ISNUMBER(SEARCH(T$3, XLOOKUP($A51, Metrics!$B$8:$B$57, Metrics!$H$8:$H$57, ""))),0))</f>
        <v/>
      </c>
      <c r="U51" s="164">
        <f>IF($A51="","",IFERROR(--ISNUMBER(SEARCH(U$3, XLOOKUP($A51, Metrics!$B$8:$B$57, Metrics!$H$8:$H$57, ""))),0))</f>
        <v/>
      </c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>
        <f>IFERROR(INDEX(Metrics!$AA$8#,ROW()-3),"")</f>
        <v/>
      </c>
      <c r="B52" s="164">
        <f>IF($A52="","",IFERROR(--ISNUMBER(SEARCH(B$3, XLOOKUP($A52, Metrics!$B$8:$B$57, Metrics!$H$8:$H$57, ""))),0))</f>
        <v/>
      </c>
      <c r="C52" s="164">
        <f>IF($A52="","",IFERROR(--ISNUMBER(SEARCH(C$3, XLOOKUP($A52, Metrics!$B$8:$B$57, Metrics!$H$8:$H$57, ""))),0))</f>
        <v/>
      </c>
      <c r="D52" s="164">
        <f>IF($A52="","",IFERROR(--ISNUMBER(SEARCH(D$3, XLOOKUP($A52, Metrics!$B$8:$B$57, Metrics!$H$8:$H$57, ""))),0))</f>
        <v/>
      </c>
      <c r="E52" s="164">
        <f>IF($A52="","",IFERROR(--ISNUMBER(SEARCH(E$3, XLOOKUP($A52, Metrics!$B$8:$B$57, Metrics!$H$8:$H$57, ""))),0))</f>
        <v/>
      </c>
      <c r="F52" s="164">
        <f>IF($A52="","",IFERROR(--ISNUMBER(SEARCH(F$3, XLOOKUP($A52, Metrics!$B$8:$B$57, Metrics!$H$8:$H$57, ""))),0))</f>
        <v/>
      </c>
      <c r="G52" s="164">
        <f>IF($A52="","",IFERROR(--ISNUMBER(SEARCH(G$3, XLOOKUP($A52, Metrics!$B$8:$B$57, Metrics!$H$8:$H$57, ""))),0))</f>
        <v/>
      </c>
      <c r="H52" s="164">
        <f>IF($A52="","",IFERROR(--ISNUMBER(SEARCH(H$3, XLOOKUP($A52, Metrics!$B$8:$B$57, Metrics!$H$8:$H$57, ""))),0))</f>
        <v/>
      </c>
      <c r="I52" s="164">
        <f>IF($A52="","",IFERROR(--ISNUMBER(SEARCH(I$3, XLOOKUP($A52, Metrics!$B$8:$B$57, Metrics!$H$8:$H$57, ""))),0))</f>
        <v/>
      </c>
      <c r="J52" s="164">
        <f>IF($A52="","",IFERROR(--ISNUMBER(SEARCH(J$3, XLOOKUP($A52, Metrics!$B$8:$B$57, Metrics!$H$8:$H$57, ""))),0))</f>
        <v/>
      </c>
      <c r="K52" s="164">
        <f>IF($A52="","",IFERROR(--ISNUMBER(SEARCH(K$3, XLOOKUP($A52, Metrics!$B$8:$B$57, Metrics!$H$8:$H$57, ""))),0))</f>
        <v/>
      </c>
      <c r="L52" s="164">
        <f>IF($A52="","",IFERROR(--ISNUMBER(SEARCH(L$3, XLOOKUP($A52, Metrics!$B$8:$B$57, Metrics!$H$8:$H$57, ""))),0))</f>
        <v/>
      </c>
      <c r="M52" s="164">
        <f>IF($A52="","",IFERROR(--ISNUMBER(SEARCH(M$3, XLOOKUP($A52, Metrics!$B$8:$B$57, Metrics!$H$8:$H$57, ""))),0))</f>
        <v/>
      </c>
      <c r="N52" s="164">
        <f>IF($A52="","",IFERROR(--ISNUMBER(SEARCH(N$3, XLOOKUP($A52, Metrics!$B$8:$B$57, Metrics!$H$8:$H$57, ""))),0))</f>
        <v/>
      </c>
      <c r="O52" s="164">
        <f>IF($A52="","",IFERROR(--ISNUMBER(SEARCH(O$3, XLOOKUP($A52, Metrics!$B$8:$B$57, Metrics!$H$8:$H$57, ""))),0))</f>
        <v/>
      </c>
      <c r="P52" s="164">
        <f>IF($A52="","",IFERROR(--ISNUMBER(SEARCH(P$3, XLOOKUP($A52, Metrics!$B$8:$B$57, Metrics!$H$8:$H$57, ""))),0))</f>
        <v/>
      </c>
      <c r="Q52" s="164">
        <f>IF($A52="","",IFERROR(--ISNUMBER(SEARCH(Q$3, XLOOKUP($A52, Metrics!$B$8:$B$57, Metrics!$H$8:$H$57, ""))),0))</f>
        <v/>
      </c>
      <c r="R52" s="164">
        <f>IF($A52="","",IFERROR(--ISNUMBER(SEARCH(R$3, XLOOKUP($A52, Metrics!$B$8:$B$57, Metrics!$H$8:$H$57, ""))),0))</f>
        <v/>
      </c>
      <c r="S52" s="164">
        <f>IF($A52="","",IFERROR(--ISNUMBER(SEARCH(S$3, XLOOKUP($A52, Metrics!$B$8:$B$57, Metrics!$H$8:$H$57, ""))),0))</f>
        <v/>
      </c>
      <c r="T52" s="164">
        <f>IF($A52="","",IFERROR(--ISNUMBER(SEARCH(T$3, XLOOKUP($A52, Metrics!$B$8:$B$57, Metrics!$H$8:$H$57, ""))),0))</f>
        <v/>
      </c>
      <c r="U52" s="164">
        <f>IF($A52="","",IFERROR(--ISNUMBER(SEARCH(U$3, XLOOKUP($A52, Metrics!$B$8:$B$57, Metrics!$H$8:$H$57, ""))),0))</f>
        <v/>
      </c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>
        <f>IFERROR(INDEX(Metrics!$AA$8#,ROW()-3),"")</f>
        <v/>
      </c>
      <c r="B53" s="164">
        <f>IF($A53="","",IFERROR(--ISNUMBER(SEARCH(B$3, XLOOKUP($A53, Metrics!$B$8:$B$57, Metrics!$H$8:$H$57, ""))),0))</f>
        <v/>
      </c>
      <c r="C53" s="164">
        <f>IF($A53="","",IFERROR(--ISNUMBER(SEARCH(C$3, XLOOKUP($A53, Metrics!$B$8:$B$57, Metrics!$H$8:$H$57, ""))),0))</f>
        <v/>
      </c>
      <c r="D53" s="164">
        <f>IF($A53="","",IFERROR(--ISNUMBER(SEARCH(D$3, XLOOKUP($A53, Metrics!$B$8:$B$57, Metrics!$H$8:$H$57, ""))),0))</f>
        <v/>
      </c>
      <c r="E53" s="164">
        <f>IF($A53="","",IFERROR(--ISNUMBER(SEARCH(E$3, XLOOKUP($A53, Metrics!$B$8:$B$57, Metrics!$H$8:$H$57, ""))),0))</f>
        <v/>
      </c>
      <c r="F53" s="164">
        <f>IF($A53="","",IFERROR(--ISNUMBER(SEARCH(F$3, XLOOKUP($A53, Metrics!$B$8:$B$57, Metrics!$H$8:$H$57, ""))),0))</f>
        <v/>
      </c>
      <c r="G53" s="164">
        <f>IF($A53="","",IFERROR(--ISNUMBER(SEARCH(G$3, XLOOKUP($A53, Metrics!$B$8:$B$57, Metrics!$H$8:$H$57, ""))),0))</f>
        <v/>
      </c>
      <c r="H53" s="164">
        <f>IF($A53="","",IFERROR(--ISNUMBER(SEARCH(H$3, XLOOKUP($A53, Metrics!$B$8:$B$57, Metrics!$H$8:$H$57, ""))),0))</f>
        <v/>
      </c>
      <c r="I53" s="164">
        <f>IF($A53="","",IFERROR(--ISNUMBER(SEARCH(I$3, XLOOKUP($A53, Metrics!$B$8:$B$57, Metrics!$H$8:$H$57, ""))),0))</f>
        <v/>
      </c>
      <c r="J53" s="164">
        <f>IF($A53="","",IFERROR(--ISNUMBER(SEARCH(J$3, XLOOKUP($A53, Metrics!$B$8:$B$57, Metrics!$H$8:$H$57, ""))),0))</f>
        <v/>
      </c>
      <c r="K53" s="164">
        <f>IF($A53="","",IFERROR(--ISNUMBER(SEARCH(K$3, XLOOKUP($A53, Metrics!$B$8:$B$57, Metrics!$H$8:$H$57, ""))),0))</f>
        <v/>
      </c>
      <c r="L53" s="164">
        <f>IF($A53="","",IFERROR(--ISNUMBER(SEARCH(L$3, XLOOKUP($A53, Metrics!$B$8:$B$57, Metrics!$H$8:$H$57, ""))),0))</f>
        <v/>
      </c>
      <c r="M53" s="164">
        <f>IF($A53="","",IFERROR(--ISNUMBER(SEARCH(M$3, XLOOKUP($A53, Metrics!$B$8:$B$57, Metrics!$H$8:$H$57, ""))),0))</f>
        <v/>
      </c>
      <c r="N53" s="164">
        <f>IF($A53="","",IFERROR(--ISNUMBER(SEARCH(N$3, XLOOKUP($A53, Metrics!$B$8:$B$57, Metrics!$H$8:$H$57, ""))),0))</f>
        <v/>
      </c>
      <c r="O53" s="164">
        <f>IF($A53="","",IFERROR(--ISNUMBER(SEARCH(O$3, XLOOKUP($A53, Metrics!$B$8:$B$57, Metrics!$H$8:$H$57, ""))),0))</f>
        <v/>
      </c>
      <c r="P53" s="164">
        <f>IF($A53="","",IFERROR(--ISNUMBER(SEARCH(P$3, XLOOKUP($A53, Metrics!$B$8:$B$57, Metrics!$H$8:$H$57, ""))),0))</f>
        <v/>
      </c>
      <c r="Q53" s="164">
        <f>IF($A53="","",IFERROR(--ISNUMBER(SEARCH(Q$3, XLOOKUP($A53, Metrics!$B$8:$B$57, Metrics!$H$8:$H$57, ""))),0))</f>
        <v/>
      </c>
      <c r="R53" s="164">
        <f>IF($A53="","",IFERROR(--ISNUMBER(SEARCH(R$3, XLOOKUP($A53, Metrics!$B$8:$B$57, Metrics!$H$8:$H$57, ""))),0))</f>
        <v/>
      </c>
      <c r="S53" s="164">
        <f>IF($A53="","",IFERROR(--ISNUMBER(SEARCH(S$3, XLOOKUP($A53, Metrics!$B$8:$B$57, Metrics!$H$8:$H$57, ""))),0))</f>
        <v/>
      </c>
      <c r="T53" s="164">
        <f>IF($A53="","",IFERROR(--ISNUMBER(SEARCH(T$3, XLOOKUP($A53, Metrics!$B$8:$B$57, Metrics!$H$8:$H$57, ""))),0))</f>
        <v/>
      </c>
      <c r="U53" s="164">
        <f>IF($A53="","",IFERROR(--ISNUMBER(SEARCH(U$3, XLOOKUP($A53, Metrics!$B$8:$B$57, Metrics!$H$8:$H$57, ""))),0))</f>
        <v/>
      </c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>
        <f>IFERROR(INDEX(Metrics!$AA$8#,ROW()-3),"")</f>
        <v/>
      </c>
      <c r="B54" s="164">
        <f>IF($A54="","",IFERROR(--ISNUMBER(SEARCH(B$3, XLOOKUP($A54, Metrics!$B$8:$B$57, Metrics!$H$8:$H$57, ""))),0))</f>
        <v/>
      </c>
      <c r="C54" s="164">
        <f>IF($A54="","",IFERROR(--ISNUMBER(SEARCH(C$3, XLOOKUP($A54, Metrics!$B$8:$B$57, Metrics!$H$8:$H$57, ""))),0))</f>
        <v/>
      </c>
      <c r="D54" s="164">
        <f>IF($A54="","",IFERROR(--ISNUMBER(SEARCH(D$3, XLOOKUP($A54, Metrics!$B$8:$B$57, Metrics!$H$8:$H$57, ""))),0))</f>
        <v/>
      </c>
      <c r="E54" s="164">
        <f>IF($A54="","",IFERROR(--ISNUMBER(SEARCH(E$3, XLOOKUP($A54, Metrics!$B$8:$B$57, Metrics!$H$8:$H$57, ""))),0))</f>
        <v/>
      </c>
      <c r="F54" s="164">
        <f>IF($A54="","",IFERROR(--ISNUMBER(SEARCH(F$3, XLOOKUP($A54, Metrics!$B$8:$B$57, Metrics!$H$8:$H$57, ""))),0))</f>
        <v/>
      </c>
      <c r="G54" s="164">
        <f>IF($A54="","",IFERROR(--ISNUMBER(SEARCH(G$3, XLOOKUP($A54, Metrics!$B$8:$B$57, Metrics!$H$8:$H$57, ""))),0))</f>
        <v/>
      </c>
      <c r="H54" s="164">
        <f>IF($A54="","",IFERROR(--ISNUMBER(SEARCH(H$3, XLOOKUP($A54, Metrics!$B$8:$B$57, Metrics!$H$8:$H$57, ""))),0))</f>
        <v/>
      </c>
      <c r="I54" s="164">
        <f>IF($A54="","",IFERROR(--ISNUMBER(SEARCH(I$3, XLOOKUP($A54, Metrics!$B$8:$B$57, Metrics!$H$8:$H$57, ""))),0))</f>
        <v/>
      </c>
      <c r="J54" s="164">
        <f>IF($A54="","",IFERROR(--ISNUMBER(SEARCH(J$3, XLOOKUP($A54, Metrics!$B$8:$B$57, Metrics!$H$8:$H$57, ""))),0))</f>
        <v/>
      </c>
      <c r="K54" s="164">
        <f>IF($A54="","",IFERROR(--ISNUMBER(SEARCH(K$3, XLOOKUP($A54, Metrics!$B$8:$B$57, Metrics!$H$8:$H$57, ""))),0))</f>
        <v/>
      </c>
      <c r="L54" s="164">
        <f>IF($A54="","",IFERROR(--ISNUMBER(SEARCH(L$3, XLOOKUP($A54, Metrics!$B$8:$B$57, Metrics!$H$8:$H$57, ""))),0))</f>
        <v/>
      </c>
      <c r="M54" s="164">
        <f>IF($A54="","",IFERROR(--ISNUMBER(SEARCH(M$3, XLOOKUP($A54, Metrics!$B$8:$B$57, Metrics!$H$8:$H$57, ""))),0))</f>
        <v/>
      </c>
      <c r="N54" s="164">
        <f>IF($A54="","",IFERROR(--ISNUMBER(SEARCH(N$3, XLOOKUP($A54, Metrics!$B$8:$B$57, Metrics!$H$8:$H$57, ""))),0))</f>
        <v/>
      </c>
      <c r="O54" s="164">
        <f>IF($A54="","",IFERROR(--ISNUMBER(SEARCH(O$3, XLOOKUP($A54, Metrics!$B$8:$B$57, Metrics!$H$8:$H$57, ""))),0))</f>
        <v/>
      </c>
      <c r="P54" s="164">
        <f>IF($A54="","",IFERROR(--ISNUMBER(SEARCH(P$3, XLOOKUP($A54, Metrics!$B$8:$B$57, Metrics!$H$8:$H$57, ""))),0))</f>
        <v/>
      </c>
      <c r="Q54" s="164">
        <f>IF($A54="","",IFERROR(--ISNUMBER(SEARCH(Q$3, XLOOKUP($A54, Metrics!$B$8:$B$57, Metrics!$H$8:$H$57, ""))),0))</f>
        <v/>
      </c>
      <c r="R54" s="164">
        <f>IF($A54="","",IFERROR(--ISNUMBER(SEARCH(R$3, XLOOKUP($A54, Metrics!$B$8:$B$57, Metrics!$H$8:$H$57, ""))),0))</f>
        <v/>
      </c>
      <c r="S54" s="164">
        <f>IF($A54="","",IFERROR(--ISNUMBER(SEARCH(S$3, XLOOKUP($A54, Metrics!$B$8:$B$57, Metrics!$H$8:$H$57, ""))),0))</f>
        <v/>
      </c>
      <c r="T54" s="164">
        <f>IF($A54="","",IFERROR(--ISNUMBER(SEARCH(T$3, XLOOKUP($A54, Metrics!$B$8:$B$57, Metrics!$H$8:$H$57, ""))),0))</f>
        <v/>
      </c>
      <c r="U54" s="164">
        <f>IF($A54="","",IFERROR(--ISNUMBER(SEARCH(U$3, XLOOKUP($A54, Metrics!$B$8:$B$57, Metrics!$H$8:$H$57, ""))),0))</f>
        <v/>
      </c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>
        <f>IFERROR(INDEX(Metrics!$AA$8#,ROW()-3),"")</f>
        <v/>
      </c>
      <c r="B55" s="164">
        <f>IF($A55="","",IFERROR(--ISNUMBER(SEARCH(B$3, XLOOKUP($A55, Metrics!$B$8:$B$57, Metrics!$H$8:$H$57, ""))),0))</f>
        <v/>
      </c>
      <c r="C55" s="164">
        <f>IF($A55="","",IFERROR(--ISNUMBER(SEARCH(C$3, XLOOKUP($A55, Metrics!$B$8:$B$57, Metrics!$H$8:$H$57, ""))),0))</f>
        <v/>
      </c>
      <c r="D55" s="164">
        <f>IF($A55="","",IFERROR(--ISNUMBER(SEARCH(D$3, XLOOKUP($A55, Metrics!$B$8:$B$57, Metrics!$H$8:$H$57, ""))),0))</f>
        <v/>
      </c>
      <c r="E55" s="164">
        <f>IF($A55="","",IFERROR(--ISNUMBER(SEARCH(E$3, XLOOKUP($A55, Metrics!$B$8:$B$57, Metrics!$H$8:$H$57, ""))),0))</f>
        <v/>
      </c>
      <c r="F55" s="164">
        <f>IF($A55="","",IFERROR(--ISNUMBER(SEARCH(F$3, XLOOKUP($A55, Metrics!$B$8:$B$57, Metrics!$H$8:$H$57, ""))),0))</f>
        <v/>
      </c>
      <c r="G55" s="164">
        <f>IF($A55="","",IFERROR(--ISNUMBER(SEARCH(G$3, XLOOKUP($A55, Metrics!$B$8:$B$57, Metrics!$H$8:$H$57, ""))),0))</f>
        <v/>
      </c>
      <c r="H55" s="164">
        <f>IF($A55="","",IFERROR(--ISNUMBER(SEARCH(H$3, XLOOKUP($A55, Metrics!$B$8:$B$57, Metrics!$H$8:$H$57, ""))),0))</f>
        <v/>
      </c>
      <c r="I55" s="164">
        <f>IF($A55="","",IFERROR(--ISNUMBER(SEARCH(I$3, XLOOKUP($A55, Metrics!$B$8:$B$57, Metrics!$H$8:$H$57, ""))),0))</f>
        <v/>
      </c>
      <c r="J55" s="164">
        <f>IF($A55="","",IFERROR(--ISNUMBER(SEARCH(J$3, XLOOKUP($A55, Metrics!$B$8:$B$57, Metrics!$H$8:$H$57, ""))),0))</f>
        <v/>
      </c>
      <c r="K55" s="164">
        <f>IF($A55="","",IFERROR(--ISNUMBER(SEARCH(K$3, XLOOKUP($A55, Metrics!$B$8:$B$57, Metrics!$H$8:$H$57, ""))),0))</f>
        <v/>
      </c>
      <c r="L55" s="164">
        <f>IF($A55="","",IFERROR(--ISNUMBER(SEARCH(L$3, XLOOKUP($A55, Metrics!$B$8:$B$57, Metrics!$H$8:$H$57, ""))),0))</f>
        <v/>
      </c>
      <c r="M55" s="164">
        <f>IF($A55="","",IFERROR(--ISNUMBER(SEARCH(M$3, XLOOKUP($A55, Metrics!$B$8:$B$57, Metrics!$H$8:$H$57, ""))),0))</f>
        <v/>
      </c>
      <c r="N55" s="164">
        <f>IF($A55="","",IFERROR(--ISNUMBER(SEARCH(N$3, XLOOKUP($A55, Metrics!$B$8:$B$57, Metrics!$H$8:$H$57, ""))),0))</f>
        <v/>
      </c>
      <c r="O55" s="164">
        <f>IF($A55="","",IFERROR(--ISNUMBER(SEARCH(O$3, XLOOKUP($A55, Metrics!$B$8:$B$57, Metrics!$H$8:$H$57, ""))),0))</f>
        <v/>
      </c>
      <c r="P55" s="164">
        <f>IF($A55="","",IFERROR(--ISNUMBER(SEARCH(P$3, XLOOKUP($A55, Metrics!$B$8:$B$57, Metrics!$H$8:$H$57, ""))),0))</f>
        <v/>
      </c>
      <c r="Q55" s="164">
        <f>IF($A55="","",IFERROR(--ISNUMBER(SEARCH(Q$3, XLOOKUP($A55, Metrics!$B$8:$B$57, Metrics!$H$8:$H$57, ""))),0))</f>
        <v/>
      </c>
      <c r="R55" s="164">
        <f>IF($A55="","",IFERROR(--ISNUMBER(SEARCH(R$3, XLOOKUP($A55, Metrics!$B$8:$B$57, Metrics!$H$8:$H$57, ""))),0))</f>
        <v/>
      </c>
      <c r="S55" s="164">
        <f>IF($A55="","",IFERROR(--ISNUMBER(SEARCH(S$3, XLOOKUP($A55, Metrics!$B$8:$B$57, Metrics!$H$8:$H$57, ""))),0))</f>
        <v/>
      </c>
      <c r="T55" s="164">
        <f>IF($A55="","",IFERROR(--ISNUMBER(SEARCH(T$3, XLOOKUP($A55, Metrics!$B$8:$B$57, Metrics!$H$8:$H$57, ""))),0))</f>
        <v/>
      </c>
      <c r="U55" s="164">
        <f>IF($A55="","",IFERROR(--ISNUMBER(SEARCH(U$3, XLOOKUP($A55, Metrics!$B$8:$B$57, Metrics!$H$8:$H$57, ""))),0))</f>
        <v/>
      </c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>
        <f>IFERROR(INDEX(Metrics!$AA$8#,ROW()-3),"")</f>
        <v/>
      </c>
      <c r="B56" s="164">
        <f>IF($A56="","",IFERROR(--ISNUMBER(SEARCH(B$3, XLOOKUP($A56, Metrics!$B$8:$B$57, Metrics!$H$8:$H$57, ""))),0))</f>
        <v/>
      </c>
      <c r="C56" s="164">
        <f>IF($A56="","",IFERROR(--ISNUMBER(SEARCH(C$3, XLOOKUP($A56, Metrics!$B$8:$B$57, Metrics!$H$8:$H$57, ""))),0))</f>
        <v/>
      </c>
      <c r="D56" s="164">
        <f>IF($A56="","",IFERROR(--ISNUMBER(SEARCH(D$3, XLOOKUP($A56, Metrics!$B$8:$B$57, Metrics!$H$8:$H$57, ""))),0))</f>
        <v/>
      </c>
      <c r="E56" s="164">
        <f>IF($A56="","",IFERROR(--ISNUMBER(SEARCH(E$3, XLOOKUP($A56, Metrics!$B$8:$B$57, Metrics!$H$8:$H$57, ""))),0))</f>
        <v/>
      </c>
      <c r="F56" s="164">
        <f>IF($A56="","",IFERROR(--ISNUMBER(SEARCH(F$3, XLOOKUP($A56, Metrics!$B$8:$B$57, Metrics!$H$8:$H$57, ""))),0))</f>
        <v/>
      </c>
      <c r="G56" s="164">
        <f>IF($A56="","",IFERROR(--ISNUMBER(SEARCH(G$3, XLOOKUP($A56, Metrics!$B$8:$B$57, Metrics!$H$8:$H$57, ""))),0))</f>
        <v/>
      </c>
      <c r="H56" s="164">
        <f>IF($A56="","",IFERROR(--ISNUMBER(SEARCH(H$3, XLOOKUP($A56, Metrics!$B$8:$B$57, Metrics!$H$8:$H$57, ""))),0))</f>
        <v/>
      </c>
      <c r="I56" s="164">
        <f>IF($A56="","",IFERROR(--ISNUMBER(SEARCH(I$3, XLOOKUP($A56, Metrics!$B$8:$B$57, Metrics!$H$8:$H$57, ""))),0))</f>
        <v/>
      </c>
      <c r="J56" s="164">
        <f>IF($A56="","",IFERROR(--ISNUMBER(SEARCH(J$3, XLOOKUP($A56, Metrics!$B$8:$B$57, Metrics!$H$8:$H$57, ""))),0))</f>
        <v/>
      </c>
      <c r="K56" s="164">
        <f>IF($A56="","",IFERROR(--ISNUMBER(SEARCH(K$3, XLOOKUP($A56, Metrics!$B$8:$B$57, Metrics!$H$8:$H$57, ""))),0))</f>
        <v/>
      </c>
      <c r="L56" s="164">
        <f>IF($A56="","",IFERROR(--ISNUMBER(SEARCH(L$3, XLOOKUP($A56, Metrics!$B$8:$B$57, Metrics!$H$8:$H$57, ""))),0))</f>
        <v/>
      </c>
      <c r="M56" s="164">
        <f>IF($A56="","",IFERROR(--ISNUMBER(SEARCH(M$3, XLOOKUP($A56, Metrics!$B$8:$B$57, Metrics!$H$8:$H$57, ""))),0))</f>
        <v/>
      </c>
      <c r="N56" s="164">
        <f>IF($A56="","",IFERROR(--ISNUMBER(SEARCH(N$3, XLOOKUP($A56, Metrics!$B$8:$B$57, Metrics!$H$8:$H$57, ""))),0))</f>
        <v/>
      </c>
      <c r="O56" s="164">
        <f>IF($A56="","",IFERROR(--ISNUMBER(SEARCH(O$3, XLOOKUP($A56, Metrics!$B$8:$B$57, Metrics!$H$8:$H$57, ""))),0))</f>
        <v/>
      </c>
      <c r="P56" s="164">
        <f>IF($A56="","",IFERROR(--ISNUMBER(SEARCH(P$3, XLOOKUP($A56, Metrics!$B$8:$B$57, Metrics!$H$8:$H$57, ""))),0))</f>
        <v/>
      </c>
      <c r="Q56" s="164">
        <f>IF($A56="","",IFERROR(--ISNUMBER(SEARCH(Q$3, XLOOKUP($A56, Metrics!$B$8:$B$57, Metrics!$H$8:$H$57, ""))),0))</f>
        <v/>
      </c>
      <c r="R56" s="164">
        <f>IF($A56="","",IFERROR(--ISNUMBER(SEARCH(R$3, XLOOKUP($A56, Metrics!$B$8:$B$57, Metrics!$H$8:$H$57, ""))),0))</f>
        <v/>
      </c>
      <c r="S56" s="164">
        <f>IF($A56="","",IFERROR(--ISNUMBER(SEARCH(S$3, XLOOKUP($A56, Metrics!$B$8:$B$57, Metrics!$H$8:$H$57, ""))),0))</f>
        <v/>
      </c>
      <c r="T56" s="164">
        <f>IF($A56="","",IFERROR(--ISNUMBER(SEARCH(T$3, XLOOKUP($A56, Metrics!$B$8:$B$57, Metrics!$H$8:$H$57, ""))),0))</f>
        <v/>
      </c>
      <c r="U56" s="164">
        <f>IF($A56="","",IFERROR(--ISNUMBER(SEARCH(U$3, XLOOKUP($A56, Metrics!$B$8:$B$57, Metrics!$H$8:$H$57, ""))),0))</f>
        <v/>
      </c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>
        <f>IFERROR(INDEX(Metrics!$AA$8#,ROW()-3),"")</f>
        <v/>
      </c>
      <c r="B57" s="164">
        <f>IF($A57="","",IFERROR(--ISNUMBER(SEARCH(B$3, XLOOKUP($A57, Metrics!$B$8:$B$57, Metrics!$H$8:$H$57, ""))),0))</f>
        <v/>
      </c>
      <c r="C57" s="164">
        <f>IF($A57="","",IFERROR(--ISNUMBER(SEARCH(C$3, XLOOKUP($A57, Metrics!$B$8:$B$57, Metrics!$H$8:$H$57, ""))),0))</f>
        <v/>
      </c>
      <c r="D57" s="164">
        <f>IF($A57="","",IFERROR(--ISNUMBER(SEARCH(D$3, XLOOKUP($A57, Metrics!$B$8:$B$57, Metrics!$H$8:$H$57, ""))),0))</f>
        <v/>
      </c>
      <c r="E57" s="164">
        <f>IF($A57="","",IFERROR(--ISNUMBER(SEARCH(E$3, XLOOKUP($A57, Metrics!$B$8:$B$57, Metrics!$H$8:$H$57, ""))),0))</f>
        <v/>
      </c>
      <c r="F57" s="164">
        <f>IF($A57="","",IFERROR(--ISNUMBER(SEARCH(F$3, XLOOKUP($A57, Metrics!$B$8:$B$57, Metrics!$H$8:$H$57, ""))),0))</f>
        <v/>
      </c>
      <c r="G57" s="164">
        <f>IF($A57="","",IFERROR(--ISNUMBER(SEARCH(G$3, XLOOKUP($A57, Metrics!$B$8:$B$57, Metrics!$H$8:$H$57, ""))),0))</f>
        <v/>
      </c>
      <c r="H57" s="164">
        <f>IF($A57="","",IFERROR(--ISNUMBER(SEARCH(H$3, XLOOKUP($A57, Metrics!$B$8:$B$57, Metrics!$H$8:$H$57, ""))),0))</f>
        <v/>
      </c>
      <c r="I57" s="164">
        <f>IF($A57="","",IFERROR(--ISNUMBER(SEARCH(I$3, XLOOKUP($A57, Metrics!$B$8:$B$57, Metrics!$H$8:$H$57, ""))),0))</f>
        <v/>
      </c>
      <c r="J57" s="164">
        <f>IF($A57="","",IFERROR(--ISNUMBER(SEARCH(J$3, XLOOKUP($A57, Metrics!$B$8:$B$57, Metrics!$H$8:$H$57, ""))),0))</f>
        <v/>
      </c>
      <c r="K57" s="164">
        <f>IF($A57="","",IFERROR(--ISNUMBER(SEARCH(K$3, XLOOKUP($A57, Metrics!$B$8:$B$57, Metrics!$H$8:$H$57, ""))),0))</f>
        <v/>
      </c>
      <c r="L57" s="164">
        <f>IF($A57="","",IFERROR(--ISNUMBER(SEARCH(L$3, XLOOKUP($A57, Metrics!$B$8:$B$57, Metrics!$H$8:$H$57, ""))),0))</f>
        <v/>
      </c>
      <c r="M57" s="164">
        <f>IF($A57="","",IFERROR(--ISNUMBER(SEARCH(M$3, XLOOKUP($A57, Metrics!$B$8:$B$57, Metrics!$H$8:$H$57, ""))),0))</f>
        <v/>
      </c>
      <c r="N57" s="164">
        <f>IF($A57="","",IFERROR(--ISNUMBER(SEARCH(N$3, XLOOKUP($A57, Metrics!$B$8:$B$57, Metrics!$H$8:$H$57, ""))),0))</f>
        <v/>
      </c>
      <c r="O57" s="164">
        <f>IF($A57="","",IFERROR(--ISNUMBER(SEARCH(O$3, XLOOKUP($A57, Metrics!$B$8:$B$57, Metrics!$H$8:$H$57, ""))),0))</f>
        <v/>
      </c>
      <c r="P57" s="164">
        <f>IF($A57="","",IFERROR(--ISNUMBER(SEARCH(P$3, XLOOKUP($A57, Metrics!$B$8:$B$57, Metrics!$H$8:$H$57, ""))),0))</f>
        <v/>
      </c>
      <c r="Q57" s="164">
        <f>IF($A57="","",IFERROR(--ISNUMBER(SEARCH(Q$3, XLOOKUP($A57, Metrics!$B$8:$B$57, Metrics!$H$8:$H$57, ""))),0))</f>
        <v/>
      </c>
      <c r="R57" s="164">
        <f>IF($A57="","",IFERROR(--ISNUMBER(SEARCH(R$3, XLOOKUP($A57, Metrics!$B$8:$B$57, Metrics!$H$8:$H$57, ""))),0))</f>
        <v/>
      </c>
      <c r="S57" s="164">
        <f>IF($A57="","",IFERROR(--ISNUMBER(SEARCH(S$3, XLOOKUP($A57, Metrics!$B$8:$B$57, Metrics!$H$8:$H$57, ""))),0))</f>
        <v/>
      </c>
      <c r="T57" s="164">
        <f>IF($A57="","",IFERROR(--ISNUMBER(SEARCH(T$3, XLOOKUP($A57, Metrics!$B$8:$B$57, Metrics!$H$8:$H$57, ""))),0))</f>
        <v/>
      </c>
      <c r="U57" s="164">
        <f>IF($A57="","",IFERROR(--ISNUMBER(SEARCH(U$3, XLOOKUP($A57, Metrics!$B$8:$B$57, Metrics!$H$8:$H$57, ""))),0))</f>
        <v/>
      </c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>
        <f>IFERROR(INDEX(Metrics!$AA$8#,ROW()-3),"")</f>
        <v/>
      </c>
      <c r="B58" s="164">
        <f>IF($A58="","",IFERROR(--ISNUMBER(SEARCH(B$3, XLOOKUP($A58, Metrics!$B$8:$B$57, Metrics!$H$8:$H$57, ""))),0))</f>
        <v/>
      </c>
      <c r="C58" s="164">
        <f>IF($A58="","",IFERROR(--ISNUMBER(SEARCH(C$3, XLOOKUP($A58, Metrics!$B$8:$B$57, Metrics!$H$8:$H$57, ""))),0))</f>
        <v/>
      </c>
      <c r="D58" s="164">
        <f>IF($A58="","",IFERROR(--ISNUMBER(SEARCH(D$3, XLOOKUP($A58, Metrics!$B$8:$B$57, Metrics!$H$8:$H$57, ""))),0))</f>
        <v/>
      </c>
      <c r="E58" s="164">
        <f>IF($A58="","",IFERROR(--ISNUMBER(SEARCH(E$3, XLOOKUP($A58, Metrics!$B$8:$B$57, Metrics!$H$8:$H$57, ""))),0))</f>
        <v/>
      </c>
      <c r="F58" s="164">
        <f>IF($A58="","",IFERROR(--ISNUMBER(SEARCH(F$3, XLOOKUP($A58, Metrics!$B$8:$B$57, Metrics!$H$8:$H$57, ""))),0))</f>
        <v/>
      </c>
      <c r="G58" s="164">
        <f>IF($A58="","",IFERROR(--ISNUMBER(SEARCH(G$3, XLOOKUP($A58, Metrics!$B$8:$B$57, Metrics!$H$8:$H$57, ""))),0))</f>
        <v/>
      </c>
      <c r="H58" s="164">
        <f>IF($A58="","",IFERROR(--ISNUMBER(SEARCH(H$3, XLOOKUP($A58, Metrics!$B$8:$B$57, Metrics!$H$8:$H$57, ""))),0))</f>
        <v/>
      </c>
      <c r="I58" s="164">
        <f>IF($A58="","",IFERROR(--ISNUMBER(SEARCH(I$3, XLOOKUP($A58, Metrics!$B$8:$B$57, Metrics!$H$8:$H$57, ""))),0))</f>
        <v/>
      </c>
      <c r="J58" s="164">
        <f>IF($A58="","",IFERROR(--ISNUMBER(SEARCH(J$3, XLOOKUP($A58, Metrics!$B$8:$B$57, Metrics!$H$8:$H$57, ""))),0))</f>
        <v/>
      </c>
      <c r="K58" s="164">
        <f>IF($A58="","",IFERROR(--ISNUMBER(SEARCH(K$3, XLOOKUP($A58, Metrics!$B$8:$B$57, Metrics!$H$8:$H$57, ""))),0))</f>
        <v/>
      </c>
      <c r="L58" s="164">
        <f>IF($A58="","",IFERROR(--ISNUMBER(SEARCH(L$3, XLOOKUP($A58, Metrics!$B$8:$B$57, Metrics!$H$8:$H$57, ""))),0))</f>
        <v/>
      </c>
      <c r="M58" s="164">
        <f>IF($A58="","",IFERROR(--ISNUMBER(SEARCH(M$3, XLOOKUP($A58, Metrics!$B$8:$B$57, Metrics!$H$8:$H$57, ""))),0))</f>
        <v/>
      </c>
      <c r="N58" s="164">
        <f>IF($A58="","",IFERROR(--ISNUMBER(SEARCH(N$3, XLOOKUP($A58, Metrics!$B$8:$B$57, Metrics!$H$8:$H$57, ""))),0))</f>
        <v/>
      </c>
      <c r="O58" s="164">
        <f>IF($A58="","",IFERROR(--ISNUMBER(SEARCH(O$3, XLOOKUP($A58, Metrics!$B$8:$B$57, Metrics!$H$8:$H$57, ""))),0))</f>
        <v/>
      </c>
      <c r="P58" s="164">
        <f>IF($A58="","",IFERROR(--ISNUMBER(SEARCH(P$3, XLOOKUP($A58, Metrics!$B$8:$B$57, Metrics!$H$8:$H$57, ""))),0))</f>
        <v/>
      </c>
      <c r="Q58" s="164">
        <f>IF($A58="","",IFERROR(--ISNUMBER(SEARCH(Q$3, XLOOKUP($A58, Metrics!$B$8:$B$57, Metrics!$H$8:$H$57, ""))),0))</f>
        <v/>
      </c>
      <c r="R58" s="164">
        <f>IF($A58="","",IFERROR(--ISNUMBER(SEARCH(R$3, XLOOKUP($A58, Metrics!$B$8:$B$57, Metrics!$H$8:$H$57, ""))),0))</f>
        <v/>
      </c>
      <c r="S58" s="164">
        <f>IF($A58="","",IFERROR(--ISNUMBER(SEARCH(S$3, XLOOKUP($A58, Metrics!$B$8:$B$57, Metrics!$H$8:$H$57, ""))),0))</f>
        <v/>
      </c>
      <c r="T58" s="164">
        <f>IF($A58="","",IFERROR(--ISNUMBER(SEARCH(T$3, XLOOKUP($A58, Metrics!$B$8:$B$57, Metrics!$H$8:$H$57, ""))),0))</f>
        <v/>
      </c>
      <c r="U58" s="164">
        <f>IF($A58="","",IFERROR(--ISNUMBER(SEARCH(U$3, XLOOKUP($A58, Metrics!$B$8:$B$57, Metrics!$H$8:$H$57, ""))),0))</f>
        <v/>
      </c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>
        <f>IFERROR(INDEX(Metrics!$AA$8#,ROW()-3),"")</f>
        <v/>
      </c>
      <c r="B59" s="164">
        <f>IF($A59="","",IFERROR(--ISNUMBER(SEARCH(B$3, XLOOKUP($A59, Metrics!$B$8:$B$57, Metrics!$H$8:$H$57, ""))),0))</f>
        <v/>
      </c>
      <c r="C59" s="164">
        <f>IF($A59="","",IFERROR(--ISNUMBER(SEARCH(C$3, XLOOKUP($A59, Metrics!$B$8:$B$57, Metrics!$H$8:$H$57, ""))),0))</f>
        <v/>
      </c>
      <c r="D59" s="164">
        <f>IF($A59="","",IFERROR(--ISNUMBER(SEARCH(D$3, XLOOKUP($A59, Metrics!$B$8:$B$57, Metrics!$H$8:$H$57, ""))),0))</f>
        <v/>
      </c>
      <c r="E59" s="164">
        <f>IF($A59="","",IFERROR(--ISNUMBER(SEARCH(E$3, XLOOKUP($A59, Metrics!$B$8:$B$57, Metrics!$H$8:$H$57, ""))),0))</f>
        <v/>
      </c>
      <c r="F59" s="164">
        <f>IF($A59="","",IFERROR(--ISNUMBER(SEARCH(F$3, XLOOKUP($A59, Metrics!$B$8:$B$57, Metrics!$H$8:$H$57, ""))),0))</f>
        <v/>
      </c>
      <c r="G59" s="164">
        <f>IF($A59="","",IFERROR(--ISNUMBER(SEARCH(G$3, XLOOKUP($A59, Metrics!$B$8:$B$57, Metrics!$H$8:$H$57, ""))),0))</f>
        <v/>
      </c>
      <c r="H59" s="164">
        <f>IF($A59="","",IFERROR(--ISNUMBER(SEARCH(H$3, XLOOKUP($A59, Metrics!$B$8:$B$57, Metrics!$H$8:$H$57, ""))),0))</f>
        <v/>
      </c>
      <c r="I59" s="164">
        <f>IF($A59="","",IFERROR(--ISNUMBER(SEARCH(I$3, XLOOKUP($A59, Metrics!$B$8:$B$57, Metrics!$H$8:$H$57, ""))),0))</f>
        <v/>
      </c>
      <c r="J59" s="164">
        <f>IF($A59="","",IFERROR(--ISNUMBER(SEARCH(J$3, XLOOKUP($A59, Metrics!$B$8:$B$57, Metrics!$H$8:$H$57, ""))),0))</f>
        <v/>
      </c>
      <c r="K59" s="164">
        <f>IF($A59="","",IFERROR(--ISNUMBER(SEARCH(K$3, XLOOKUP($A59, Metrics!$B$8:$B$57, Metrics!$H$8:$H$57, ""))),0))</f>
        <v/>
      </c>
      <c r="L59" s="164">
        <f>IF($A59="","",IFERROR(--ISNUMBER(SEARCH(L$3, XLOOKUP($A59, Metrics!$B$8:$B$57, Metrics!$H$8:$H$57, ""))),0))</f>
        <v/>
      </c>
      <c r="M59" s="164">
        <f>IF($A59="","",IFERROR(--ISNUMBER(SEARCH(M$3, XLOOKUP($A59, Metrics!$B$8:$B$57, Metrics!$H$8:$H$57, ""))),0))</f>
        <v/>
      </c>
      <c r="N59" s="164">
        <f>IF($A59="","",IFERROR(--ISNUMBER(SEARCH(N$3, XLOOKUP($A59, Metrics!$B$8:$B$57, Metrics!$H$8:$H$57, ""))),0))</f>
        <v/>
      </c>
      <c r="O59" s="164">
        <f>IF($A59="","",IFERROR(--ISNUMBER(SEARCH(O$3, XLOOKUP($A59, Metrics!$B$8:$B$57, Metrics!$H$8:$H$57, ""))),0))</f>
        <v/>
      </c>
      <c r="P59" s="164">
        <f>IF($A59="","",IFERROR(--ISNUMBER(SEARCH(P$3, XLOOKUP($A59, Metrics!$B$8:$B$57, Metrics!$H$8:$H$57, ""))),0))</f>
        <v/>
      </c>
      <c r="Q59" s="164">
        <f>IF($A59="","",IFERROR(--ISNUMBER(SEARCH(Q$3, XLOOKUP($A59, Metrics!$B$8:$B$57, Metrics!$H$8:$H$57, ""))),0))</f>
        <v/>
      </c>
      <c r="R59" s="164">
        <f>IF($A59="","",IFERROR(--ISNUMBER(SEARCH(R$3, XLOOKUP($A59, Metrics!$B$8:$B$57, Metrics!$H$8:$H$57, ""))),0))</f>
        <v/>
      </c>
      <c r="S59" s="164">
        <f>IF($A59="","",IFERROR(--ISNUMBER(SEARCH(S$3, XLOOKUP($A59, Metrics!$B$8:$B$57, Metrics!$H$8:$H$57, ""))),0))</f>
        <v/>
      </c>
      <c r="T59" s="164">
        <f>IF($A59="","",IFERROR(--ISNUMBER(SEARCH(T$3, XLOOKUP($A59, Metrics!$B$8:$B$57, Metrics!$H$8:$H$57, ""))),0))</f>
        <v/>
      </c>
      <c r="U59" s="164">
        <f>IF($A59="","",IFERROR(--ISNUMBER(SEARCH(U$3, XLOOKUP($A59, Metrics!$B$8:$B$57, Metrics!$H$8:$H$57, ""))),0))</f>
        <v/>
      </c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>
        <f>IFERROR(INDEX(Metrics!$AA$8#,ROW()-3),"")</f>
        <v/>
      </c>
      <c r="B60" s="164">
        <f>IF($A60="","",IFERROR(--ISNUMBER(SEARCH(B$3, XLOOKUP($A60, Metrics!$B$8:$B$57, Metrics!$H$8:$H$57, ""))),0))</f>
        <v/>
      </c>
      <c r="C60" s="164">
        <f>IF($A60="","",IFERROR(--ISNUMBER(SEARCH(C$3, XLOOKUP($A60, Metrics!$B$8:$B$57, Metrics!$H$8:$H$57, ""))),0))</f>
        <v/>
      </c>
      <c r="D60" s="164">
        <f>IF($A60="","",IFERROR(--ISNUMBER(SEARCH(D$3, XLOOKUP($A60, Metrics!$B$8:$B$57, Metrics!$H$8:$H$57, ""))),0))</f>
        <v/>
      </c>
      <c r="E60" s="164">
        <f>IF($A60="","",IFERROR(--ISNUMBER(SEARCH(E$3, XLOOKUP($A60, Metrics!$B$8:$B$57, Metrics!$H$8:$H$57, ""))),0))</f>
        <v/>
      </c>
      <c r="F60" s="164">
        <f>IF($A60="","",IFERROR(--ISNUMBER(SEARCH(F$3, XLOOKUP($A60, Metrics!$B$8:$B$57, Metrics!$H$8:$H$57, ""))),0))</f>
        <v/>
      </c>
      <c r="G60" s="164">
        <f>IF($A60="","",IFERROR(--ISNUMBER(SEARCH(G$3, XLOOKUP($A60, Metrics!$B$8:$B$57, Metrics!$H$8:$H$57, ""))),0))</f>
        <v/>
      </c>
      <c r="H60" s="164">
        <f>IF($A60="","",IFERROR(--ISNUMBER(SEARCH(H$3, XLOOKUP($A60, Metrics!$B$8:$B$57, Metrics!$H$8:$H$57, ""))),0))</f>
        <v/>
      </c>
      <c r="I60" s="164">
        <f>IF($A60="","",IFERROR(--ISNUMBER(SEARCH(I$3, XLOOKUP($A60, Metrics!$B$8:$B$57, Metrics!$H$8:$H$57, ""))),0))</f>
        <v/>
      </c>
      <c r="J60" s="164">
        <f>IF($A60="","",IFERROR(--ISNUMBER(SEARCH(J$3, XLOOKUP($A60, Metrics!$B$8:$B$57, Metrics!$H$8:$H$57, ""))),0))</f>
        <v/>
      </c>
      <c r="K60" s="164">
        <f>IF($A60="","",IFERROR(--ISNUMBER(SEARCH(K$3, XLOOKUP($A60, Metrics!$B$8:$B$57, Metrics!$H$8:$H$57, ""))),0))</f>
        <v/>
      </c>
      <c r="L60" s="164">
        <f>IF($A60="","",IFERROR(--ISNUMBER(SEARCH(L$3, XLOOKUP($A60, Metrics!$B$8:$B$57, Metrics!$H$8:$H$57, ""))),0))</f>
        <v/>
      </c>
      <c r="M60" s="164">
        <f>IF($A60="","",IFERROR(--ISNUMBER(SEARCH(M$3, XLOOKUP($A60, Metrics!$B$8:$B$57, Metrics!$H$8:$H$57, ""))),0))</f>
        <v/>
      </c>
      <c r="N60" s="164">
        <f>IF($A60="","",IFERROR(--ISNUMBER(SEARCH(N$3, XLOOKUP($A60, Metrics!$B$8:$B$57, Metrics!$H$8:$H$57, ""))),0))</f>
        <v/>
      </c>
      <c r="O60" s="164">
        <f>IF($A60="","",IFERROR(--ISNUMBER(SEARCH(O$3, XLOOKUP($A60, Metrics!$B$8:$B$57, Metrics!$H$8:$H$57, ""))),0))</f>
        <v/>
      </c>
      <c r="P60" s="164">
        <f>IF($A60="","",IFERROR(--ISNUMBER(SEARCH(P$3, XLOOKUP($A60, Metrics!$B$8:$B$57, Metrics!$H$8:$H$57, ""))),0))</f>
        <v/>
      </c>
      <c r="Q60" s="164">
        <f>IF($A60="","",IFERROR(--ISNUMBER(SEARCH(Q$3, XLOOKUP($A60, Metrics!$B$8:$B$57, Metrics!$H$8:$H$57, ""))),0))</f>
        <v/>
      </c>
      <c r="R60" s="164">
        <f>IF($A60="","",IFERROR(--ISNUMBER(SEARCH(R$3, XLOOKUP($A60, Metrics!$B$8:$B$57, Metrics!$H$8:$H$57, ""))),0))</f>
        <v/>
      </c>
      <c r="S60" s="164">
        <f>IF($A60="","",IFERROR(--ISNUMBER(SEARCH(S$3, XLOOKUP($A60, Metrics!$B$8:$B$57, Metrics!$H$8:$H$57, ""))),0))</f>
        <v/>
      </c>
      <c r="T60" s="164">
        <f>IF($A60="","",IFERROR(--ISNUMBER(SEARCH(T$3, XLOOKUP($A60, Metrics!$B$8:$B$57, Metrics!$H$8:$H$57, ""))),0))</f>
        <v/>
      </c>
      <c r="U60" s="164">
        <f>IF($A60="","",IFERROR(--ISNUMBER(SEARCH(U$3, XLOOKUP($A60, Metrics!$B$8:$B$57, Metrics!$H$8:$H$57, ""))),0))</f>
        <v/>
      </c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>
        <f>IFERROR(INDEX(Metrics!$AA$8#,ROW()-3),"")</f>
        <v/>
      </c>
      <c r="B61" s="164">
        <f>IF($A61="","",IFERROR(--ISNUMBER(SEARCH(B$3, XLOOKUP($A61, Metrics!$B$8:$B$57, Metrics!$H$8:$H$57, ""))),0))</f>
        <v/>
      </c>
      <c r="C61" s="164">
        <f>IF($A61="","",IFERROR(--ISNUMBER(SEARCH(C$3, XLOOKUP($A61, Metrics!$B$8:$B$57, Metrics!$H$8:$H$57, ""))),0))</f>
        <v/>
      </c>
      <c r="D61" s="164">
        <f>IF($A61="","",IFERROR(--ISNUMBER(SEARCH(D$3, XLOOKUP($A61, Metrics!$B$8:$B$57, Metrics!$H$8:$H$57, ""))),0))</f>
        <v/>
      </c>
      <c r="E61" s="164">
        <f>IF($A61="","",IFERROR(--ISNUMBER(SEARCH(E$3, XLOOKUP($A61, Metrics!$B$8:$B$57, Metrics!$H$8:$H$57, ""))),0))</f>
        <v/>
      </c>
      <c r="F61" s="164">
        <f>IF($A61="","",IFERROR(--ISNUMBER(SEARCH(F$3, XLOOKUP($A61, Metrics!$B$8:$B$57, Metrics!$H$8:$H$57, ""))),0))</f>
        <v/>
      </c>
      <c r="G61" s="164">
        <f>IF($A61="","",IFERROR(--ISNUMBER(SEARCH(G$3, XLOOKUP($A61, Metrics!$B$8:$B$57, Metrics!$H$8:$H$57, ""))),0))</f>
        <v/>
      </c>
      <c r="H61" s="164">
        <f>IF($A61="","",IFERROR(--ISNUMBER(SEARCH(H$3, XLOOKUP($A61, Metrics!$B$8:$B$57, Metrics!$H$8:$H$57, ""))),0))</f>
        <v/>
      </c>
      <c r="I61" s="164">
        <f>IF($A61="","",IFERROR(--ISNUMBER(SEARCH(I$3, XLOOKUP($A61, Metrics!$B$8:$B$57, Metrics!$H$8:$H$57, ""))),0))</f>
        <v/>
      </c>
      <c r="J61" s="164">
        <f>IF($A61="","",IFERROR(--ISNUMBER(SEARCH(J$3, XLOOKUP($A61, Metrics!$B$8:$B$57, Metrics!$H$8:$H$57, ""))),0))</f>
        <v/>
      </c>
      <c r="K61" s="164">
        <f>IF($A61="","",IFERROR(--ISNUMBER(SEARCH(K$3, XLOOKUP($A61, Metrics!$B$8:$B$57, Metrics!$H$8:$H$57, ""))),0))</f>
        <v/>
      </c>
      <c r="L61" s="164">
        <f>IF($A61="","",IFERROR(--ISNUMBER(SEARCH(L$3, XLOOKUP($A61, Metrics!$B$8:$B$57, Metrics!$H$8:$H$57, ""))),0))</f>
        <v/>
      </c>
      <c r="M61" s="164">
        <f>IF($A61="","",IFERROR(--ISNUMBER(SEARCH(M$3, XLOOKUP($A61, Metrics!$B$8:$B$57, Metrics!$H$8:$H$57, ""))),0))</f>
        <v/>
      </c>
      <c r="N61" s="164">
        <f>IF($A61="","",IFERROR(--ISNUMBER(SEARCH(N$3, XLOOKUP($A61, Metrics!$B$8:$B$57, Metrics!$H$8:$H$57, ""))),0))</f>
        <v/>
      </c>
      <c r="O61" s="164">
        <f>IF($A61="","",IFERROR(--ISNUMBER(SEARCH(O$3, XLOOKUP($A61, Metrics!$B$8:$B$57, Metrics!$H$8:$H$57, ""))),0))</f>
        <v/>
      </c>
      <c r="P61" s="164">
        <f>IF($A61="","",IFERROR(--ISNUMBER(SEARCH(P$3, XLOOKUP($A61, Metrics!$B$8:$B$57, Metrics!$H$8:$H$57, ""))),0))</f>
        <v/>
      </c>
      <c r="Q61" s="164">
        <f>IF($A61="","",IFERROR(--ISNUMBER(SEARCH(Q$3, XLOOKUP($A61, Metrics!$B$8:$B$57, Metrics!$H$8:$H$57, ""))),0))</f>
        <v/>
      </c>
      <c r="R61" s="164">
        <f>IF($A61="","",IFERROR(--ISNUMBER(SEARCH(R$3, XLOOKUP($A61, Metrics!$B$8:$B$57, Metrics!$H$8:$H$57, ""))),0))</f>
        <v/>
      </c>
      <c r="S61" s="164">
        <f>IF($A61="","",IFERROR(--ISNUMBER(SEARCH(S$3, XLOOKUP($A61, Metrics!$B$8:$B$57, Metrics!$H$8:$H$57, ""))),0))</f>
        <v/>
      </c>
      <c r="T61" s="164">
        <f>IF($A61="","",IFERROR(--ISNUMBER(SEARCH(T$3, XLOOKUP($A61, Metrics!$B$8:$B$57, Metrics!$H$8:$H$57, ""))),0))</f>
        <v/>
      </c>
      <c r="U61" s="164">
        <f>IF($A61="","",IFERROR(--ISNUMBER(SEARCH(U$3, XLOOKUP($A61, Metrics!$B$8:$B$57, Metrics!$H$8:$H$57, ""))),0))</f>
        <v/>
      </c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>
        <f>IFERROR(INDEX(Metrics!$AA$8#,ROW()-3),"")</f>
        <v/>
      </c>
      <c r="B62" s="164">
        <f>IF($A62="","",IFERROR(--ISNUMBER(SEARCH(B$3, XLOOKUP($A62, Metrics!$B$8:$B$57, Metrics!$H$8:$H$57, ""))),0))</f>
        <v/>
      </c>
      <c r="C62" s="164">
        <f>IF($A62="","",IFERROR(--ISNUMBER(SEARCH(C$3, XLOOKUP($A62, Metrics!$B$8:$B$57, Metrics!$H$8:$H$57, ""))),0))</f>
        <v/>
      </c>
      <c r="D62" s="164">
        <f>IF($A62="","",IFERROR(--ISNUMBER(SEARCH(D$3, XLOOKUP($A62, Metrics!$B$8:$B$57, Metrics!$H$8:$H$57, ""))),0))</f>
        <v/>
      </c>
      <c r="E62" s="164">
        <f>IF($A62="","",IFERROR(--ISNUMBER(SEARCH(E$3, XLOOKUP($A62, Metrics!$B$8:$B$57, Metrics!$H$8:$H$57, ""))),0))</f>
        <v/>
      </c>
      <c r="F62" s="164">
        <f>IF($A62="","",IFERROR(--ISNUMBER(SEARCH(F$3, XLOOKUP($A62, Metrics!$B$8:$B$57, Metrics!$H$8:$H$57, ""))),0))</f>
        <v/>
      </c>
      <c r="G62" s="164">
        <f>IF($A62="","",IFERROR(--ISNUMBER(SEARCH(G$3, XLOOKUP($A62, Metrics!$B$8:$B$57, Metrics!$H$8:$H$57, ""))),0))</f>
        <v/>
      </c>
      <c r="H62" s="164">
        <f>IF($A62="","",IFERROR(--ISNUMBER(SEARCH(H$3, XLOOKUP($A62, Metrics!$B$8:$B$57, Metrics!$H$8:$H$57, ""))),0))</f>
        <v/>
      </c>
      <c r="I62" s="164">
        <f>IF($A62="","",IFERROR(--ISNUMBER(SEARCH(I$3, XLOOKUP($A62, Metrics!$B$8:$B$57, Metrics!$H$8:$H$57, ""))),0))</f>
        <v/>
      </c>
      <c r="J62" s="164">
        <f>IF($A62="","",IFERROR(--ISNUMBER(SEARCH(J$3, XLOOKUP($A62, Metrics!$B$8:$B$57, Metrics!$H$8:$H$57, ""))),0))</f>
        <v/>
      </c>
      <c r="K62" s="164">
        <f>IF($A62="","",IFERROR(--ISNUMBER(SEARCH(K$3, XLOOKUP($A62, Metrics!$B$8:$B$57, Metrics!$H$8:$H$57, ""))),0))</f>
        <v/>
      </c>
      <c r="L62" s="164">
        <f>IF($A62="","",IFERROR(--ISNUMBER(SEARCH(L$3, XLOOKUP($A62, Metrics!$B$8:$B$57, Metrics!$H$8:$H$57, ""))),0))</f>
        <v/>
      </c>
      <c r="M62" s="164">
        <f>IF($A62="","",IFERROR(--ISNUMBER(SEARCH(M$3, XLOOKUP($A62, Metrics!$B$8:$B$57, Metrics!$H$8:$H$57, ""))),0))</f>
        <v/>
      </c>
      <c r="N62" s="164">
        <f>IF($A62="","",IFERROR(--ISNUMBER(SEARCH(N$3, XLOOKUP($A62, Metrics!$B$8:$B$57, Metrics!$H$8:$H$57, ""))),0))</f>
        <v/>
      </c>
      <c r="O62" s="164">
        <f>IF($A62="","",IFERROR(--ISNUMBER(SEARCH(O$3, XLOOKUP($A62, Metrics!$B$8:$B$57, Metrics!$H$8:$H$57, ""))),0))</f>
        <v/>
      </c>
      <c r="P62" s="164">
        <f>IF($A62="","",IFERROR(--ISNUMBER(SEARCH(P$3, XLOOKUP($A62, Metrics!$B$8:$B$57, Metrics!$H$8:$H$57, ""))),0))</f>
        <v/>
      </c>
      <c r="Q62" s="164">
        <f>IF($A62="","",IFERROR(--ISNUMBER(SEARCH(Q$3, XLOOKUP($A62, Metrics!$B$8:$B$57, Metrics!$H$8:$H$57, ""))),0))</f>
        <v/>
      </c>
      <c r="R62" s="164">
        <f>IF($A62="","",IFERROR(--ISNUMBER(SEARCH(R$3, XLOOKUP($A62, Metrics!$B$8:$B$57, Metrics!$H$8:$H$57, ""))),0))</f>
        <v/>
      </c>
      <c r="S62" s="164">
        <f>IF($A62="","",IFERROR(--ISNUMBER(SEARCH(S$3, XLOOKUP($A62, Metrics!$B$8:$B$57, Metrics!$H$8:$H$57, ""))),0))</f>
        <v/>
      </c>
      <c r="T62" s="164">
        <f>IF($A62="","",IFERROR(--ISNUMBER(SEARCH(T$3, XLOOKUP($A62, Metrics!$B$8:$B$57, Metrics!$H$8:$H$57, ""))),0))</f>
        <v/>
      </c>
      <c r="U62" s="164">
        <f>IF($A62="","",IFERROR(--ISNUMBER(SEARCH(U$3, XLOOKUP($A62, Metrics!$B$8:$B$57, Metrics!$H$8:$H$57, ""))),0))</f>
        <v/>
      </c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>
        <f>IFERROR(INDEX(Metrics!$AA$8#,ROW()-3),"")</f>
        <v/>
      </c>
      <c r="B63" s="164">
        <f>IF($A63="","",IFERROR(--ISNUMBER(SEARCH(B$3, XLOOKUP($A63, Metrics!$B$8:$B$57, Metrics!$H$8:$H$57, ""))),0))</f>
        <v/>
      </c>
      <c r="C63" s="164">
        <f>IF($A63="","",IFERROR(--ISNUMBER(SEARCH(C$3, XLOOKUP($A63, Metrics!$B$8:$B$57, Metrics!$H$8:$H$57, ""))),0))</f>
        <v/>
      </c>
      <c r="D63" s="164">
        <f>IF($A63="","",IFERROR(--ISNUMBER(SEARCH(D$3, XLOOKUP($A63, Metrics!$B$8:$B$57, Metrics!$H$8:$H$57, ""))),0))</f>
        <v/>
      </c>
      <c r="E63" s="164">
        <f>IF($A63="","",IFERROR(--ISNUMBER(SEARCH(E$3, XLOOKUP($A63, Metrics!$B$8:$B$57, Metrics!$H$8:$H$57, ""))),0))</f>
        <v/>
      </c>
      <c r="F63" s="164">
        <f>IF($A63="","",IFERROR(--ISNUMBER(SEARCH(F$3, XLOOKUP($A63, Metrics!$B$8:$B$57, Metrics!$H$8:$H$57, ""))),0))</f>
        <v/>
      </c>
      <c r="G63" s="164">
        <f>IF($A63="","",IFERROR(--ISNUMBER(SEARCH(G$3, XLOOKUP($A63, Metrics!$B$8:$B$57, Metrics!$H$8:$H$57, ""))),0))</f>
        <v/>
      </c>
      <c r="H63" s="164">
        <f>IF($A63="","",IFERROR(--ISNUMBER(SEARCH(H$3, XLOOKUP($A63, Metrics!$B$8:$B$57, Metrics!$H$8:$H$57, ""))),0))</f>
        <v/>
      </c>
      <c r="I63" s="164">
        <f>IF($A63="","",IFERROR(--ISNUMBER(SEARCH(I$3, XLOOKUP($A63, Metrics!$B$8:$B$57, Metrics!$H$8:$H$57, ""))),0))</f>
        <v/>
      </c>
      <c r="J63" s="164">
        <f>IF($A63="","",IFERROR(--ISNUMBER(SEARCH(J$3, XLOOKUP($A63, Metrics!$B$8:$B$57, Metrics!$H$8:$H$57, ""))),0))</f>
        <v/>
      </c>
      <c r="K63" s="164">
        <f>IF($A63="","",IFERROR(--ISNUMBER(SEARCH(K$3, XLOOKUP($A63, Metrics!$B$8:$B$57, Metrics!$H$8:$H$57, ""))),0))</f>
        <v/>
      </c>
      <c r="L63" s="164">
        <f>IF($A63="","",IFERROR(--ISNUMBER(SEARCH(L$3, XLOOKUP($A63, Metrics!$B$8:$B$57, Metrics!$H$8:$H$57, ""))),0))</f>
        <v/>
      </c>
      <c r="M63" s="164">
        <f>IF($A63="","",IFERROR(--ISNUMBER(SEARCH(M$3, XLOOKUP($A63, Metrics!$B$8:$B$57, Metrics!$H$8:$H$57, ""))),0))</f>
        <v/>
      </c>
      <c r="N63" s="164">
        <f>IF($A63="","",IFERROR(--ISNUMBER(SEARCH(N$3, XLOOKUP($A63, Metrics!$B$8:$B$57, Metrics!$H$8:$H$57, ""))),0))</f>
        <v/>
      </c>
      <c r="O63" s="164">
        <f>IF($A63="","",IFERROR(--ISNUMBER(SEARCH(O$3, XLOOKUP($A63, Metrics!$B$8:$B$57, Metrics!$H$8:$H$57, ""))),0))</f>
        <v/>
      </c>
      <c r="P63" s="164">
        <f>IF($A63="","",IFERROR(--ISNUMBER(SEARCH(P$3, XLOOKUP($A63, Metrics!$B$8:$B$57, Metrics!$H$8:$H$57, ""))),0))</f>
        <v/>
      </c>
      <c r="Q63" s="164">
        <f>IF($A63="","",IFERROR(--ISNUMBER(SEARCH(Q$3, XLOOKUP($A63, Metrics!$B$8:$B$57, Metrics!$H$8:$H$57, ""))),0))</f>
        <v/>
      </c>
      <c r="R63" s="164">
        <f>IF($A63="","",IFERROR(--ISNUMBER(SEARCH(R$3, XLOOKUP($A63, Metrics!$B$8:$B$57, Metrics!$H$8:$H$57, ""))),0))</f>
        <v/>
      </c>
      <c r="S63" s="164">
        <f>IF($A63="","",IFERROR(--ISNUMBER(SEARCH(S$3, XLOOKUP($A63, Metrics!$B$8:$B$57, Metrics!$H$8:$H$57, ""))),0))</f>
        <v/>
      </c>
      <c r="T63" s="164">
        <f>IF($A63="","",IFERROR(--ISNUMBER(SEARCH(T$3, XLOOKUP($A63, Metrics!$B$8:$B$57, Metrics!$H$8:$H$57, ""))),0))</f>
        <v/>
      </c>
      <c r="U63" s="164">
        <f>IF($A63="","",IFERROR(--ISNUMBER(SEARCH(U$3, XLOOKUP($A63, Metrics!$B$8:$B$57, Metrics!$H$8:$H$57, ""))),0))</f>
        <v/>
      </c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>
        <f>IFERROR(INDEX(Metrics!$AA$8#,ROW()-3),"")</f>
        <v/>
      </c>
      <c r="B64" s="164">
        <f>IF($A64="","",IFERROR(--ISNUMBER(SEARCH(B$3, XLOOKUP($A64, Metrics!$B$8:$B$57, Metrics!$H$8:$H$57, ""))),0))</f>
        <v/>
      </c>
      <c r="C64" s="164">
        <f>IF($A64="","",IFERROR(--ISNUMBER(SEARCH(C$3, XLOOKUP($A64, Metrics!$B$8:$B$57, Metrics!$H$8:$H$57, ""))),0))</f>
        <v/>
      </c>
      <c r="D64" s="164">
        <f>IF($A64="","",IFERROR(--ISNUMBER(SEARCH(D$3, XLOOKUP($A64, Metrics!$B$8:$B$57, Metrics!$H$8:$H$57, ""))),0))</f>
        <v/>
      </c>
      <c r="E64" s="164">
        <f>IF($A64="","",IFERROR(--ISNUMBER(SEARCH(E$3, XLOOKUP($A64, Metrics!$B$8:$B$57, Metrics!$H$8:$H$57, ""))),0))</f>
        <v/>
      </c>
      <c r="F64" s="164">
        <f>IF($A64="","",IFERROR(--ISNUMBER(SEARCH(F$3, XLOOKUP($A64, Metrics!$B$8:$B$57, Metrics!$H$8:$H$57, ""))),0))</f>
        <v/>
      </c>
      <c r="G64" s="164">
        <f>IF($A64="","",IFERROR(--ISNUMBER(SEARCH(G$3, XLOOKUP($A64, Metrics!$B$8:$B$57, Metrics!$H$8:$H$57, ""))),0))</f>
        <v/>
      </c>
      <c r="H64" s="164">
        <f>IF($A64="","",IFERROR(--ISNUMBER(SEARCH(H$3, XLOOKUP($A64, Metrics!$B$8:$B$57, Metrics!$H$8:$H$57, ""))),0))</f>
        <v/>
      </c>
      <c r="I64" s="164">
        <f>IF($A64="","",IFERROR(--ISNUMBER(SEARCH(I$3, XLOOKUP($A64, Metrics!$B$8:$B$57, Metrics!$H$8:$H$57, ""))),0))</f>
        <v/>
      </c>
      <c r="J64" s="164">
        <f>IF($A64="","",IFERROR(--ISNUMBER(SEARCH(J$3, XLOOKUP($A64, Metrics!$B$8:$B$57, Metrics!$H$8:$H$57, ""))),0))</f>
        <v/>
      </c>
      <c r="K64" s="164">
        <f>IF($A64="","",IFERROR(--ISNUMBER(SEARCH(K$3, XLOOKUP($A64, Metrics!$B$8:$B$57, Metrics!$H$8:$H$57, ""))),0))</f>
        <v/>
      </c>
      <c r="L64" s="164">
        <f>IF($A64="","",IFERROR(--ISNUMBER(SEARCH(L$3, XLOOKUP($A64, Metrics!$B$8:$B$57, Metrics!$H$8:$H$57, ""))),0))</f>
        <v/>
      </c>
      <c r="M64" s="164">
        <f>IF($A64="","",IFERROR(--ISNUMBER(SEARCH(M$3, XLOOKUP($A64, Metrics!$B$8:$B$57, Metrics!$H$8:$H$57, ""))),0))</f>
        <v/>
      </c>
      <c r="N64" s="164">
        <f>IF($A64="","",IFERROR(--ISNUMBER(SEARCH(N$3, XLOOKUP($A64, Metrics!$B$8:$B$57, Metrics!$H$8:$H$57, ""))),0))</f>
        <v/>
      </c>
      <c r="O64" s="164">
        <f>IF($A64="","",IFERROR(--ISNUMBER(SEARCH(O$3, XLOOKUP($A64, Metrics!$B$8:$B$57, Metrics!$H$8:$H$57, ""))),0))</f>
        <v/>
      </c>
      <c r="P64" s="164">
        <f>IF($A64="","",IFERROR(--ISNUMBER(SEARCH(P$3, XLOOKUP($A64, Metrics!$B$8:$B$57, Metrics!$H$8:$H$57, ""))),0))</f>
        <v/>
      </c>
      <c r="Q64" s="164">
        <f>IF($A64="","",IFERROR(--ISNUMBER(SEARCH(Q$3, XLOOKUP($A64, Metrics!$B$8:$B$57, Metrics!$H$8:$H$57, ""))),0))</f>
        <v/>
      </c>
      <c r="R64" s="164">
        <f>IF($A64="","",IFERROR(--ISNUMBER(SEARCH(R$3, XLOOKUP($A64, Metrics!$B$8:$B$57, Metrics!$H$8:$H$57, ""))),0))</f>
        <v/>
      </c>
      <c r="S64" s="164">
        <f>IF($A64="","",IFERROR(--ISNUMBER(SEARCH(S$3, XLOOKUP($A64, Metrics!$B$8:$B$57, Metrics!$H$8:$H$57, ""))),0))</f>
        <v/>
      </c>
      <c r="T64" s="164">
        <f>IF($A64="","",IFERROR(--ISNUMBER(SEARCH(T$3, XLOOKUP($A64, Metrics!$B$8:$B$57, Metrics!$H$8:$H$57, ""))),0))</f>
        <v/>
      </c>
      <c r="U64" s="164">
        <f>IF($A64="","",IFERROR(--ISNUMBER(SEARCH(U$3, XLOOKUP($A64, Metrics!$B$8:$B$57, Metrics!$H$8:$H$57, ""))),0))</f>
        <v/>
      </c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>
        <f>IFERROR(INDEX(Metrics!$AA$8#,ROW()-3),"")</f>
        <v/>
      </c>
      <c r="B65" s="164">
        <f>IF($A65="","",IFERROR(--ISNUMBER(SEARCH(B$3, XLOOKUP($A65, Metrics!$B$8:$B$57, Metrics!$H$8:$H$57, ""))),0))</f>
        <v/>
      </c>
      <c r="C65" s="164">
        <f>IF($A65="","",IFERROR(--ISNUMBER(SEARCH(C$3, XLOOKUP($A65, Metrics!$B$8:$B$57, Metrics!$H$8:$H$57, ""))),0))</f>
        <v/>
      </c>
      <c r="D65" s="164">
        <f>IF($A65="","",IFERROR(--ISNUMBER(SEARCH(D$3, XLOOKUP($A65, Metrics!$B$8:$B$57, Metrics!$H$8:$H$57, ""))),0))</f>
        <v/>
      </c>
      <c r="E65" s="164">
        <f>IF($A65="","",IFERROR(--ISNUMBER(SEARCH(E$3, XLOOKUP($A65, Metrics!$B$8:$B$57, Metrics!$H$8:$H$57, ""))),0))</f>
        <v/>
      </c>
      <c r="F65" s="164">
        <f>IF($A65="","",IFERROR(--ISNUMBER(SEARCH(F$3, XLOOKUP($A65, Metrics!$B$8:$B$57, Metrics!$H$8:$H$57, ""))),0))</f>
        <v/>
      </c>
      <c r="G65" s="164">
        <f>IF($A65="","",IFERROR(--ISNUMBER(SEARCH(G$3, XLOOKUP($A65, Metrics!$B$8:$B$57, Metrics!$H$8:$H$57, ""))),0))</f>
        <v/>
      </c>
      <c r="H65" s="164">
        <f>IF($A65="","",IFERROR(--ISNUMBER(SEARCH(H$3, XLOOKUP($A65, Metrics!$B$8:$B$57, Metrics!$H$8:$H$57, ""))),0))</f>
        <v/>
      </c>
      <c r="I65" s="164">
        <f>IF($A65="","",IFERROR(--ISNUMBER(SEARCH(I$3, XLOOKUP($A65, Metrics!$B$8:$B$57, Metrics!$H$8:$H$57, ""))),0))</f>
        <v/>
      </c>
      <c r="J65" s="164">
        <f>IF($A65="","",IFERROR(--ISNUMBER(SEARCH(J$3, XLOOKUP($A65, Metrics!$B$8:$B$57, Metrics!$H$8:$H$57, ""))),0))</f>
        <v/>
      </c>
      <c r="K65" s="164">
        <f>IF($A65="","",IFERROR(--ISNUMBER(SEARCH(K$3, XLOOKUP($A65, Metrics!$B$8:$B$57, Metrics!$H$8:$H$57, ""))),0))</f>
        <v/>
      </c>
      <c r="L65" s="164">
        <f>IF($A65="","",IFERROR(--ISNUMBER(SEARCH(L$3, XLOOKUP($A65, Metrics!$B$8:$B$57, Metrics!$H$8:$H$57, ""))),0))</f>
        <v/>
      </c>
      <c r="M65" s="164">
        <f>IF($A65="","",IFERROR(--ISNUMBER(SEARCH(M$3, XLOOKUP($A65, Metrics!$B$8:$B$57, Metrics!$H$8:$H$57, ""))),0))</f>
        <v/>
      </c>
      <c r="N65" s="164">
        <f>IF($A65="","",IFERROR(--ISNUMBER(SEARCH(N$3, XLOOKUP($A65, Metrics!$B$8:$B$57, Metrics!$H$8:$H$57, ""))),0))</f>
        <v/>
      </c>
      <c r="O65" s="164">
        <f>IF($A65="","",IFERROR(--ISNUMBER(SEARCH(O$3, XLOOKUP($A65, Metrics!$B$8:$B$57, Metrics!$H$8:$H$57, ""))),0))</f>
        <v/>
      </c>
      <c r="P65" s="164">
        <f>IF($A65="","",IFERROR(--ISNUMBER(SEARCH(P$3, XLOOKUP($A65, Metrics!$B$8:$B$57, Metrics!$H$8:$H$57, ""))),0))</f>
        <v/>
      </c>
      <c r="Q65" s="164">
        <f>IF($A65="","",IFERROR(--ISNUMBER(SEARCH(Q$3, XLOOKUP($A65, Metrics!$B$8:$B$57, Metrics!$H$8:$H$57, ""))),0))</f>
        <v/>
      </c>
      <c r="R65" s="164">
        <f>IF($A65="","",IFERROR(--ISNUMBER(SEARCH(R$3, XLOOKUP($A65, Metrics!$B$8:$B$57, Metrics!$H$8:$H$57, ""))),0))</f>
        <v/>
      </c>
      <c r="S65" s="164">
        <f>IF($A65="","",IFERROR(--ISNUMBER(SEARCH(S$3, XLOOKUP($A65, Metrics!$B$8:$B$57, Metrics!$H$8:$H$57, ""))),0))</f>
        <v/>
      </c>
      <c r="T65" s="164">
        <f>IF($A65="","",IFERROR(--ISNUMBER(SEARCH(T$3, XLOOKUP($A65, Metrics!$B$8:$B$57, Metrics!$H$8:$H$57, ""))),0))</f>
        <v/>
      </c>
      <c r="U65" s="164">
        <f>IF($A65="","",IFERROR(--ISNUMBER(SEARCH(U$3, XLOOKUP($A65, Metrics!$B$8:$B$57, Metrics!$H$8:$H$57, ""))),0))</f>
        <v/>
      </c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>
        <f>IFERROR(INDEX(Metrics!$AA$8#,ROW()-3),"")</f>
        <v/>
      </c>
      <c r="B66" s="164">
        <f>IF($A66="","",IFERROR(--ISNUMBER(SEARCH(B$3, XLOOKUP($A66, Metrics!$B$8:$B$57, Metrics!$H$8:$H$57, ""))),0))</f>
        <v/>
      </c>
      <c r="C66" s="164">
        <f>IF($A66="","",IFERROR(--ISNUMBER(SEARCH(C$3, XLOOKUP($A66, Metrics!$B$8:$B$57, Metrics!$H$8:$H$57, ""))),0))</f>
        <v/>
      </c>
      <c r="D66" s="164">
        <f>IF($A66="","",IFERROR(--ISNUMBER(SEARCH(D$3, XLOOKUP($A66, Metrics!$B$8:$B$57, Metrics!$H$8:$H$57, ""))),0))</f>
        <v/>
      </c>
      <c r="E66" s="164">
        <f>IF($A66="","",IFERROR(--ISNUMBER(SEARCH(E$3, XLOOKUP($A66, Metrics!$B$8:$B$57, Metrics!$H$8:$H$57, ""))),0))</f>
        <v/>
      </c>
      <c r="F66" s="164">
        <f>IF($A66="","",IFERROR(--ISNUMBER(SEARCH(F$3, XLOOKUP($A66, Metrics!$B$8:$B$57, Metrics!$H$8:$H$57, ""))),0))</f>
        <v/>
      </c>
      <c r="G66" s="164">
        <f>IF($A66="","",IFERROR(--ISNUMBER(SEARCH(G$3, XLOOKUP($A66, Metrics!$B$8:$B$57, Metrics!$H$8:$H$57, ""))),0))</f>
        <v/>
      </c>
      <c r="H66" s="164">
        <f>IF($A66="","",IFERROR(--ISNUMBER(SEARCH(H$3, XLOOKUP($A66, Metrics!$B$8:$B$57, Metrics!$H$8:$H$57, ""))),0))</f>
        <v/>
      </c>
      <c r="I66" s="164">
        <f>IF($A66="","",IFERROR(--ISNUMBER(SEARCH(I$3, XLOOKUP($A66, Metrics!$B$8:$B$57, Metrics!$H$8:$H$57, ""))),0))</f>
        <v/>
      </c>
      <c r="J66" s="164">
        <f>IF($A66="","",IFERROR(--ISNUMBER(SEARCH(J$3, XLOOKUP($A66, Metrics!$B$8:$B$57, Metrics!$H$8:$H$57, ""))),0))</f>
        <v/>
      </c>
      <c r="K66" s="164">
        <f>IF($A66="","",IFERROR(--ISNUMBER(SEARCH(K$3, XLOOKUP($A66, Metrics!$B$8:$B$57, Metrics!$H$8:$H$57, ""))),0))</f>
        <v/>
      </c>
      <c r="L66" s="164">
        <f>IF($A66="","",IFERROR(--ISNUMBER(SEARCH(L$3, XLOOKUP($A66, Metrics!$B$8:$B$57, Metrics!$H$8:$H$57, ""))),0))</f>
        <v/>
      </c>
      <c r="M66" s="164">
        <f>IF($A66="","",IFERROR(--ISNUMBER(SEARCH(M$3, XLOOKUP($A66, Metrics!$B$8:$B$57, Metrics!$H$8:$H$57, ""))),0))</f>
        <v/>
      </c>
      <c r="N66" s="164">
        <f>IF($A66="","",IFERROR(--ISNUMBER(SEARCH(N$3, XLOOKUP($A66, Metrics!$B$8:$B$57, Metrics!$H$8:$H$57, ""))),0))</f>
        <v/>
      </c>
      <c r="O66" s="164">
        <f>IF($A66="","",IFERROR(--ISNUMBER(SEARCH(O$3, XLOOKUP($A66, Metrics!$B$8:$B$57, Metrics!$H$8:$H$57, ""))),0))</f>
        <v/>
      </c>
      <c r="P66" s="164">
        <f>IF($A66="","",IFERROR(--ISNUMBER(SEARCH(P$3, XLOOKUP($A66, Metrics!$B$8:$B$57, Metrics!$H$8:$H$57, ""))),0))</f>
        <v/>
      </c>
      <c r="Q66" s="164">
        <f>IF($A66="","",IFERROR(--ISNUMBER(SEARCH(Q$3, XLOOKUP($A66, Metrics!$B$8:$B$57, Metrics!$H$8:$H$57, ""))),0))</f>
        <v/>
      </c>
      <c r="R66" s="164">
        <f>IF($A66="","",IFERROR(--ISNUMBER(SEARCH(R$3, XLOOKUP($A66, Metrics!$B$8:$B$57, Metrics!$H$8:$H$57, ""))),0))</f>
        <v/>
      </c>
      <c r="S66" s="164">
        <f>IF($A66="","",IFERROR(--ISNUMBER(SEARCH(S$3, XLOOKUP($A66, Metrics!$B$8:$B$57, Metrics!$H$8:$H$57, ""))),0))</f>
        <v/>
      </c>
      <c r="T66" s="164">
        <f>IF($A66="","",IFERROR(--ISNUMBER(SEARCH(T$3, XLOOKUP($A66, Metrics!$B$8:$B$57, Metrics!$H$8:$H$57, ""))),0))</f>
        <v/>
      </c>
      <c r="U66" s="164">
        <f>IF($A66="","",IFERROR(--ISNUMBER(SEARCH(U$3, XLOOKUP($A66, Metrics!$B$8:$B$57, Metrics!$H$8:$H$57, ""))),0))</f>
        <v/>
      </c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>
        <f>IFERROR(INDEX(Metrics!$AA$8#,ROW()-3),"")</f>
        <v/>
      </c>
      <c r="B67" s="164">
        <f>IF($A67="","",IFERROR(--ISNUMBER(SEARCH(B$3, XLOOKUP($A67, Metrics!$B$8:$B$57, Metrics!$H$8:$H$57, ""))),0))</f>
        <v/>
      </c>
      <c r="C67" s="164">
        <f>IF($A67="","",IFERROR(--ISNUMBER(SEARCH(C$3, XLOOKUP($A67, Metrics!$B$8:$B$57, Metrics!$H$8:$H$57, ""))),0))</f>
        <v/>
      </c>
      <c r="D67" s="164">
        <f>IF($A67="","",IFERROR(--ISNUMBER(SEARCH(D$3, XLOOKUP($A67, Metrics!$B$8:$B$57, Metrics!$H$8:$H$57, ""))),0))</f>
        <v/>
      </c>
      <c r="E67" s="164">
        <f>IF($A67="","",IFERROR(--ISNUMBER(SEARCH(E$3, XLOOKUP($A67, Metrics!$B$8:$B$57, Metrics!$H$8:$H$57, ""))),0))</f>
        <v/>
      </c>
      <c r="F67" s="164">
        <f>IF($A67="","",IFERROR(--ISNUMBER(SEARCH(F$3, XLOOKUP($A67, Metrics!$B$8:$B$57, Metrics!$H$8:$H$57, ""))),0))</f>
        <v/>
      </c>
      <c r="G67" s="164">
        <f>IF($A67="","",IFERROR(--ISNUMBER(SEARCH(G$3, XLOOKUP($A67, Metrics!$B$8:$B$57, Metrics!$H$8:$H$57, ""))),0))</f>
        <v/>
      </c>
      <c r="H67" s="164">
        <f>IF($A67="","",IFERROR(--ISNUMBER(SEARCH(H$3, XLOOKUP($A67, Metrics!$B$8:$B$57, Metrics!$H$8:$H$57, ""))),0))</f>
        <v/>
      </c>
      <c r="I67" s="164">
        <f>IF($A67="","",IFERROR(--ISNUMBER(SEARCH(I$3, XLOOKUP($A67, Metrics!$B$8:$B$57, Metrics!$H$8:$H$57, ""))),0))</f>
        <v/>
      </c>
      <c r="J67" s="164">
        <f>IF($A67="","",IFERROR(--ISNUMBER(SEARCH(J$3, XLOOKUP($A67, Metrics!$B$8:$B$57, Metrics!$H$8:$H$57, ""))),0))</f>
        <v/>
      </c>
      <c r="K67" s="164">
        <f>IF($A67="","",IFERROR(--ISNUMBER(SEARCH(K$3, XLOOKUP($A67, Metrics!$B$8:$B$57, Metrics!$H$8:$H$57, ""))),0))</f>
        <v/>
      </c>
      <c r="L67" s="164">
        <f>IF($A67="","",IFERROR(--ISNUMBER(SEARCH(L$3, XLOOKUP($A67, Metrics!$B$8:$B$57, Metrics!$H$8:$H$57, ""))),0))</f>
        <v/>
      </c>
      <c r="M67" s="164">
        <f>IF($A67="","",IFERROR(--ISNUMBER(SEARCH(M$3, XLOOKUP($A67, Metrics!$B$8:$B$57, Metrics!$H$8:$H$57, ""))),0))</f>
        <v/>
      </c>
      <c r="N67" s="164">
        <f>IF($A67="","",IFERROR(--ISNUMBER(SEARCH(N$3, XLOOKUP($A67, Metrics!$B$8:$B$57, Metrics!$H$8:$H$57, ""))),0))</f>
        <v/>
      </c>
      <c r="O67" s="164">
        <f>IF($A67="","",IFERROR(--ISNUMBER(SEARCH(O$3, XLOOKUP($A67, Metrics!$B$8:$B$57, Metrics!$H$8:$H$57, ""))),0))</f>
        <v/>
      </c>
      <c r="P67" s="164">
        <f>IF($A67="","",IFERROR(--ISNUMBER(SEARCH(P$3, XLOOKUP($A67, Metrics!$B$8:$B$57, Metrics!$H$8:$H$57, ""))),0))</f>
        <v/>
      </c>
      <c r="Q67" s="164">
        <f>IF($A67="","",IFERROR(--ISNUMBER(SEARCH(Q$3, XLOOKUP($A67, Metrics!$B$8:$B$57, Metrics!$H$8:$H$57, ""))),0))</f>
        <v/>
      </c>
      <c r="R67" s="164">
        <f>IF($A67="","",IFERROR(--ISNUMBER(SEARCH(R$3, XLOOKUP($A67, Metrics!$B$8:$B$57, Metrics!$H$8:$H$57, ""))),0))</f>
        <v/>
      </c>
      <c r="S67" s="164">
        <f>IF($A67="","",IFERROR(--ISNUMBER(SEARCH(S$3, XLOOKUP($A67, Metrics!$B$8:$B$57, Metrics!$H$8:$H$57, ""))),0))</f>
        <v/>
      </c>
      <c r="T67" s="164">
        <f>IF($A67="","",IFERROR(--ISNUMBER(SEARCH(T$3, XLOOKUP($A67, Metrics!$B$8:$B$57, Metrics!$H$8:$H$57, ""))),0))</f>
        <v/>
      </c>
      <c r="U67" s="164">
        <f>IF($A67="","",IFERROR(--ISNUMBER(SEARCH(U$3, XLOOKUP($A67, Metrics!$B$8:$B$57, Metrics!$H$8:$H$57, ""))),0))</f>
        <v/>
      </c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>
        <f>IFERROR(INDEX(Metrics!$AA$8#,ROW()-3),"")</f>
        <v/>
      </c>
      <c r="B68" s="164">
        <f>IF($A68="","",IFERROR(--ISNUMBER(SEARCH(B$3, XLOOKUP($A68, Metrics!$B$8:$B$57, Metrics!$H$8:$H$57, ""))),0))</f>
        <v/>
      </c>
      <c r="C68" s="164">
        <f>IF($A68="","",IFERROR(--ISNUMBER(SEARCH(C$3, XLOOKUP($A68, Metrics!$B$8:$B$57, Metrics!$H$8:$H$57, ""))),0))</f>
        <v/>
      </c>
      <c r="D68" s="164">
        <f>IF($A68="","",IFERROR(--ISNUMBER(SEARCH(D$3, XLOOKUP($A68, Metrics!$B$8:$B$57, Metrics!$H$8:$H$57, ""))),0))</f>
        <v/>
      </c>
      <c r="E68" s="164">
        <f>IF($A68="","",IFERROR(--ISNUMBER(SEARCH(E$3, XLOOKUP($A68, Metrics!$B$8:$B$57, Metrics!$H$8:$H$57, ""))),0))</f>
        <v/>
      </c>
      <c r="F68" s="164">
        <f>IF($A68="","",IFERROR(--ISNUMBER(SEARCH(F$3, XLOOKUP($A68, Metrics!$B$8:$B$57, Metrics!$H$8:$H$57, ""))),0))</f>
        <v/>
      </c>
      <c r="G68" s="164">
        <f>IF($A68="","",IFERROR(--ISNUMBER(SEARCH(G$3, XLOOKUP($A68, Metrics!$B$8:$B$57, Metrics!$H$8:$H$57, ""))),0))</f>
        <v/>
      </c>
      <c r="H68" s="164">
        <f>IF($A68="","",IFERROR(--ISNUMBER(SEARCH(H$3, XLOOKUP($A68, Metrics!$B$8:$B$57, Metrics!$H$8:$H$57, ""))),0))</f>
        <v/>
      </c>
      <c r="I68" s="164">
        <f>IF($A68="","",IFERROR(--ISNUMBER(SEARCH(I$3, XLOOKUP($A68, Metrics!$B$8:$B$57, Metrics!$H$8:$H$57, ""))),0))</f>
        <v/>
      </c>
      <c r="J68" s="164">
        <f>IF($A68="","",IFERROR(--ISNUMBER(SEARCH(J$3, XLOOKUP($A68, Metrics!$B$8:$B$57, Metrics!$H$8:$H$57, ""))),0))</f>
        <v/>
      </c>
      <c r="K68" s="164">
        <f>IF($A68="","",IFERROR(--ISNUMBER(SEARCH(K$3, XLOOKUP($A68, Metrics!$B$8:$B$57, Metrics!$H$8:$H$57, ""))),0))</f>
        <v/>
      </c>
      <c r="L68" s="164">
        <f>IF($A68="","",IFERROR(--ISNUMBER(SEARCH(L$3, XLOOKUP($A68, Metrics!$B$8:$B$57, Metrics!$H$8:$H$57, ""))),0))</f>
        <v/>
      </c>
      <c r="M68" s="164">
        <f>IF($A68="","",IFERROR(--ISNUMBER(SEARCH(M$3, XLOOKUP($A68, Metrics!$B$8:$B$57, Metrics!$H$8:$H$57, ""))),0))</f>
        <v/>
      </c>
      <c r="N68" s="164">
        <f>IF($A68="","",IFERROR(--ISNUMBER(SEARCH(N$3, XLOOKUP($A68, Metrics!$B$8:$B$57, Metrics!$H$8:$H$57, ""))),0))</f>
        <v/>
      </c>
      <c r="O68" s="164">
        <f>IF($A68="","",IFERROR(--ISNUMBER(SEARCH(O$3, XLOOKUP($A68, Metrics!$B$8:$B$57, Metrics!$H$8:$H$57, ""))),0))</f>
        <v/>
      </c>
      <c r="P68" s="164">
        <f>IF($A68="","",IFERROR(--ISNUMBER(SEARCH(P$3, XLOOKUP($A68, Metrics!$B$8:$B$57, Metrics!$H$8:$H$57, ""))),0))</f>
        <v/>
      </c>
      <c r="Q68" s="164">
        <f>IF($A68="","",IFERROR(--ISNUMBER(SEARCH(Q$3, XLOOKUP($A68, Metrics!$B$8:$B$57, Metrics!$H$8:$H$57, ""))),0))</f>
        <v/>
      </c>
      <c r="R68" s="164">
        <f>IF($A68="","",IFERROR(--ISNUMBER(SEARCH(R$3, XLOOKUP($A68, Metrics!$B$8:$B$57, Metrics!$H$8:$H$57, ""))),0))</f>
        <v/>
      </c>
      <c r="S68" s="164">
        <f>IF($A68="","",IFERROR(--ISNUMBER(SEARCH(S$3, XLOOKUP($A68, Metrics!$B$8:$B$57, Metrics!$H$8:$H$57, ""))),0))</f>
        <v/>
      </c>
      <c r="T68" s="164">
        <f>IF($A68="","",IFERROR(--ISNUMBER(SEARCH(T$3, XLOOKUP($A68, Metrics!$B$8:$B$57, Metrics!$H$8:$H$57, ""))),0))</f>
        <v/>
      </c>
      <c r="U68" s="164">
        <f>IF($A68="","",IFERROR(--ISNUMBER(SEARCH(U$3, XLOOKUP($A68, Metrics!$B$8:$B$57, Metrics!$H$8:$H$57, ""))),0))</f>
        <v/>
      </c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>
        <f>IFERROR(INDEX(Metrics!$AA$8#,ROW()-3),"")</f>
        <v/>
      </c>
      <c r="B69" s="164">
        <f>IF($A69="","",IFERROR(--ISNUMBER(SEARCH(B$3, XLOOKUP($A69, Metrics!$B$8:$B$57, Metrics!$H$8:$H$57, ""))),0))</f>
        <v/>
      </c>
      <c r="C69" s="164">
        <f>IF($A69="","",IFERROR(--ISNUMBER(SEARCH(C$3, XLOOKUP($A69, Metrics!$B$8:$B$57, Metrics!$H$8:$H$57, ""))),0))</f>
        <v/>
      </c>
      <c r="D69" s="164">
        <f>IF($A69="","",IFERROR(--ISNUMBER(SEARCH(D$3, XLOOKUP($A69, Metrics!$B$8:$B$57, Metrics!$H$8:$H$57, ""))),0))</f>
        <v/>
      </c>
      <c r="E69" s="164">
        <f>IF($A69="","",IFERROR(--ISNUMBER(SEARCH(E$3, XLOOKUP($A69, Metrics!$B$8:$B$57, Metrics!$H$8:$H$57, ""))),0))</f>
        <v/>
      </c>
      <c r="F69" s="164">
        <f>IF($A69="","",IFERROR(--ISNUMBER(SEARCH(F$3, XLOOKUP($A69, Metrics!$B$8:$B$57, Metrics!$H$8:$H$57, ""))),0))</f>
        <v/>
      </c>
      <c r="G69" s="164">
        <f>IF($A69="","",IFERROR(--ISNUMBER(SEARCH(G$3, XLOOKUP($A69, Metrics!$B$8:$B$57, Metrics!$H$8:$H$57, ""))),0))</f>
        <v/>
      </c>
      <c r="H69" s="164">
        <f>IF($A69="","",IFERROR(--ISNUMBER(SEARCH(H$3, XLOOKUP($A69, Metrics!$B$8:$B$57, Metrics!$H$8:$H$57, ""))),0))</f>
        <v/>
      </c>
      <c r="I69" s="164">
        <f>IF($A69="","",IFERROR(--ISNUMBER(SEARCH(I$3, XLOOKUP($A69, Metrics!$B$8:$B$57, Metrics!$H$8:$H$57, ""))),0))</f>
        <v/>
      </c>
      <c r="J69" s="164">
        <f>IF($A69="","",IFERROR(--ISNUMBER(SEARCH(J$3, XLOOKUP($A69, Metrics!$B$8:$B$57, Metrics!$H$8:$H$57, ""))),0))</f>
        <v/>
      </c>
      <c r="K69" s="164">
        <f>IF($A69="","",IFERROR(--ISNUMBER(SEARCH(K$3, XLOOKUP($A69, Metrics!$B$8:$B$57, Metrics!$H$8:$H$57, ""))),0))</f>
        <v/>
      </c>
      <c r="L69" s="164">
        <f>IF($A69="","",IFERROR(--ISNUMBER(SEARCH(L$3, XLOOKUP($A69, Metrics!$B$8:$B$57, Metrics!$H$8:$H$57, ""))),0))</f>
        <v/>
      </c>
      <c r="M69" s="164">
        <f>IF($A69="","",IFERROR(--ISNUMBER(SEARCH(M$3, XLOOKUP($A69, Metrics!$B$8:$B$57, Metrics!$H$8:$H$57, ""))),0))</f>
        <v/>
      </c>
      <c r="N69" s="164">
        <f>IF($A69="","",IFERROR(--ISNUMBER(SEARCH(N$3, XLOOKUP($A69, Metrics!$B$8:$B$57, Metrics!$H$8:$H$57, ""))),0))</f>
        <v/>
      </c>
      <c r="O69" s="164">
        <f>IF($A69="","",IFERROR(--ISNUMBER(SEARCH(O$3, XLOOKUP($A69, Metrics!$B$8:$B$57, Metrics!$H$8:$H$57, ""))),0))</f>
        <v/>
      </c>
      <c r="P69" s="164">
        <f>IF($A69="","",IFERROR(--ISNUMBER(SEARCH(P$3, XLOOKUP($A69, Metrics!$B$8:$B$57, Metrics!$H$8:$H$57, ""))),0))</f>
        <v/>
      </c>
      <c r="Q69" s="164">
        <f>IF($A69="","",IFERROR(--ISNUMBER(SEARCH(Q$3, XLOOKUP($A69, Metrics!$B$8:$B$57, Metrics!$H$8:$H$57, ""))),0))</f>
        <v/>
      </c>
      <c r="R69" s="164">
        <f>IF($A69="","",IFERROR(--ISNUMBER(SEARCH(R$3, XLOOKUP($A69, Metrics!$B$8:$B$57, Metrics!$H$8:$H$57, ""))),0))</f>
        <v/>
      </c>
      <c r="S69" s="164">
        <f>IF($A69="","",IFERROR(--ISNUMBER(SEARCH(S$3, XLOOKUP($A69, Metrics!$B$8:$B$57, Metrics!$H$8:$H$57, ""))),0))</f>
        <v/>
      </c>
      <c r="T69" s="164">
        <f>IF($A69="","",IFERROR(--ISNUMBER(SEARCH(T$3, XLOOKUP($A69, Metrics!$B$8:$B$57, Metrics!$H$8:$H$57, ""))),0))</f>
        <v/>
      </c>
      <c r="U69" s="164">
        <f>IF($A69="","",IFERROR(--ISNUMBER(SEARCH(U$3, XLOOKUP($A69, Metrics!$B$8:$B$57, Metrics!$H$8:$H$57, ""))),0))</f>
        <v/>
      </c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>
        <f>IFERROR(INDEX(Metrics!$AA$8#,ROW()-3),"")</f>
        <v/>
      </c>
      <c r="B70" s="164">
        <f>IF($A70="","",IFERROR(--ISNUMBER(SEARCH(B$3, XLOOKUP($A70, Metrics!$B$8:$B$57, Metrics!$H$8:$H$57, ""))),0))</f>
        <v/>
      </c>
      <c r="C70" s="164">
        <f>IF($A70="","",IFERROR(--ISNUMBER(SEARCH(C$3, XLOOKUP($A70, Metrics!$B$8:$B$57, Metrics!$H$8:$H$57, ""))),0))</f>
        <v/>
      </c>
      <c r="D70" s="164">
        <f>IF($A70="","",IFERROR(--ISNUMBER(SEARCH(D$3, XLOOKUP($A70, Metrics!$B$8:$B$57, Metrics!$H$8:$H$57, ""))),0))</f>
        <v/>
      </c>
      <c r="E70" s="164">
        <f>IF($A70="","",IFERROR(--ISNUMBER(SEARCH(E$3, XLOOKUP($A70, Metrics!$B$8:$B$57, Metrics!$H$8:$H$57, ""))),0))</f>
        <v/>
      </c>
      <c r="F70" s="164">
        <f>IF($A70="","",IFERROR(--ISNUMBER(SEARCH(F$3, XLOOKUP($A70, Metrics!$B$8:$B$57, Metrics!$H$8:$H$57, ""))),0))</f>
        <v/>
      </c>
      <c r="G70" s="164">
        <f>IF($A70="","",IFERROR(--ISNUMBER(SEARCH(G$3, XLOOKUP($A70, Metrics!$B$8:$B$57, Metrics!$H$8:$H$57, ""))),0))</f>
        <v/>
      </c>
      <c r="H70" s="164">
        <f>IF($A70="","",IFERROR(--ISNUMBER(SEARCH(H$3, XLOOKUP($A70, Metrics!$B$8:$B$57, Metrics!$H$8:$H$57, ""))),0))</f>
        <v/>
      </c>
      <c r="I70" s="164">
        <f>IF($A70="","",IFERROR(--ISNUMBER(SEARCH(I$3, XLOOKUP($A70, Metrics!$B$8:$B$57, Metrics!$H$8:$H$57, ""))),0))</f>
        <v/>
      </c>
      <c r="J70" s="164">
        <f>IF($A70="","",IFERROR(--ISNUMBER(SEARCH(J$3, XLOOKUP($A70, Metrics!$B$8:$B$57, Metrics!$H$8:$H$57, ""))),0))</f>
        <v/>
      </c>
      <c r="K70" s="164">
        <f>IF($A70="","",IFERROR(--ISNUMBER(SEARCH(K$3, XLOOKUP($A70, Metrics!$B$8:$B$57, Metrics!$H$8:$H$57, ""))),0))</f>
        <v/>
      </c>
      <c r="L70" s="164">
        <f>IF($A70="","",IFERROR(--ISNUMBER(SEARCH(L$3, XLOOKUP($A70, Metrics!$B$8:$B$57, Metrics!$H$8:$H$57, ""))),0))</f>
        <v/>
      </c>
      <c r="M70" s="164">
        <f>IF($A70="","",IFERROR(--ISNUMBER(SEARCH(M$3, XLOOKUP($A70, Metrics!$B$8:$B$57, Metrics!$H$8:$H$57, ""))),0))</f>
        <v/>
      </c>
      <c r="N70" s="164">
        <f>IF($A70="","",IFERROR(--ISNUMBER(SEARCH(N$3, XLOOKUP($A70, Metrics!$B$8:$B$57, Metrics!$H$8:$H$57, ""))),0))</f>
        <v/>
      </c>
      <c r="O70" s="164">
        <f>IF($A70="","",IFERROR(--ISNUMBER(SEARCH(O$3, XLOOKUP($A70, Metrics!$B$8:$B$57, Metrics!$H$8:$H$57, ""))),0))</f>
        <v/>
      </c>
      <c r="P70" s="164">
        <f>IF($A70="","",IFERROR(--ISNUMBER(SEARCH(P$3, XLOOKUP($A70, Metrics!$B$8:$B$57, Metrics!$H$8:$H$57, ""))),0))</f>
        <v/>
      </c>
      <c r="Q70" s="164">
        <f>IF($A70="","",IFERROR(--ISNUMBER(SEARCH(Q$3, XLOOKUP($A70, Metrics!$B$8:$B$57, Metrics!$H$8:$H$57, ""))),0))</f>
        <v/>
      </c>
      <c r="R70" s="164">
        <f>IF($A70="","",IFERROR(--ISNUMBER(SEARCH(R$3, XLOOKUP($A70, Metrics!$B$8:$B$57, Metrics!$H$8:$H$57, ""))),0))</f>
        <v/>
      </c>
      <c r="S70" s="164">
        <f>IF($A70="","",IFERROR(--ISNUMBER(SEARCH(S$3, XLOOKUP($A70, Metrics!$B$8:$B$57, Metrics!$H$8:$H$57, ""))),0))</f>
        <v/>
      </c>
      <c r="T70" s="164">
        <f>IF($A70="","",IFERROR(--ISNUMBER(SEARCH(T$3, XLOOKUP($A70, Metrics!$B$8:$B$57, Metrics!$H$8:$H$57, ""))),0))</f>
        <v/>
      </c>
      <c r="U70" s="164">
        <f>IF($A70="","",IFERROR(--ISNUMBER(SEARCH(U$3, XLOOKUP($A70, Metrics!$B$8:$B$57, Metrics!$H$8:$H$57, ""))),0))</f>
        <v/>
      </c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>
        <f>IFERROR(INDEX(Metrics!$AA$8#,ROW()-3),"")</f>
        <v/>
      </c>
      <c r="B71" s="164">
        <f>IF($A71="","",IFERROR(--ISNUMBER(SEARCH(B$3, XLOOKUP($A71, Metrics!$B$8:$B$57, Metrics!$H$8:$H$57, ""))),0))</f>
        <v/>
      </c>
      <c r="C71" s="164">
        <f>IF($A71="","",IFERROR(--ISNUMBER(SEARCH(C$3, XLOOKUP($A71, Metrics!$B$8:$B$57, Metrics!$H$8:$H$57, ""))),0))</f>
        <v/>
      </c>
      <c r="D71" s="164">
        <f>IF($A71="","",IFERROR(--ISNUMBER(SEARCH(D$3, XLOOKUP($A71, Metrics!$B$8:$B$57, Metrics!$H$8:$H$57, ""))),0))</f>
        <v/>
      </c>
      <c r="E71" s="164">
        <f>IF($A71="","",IFERROR(--ISNUMBER(SEARCH(E$3, XLOOKUP($A71, Metrics!$B$8:$B$57, Metrics!$H$8:$H$57, ""))),0))</f>
        <v/>
      </c>
      <c r="F71" s="164">
        <f>IF($A71="","",IFERROR(--ISNUMBER(SEARCH(F$3, XLOOKUP($A71, Metrics!$B$8:$B$57, Metrics!$H$8:$H$57, ""))),0))</f>
        <v/>
      </c>
      <c r="G71" s="164">
        <f>IF($A71="","",IFERROR(--ISNUMBER(SEARCH(G$3, XLOOKUP($A71, Metrics!$B$8:$B$57, Metrics!$H$8:$H$57, ""))),0))</f>
        <v/>
      </c>
      <c r="H71" s="164">
        <f>IF($A71="","",IFERROR(--ISNUMBER(SEARCH(H$3, XLOOKUP($A71, Metrics!$B$8:$B$57, Metrics!$H$8:$H$57, ""))),0))</f>
        <v/>
      </c>
      <c r="I71" s="164">
        <f>IF($A71="","",IFERROR(--ISNUMBER(SEARCH(I$3, XLOOKUP($A71, Metrics!$B$8:$B$57, Metrics!$H$8:$H$57, ""))),0))</f>
        <v/>
      </c>
      <c r="J71" s="164">
        <f>IF($A71="","",IFERROR(--ISNUMBER(SEARCH(J$3, XLOOKUP($A71, Metrics!$B$8:$B$57, Metrics!$H$8:$H$57, ""))),0))</f>
        <v/>
      </c>
      <c r="K71" s="164">
        <f>IF($A71="","",IFERROR(--ISNUMBER(SEARCH(K$3, XLOOKUP($A71, Metrics!$B$8:$B$57, Metrics!$H$8:$H$57, ""))),0))</f>
        <v/>
      </c>
      <c r="L71" s="164">
        <f>IF($A71="","",IFERROR(--ISNUMBER(SEARCH(L$3, XLOOKUP($A71, Metrics!$B$8:$B$57, Metrics!$H$8:$H$57, ""))),0))</f>
        <v/>
      </c>
      <c r="M71" s="164">
        <f>IF($A71="","",IFERROR(--ISNUMBER(SEARCH(M$3, XLOOKUP($A71, Metrics!$B$8:$B$57, Metrics!$H$8:$H$57, ""))),0))</f>
        <v/>
      </c>
      <c r="N71" s="164">
        <f>IF($A71="","",IFERROR(--ISNUMBER(SEARCH(N$3, XLOOKUP($A71, Metrics!$B$8:$B$57, Metrics!$H$8:$H$57, ""))),0))</f>
        <v/>
      </c>
      <c r="O71" s="164">
        <f>IF($A71="","",IFERROR(--ISNUMBER(SEARCH(O$3, XLOOKUP($A71, Metrics!$B$8:$B$57, Metrics!$H$8:$H$57, ""))),0))</f>
        <v/>
      </c>
      <c r="P71" s="164">
        <f>IF($A71="","",IFERROR(--ISNUMBER(SEARCH(P$3, XLOOKUP($A71, Metrics!$B$8:$B$57, Metrics!$H$8:$H$57, ""))),0))</f>
        <v/>
      </c>
      <c r="Q71" s="164">
        <f>IF($A71="","",IFERROR(--ISNUMBER(SEARCH(Q$3, XLOOKUP($A71, Metrics!$B$8:$B$57, Metrics!$H$8:$H$57, ""))),0))</f>
        <v/>
      </c>
      <c r="R71" s="164">
        <f>IF($A71="","",IFERROR(--ISNUMBER(SEARCH(R$3, XLOOKUP($A71, Metrics!$B$8:$B$57, Metrics!$H$8:$H$57, ""))),0))</f>
        <v/>
      </c>
      <c r="S71" s="164">
        <f>IF($A71="","",IFERROR(--ISNUMBER(SEARCH(S$3, XLOOKUP($A71, Metrics!$B$8:$B$57, Metrics!$H$8:$H$57, ""))),0))</f>
        <v/>
      </c>
      <c r="T71" s="164">
        <f>IF($A71="","",IFERROR(--ISNUMBER(SEARCH(T$3, XLOOKUP($A71, Metrics!$B$8:$B$57, Metrics!$H$8:$H$57, ""))),0))</f>
        <v/>
      </c>
      <c r="U71" s="164">
        <f>IF($A71="","",IFERROR(--ISNUMBER(SEARCH(U$3, XLOOKUP($A71, Metrics!$B$8:$B$57, Metrics!$H$8:$H$57, ""))),0))</f>
        <v/>
      </c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>
        <f>IFERROR(INDEX(Metrics!$AA$8#,ROW()-3),"")</f>
        <v/>
      </c>
      <c r="B72" s="164">
        <f>IF($A72="","",IFERROR(--ISNUMBER(SEARCH(B$3, XLOOKUP($A72, Metrics!$B$8:$B$57, Metrics!$H$8:$H$57, ""))),0))</f>
        <v/>
      </c>
      <c r="C72" s="164">
        <f>IF($A72="","",IFERROR(--ISNUMBER(SEARCH(C$3, XLOOKUP($A72, Metrics!$B$8:$B$57, Metrics!$H$8:$H$57, ""))),0))</f>
        <v/>
      </c>
      <c r="D72" s="164">
        <f>IF($A72="","",IFERROR(--ISNUMBER(SEARCH(D$3, XLOOKUP($A72, Metrics!$B$8:$B$57, Metrics!$H$8:$H$57, ""))),0))</f>
        <v/>
      </c>
      <c r="E72" s="164">
        <f>IF($A72="","",IFERROR(--ISNUMBER(SEARCH(E$3, XLOOKUP($A72, Metrics!$B$8:$B$57, Metrics!$H$8:$H$57, ""))),0))</f>
        <v/>
      </c>
      <c r="F72" s="164">
        <f>IF($A72="","",IFERROR(--ISNUMBER(SEARCH(F$3, XLOOKUP($A72, Metrics!$B$8:$B$57, Metrics!$H$8:$H$57, ""))),0))</f>
        <v/>
      </c>
      <c r="G72" s="164">
        <f>IF($A72="","",IFERROR(--ISNUMBER(SEARCH(G$3, XLOOKUP($A72, Metrics!$B$8:$B$57, Metrics!$H$8:$H$57, ""))),0))</f>
        <v/>
      </c>
      <c r="H72" s="164">
        <f>IF($A72="","",IFERROR(--ISNUMBER(SEARCH(H$3, XLOOKUP($A72, Metrics!$B$8:$B$57, Metrics!$H$8:$H$57, ""))),0))</f>
        <v/>
      </c>
      <c r="I72" s="164">
        <f>IF($A72="","",IFERROR(--ISNUMBER(SEARCH(I$3, XLOOKUP($A72, Metrics!$B$8:$B$57, Metrics!$H$8:$H$57, ""))),0))</f>
        <v/>
      </c>
      <c r="J72" s="164">
        <f>IF($A72="","",IFERROR(--ISNUMBER(SEARCH(J$3, XLOOKUP($A72, Metrics!$B$8:$B$57, Metrics!$H$8:$H$57, ""))),0))</f>
        <v/>
      </c>
      <c r="K72" s="164">
        <f>IF($A72="","",IFERROR(--ISNUMBER(SEARCH(K$3, XLOOKUP($A72, Metrics!$B$8:$B$57, Metrics!$H$8:$H$57, ""))),0))</f>
        <v/>
      </c>
      <c r="L72" s="164">
        <f>IF($A72="","",IFERROR(--ISNUMBER(SEARCH(L$3, XLOOKUP($A72, Metrics!$B$8:$B$57, Metrics!$H$8:$H$57, ""))),0))</f>
        <v/>
      </c>
      <c r="M72" s="164">
        <f>IF($A72="","",IFERROR(--ISNUMBER(SEARCH(M$3, XLOOKUP($A72, Metrics!$B$8:$B$57, Metrics!$H$8:$H$57, ""))),0))</f>
        <v/>
      </c>
      <c r="N72" s="164">
        <f>IF($A72="","",IFERROR(--ISNUMBER(SEARCH(N$3, XLOOKUP($A72, Metrics!$B$8:$B$57, Metrics!$H$8:$H$57, ""))),0))</f>
        <v/>
      </c>
      <c r="O72" s="164">
        <f>IF($A72="","",IFERROR(--ISNUMBER(SEARCH(O$3, XLOOKUP($A72, Metrics!$B$8:$B$57, Metrics!$H$8:$H$57, ""))),0))</f>
        <v/>
      </c>
      <c r="P72" s="164">
        <f>IF($A72="","",IFERROR(--ISNUMBER(SEARCH(P$3, XLOOKUP($A72, Metrics!$B$8:$B$57, Metrics!$H$8:$H$57, ""))),0))</f>
        <v/>
      </c>
      <c r="Q72" s="164">
        <f>IF($A72="","",IFERROR(--ISNUMBER(SEARCH(Q$3, XLOOKUP($A72, Metrics!$B$8:$B$57, Metrics!$H$8:$H$57, ""))),0))</f>
        <v/>
      </c>
      <c r="R72" s="164">
        <f>IF($A72="","",IFERROR(--ISNUMBER(SEARCH(R$3, XLOOKUP($A72, Metrics!$B$8:$B$57, Metrics!$H$8:$H$57, ""))),0))</f>
        <v/>
      </c>
      <c r="S72" s="164">
        <f>IF($A72="","",IFERROR(--ISNUMBER(SEARCH(S$3, XLOOKUP($A72, Metrics!$B$8:$B$57, Metrics!$H$8:$H$57, ""))),0))</f>
        <v/>
      </c>
      <c r="T72" s="164">
        <f>IF($A72="","",IFERROR(--ISNUMBER(SEARCH(T$3, XLOOKUP($A72, Metrics!$B$8:$B$57, Metrics!$H$8:$H$57, ""))),0))</f>
        <v/>
      </c>
      <c r="U72" s="164">
        <f>IF($A72="","",IFERROR(--ISNUMBER(SEARCH(U$3, XLOOKUP($A72, Metrics!$B$8:$B$57, Metrics!$H$8:$H$57, ""))),0))</f>
        <v/>
      </c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>
        <f>IFERROR(INDEX(Metrics!$AA$8#,ROW()-3),"")</f>
        <v/>
      </c>
      <c r="B73" s="164">
        <f>IF($A73="","",IFERROR(--ISNUMBER(SEARCH(B$3, XLOOKUP($A73, Metrics!$B$8:$B$57, Metrics!$H$8:$H$57, ""))),0))</f>
        <v/>
      </c>
      <c r="C73" s="164">
        <f>IF($A73="","",IFERROR(--ISNUMBER(SEARCH(C$3, XLOOKUP($A73, Metrics!$B$8:$B$57, Metrics!$H$8:$H$57, ""))),0))</f>
        <v/>
      </c>
      <c r="D73" s="164">
        <f>IF($A73="","",IFERROR(--ISNUMBER(SEARCH(D$3, XLOOKUP($A73, Metrics!$B$8:$B$57, Metrics!$H$8:$H$57, ""))),0))</f>
        <v/>
      </c>
      <c r="E73" s="164">
        <f>IF($A73="","",IFERROR(--ISNUMBER(SEARCH(E$3, XLOOKUP($A73, Metrics!$B$8:$B$57, Metrics!$H$8:$H$57, ""))),0))</f>
        <v/>
      </c>
      <c r="F73" s="164">
        <f>IF($A73="","",IFERROR(--ISNUMBER(SEARCH(F$3, XLOOKUP($A73, Metrics!$B$8:$B$57, Metrics!$H$8:$H$57, ""))),0))</f>
        <v/>
      </c>
      <c r="G73" s="164">
        <f>IF($A73="","",IFERROR(--ISNUMBER(SEARCH(G$3, XLOOKUP($A73, Metrics!$B$8:$B$57, Metrics!$H$8:$H$57, ""))),0))</f>
        <v/>
      </c>
      <c r="H73" s="164">
        <f>IF($A73="","",IFERROR(--ISNUMBER(SEARCH(H$3, XLOOKUP($A73, Metrics!$B$8:$B$57, Metrics!$H$8:$H$57, ""))),0))</f>
        <v/>
      </c>
      <c r="I73" s="164">
        <f>IF($A73="","",IFERROR(--ISNUMBER(SEARCH(I$3, XLOOKUP($A73, Metrics!$B$8:$B$57, Metrics!$H$8:$H$57, ""))),0))</f>
        <v/>
      </c>
      <c r="J73" s="164">
        <f>IF($A73="","",IFERROR(--ISNUMBER(SEARCH(J$3, XLOOKUP($A73, Metrics!$B$8:$B$57, Metrics!$H$8:$H$57, ""))),0))</f>
        <v/>
      </c>
      <c r="K73" s="164">
        <f>IF($A73="","",IFERROR(--ISNUMBER(SEARCH(K$3, XLOOKUP($A73, Metrics!$B$8:$B$57, Metrics!$H$8:$H$57, ""))),0))</f>
        <v/>
      </c>
      <c r="L73" s="164">
        <f>IF($A73="","",IFERROR(--ISNUMBER(SEARCH(L$3, XLOOKUP($A73, Metrics!$B$8:$B$57, Metrics!$H$8:$H$57, ""))),0))</f>
        <v/>
      </c>
      <c r="M73" s="164">
        <f>IF($A73="","",IFERROR(--ISNUMBER(SEARCH(M$3, XLOOKUP($A73, Metrics!$B$8:$B$57, Metrics!$H$8:$H$57, ""))),0))</f>
        <v/>
      </c>
      <c r="N73" s="164">
        <f>IF($A73="","",IFERROR(--ISNUMBER(SEARCH(N$3, XLOOKUP($A73, Metrics!$B$8:$B$57, Metrics!$H$8:$H$57, ""))),0))</f>
        <v/>
      </c>
      <c r="O73" s="164">
        <f>IF($A73="","",IFERROR(--ISNUMBER(SEARCH(O$3, XLOOKUP($A73, Metrics!$B$8:$B$57, Metrics!$H$8:$H$57, ""))),0))</f>
        <v/>
      </c>
      <c r="P73" s="164">
        <f>IF($A73="","",IFERROR(--ISNUMBER(SEARCH(P$3, XLOOKUP($A73, Metrics!$B$8:$B$57, Metrics!$H$8:$H$57, ""))),0))</f>
        <v/>
      </c>
      <c r="Q73" s="164">
        <f>IF($A73="","",IFERROR(--ISNUMBER(SEARCH(Q$3, XLOOKUP($A73, Metrics!$B$8:$B$57, Metrics!$H$8:$H$57, ""))),0))</f>
        <v/>
      </c>
      <c r="R73" s="164">
        <f>IF($A73="","",IFERROR(--ISNUMBER(SEARCH(R$3, XLOOKUP($A73, Metrics!$B$8:$B$57, Metrics!$H$8:$H$57, ""))),0))</f>
        <v/>
      </c>
      <c r="S73" s="164">
        <f>IF($A73="","",IFERROR(--ISNUMBER(SEARCH(S$3, XLOOKUP($A73, Metrics!$B$8:$B$57, Metrics!$H$8:$H$57, ""))),0))</f>
        <v/>
      </c>
      <c r="T73" s="164">
        <f>IF($A73="","",IFERROR(--ISNUMBER(SEARCH(T$3, XLOOKUP($A73, Metrics!$B$8:$B$57, Metrics!$H$8:$H$57, ""))),0))</f>
        <v/>
      </c>
      <c r="U73" s="164">
        <f>IF($A73="","",IFERROR(--ISNUMBER(SEARCH(U$3, XLOOKUP($A73, Metrics!$B$8:$B$57, Metrics!$H$8:$H$57, ""))),0))</f>
        <v/>
      </c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>
        <f>IFERROR(INDEX(Metrics!$AA$8#,ROW()-3),"")</f>
        <v/>
      </c>
      <c r="B74" s="164">
        <f>IF($A74="","",IFERROR(--ISNUMBER(SEARCH(B$3, XLOOKUP($A74, Metrics!$B$8:$B$57, Metrics!$H$8:$H$57, ""))),0))</f>
        <v/>
      </c>
      <c r="C74" s="164">
        <f>IF($A74="","",IFERROR(--ISNUMBER(SEARCH(C$3, XLOOKUP($A74, Metrics!$B$8:$B$57, Metrics!$H$8:$H$57, ""))),0))</f>
        <v/>
      </c>
      <c r="D74" s="164">
        <f>IF($A74="","",IFERROR(--ISNUMBER(SEARCH(D$3, XLOOKUP($A74, Metrics!$B$8:$B$57, Metrics!$H$8:$H$57, ""))),0))</f>
        <v/>
      </c>
      <c r="E74" s="164">
        <f>IF($A74="","",IFERROR(--ISNUMBER(SEARCH(E$3, XLOOKUP($A74, Metrics!$B$8:$B$57, Metrics!$H$8:$H$57, ""))),0))</f>
        <v/>
      </c>
      <c r="F74" s="164">
        <f>IF($A74="","",IFERROR(--ISNUMBER(SEARCH(F$3, XLOOKUP($A74, Metrics!$B$8:$B$57, Metrics!$H$8:$H$57, ""))),0))</f>
        <v/>
      </c>
      <c r="G74" s="164">
        <f>IF($A74="","",IFERROR(--ISNUMBER(SEARCH(G$3, XLOOKUP($A74, Metrics!$B$8:$B$57, Metrics!$H$8:$H$57, ""))),0))</f>
        <v/>
      </c>
      <c r="H74" s="164">
        <f>IF($A74="","",IFERROR(--ISNUMBER(SEARCH(H$3, XLOOKUP($A74, Metrics!$B$8:$B$57, Metrics!$H$8:$H$57, ""))),0))</f>
        <v/>
      </c>
      <c r="I74" s="164">
        <f>IF($A74="","",IFERROR(--ISNUMBER(SEARCH(I$3, XLOOKUP($A74, Metrics!$B$8:$B$57, Metrics!$H$8:$H$57, ""))),0))</f>
        <v/>
      </c>
      <c r="J74" s="164">
        <f>IF($A74="","",IFERROR(--ISNUMBER(SEARCH(J$3, XLOOKUP($A74, Metrics!$B$8:$B$57, Metrics!$H$8:$H$57, ""))),0))</f>
        <v/>
      </c>
      <c r="K74" s="164">
        <f>IF($A74="","",IFERROR(--ISNUMBER(SEARCH(K$3, XLOOKUP($A74, Metrics!$B$8:$B$57, Metrics!$H$8:$H$57, ""))),0))</f>
        <v/>
      </c>
      <c r="L74" s="164">
        <f>IF($A74="","",IFERROR(--ISNUMBER(SEARCH(L$3, XLOOKUP($A74, Metrics!$B$8:$B$57, Metrics!$H$8:$H$57, ""))),0))</f>
        <v/>
      </c>
      <c r="M74" s="164">
        <f>IF($A74="","",IFERROR(--ISNUMBER(SEARCH(M$3, XLOOKUP($A74, Metrics!$B$8:$B$57, Metrics!$H$8:$H$57, ""))),0))</f>
        <v/>
      </c>
      <c r="N74" s="164">
        <f>IF($A74="","",IFERROR(--ISNUMBER(SEARCH(N$3, XLOOKUP($A74, Metrics!$B$8:$B$57, Metrics!$H$8:$H$57, ""))),0))</f>
        <v/>
      </c>
      <c r="O74" s="164">
        <f>IF($A74="","",IFERROR(--ISNUMBER(SEARCH(O$3, XLOOKUP($A74, Metrics!$B$8:$B$57, Metrics!$H$8:$H$57, ""))),0))</f>
        <v/>
      </c>
      <c r="P74" s="164">
        <f>IF($A74="","",IFERROR(--ISNUMBER(SEARCH(P$3, XLOOKUP($A74, Metrics!$B$8:$B$57, Metrics!$H$8:$H$57, ""))),0))</f>
        <v/>
      </c>
      <c r="Q74" s="164">
        <f>IF($A74="","",IFERROR(--ISNUMBER(SEARCH(Q$3, XLOOKUP($A74, Metrics!$B$8:$B$57, Metrics!$H$8:$H$57, ""))),0))</f>
        <v/>
      </c>
      <c r="R74" s="164">
        <f>IF($A74="","",IFERROR(--ISNUMBER(SEARCH(R$3, XLOOKUP($A74, Metrics!$B$8:$B$57, Metrics!$H$8:$H$57, ""))),0))</f>
        <v/>
      </c>
      <c r="S74" s="164">
        <f>IF($A74="","",IFERROR(--ISNUMBER(SEARCH(S$3, XLOOKUP($A74, Metrics!$B$8:$B$57, Metrics!$H$8:$H$57, ""))),0))</f>
        <v/>
      </c>
      <c r="T74" s="164">
        <f>IF($A74="","",IFERROR(--ISNUMBER(SEARCH(T$3, XLOOKUP($A74, Metrics!$B$8:$B$57, Metrics!$H$8:$H$57, ""))),0))</f>
        <v/>
      </c>
      <c r="U74" s="164">
        <f>IF($A74="","",IFERROR(--ISNUMBER(SEARCH(U$3, XLOOKUP($A74, Metrics!$B$8:$B$57, Metrics!$H$8:$H$57, ""))),0))</f>
        <v/>
      </c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>
        <f>IFERROR(INDEX(Metrics!$AA$8#,ROW()-3),"")</f>
        <v/>
      </c>
      <c r="B75" s="164">
        <f>IF($A75="","",IFERROR(--ISNUMBER(SEARCH(B$3, XLOOKUP($A75, Metrics!$B$8:$B$57, Metrics!$H$8:$H$57, ""))),0))</f>
        <v/>
      </c>
      <c r="C75" s="164">
        <f>IF($A75="","",IFERROR(--ISNUMBER(SEARCH(C$3, XLOOKUP($A75, Metrics!$B$8:$B$57, Metrics!$H$8:$H$57, ""))),0))</f>
        <v/>
      </c>
      <c r="D75" s="164">
        <f>IF($A75="","",IFERROR(--ISNUMBER(SEARCH(D$3, XLOOKUP($A75, Metrics!$B$8:$B$57, Metrics!$H$8:$H$57, ""))),0))</f>
        <v/>
      </c>
      <c r="E75" s="164">
        <f>IF($A75="","",IFERROR(--ISNUMBER(SEARCH(E$3, XLOOKUP($A75, Metrics!$B$8:$B$57, Metrics!$H$8:$H$57, ""))),0))</f>
        <v/>
      </c>
      <c r="F75" s="164">
        <f>IF($A75="","",IFERROR(--ISNUMBER(SEARCH(F$3, XLOOKUP($A75, Metrics!$B$8:$B$57, Metrics!$H$8:$H$57, ""))),0))</f>
        <v/>
      </c>
      <c r="G75" s="164">
        <f>IF($A75="","",IFERROR(--ISNUMBER(SEARCH(G$3, XLOOKUP($A75, Metrics!$B$8:$B$57, Metrics!$H$8:$H$57, ""))),0))</f>
        <v/>
      </c>
      <c r="H75" s="164">
        <f>IF($A75="","",IFERROR(--ISNUMBER(SEARCH(H$3, XLOOKUP($A75, Metrics!$B$8:$B$57, Metrics!$H$8:$H$57, ""))),0))</f>
        <v/>
      </c>
      <c r="I75" s="164">
        <f>IF($A75="","",IFERROR(--ISNUMBER(SEARCH(I$3, XLOOKUP($A75, Metrics!$B$8:$B$57, Metrics!$H$8:$H$57, ""))),0))</f>
        <v/>
      </c>
      <c r="J75" s="164">
        <f>IF($A75="","",IFERROR(--ISNUMBER(SEARCH(J$3, XLOOKUP($A75, Metrics!$B$8:$B$57, Metrics!$H$8:$H$57, ""))),0))</f>
        <v/>
      </c>
      <c r="K75" s="164">
        <f>IF($A75="","",IFERROR(--ISNUMBER(SEARCH(K$3, XLOOKUP($A75, Metrics!$B$8:$B$57, Metrics!$H$8:$H$57, ""))),0))</f>
        <v/>
      </c>
      <c r="L75" s="164">
        <f>IF($A75="","",IFERROR(--ISNUMBER(SEARCH(L$3, XLOOKUP($A75, Metrics!$B$8:$B$57, Metrics!$H$8:$H$57, ""))),0))</f>
        <v/>
      </c>
      <c r="M75" s="164">
        <f>IF($A75="","",IFERROR(--ISNUMBER(SEARCH(M$3, XLOOKUP($A75, Metrics!$B$8:$B$57, Metrics!$H$8:$H$57, ""))),0))</f>
        <v/>
      </c>
      <c r="N75" s="164">
        <f>IF($A75="","",IFERROR(--ISNUMBER(SEARCH(N$3, XLOOKUP($A75, Metrics!$B$8:$B$57, Metrics!$H$8:$H$57, ""))),0))</f>
        <v/>
      </c>
      <c r="O75" s="164">
        <f>IF($A75="","",IFERROR(--ISNUMBER(SEARCH(O$3, XLOOKUP($A75, Metrics!$B$8:$B$57, Metrics!$H$8:$H$57, ""))),0))</f>
        <v/>
      </c>
      <c r="P75" s="164">
        <f>IF($A75="","",IFERROR(--ISNUMBER(SEARCH(P$3, XLOOKUP($A75, Metrics!$B$8:$B$57, Metrics!$H$8:$H$57, ""))),0))</f>
        <v/>
      </c>
      <c r="Q75" s="164">
        <f>IF($A75="","",IFERROR(--ISNUMBER(SEARCH(Q$3, XLOOKUP($A75, Metrics!$B$8:$B$57, Metrics!$H$8:$H$57, ""))),0))</f>
        <v/>
      </c>
      <c r="R75" s="164">
        <f>IF($A75="","",IFERROR(--ISNUMBER(SEARCH(R$3, XLOOKUP($A75, Metrics!$B$8:$B$57, Metrics!$H$8:$H$57, ""))),0))</f>
        <v/>
      </c>
      <c r="S75" s="164">
        <f>IF($A75="","",IFERROR(--ISNUMBER(SEARCH(S$3, XLOOKUP($A75, Metrics!$B$8:$B$57, Metrics!$H$8:$H$57, ""))),0))</f>
        <v/>
      </c>
      <c r="T75" s="164">
        <f>IF($A75="","",IFERROR(--ISNUMBER(SEARCH(T$3, XLOOKUP($A75, Metrics!$B$8:$B$57, Metrics!$H$8:$H$57, ""))),0))</f>
        <v/>
      </c>
      <c r="U75" s="164">
        <f>IF($A75="","",IFERROR(--ISNUMBER(SEARCH(U$3, XLOOKUP($A75, Metrics!$B$8:$B$57, Metrics!$H$8:$H$57, ""))),0))</f>
        <v/>
      </c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>
        <f>IFERROR(INDEX(Metrics!$AA$8#,ROW()-3),"")</f>
        <v/>
      </c>
      <c r="B76" s="164">
        <f>IF($A76="","",IFERROR(--ISNUMBER(SEARCH(B$3, XLOOKUP($A76, Metrics!$B$8:$B$57, Metrics!$H$8:$H$57, ""))),0))</f>
        <v/>
      </c>
      <c r="C76" s="164">
        <f>IF($A76="","",IFERROR(--ISNUMBER(SEARCH(C$3, XLOOKUP($A76, Metrics!$B$8:$B$57, Metrics!$H$8:$H$57, ""))),0))</f>
        <v/>
      </c>
      <c r="D76" s="164">
        <f>IF($A76="","",IFERROR(--ISNUMBER(SEARCH(D$3, XLOOKUP($A76, Metrics!$B$8:$B$57, Metrics!$H$8:$H$57, ""))),0))</f>
        <v/>
      </c>
      <c r="E76" s="164">
        <f>IF($A76="","",IFERROR(--ISNUMBER(SEARCH(E$3, XLOOKUP($A76, Metrics!$B$8:$B$57, Metrics!$H$8:$H$57, ""))),0))</f>
        <v/>
      </c>
      <c r="F76" s="164">
        <f>IF($A76="","",IFERROR(--ISNUMBER(SEARCH(F$3, XLOOKUP($A76, Metrics!$B$8:$B$57, Metrics!$H$8:$H$57, ""))),0))</f>
        <v/>
      </c>
      <c r="G76" s="164">
        <f>IF($A76="","",IFERROR(--ISNUMBER(SEARCH(G$3, XLOOKUP($A76, Metrics!$B$8:$B$57, Metrics!$H$8:$H$57, ""))),0))</f>
        <v/>
      </c>
      <c r="H76" s="164">
        <f>IF($A76="","",IFERROR(--ISNUMBER(SEARCH(H$3, XLOOKUP($A76, Metrics!$B$8:$B$57, Metrics!$H$8:$H$57, ""))),0))</f>
        <v/>
      </c>
      <c r="I76" s="164">
        <f>IF($A76="","",IFERROR(--ISNUMBER(SEARCH(I$3, XLOOKUP($A76, Metrics!$B$8:$B$57, Metrics!$H$8:$H$57, ""))),0))</f>
        <v/>
      </c>
      <c r="J76" s="164">
        <f>IF($A76="","",IFERROR(--ISNUMBER(SEARCH(J$3, XLOOKUP($A76, Metrics!$B$8:$B$57, Metrics!$H$8:$H$57, ""))),0))</f>
        <v/>
      </c>
      <c r="K76" s="164">
        <f>IF($A76="","",IFERROR(--ISNUMBER(SEARCH(K$3, XLOOKUP($A76, Metrics!$B$8:$B$57, Metrics!$H$8:$H$57, ""))),0))</f>
        <v/>
      </c>
      <c r="L76" s="164">
        <f>IF($A76="","",IFERROR(--ISNUMBER(SEARCH(L$3, XLOOKUP($A76, Metrics!$B$8:$B$57, Metrics!$H$8:$H$57, ""))),0))</f>
        <v/>
      </c>
      <c r="M76" s="164">
        <f>IF($A76="","",IFERROR(--ISNUMBER(SEARCH(M$3, XLOOKUP($A76, Metrics!$B$8:$B$57, Metrics!$H$8:$H$57, ""))),0))</f>
        <v/>
      </c>
      <c r="N76" s="164">
        <f>IF($A76="","",IFERROR(--ISNUMBER(SEARCH(N$3, XLOOKUP($A76, Metrics!$B$8:$B$57, Metrics!$H$8:$H$57, ""))),0))</f>
        <v/>
      </c>
      <c r="O76" s="164">
        <f>IF($A76="","",IFERROR(--ISNUMBER(SEARCH(O$3, XLOOKUP($A76, Metrics!$B$8:$B$57, Metrics!$H$8:$H$57, ""))),0))</f>
        <v/>
      </c>
      <c r="P76" s="164">
        <f>IF($A76="","",IFERROR(--ISNUMBER(SEARCH(P$3, XLOOKUP($A76, Metrics!$B$8:$B$57, Metrics!$H$8:$H$57, ""))),0))</f>
        <v/>
      </c>
      <c r="Q76" s="164">
        <f>IF($A76="","",IFERROR(--ISNUMBER(SEARCH(Q$3, XLOOKUP($A76, Metrics!$B$8:$B$57, Metrics!$H$8:$H$57, ""))),0))</f>
        <v/>
      </c>
      <c r="R76" s="164">
        <f>IF($A76="","",IFERROR(--ISNUMBER(SEARCH(R$3, XLOOKUP($A76, Metrics!$B$8:$B$57, Metrics!$H$8:$H$57, ""))),0))</f>
        <v/>
      </c>
      <c r="S76" s="164">
        <f>IF($A76="","",IFERROR(--ISNUMBER(SEARCH(S$3, XLOOKUP($A76, Metrics!$B$8:$B$57, Metrics!$H$8:$H$57, ""))),0))</f>
        <v/>
      </c>
      <c r="T76" s="164">
        <f>IF($A76="","",IFERROR(--ISNUMBER(SEARCH(T$3, XLOOKUP($A76, Metrics!$B$8:$B$57, Metrics!$H$8:$H$57, ""))),0))</f>
        <v/>
      </c>
      <c r="U76" s="164">
        <f>IF($A76="","",IFERROR(--ISNUMBER(SEARCH(U$3, XLOOKUP($A76, Metrics!$B$8:$B$57, Metrics!$H$8:$H$57, ""))),0))</f>
        <v/>
      </c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>
        <f>IFERROR(INDEX(Metrics!$AA$8#,ROW()-3),"")</f>
        <v/>
      </c>
      <c r="B77" s="164">
        <f>IF($A77="","",IFERROR(--ISNUMBER(SEARCH(B$3, XLOOKUP($A77, Metrics!$B$8:$B$57, Metrics!$H$8:$H$57, ""))),0))</f>
        <v/>
      </c>
      <c r="C77" s="164">
        <f>IF($A77="","",IFERROR(--ISNUMBER(SEARCH(C$3, XLOOKUP($A77, Metrics!$B$8:$B$57, Metrics!$H$8:$H$57, ""))),0))</f>
        <v/>
      </c>
      <c r="D77" s="164">
        <f>IF($A77="","",IFERROR(--ISNUMBER(SEARCH(D$3, XLOOKUP($A77, Metrics!$B$8:$B$57, Metrics!$H$8:$H$57, ""))),0))</f>
        <v/>
      </c>
      <c r="E77" s="164">
        <f>IF($A77="","",IFERROR(--ISNUMBER(SEARCH(E$3, XLOOKUP($A77, Metrics!$B$8:$B$57, Metrics!$H$8:$H$57, ""))),0))</f>
        <v/>
      </c>
      <c r="F77" s="164">
        <f>IF($A77="","",IFERROR(--ISNUMBER(SEARCH(F$3, XLOOKUP($A77, Metrics!$B$8:$B$57, Metrics!$H$8:$H$57, ""))),0))</f>
        <v/>
      </c>
      <c r="G77" s="164">
        <f>IF($A77="","",IFERROR(--ISNUMBER(SEARCH(G$3, XLOOKUP($A77, Metrics!$B$8:$B$57, Metrics!$H$8:$H$57, ""))),0))</f>
        <v/>
      </c>
      <c r="H77" s="164">
        <f>IF($A77="","",IFERROR(--ISNUMBER(SEARCH(H$3, XLOOKUP($A77, Metrics!$B$8:$B$57, Metrics!$H$8:$H$57, ""))),0))</f>
        <v/>
      </c>
      <c r="I77" s="164">
        <f>IF($A77="","",IFERROR(--ISNUMBER(SEARCH(I$3, XLOOKUP($A77, Metrics!$B$8:$B$57, Metrics!$H$8:$H$57, ""))),0))</f>
        <v/>
      </c>
      <c r="J77" s="164">
        <f>IF($A77="","",IFERROR(--ISNUMBER(SEARCH(J$3, XLOOKUP($A77, Metrics!$B$8:$B$57, Metrics!$H$8:$H$57, ""))),0))</f>
        <v/>
      </c>
      <c r="K77" s="164">
        <f>IF($A77="","",IFERROR(--ISNUMBER(SEARCH(K$3, XLOOKUP($A77, Metrics!$B$8:$B$57, Metrics!$H$8:$H$57, ""))),0))</f>
        <v/>
      </c>
      <c r="L77" s="164">
        <f>IF($A77="","",IFERROR(--ISNUMBER(SEARCH(L$3, XLOOKUP($A77, Metrics!$B$8:$B$57, Metrics!$H$8:$H$57, ""))),0))</f>
        <v/>
      </c>
      <c r="M77" s="164">
        <f>IF($A77="","",IFERROR(--ISNUMBER(SEARCH(M$3, XLOOKUP($A77, Metrics!$B$8:$B$57, Metrics!$H$8:$H$57, ""))),0))</f>
        <v/>
      </c>
      <c r="N77" s="164">
        <f>IF($A77="","",IFERROR(--ISNUMBER(SEARCH(N$3, XLOOKUP($A77, Metrics!$B$8:$B$57, Metrics!$H$8:$H$57, ""))),0))</f>
        <v/>
      </c>
      <c r="O77" s="164">
        <f>IF($A77="","",IFERROR(--ISNUMBER(SEARCH(O$3, XLOOKUP($A77, Metrics!$B$8:$B$57, Metrics!$H$8:$H$57, ""))),0))</f>
        <v/>
      </c>
      <c r="P77" s="164">
        <f>IF($A77="","",IFERROR(--ISNUMBER(SEARCH(P$3, XLOOKUP($A77, Metrics!$B$8:$B$57, Metrics!$H$8:$H$57, ""))),0))</f>
        <v/>
      </c>
      <c r="Q77" s="164">
        <f>IF($A77="","",IFERROR(--ISNUMBER(SEARCH(Q$3, XLOOKUP($A77, Metrics!$B$8:$B$57, Metrics!$H$8:$H$57, ""))),0))</f>
        <v/>
      </c>
      <c r="R77" s="164">
        <f>IF($A77="","",IFERROR(--ISNUMBER(SEARCH(R$3, XLOOKUP($A77, Metrics!$B$8:$B$57, Metrics!$H$8:$H$57, ""))),0))</f>
        <v/>
      </c>
      <c r="S77" s="164">
        <f>IF($A77="","",IFERROR(--ISNUMBER(SEARCH(S$3, XLOOKUP($A77, Metrics!$B$8:$B$57, Metrics!$H$8:$H$57, ""))),0))</f>
        <v/>
      </c>
      <c r="T77" s="164">
        <f>IF($A77="","",IFERROR(--ISNUMBER(SEARCH(T$3, XLOOKUP($A77, Metrics!$B$8:$B$57, Metrics!$H$8:$H$57, ""))),0))</f>
        <v/>
      </c>
      <c r="U77" s="164">
        <f>IF($A77="","",IFERROR(--ISNUMBER(SEARCH(U$3, XLOOKUP($A77, Metrics!$B$8:$B$57, Metrics!$H$8:$H$57, ""))),0))</f>
        <v/>
      </c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>
        <f>IFERROR(INDEX(Metrics!$AA$8#,ROW()-3),"")</f>
        <v/>
      </c>
      <c r="B78" s="164">
        <f>IF($A78="","",IFERROR(--ISNUMBER(SEARCH(B$3, XLOOKUP($A78, Metrics!$B$8:$B$57, Metrics!$H$8:$H$57, ""))),0))</f>
        <v/>
      </c>
      <c r="C78" s="164">
        <f>IF($A78="","",IFERROR(--ISNUMBER(SEARCH(C$3, XLOOKUP($A78, Metrics!$B$8:$B$57, Metrics!$H$8:$H$57, ""))),0))</f>
        <v/>
      </c>
      <c r="D78" s="164">
        <f>IF($A78="","",IFERROR(--ISNUMBER(SEARCH(D$3, XLOOKUP($A78, Metrics!$B$8:$B$57, Metrics!$H$8:$H$57, ""))),0))</f>
        <v/>
      </c>
      <c r="E78" s="164">
        <f>IF($A78="","",IFERROR(--ISNUMBER(SEARCH(E$3, XLOOKUP($A78, Metrics!$B$8:$B$57, Metrics!$H$8:$H$57, ""))),0))</f>
        <v/>
      </c>
      <c r="F78" s="164">
        <f>IF($A78="","",IFERROR(--ISNUMBER(SEARCH(F$3, XLOOKUP($A78, Metrics!$B$8:$B$57, Metrics!$H$8:$H$57, ""))),0))</f>
        <v/>
      </c>
      <c r="G78" s="164">
        <f>IF($A78="","",IFERROR(--ISNUMBER(SEARCH(G$3, XLOOKUP($A78, Metrics!$B$8:$B$57, Metrics!$H$8:$H$57, ""))),0))</f>
        <v/>
      </c>
      <c r="H78" s="164">
        <f>IF($A78="","",IFERROR(--ISNUMBER(SEARCH(H$3, XLOOKUP($A78, Metrics!$B$8:$B$57, Metrics!$H$8:$H$57, ""))),0))</f>
        <v/>
      </c>
      <c r="I78" s="164">
        <f>IF($A78="","",IFERROR(--ISNUMBER(SEARCH(I$3, XLOOKUP($A78, Metrics!$B$8:$B$57, Metrics!$H$8:$H$57, ""))),0))</f>
        <v/>
      </c>
      <c r="J78" s="164">
        <f>IF($A78="","",IFERROR(--ISNUMBER(SEARCH(J$3, XLOOKUP($A78, Metrics!$B$8:$B$57, Metrics!$H$8:$H$57, ""))),0))</f>
        <v/>
      </c>
      <c r="K78" s="164">
        <f>IF($A78="","",IFERROR(--ISNUMBER(SEARCH(K$3, XLOOKUP($A78, Metrics!$B$8:$B$57, Metrics!$H$8:$H$57, ""))),0))</f>
        <v/>
      </c>
      <c r="L78" s="164">
        <f>IF($A78="","",IFERROR(--ISNUMBER(SEARCH(L$3, XLOOKUP($A78, Metrics!$B$8:$B$57, Metrics!$H$8:$H$57, ""))),0))</f>
        <v/>
      </c>
      <c r="M78" s="164">
        <f>IF($A78="","",IFERROR(--ISNUMBER(SEARCH(M$3, XLOOKUP($A78, Metrics!$B$8:$B$57, Metrics!$H$8:$H$57, ""))),0))</f>
        <v/>
      </c>
      <c r="N78" s="164">
        <f>IF($A78="","",IFERROR(--ISNUMBER(SEARCH(N$3, XLOOKUP($A78, Metrics!$B$8:$B$57, Metrics!$H$8:$H$57, ""))),0))</f>
        <v/>
      </c>
      <c r="O78" s="164">
        <f>IF($A78="","",IFERROR(--ISNUMBER(SEARCH(O$3, XLOOKUP($A78, Metrics!$B$8:$B$57, Metrics!$H$8:$H$57, ""))),0))</f>
        <v/>
      </c>
      <c r="P78" s="164">
        <f>IF($A78="","",IFERROR(--ISNUMBER(SEARCH(P$3, XLOOKUP($A78, Metrics!$B$8:$B$57, Metrics!$H$8:$H$57, ""))),0))</f>
        <v/>
      </c>
      <c r="Q78" s="164">
        <f>IF($A78="","",IFERROR(--ISNUMBER(SEARCH(Q$3, XLOOKUP($A78, Metrics!$B$8:$B$57, Metrics!$H$8:$H$57, ""))),0))</f>
        <v/>
      </c>
      <c r="R78" s="164">
        <f>IF($A78="","",IFERROR(--ISNUMBER(SEARCH(R$3, XLOOKUP($A78, Metrics!$B$8:$B$57, Metrics!$H$8:$H$57, ""))),0))</f>
        <v/>
      </c>
      <c r="S78" s="164">
        <f>IF($A78="","",IFERROR(--ISNUMBER(SEARCH(S$3, XLOOKUP($A78, Metrics!$B$8:$B$57, Metrics!$H$8:$H$57, ""))),0))</f>
        <v/>
      </c>
      <c r="T78" s="164">
        <f>IF($A78="","",IFERROR(--ISNUMBER(SEARCH(T$3, XLOOKUP($A78, Metrics!$B$8:$B$57, Metrics!$H$8:$H$57, ""))),0))</f>
        <v/>
      </c>
      <c r="U78" s="164">
        <f>IF($A78="","",IFERROR(--ISNUMBER(SEARCH(U$3, XLOOKUP($A78, Metrics!$B$8:$B$57, Metrics!$H$8:$H$57, ""))),0))</f>
        <v/>
      </c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>
        <f>IFERROR(INDEX(Metrics!$AA$8#,ROW()-3),"")</f>
        <v/>
      </c>
      <c r="B79" s="164">
        <f>IF($A79="","",IFERROR(--ISNUMBER(SEARCH(B$3, XLOOKUP($A79, Metrics!$B$8:$B$57, Metrics!$H$8:$H$57, ""))),0))</f>
        <v/>
      </c>
      <c r="C79" s="164">
        <f>IF($A79="","",IFERROR(--ISNUMBER(SEARCH(C$3, XLOOKUP($A79, Metrics!$B$8:$B$57, Metrics!$H$8:$H$57, ""))),0))</f>
        <v/>
      </c>
      <c r="D79" s="164">
        <f>IF($A79="","",IFERROR(--ISNUMBER(SEARCH(D$3, XLOOKUP($A79, Metrics!$B$8:$B$57, Metrics!$H$8:$H$57, ""))),0))</f>
        <v/>
      </c>
      <c r="E79" s="164">
        <f>IF($A79="","",IFERROR(--ISNUMBER(SEARCH(E$3, XLOOKUP($A79, Metrics!$B$8:$B$57, Metrics!$H$8:$H$57, ""))),0))</f>
        <v/>
      </c>
      <c r="F79" s="164">
        <f>IF($A79="","",IFERROR(--ISNUMBER(SEARCH(F$3, XLOOKUP($A79, Metrics!$B$8:$B$57, Metrics!$H$8:$H$57, ""))),0))</f>
        <v/>
      </c>
      <c r="G79" s="164">
        <f>IF($A79="","",IFERROR(--ISNUMBER(SEARCH(G$3, XLOOKUP($A79, Metrics!$B$8:$B$57, Metrics!$H$8:$H$57, ""))),0))</f>
        <v/>
      </c>
      <c r="H79" s="164">
        <f>IF($A79="","",IFERROR(--ISNUMBER(SEARCH(H$3, XLOOKUP($A79, Metrics!$B$8:$B$57, Metrics!$H$8:$H$57, ""))),0))</f>
        <v/>
      </c>
      <c r="I79" s="164">
        <f>IF($A79="","",IFERROR(--ISNUMBER(SEARCH(I$3, XLOOKUP($A79, Metrics!$B$8:$B$57, Metrics!$H$8:$H$57, ""))),0))</f>
        <v/>
      </c>
      <c r="J79" s="164">
        <f>IF($A79="","",IFERROR(--ISNUMBER(SEARCH(J$3, XLOOKUP($A79, Metrics!$B$8:$B$57, Metrics!$H$8:$H$57, ""))),0))</f>
        <v/>
      </c>
      <c r="K79" s="164">
        <f>IF($A79="","",IFERROR(--ISNUMBER(SEARCH(K$3, XLOOKUP($A79, Metrics!$B$8:$B$57, Metrics!$H$8:$H$57, ""))),0))</f>
        <v/>
      </c>
      <c r="L79" s="164">
        <f>IF($A79="","",IFERROR(--ISNUMBER(SEARCH(L$3, XLOOKUP($A79, Metrics!$B$8:$B$57, Metrics!$H$8:$H$57, ""))),0))</f>
        <v/>
      </c>
      <c r="M79" s="164">
        <f>IF($A79="","",IFERROR(--ISNUMBER(SEARCH(M$3, XLOOKUP($A79, Metrics!$B$8:$B$57, Metrics!$H$8:$H$57, ""))),0))</f>
        <v/>
      </c>
      <c r="N79" s="164">
        <f>IF($A79="","",IFERROR(--ISNUMBER(SEARCH(N$3, XLOOKUP($A79, Metrics!$B$8:$B$57, Metrics!$H$8:$H$57, ""))),0))</f>
        <v/>
      </c>
      <c r="O79" s="164">
        <f>IF($A79="","",IFERROR(--ISNUMBER(SEARCH(O$3, XLOOKUP($A79, Metrics!$B$8:$B$57, Metrics!$H$8:$H$57, ""))),0))</f>
        <v/>
      </c>
      <c r="P79" s="164">
        <f>IF($A79="","",IFERROR(--ISNUMBER(SEARCH(P$3, XLOOKUP($A79, Metrics!$B$8:$B$57, Metrics!$H$8:$H$57, ""))),0))</f>
        <v/>
      </c>
      <c r="Q79" s="164">
        <f>IF($A79="","",IFERROR(--ISNUMBER(SEARCH(Q$3, XLOOKUP($A79, Metrics!$B$8:$B$57, Metrics!$H$8:$H$57, ""))),0))</f>
        <v/>
      </c>
      <c r="R79" s="164">
        <f>IF($A79="","",IFERROR(--ISNUMBER(SEARCH(R$3, XLOOKUP($A79, Metrics!$B$8:$B$57, Metrics!$H$8:$H$57, ""))),0))</f>
        <v/>
      </c>
      <c r="S79" s="164">
        <f>IF($A79="","",IFERROR(--ISNUMBER(SEARCH(S$3, XLOOKUP($A79, Metrics!$B$8:$B$57, Metrics!$H$8:$H$57, ""))),0))</f>
        <v/>
      </c>
      <c r="T79" s="164">
        <f>IF($A79="","",IFERROR(--ISNUMBER(SEARCH(T$3, XLOOKUP($A79, Metrics!$B$8:$B$57, Metrics!$H$8:$H$57, ""))),0))</f>
        <v/>
      </c>
      <c r="U79" s="164">
        <f>IF($A79="","",IFERROR(--ISNUMBER(SEARCH(U$3, XLOOKUP($A79, Metrics!$B$8:$B$57, Metrics!$H$8:$H$57, ""))),0))</f>
        <v/>
      </c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>
        <f>IFERROR(INDEX(Metrics!$AA$8#,ROW()-3),"")</f>
        <v/>
      </c>
      <c r="B80" s="164">
        <f>IF($A80="","",IFERROR(--ISNUMBER(SEARCH(B$3, XLOOKUP($A80, Metrics!$B$8:$B$57, Metrics!$H$8:$H$57, ""))),0))</f>
        <v/>
      </c>
      <c r="C80" s="164">
        <f>IF($A80="","",IFERROR(--ISNUMBER(SEARCH(C$3, XLOOKUP($A80, Metrics!$B$8:$B$57, Metrics!$H$8:$H$57, ""))),0))</f>
        <v/>
      </c>
      <c r="D80" s="164">
        <f>IF($A80="","",IFERROR(--ISNUMBER(SEARCH(D$3, XLOOKUP($A80, Metrics!$B$8:$B$57, Metrics!$H$8:$H$57, ""))),0))</f>
        <v/>
      </c>
      <c r="E80" s="164">
        <f>IF($A80="","",IFERROR(--ISNUMBER(SEARCH(E$3, XLOOKUP($A80, Metrics!$B$8:$B$57, Metrics!$H$8:$H$57, ""))),0))</f>
        <v/>
      </c>
      <c r="F80" s="164">
        <f>IF($A80="","",IFERROR(--ISNUMBER(SEARCH(F$3, XLOOKUP($A80, Metrics!$B$8:$B$57, Metrics!$H$8:$H$57, ""))),0))</f>
        <v/>
      </c>
      <c r="G80" s="164">
        <f>IF($A80="","",IFERROR(--ISNUMBER(SEARCH(G$3, XLOOKUP($A80, Metrics!$B$8:$B$57, Metrics!$H$8:$H$57, ""))),0))</f>
        <v/>
      </c>
      <c r="H80" s="164">
        <f>IF($A80="","",IFERROR(--ISNUMBER(SEARCH(H$3, XLOOKUP($A80, Metrics!$B$8:$B$57, Metrics!$H$8:$H$57, ""))),0))</f>
        <v/>
      </c>
      <c r="I80" s="164">
        <f>IF($A80="","",IFERROR(--ISNUMBER(SEARCH(I$3, XLOOKUP($A80, Metrics!$B$8:$B$57, Metrics!$H$8:$H$57, ""))),0))</f>
        <v/>
      </c>
      <c r="J80" s="164">
        <f>IF($A80="","",IFERROR(--ISNUMBER(SEARCH(J$3, XLOOKUP($A80, Metrics!$B$8:$B$57, Metrics!$H$8:$H$57, ""))),0))</f>
        <v/>
      </c>
      <c r="K80" s="164">
        <f>IF($A80="","",IFERROR(--ISNUMBER(SEARCH(K$3, XLOOKUP($A80, Metrics!$B$8:$B$57, Metrics!$H$8:$H$57, ""))),0))</f>
        <v/>
      </c>
      <c r="L80" s="164">
        <f>IF($A80="","",IFERROR(--ISNUMBER(SEARCH(L$3, XLOOKUP($A80, Metrics!$B$8:$B$57, Metrics!$H$8:$H$57, ""))),0))</f>
        <v/>
      </c>
      <c r="M80" s="164">
        <f>IF($A80="","",IFERROR(--ISNUMBER(SEARCH(M$3, XLOOKUP($A80, Metrics!$B$8:$B$57, Metrics!$H$8:$H$57, ""))),0))</f>
        <v/>
      </c>
      <c r="N80" s="164">
        <f>IF($A80="","",IFERROR(--ISNUMBER(SEARCH(N$3, XLOOKUP($A80, Metrics!$B$8:$B$57, Metrics!$H$8:$H$57, ""))),0))</f>
        <v/>
      </c>
      <c r="O80" s="164">
        <f>IF($A80="","",IFERROR(--ISNUMBER(SEARCH(O$3, XLOOKUP($A80, Metrics!$B$8:$B$57, Metrics!$H$8:$H$57, ""))),0))</f>
        <v/>
      </c>
      <c r="P80" s="164">
        <f>IF($A80="","",IFERROR(--ISNUMBER(SEARCH(P$3, XLOOKUP($A80, Metrics!$B$8:$B$57, Metrics!$H$8:$H$57, ""))),0))</f>
        <v/>
      </c>
      <c r="Q80" s="164">
        <f>IF($A80="","",IFERROR(--ISNUMBER(SEARCH(Q$3, XLOOKUP($A80, Metrics!$B$8:$B$57, Metrics!$H$8:$H$57, ""))),0))</f>
        <v/>
      </c>
      <c r="R80" s="164">
        <f>IF($A80="","",IFERROR(--ISNUMBER(SEARCH(R$3, XLOOKUP($A80, Metrics!$B$8:$B$57, Metrics!$H$8:$H$57, ""))),0))</f>
        <v/>
      </c>
      <c r="S80" s="164">
        <f>IF($A80="","",IFERROR(--ISNUMBER(SEARCH(S$3, XLOOKUP($A80, Metrics!$B$8:$B$57, Metrics!$H$8:$H$57, ""))),0))</f>
        <v/>
      </c>
      <c r="T80" s="164">
        <f>IF($A80="","",IFERROR(--ISNUMBER(SEARCH(T$3, XLOOKUP($A80, Metrics!$B$8:$B$57, Metrics!$H$8:$H$57, ""))),0))</f>
        <v/>
      </c>
      <c r="U80" s="164">
        <f>IF($A80="","",IFERROR(--ISNUMBER(SEARCH(U$3, XLOOKUP($A80, Metrics!$B$8:$B$57, Metrics!$H$8:$H$57, ""))),0))</f>
        <v/>
      </c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>
        <f>IFERROR(INDEX(Metrics!$AA$8#,ROW()-3),"")</f>
        <v/>
      </c>
      <c r="B81" s="164">
        <f>IF($A81="","",IFERROR(--ISNUMBER(SEARCH(B$3, XLOOKUP($A81, Metrics!$B$8:$B$57, Metrics!$H$8:$H$57, ""))),0))</f>
        <v/>
      </c>
      <c r="C81" s="164">
        <f>IF($A81="","",IFERROR(--ISNUMBER(SEARCH(C$3, XLOOKUP($A81, Metrics!$B$8:$B$57, Metrics!$H$8:$H$57, ""))),0))</f>
        <v/>
      </c>
      <c r="D81" s="164">
        <f>IF($A81="","",IFERROR(--ISNUMBER(SEARCH(D$3, XLOOKUP($A81, Metrics!$B$8:$B$57, Metrics!$H$8:$H$57, ""))),0))</f>
        <v/>
      </c>
      <c r="E81" s="164">
        <f>IF($A81="","",IFERROR(--ISNUMBER(SEARCH(E$3, XLOOKUP($A81, Metrics!$B$8:$B$57, Metrics!$H$8:$H$57, ""))),0))</f>
        <v/>
      </c>
      <c r="F81" s="164">
        <f>IF($A81="","",IFERROR(--ISNUMBER(SEARCH(F$3, XLOOKUP($A81, Metrics!$B$8:$B$57, Metrics!$H$8:$H$57, ""))),0))</f>
        <v/>
      </c>
      <c r="G81" s="164">
        <f>IF($A81="","",IFERROR(--ISNUMBER(SEARCH(G$3, XLOOKUP($A81, Metrics!$B$8:$B$57, Metrics!$H$8:$H$57, ""))),0))</f>
        <v/>
      </c>
      <c r="H81" s="164">
        <f>IF($A81="","",IFERROR(--ISNUMBER(SEARCH(H$3, XLOOKUP($A81, Metrics!$B$8:$B$57, Metrics!$H$8:$H$57, ""))),0))</f>
        <v/>
      </c>
      <c r="I81" s="164">
        <f>IF($A81="","",IFERROR(--ISNUMBER(SEARCH(I$3, XLOOKUP($A81, Metrics!$B$8:$B$57, Metrics!$H$8:$H$57, ""))),0))</f>
        <v/>
      </c>
      <c r="J81" s="164">
        <f>IF($A81="","",IFERROR(--ISNUMBER(SEARCH(J$3, XLOOKUP($A81, Metrics!$B$8:$B$57, Metrics!$H$8:$H$57, ""))),0))</f>
        <v/>
      </c>
      <c r="K81" s="164">
        <f>IF($A81="","",IFERROR(--ISNUMBER(SEARCH(K$3, XLOOKUP($A81, Metrics!$B$8:$B$57, Metrics!$H$8:$H$57, ""))),0))</f>
        <v/>
      </c>
      <c r="L81" s="164">
        <f>IF($A81="","",IFERROR(--ISNUMBER(SEARCH(L$3, XLOOKUP($A81, Metrics!$B$8:$B$57, Metrics!$H$8:$H$57, ""))),0))</f>
        <v/>
      </c>
      <c r="M81" s="164">
        <f>IF($A81="","",IFERROR(--ISNUMBER(SEARCH(M$3, XLOOKUP($A81, Metrics!$B$8:$B$57, Metrics!$H$8:$H$57, ""))),0))</f>
        <v/>
      </c>
      <c r="N81" s="164">
        <f>IF($A81="","",IFERROR(--ISNUMBER(SEARCH(N$3, XLOOKUP($A81, Metrics!$B$8:$B$57, Metrics!$H$8:$H$57, ""))),0))</f>
        <v/>
      </c>
      <c r="O81" s="164">
        <f>IF($A81="","",IFERROR(--ISNUMBER(SEARCH(O$3, XLOOKUP($A81, Metrics!$B$8:$B$57, Metrics!$H$8:$H$57, ""))),0))</f>
        <v/>
      </c>
      <c r="P81" s="164">
        <f>IF($A81="","",IFERROR(--ISNUMBER(SEARCH(P$3, XLOOKUP($A81, Metrics!$B$8:$B$57, Metrics!$H$8:$H$57, ""))),0))</f>
        <v/>
      </c>
      <c r="Q81" s="164">
        <f>IF($A81="","",IFERROR(--ISNUMBER(SEARCH(Q$3, XLOOKUP($A81, Metrics!$B$8:$B$57, Metrics!$H$8:$H$57, ""))),0))</f>
        <v/>
      </c>
      <c r="R81" s="164">
        <f>IF($A81="","",IFERROR(--ISNUMBER(SEARCH(R$3, XLOOKUP($A81, Metrics!$B$8:$B$57, Metrics!$H$8:$H$57, ""))),0))</f>
        <v/>
      </c>
      <c r="S81" s="164">
        <f>IF($A81="","",IFERROR(--ISNUMBER(SEARCH(S$3, XLOOKUP($A81, Metrics!$B$8:$B$57, Metrics!$H$8:$H$57, ""))),0))</f>
        <v/>
      </c>
      <c r="T81" s="164">
        <f>IF($A81="","",IFERROR(--ISNUMBER(SEARCH(T$3, XLOOKUP($A81, Metrics!$B$8:$B$57, Metrics!$H$8:$H$57, ""))),0))</f>
        <v/>
      </c>
      <c r="U81" s="164">
        <f>IF($A81="","",IFERROR(--ISNUMBER(SEARCH(U$3, XLOOKUP($A81, Metrics!$B$8:$B$57, Metrics!$H$8:$H$57, ""))),0))</f>
        <v/>
      </c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>
        <f>IFERROR(INDEX(Metrics!$AA$8#,ROW()-3),"")</f>
        <v/>
      </c>
      <c r="B82" s="164">
        <f>IF($A82="","",IFERROR(--ISNUMBER(SEARCH(B$3, XLOOKUP($A82, Metrics!$B$8:$B$57, Metrics!$H$8:$H$57, ""))),0))</f>
        <v/>
      </c>
      <c r="C82" s="164">
        <f>IF($A82="","",IFERROR(--ISNUMBER(SEARCH(C$3, XLOOKUP($A82, Metrics!$B$8:$B$57, Metrics!$H$8:$H$57, ""))),0))</f>
        <v/>
      </c>
      <c r="D82" s="164">
        <f>IF($A82="","",IFERROR(--ISNUMBER(SEARCH(D$3, XLOOKUP($A82, Metrics!$B$8:$B$57, Metrics!$H$8:$H$57, ""))),0))</f>
        <v/>
      </c>
      <c r="E82" s="164">
        <f>IF($A82="","",IFERROR(--ISNUMBER(SEARCH(E$3, XLOOKUP($A82, Metrics!$B$8:$B$57, Metrics!$H$8:$H$57, ""))),0))</f>
        <v/>
      </c>
      <c r="F82" s="164">
        <f>IF($A82="","",IFERROR(--ISNUMBER(SEARCH(F$3, XLOOKUP($A82, Metrics!$B$8:$B$57, Metrics!$H$8:$H$57, ""))),0))</f>
        <v/>
      </c>
      <c r="G82" s="164">
        <f>IF($A82="","",IFERROR(--ISNUMBER(SEARCH(G$3, XLOOKUP($A82, Metrics!$B$8:$B$57, Metrics!$H$8:$H$57, ""))),0))</f>
        <v/>
      </c>
      <c r="H82" s="164">
        <f>IF($A82="","",IFERROR(--ISNUMBER(SEARCH(H$3, XLOOKUP($A82, Metrics!$B$8:$B$57, Metrics!$H$8:$H$57, ""))),0))</f>
        <v/>
      </c>
      <c r="I82" s="164">
        <f>IF($A82="","",IFERROR(--ISNUMBER(SEARCH(I$3, XLOOKUP($A82, Metrics!$B$8:$B$57, Metrics!$H$8:$H$57, ""))),0))</f>
        <v/>
      </c>
      <c r="J82" s="164">
        <f>IF($A82="","",IFERROR(--ISNUMBER(SEARCH(J$3, XLOOKUP($A82, Metrics!$B$8:$B$57, Metrics!$H$8:$H$57, ""))),0))</f>
        <v/>
      </c>
      <c r="K82" s="164">
        <f>IF($A82="","",IFERROR(--ISNUMBER(SEARCH(K$3, XLOOKUP($A82, Metrics!$B$8:$B$57, Metrics!$H$8:$H$57, ""))),0))</f>
        <v/>
      </c>
      <c r="L82" s="164">
        <f>IF($A82="","",IFERROR(--ISNUMBER(SEARCH(L$3, XLOOKUP($A82, Metrics!$B$8:$B$57, Metrics!$H$8:$H$57, ""))),0))</f>
        <v/>
      </c>
      <c r="M82" s="164">
        <f>IF($A82="","",IFERROR(--ISNUMBER(SEARCH(M$3, XLOOKUP($A82, Metrics!$B$8:$B$57, Metrics!$H$8:$H$57, ""))),0))</f>
        <v/>
      </c>
      <c r="N82" s="164">
        <f>IF($A82="","",IFERROR(--ISNUMBER(SEARCH(N$3, XLOOKUP($A82, Metrics!$B$8:$B$57, Metrics!$H$8:$H$57, ""))),0))</f>
        <v/>
      </c>
      <c r="O82" s="164">
        <f>IF($A82="","",IFERROR(--ISNUMBER(SEARCH(O$3, XLOOKUP($A82, Metrics!$B$8:$B$57, Metrics!$H$8:$H$57, ""))),0))</f>
        <v/>
      </c>
      <c r="P82" s="164">
        <f>IF($A82="","",IFERROR(--ISNUMBER(SEARCH(P$3, XLOOKUP($A82, Metrics!$B$8:$B$57, Metrics!$H$8:$H$57, ""))),0))</f>
        <v/>
      </c>
      <c r="Q82" s="164">
        <f>IF($A82="","",IFERROR(--ISNUMBER(SEARCH(Q$3, XLOOKUP($A82, Metrics!$B$8:$B$57, Metrics!$H$8:$H$57, ""))),0))</f>
        <v/>
      </c>
      <c r="R82" s="164">
        <f>IF($A82="","",IFERROR(--ISNUMBER(SEARCH(R$3, XLOOKUP($A82, Metrics!$B$8:$B$57, Metrics!$H$8:$H$57, ""))),0))</f>
        <v/>
      </c>
      <c r="S82" s="164">
        <f>IF($A82="","",IFERROR(--ISNUMBER(SEARCH(S$3, XLOOKUP($A82, Metrics!$B$8:$B$57, Metrics!$H$8:$H$57, ""))),0))</f>
        <v/>
      </c>
      <c r="T82" s="164">
        <f>IF($A82="","",IFERROR(--ISNUMBER(SEARCH(T$3, XLOOKUP($A82, Metrics!$B$8:$B$57, Metrics!$H$8:$H$57, ""))),0))</f>
        <v/>
      </c>
      <c r="U82" s="164">
        <f>IF($A82="","",IFERROR(--ISNUMBER(SEARCH(U$3, XLOOKUP($A82, Metrics!$B$8:$B$57, Metrics!$H$8:$H$57, ""))),0))</f>
        <v/>
      </c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>
        <f>IFERROR(INDEX(Metrics!$AA$8#,ROW()-3),"")</f>
        <v/>
      </c>
      <c r="B83" s="164">
        <f>IF($A83="","",IFERROR(--ISNUMBER(SEARCH(B$3, XLOOKUP($A83, Metrics!$B$8:$B$57, Metrics!$H$8:$H$57, ""))),0))</f>
        <v/>
      </c>
      <c r="C83" s="164">
        <f>IF($A83="","",IFERROR(--ISNUMBER(SEARCH(C$3, XLOOKUP($A83, Metrics!$B$8:$B$57, Metrics!$H$8:$H$57, ""))),0))</f>
        <v/>
      </c>
      <c r="D83" s="164">
        <f>IF($A83="","",IFERROR(--ISNUMBER(SEARCH(D$3, XLOOKUP($A83, Metrics!$B$8:$B$57, Metrics!$H$8:$H$57, ""))),0))</f>
        <v/>
      </c>
      <c r="E83" s="164">
        <f>IF($A83="","",IFERROR(--ISNUMBER(SEARCH(E$3, XLOOKUP($A83, Metrics!$B$8:$B$57, Metrics!$H$8:$H$57, ""))),0))</f>
        <v/>
      </c>
      <c r="F83" s="164">
        <f>IF($A83="","",IFERROR(--ISNUMBER(SEARCH(F$3, XLOOKUP($A83, Metrics!$B$8:$B$57, Metrics!$H$8:$H$57, ""))),0))</f>
        <v/>
      </c>
      <c r="G83" s="164">
        <f>IF($A83="","",IFERROR(--ISNUMBER(SEARCH(G$3, XLOOKUP($A83, Metrics!$B$8:$B$57, Metrics!$H$8:$H$57, ""))),0))</f>
        <v/>
      </c>
      <c r="H83" s="164">
        <f>IF($A83="","",IFERROR(--ISNUMBER(SEARCH(H$3, XLOOKUP($A83, Metrics!$B$8:$B$57, Metrics!$H$8:$H$57, ""))),0))</f>
        <v/>
      </c>
      <c r="I83" s="164">
        <f>IF($A83="","",IFERROR(--ISNUMBER(SEARCH(I$3, XLOOKUP($A83, Metrics!$B$8:$B$57, Metrics!$H$8:$H$57, ""))),0))</f>
        <v/>
      </c>
      <c r="J83" s="164">
        <f>IF($A83="","",IFERROR(--ISNUMBER(SEARCH(J$3, XLOOKUP($A83, Metrics!$B$8:$B$57, Metrics!$H$8:$H$57, ""))),0))</f>
        <v/>
      </c>
      <c r="K83" s="164">
        <f>IF($A83="","",IFERROR(--ISNUMBER(SEARCH(K$3, XLOOKUP($A83, Metrics!$B$8:$B$57, Metrics!$H$8:$H$57, ""))),0))</f>
        <v/>
      </c>
      <c r="L83" s="164">
        <f>IF($A83="","",IFERROR(--ISNUMBER(SEARCH(L$3, XLOOKUP($A83, Metrics!$B$8:$B$57, Metrics!$H$8:$H$57, ""))),0))</f>
        <v/>
      </c>
      <c r="M83" s="164">
        <f>IF($A83="","",IFERROR(--ISNUMBER(SEARCH(M$3, XLOOKUP($A83, Metrics!$B$8:$B$57, Metrics!$H$8:$H$57, ""))),0))</f>
        <v/>
      </c>
      <c r="N83" s="164">
        <f>IF($A83="","",IFERROR(--ISNUMBER(SEARCH(N$3, XLOOKUP($A83, Metrics!$B$8:$B$57, Metrics!$H$8:$H$57, ""))),0))</f>
        <v/>
      </c>
      <c r="O83" s="164">
        <f>IF($A83="","",IFERROR(--ISNUMBER(SEARCH(O$3, XLOOKUP($A83, Metrics!$B$8:$B$57, Metrics!$H$8:$H$57, ""))),0))</f>
        <v/>
      </c>
      <c r="P83" s="164">
        <f>IF($A83="","",IFERROR(--ISNUMBER(SEARCH(P$3, XLOOKUP($A83, Metrics!$B$8:$B$57, Metrics!$H$8:$H$57, ""))),0))</f>
        <v/>
      </c>
      <c r="Q83" s="164">
        <f>IF($A83="","",IFERROR(--ISNUMBER(SEARCH(Q$3, XLOOKUP($A83, Metrics!$B$8:$B$57, Metrics!$H$8:$H$57, ""))),0))</f>
        <v/>
      </c>
      <c r="R83" s="164">
        <f>IF($A83="","",IFERROR(--ISNUMBER(SEARCH(R$3, XLOOKUP($A83, Metrics!$B$8:$B$57, Metrics!$H$8:$H$57, ""))),0))</f>
        <v/>
      </c>
      <c r="S83" s="164">
        <f>IF($A83="","",IFERROR(--ISNUMBER(SEARCH(S$3, XLOOKUP($A83, Metrics!$B$8:$B$57, Metrics!$H$8:$H$57, ""))),0))</f>
        <v/>
      </c>
      <c r="T83" s="164">
        <f>IF($A83="","",IFERROR(--ISNUMBER(SEARCH(T$3, XLOOKUP($A83, Metrics!$B$8:$B$57, Metrics!$H$8:$H$57, ""))),0))</f>
        <v/>
      </c>
      <c r="U83" s="164">
        <f>IF($A83="","",IFERROR(--ISNUMBER(SEARCH(U$3, XLOOKUP($A83, Metrics!$B$8:$B$57, Metrics!$H$8:$H$57, ""))),0))</f>
        <v/>
      </c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>
        <f>IFERROR(INDEX(Metrics!$AA$8#,ROW()-3),"")</f>
        <v/>
      </c>
      <c r="B84" s="164">
        <f>IF($A84="","",IFERROR(--ISNUMBER(SEARCH(B$3, XLOOKUP($A84, Metrics!$B$8:$B$57, Metrics!$H$8:$H$57, ""))),0))</f>
        <v/>
      </c>
      <c r="C84" s="164">
        <f>IF($A84="","",IFERROR(--ISNUMBER(SEARCH(C$3, XLOOKUP($A84, Metrics!$B$8:$B$57, Metrics!$H$8:$H$57, ""))),0))</f>
        <v/>
      </c>
      <c r="D84" s="164">
        <f>IF($A84="","",IFERROR(--ISNUMBER(SEARCH(D$3, XLOOKUP($A84, Metrics!$B$8:$B$57, Metrics!$H$8:$H$57, ""))),0))</f>
        <v/>
      </c>
      <c r="E84" s="164">
        <f>IF($A84="","",IFERROR(--ISNUMBER(SEARCH(E$3, XLOOKUP($A84, Metrics!$B$8:$B$57, Metrics!$H$8:$H$57, ""))),0))</f>
        <v/>
      </c>
      <c r="F84" s="164">
        <f>IF($A84="","",IFERROR(--ISNUMBER(SEARCH(F$3, XLOOKUP($A84, Metrics!$B$8:$B$57, Metrics!$H$8:$H$57, ""))),0))</f>
        <v/>
      </c>
      <c r="G84" s="164">
        <f>IF($A84="","",IFERROR(--ISNUMBER(SEARCH(G$3, XLOOKUP($A84, Metrics!$B$8:$B$57, Metrics!$H$8:$H$57, ""))),0))</f>
        <v/>
      </c>
      <c r="H84" s="164">
        <f>IF($A84="","",IFERROR(--ISNUMBER(SEARCH(H$3, XLOOKUP($A84, Metrics!$B$8:$B$57, Metrics!$H$8:$H$57, ""))),0))</f>
        <v/>
      </c>
      <c r="I84" s="164">
        <f>IF($A84="","",IFERROR(--ISNUMBER(SEARCH(I$3, XLOOKUP($A84, Metrics!$B$8:$B$57, Metrics!$H$8:$H$57, ""))),0))</f>
        <v/>
      </c>
      <c r="J84" s="164">
        <f>IF($A84="","",IFERROR(--ISNUMBER(SEARCH(J$3, XLOOKUP($A84, Metrics!$B$8:$B$57, Metrics!$H$8:$H$57, ""))),0))</f>
        <v/>
      </c>
      <c r="K84" s="164">
        <f>IF($A84="","",IFERROR(--ISNUMBER(SEARCH(K$3, XLOOKUP($A84, Metrics!$B$8:$B$57, Metrics!$H$8:$H$57, ""))),0))</f>
        <v/>
      </c>
      <c r="L84" s="164">
        <f>IF($A84="","",IFERROR(--ISNUMBER(SEARCH(L$3, XLOOKUP($A84, Metrics!$B$8:$B$57, Metrics!$H$8:$H$57, ""))),0))</f>
        <v/>
      </c>
      <c r="M84" s="164">
        <f>IF($A84="","",IFERROR(--ISNUMBER(SEARCH(M$3, XLOOKUP($A84, Metrics!$B$8:$B$57, Metrics!$H$8:$H$57, ""))),0))</f>
        <v/>
      </c>
      <c r="N84" s="164">
        <f>IF($A84="","",IFERROR(--ISNUMBER(SEARCH(N$3, XLOOKUP($A84, Metrics!$B$8:$B$57, Metrics!$H$8:$H$57, ""))),0))</f>
        <v/>
      </c>
      <c r="O84" s="164">
        <f>IF($A84="","",IFERROR(--ISNUMBER(SEARCH(O$3, XLOOKUP($A84, Metrics!$B$8:$B$57, Metrics!$H$8:$H$57, ""))),0))</f>
        <v/>
      </c>
      <c r="P84" s="164">
        <f>IF($A84="","",IFERROR(--ISNUMBER(SEARCH(P$3, XLOOKUP($A84, Metrics!$B$8:$B$57, Metrics!$H$8:$H$57, ""))),0))</f>
        <v/>
      </c>
      <c r="Q84" s="164">
        <f>IF($A84="","",IFERROR(--ISNUMBER(SEARCH(Q$3, XLOOKUP($A84, Metrics!$B$8:$B$57, Metrics!$H$8:$H$57, ""))),0))</f>
        <v/>
      </c>
      <c r="R84" s="164">
        <f>IF($A84="","",IFERROR(--ISNUMBER(SEARCH(R$3, XLOOKUP($A84, Metrics!$B$8:$B$57, Metrics!$H$8:$H$57, ""))),0))</f>
        <v/>
      </c>
      <c r="S84" s="164">
        <f>IF($A84="","",IFERROR(--ISNUMBER(SEARCH(S$3, XLOOKUP($A84, Metrics!$B$8:$B$57, Metrics!$H$8:$H$57, ""))),0))</f>
        <v/>
      </c>
      <c r="T84" s="164">
        <f>IF($A84="","",IFERROR(--ISNUMBER(SEARCH(T$3, XLOOKUP($A84, Metrics!$B$8:$B$57, Metrics!$H$8:$H$57, ""))),0))</f>
        <v/>
      </c>
      <c r="U84" s="164">
        <f>IF($A84="","",IFERROR(--ISNUMBER(SEARCH(U$3, XLOOKUP($A84, Metrics!$B$8:$B$57, Metrics!$H$8:$H$57, ""))),0))</f>
        <v/>
      </c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>
        <f>IFERROR(INDEX(Metrics!$AA$8#,ROW()-3),"")</f>
        <v/>
      </c>
      <c r="B85" s="164">
        <f>IF($A85="","",IFERROR(--ISNUMBER(SEARCH(B$3, XLOOKUP($A85, Metrics!$B$8:$B$57, Metrics!$H$8:$H$57, ""))),0))</f>
        <v/>
      </c>
      <c r="C85" s="164">
        <f>IF($A85="","",IFERROR(--ISNUMBER(SEARCH(C$3, XLOOKUP($A85, Metrics!$B$8:$B$57, Metrics!$H$8:$H$57, ""))),0))</f>
        <v/>
      </c>
      <c r="D85" s="164">
        <f>IF($A85="","",IFERROR(--ISNUMBER(SEARCH(D$3, XLOOKUP($A85, Metrics!$B$8:$B$57, Metrics!$H$8:$H$57, ""))),0))</f>
        <v/>
      </c>
      <c r="E85" s="164">
        <f>IF($A85="","",IFERROR(--ISNUMBER(SEARCH(E$3, XLOOKUP($A85, Metrics!$B$8:$B$57, Metrics!$H$8:$H$57, ""))),0))</f>
        <v/>
      </c>
      <c r="F85" s="164">
        <f>IF($A85="","",IFERROR(--ISNUMBER(SEARCH(F$3, XLOOKUP($A85, Metrics!$B$8:$B$57, Metrics!$H$8:$H$57, ""))),0))</f>
        <v/>
      </c>
      <c r="G85" s="164">
        <f>IF($A85="","",IFERROR(--ISNUMBER(SEARCH(G$3, XLOOKUP($A85, Metrics!$B$8:$B$57, Metrics!$H$8:$H$57, ""))),0))</f>
        <v/>
      </c>
      <c r="H85" s="164">
        <f>IF($A85="","",IFERROR(--ISNUMBER(SEARCH(H$3, XLOOKUP($A85, Metrics!$B$8:$B$57, Metrics!$H$8:$H$57, ""))),0))</f>
        <v/>
      </c>
      <c r="I85" s="164">
        <f>IF($A85="","",IFERROR(--ISNUMBER(SEARCH(I$3, XLOOKUP($A85, Metrics!$B$8:$B$57, Metrics!$H$8:$H$57, ""))),0))</f>
        <v/>
      </c>
      <c r="J85" s="164">
        <f>IF($A85="","",IFERROR(--ISNUMBER(SEARCH(J$3, XLOOKUP($A85, Metrics!$B$8:$B$57, Metrics!$H$8:$H$57, ""))),0))</f>
        <v/>
      </c>
      <c r="K85" s="164">
        <f>IF($A85="","",IFERROR(--ISNUMBER(SEARCH(K$3, XLOOKUP($A85, Metrics!$B$8:$B$57, Metrics!$H$8:$H$57, ""))),0))</f>
        <v/>
      </c>
      <c r="L85" s="164">
        <f>IF($A85="","",IFERROR(--ISNUMBER(SEARCH(L$3, XLOOKUP($A85, Metrics!$B$8:$B$57, Metrics!$H$8:$H$57, ""))),0))</f>
        <v/>
      </c>
      <c r="M85" s="164">
        <f>IF($A85="","",IFERROR(--ISNUMBER(SEARCH(M$3, XLOOKUP($A85, Metrics!$B$8:$B$57, Metrics!$H$8:$H$57, ""))),0))</f>
        <v/>
      </c>
      <c r="N85" s="164">
        <f>IF($A85="","",IFERROR(--ISNUMBER(SEARCH(N$3, XLOOKUP($A85, Metrics!$B$8:$B$57, Metrics!$H$8:$H$57, ""))),0))</f>
        <v/>
      </c>
      <c r="O85" s="164">
        <f>IF($A85="","",IFERROR(--ISNUMBER(SEARCH(O$3, XLOOKUP($A85, Metrics!$B$8:$B$57, Metrics!$H$8:$H$57, ""))),0))</f>
        <v/>
      </c>
      <c r="P85" s="164">
        <f>IF($A85="","",IFERROR(--ISNUMBER(SEARCH(P$3, XLOOKUP($A85, Metrics!$B$8:$B$57, Metrics!$H$8:$H$57, ""))),0))</f>
        <v/>
      </c>
      <c r="Q85" s="164">
        <f>IF($A85="","",IFERROR(--ISNUMBER(SEARCH(Q$3, XLOOKUP($A85, Metrics!$B$8:$B$57, Metrics!$H$8:$H$57, ""))),0))</f>
        <v/>
      </c>
      <c r="R85" s="164">
        <f>IF($A85="","",IFERROR(--ISNUMBER(SEARCH(R$3, XLOOKUP($A85, Metrics!$B$8:$B$57, Metrics!$H$8:$H$57, ""))),0))</f>
        <v/>
      </c>
      <c r="S85" s="164">
        <f>IF($A85="","",IFERROR(--ISNUMBER(SEARCH(S$3, XLOOKUP($A85, Metrics!$B$8:$B$57, Metrics!$H$8:$H$57, ""))),0))</f>
        <v/>
      </c>
      <c r="T85" s="164">
        <f>IF($A85="","",IFERROR(--ISNUMBER(SEARCH(T$3, XLOOKUP($A85, Metrics!$B$8:$B$57, Metrics!$H$8:$H$57, ""))),0))</f>
        <v/>
      </c>
      <c r="U85" s="164">
        <f>IF($A85="","",IFERROR(--ISNUMBER(SEARCH(U$3, XLOOKUP($A85, Metrics!$B$8:$B$57, Metrics!$H$8:$H$57, ""))),0))</f>
        <v/>
      </c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>
        <f>IFERROR(INDEX(Metrics!$AA$8#,ROW()-3),"")</f>
        <v/>
      </c>
      <c r="B86" s="164">
        <f>IF($A86="","",IFERROR(--ISNUMBER(SEARCH(B$3, XLOOKUP($A86, Metrics!$B$8:$B$57, Metrics!$H$8:$H$57, ""))),0))</f>
        <v/>
      </c>
      <c r="C86" s="164">
        <f>IF($A86="","",IFERROR(--ISNUMBER(SEARCH(C$3, XLOOKUP($A86, Metrics!$B$8:$B$57, Metrics!$H$8:$H$57, ""))),0))</f>
        <v/>
      </c>
      <c r="D86" s="164">
        <f>IF($A86="","",IFERROR(--ISNUMBER(SEARCH(D$3, XLOOKUP($A86, Metrics!$B$8:$B$57, Metrics!$H$8:$H$57, ""))),0))</f>
        <v/>
      </c>
      <c r="E86" s="164">
        <f>IF($A86="","",IFERROR(--ISNUMBER(SEARCH(E$3, XLOOKUP($A86, Metrics!$B$8:$B$57, Metrics!$H$8:$H$57, ""))),0))</f>
        <v/>
      </c>
      <c r="F86" s="164">
        <f>IF($A86="","",IFERROR(--ISNUMBER(SEARCH(F$3, XLOOKUP($A86, Metrics!$B$8:$B$57, Metrics!$H$8:$H$57, ""))),0))</f>
        <v/>
      </c>
      <c r="G86" s="164">
        <f>IF($A86="","",IFERROR(--ISNUMBER(SEARCH(G$3, XLOOKUP($A86, Metrics!$B$8:$B$57, Metrics!$H$8:$H$57, ""))),0))</f>
        <v/>
      </c>
      <c r="H86" s="164">
        <f>IF($A86="","",IFERROR(--ISNUMBER(SEARCH(H$3, XLOOKUP($A86, Metrics!$B$8:$B$57, Metrics!$H$8:$H$57, ""))),0))</f>
        <v/>
      </c>
      <c r="I86" s="164">
        <f>IF($A86="","",IFERROR(--ISNUMBER(SEARCH(I$3, XLOOKUP($A86, Metrics!$B$8:$B$57, Metrics!$H$8:$H$57, ""))),0))</f>
        <v/>
      </c>
      <c r="J86" s="164">
        <f>IF($A86="","",IFERROR(--ISNUMBER(SEARCH(J$3, XLOOKUP($A86, Metrics!$B$8:$B$57, Metrics!$H$8:$H$57, ""))),0))</f>
        <v/>
      </c>
      <c r="K86" s="164">
        <f>IF($A86="","",IFERROR(--ISNUMBER(SEARCH(K$3, XLOOKUP($A86, Metrics!$B$8:$B$57, Metrics!$H$8:$H$57, ""))),0))</f>
        <v/>
      </c>
      <c r="L86" s="164">
        <f>IF($A86="","",IFERROR(--ISNUMBER(SEARCH(L$3, XLOOKUP($A86, Metrics!$B$8:$B$57, Metrics!$H$8:$H$57, ""))),0))</f>
        <v/>
      </c>
      <c r="M86" s="164">
        <f>IF($A86="","",IFERROR(--ISNUMBER(SEARCH(M$3, XLOOKUP($A86, Metrics!$B$8:$B$57, Metrics!$H$8:$H$57, ""))),0))</f>
        <v/>
      </c>
      <c r="N86" s="164">
        <f>IF($A86="","",IFERROR(--ISNUMBER(SEARCH(N$3, XLOOKUP($A86, Metrics!$B$8:$B$57, Metrics!$H$8:$H$57, ""))),0))</f>
        <v/>
      </c>
      <c r="O86" s="164">
        <f>IF($A86="","",IFERROR(--ISNUMBER(SEARCH(O$3, XLOOKUP($A86, Metrics!$B$8:$B$57, Metrics!$H$8:$H$57, ""))),0))</f>
        <v/>
      </c>
      <c r="P86" s="164">
        <f>IF($A86="","",IFERROR(--ISNUMBER(SEARCH(P$3, XLOOKUP($A86, Metrics!$B$8:$B$57, Metrics!$H$8:$H$57, ""))),0))</f>
        <v/>
      </c>
      <c r="Q86" s="164">
        <f>IF($A86="","",IFERROR(--ISNUMBER(SEARCH(Q$3, XLOOKUP($A86, Metrics!$B$8:$B$57, Metrics!$H$8:$H$57, ""))),0))</f>
        <v/>
      </c>
      <c r="R86" s="164">
        <f>IF($A86="","",IFERROR(--ISNUMBER(SEARCH(R$3, XLOOKUP($A86, Metrics!$B$8:$B$57, Metrics!$H$8:$H$57, ""))),0))</f>
        <v/>
      </c>
      <c r="S86" s="164">
        <f>IF($A86="","",IFERROR(--ISNUMBER(SEARCH(S$3, XLOOKUP($A86, Metrics!$B$8:$B$57, Metrics!$H$8:$H$57, ""))),0))</f>
        <v/>
      </c>
      <c r="T86" s="164">
        <f>IF($A86="","",IFERROR(--ISNUMBER(SEARCH(T$3, XLOOKUP($A86, Metrics!$B$8:$B$57, Metrics!$H$8:$H$57, ""))),0))</f>
        <v/>
      </c>
      <c r="U86" s="164">
        <f>IF($A86="","",IFERROR(--ISNUMBER(SEARCH(U$3, XLOOKUP($A86, Metrics!$B$8:$B$57, Metrics!$H$8:$H$57, ""))),0))</f>
        <v/>
      </c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>
        <f>IFERROR(INDEX(Metrics!$AA$8#,ROW()-3),"")</f>
        <v/>
      </c>
      <c r="B87" s="164">
        <f>IF($A87="","",IFERROR(--ISNUMBER(SEARCH(B$3, XLOOKUP($A87, Metrics!$B$8:$B$57, Metrics!$H$8:$H$57, ""))),0))</f>
        <v/>
      </c>
      <c r="C87" s="164">
        <f>IF($A87="","",IFERROR(--ISNUMBER(SEARCH(C$3, XLOOKUP($A87, Metrics!$B$8:$B$57, Metrics!$H$8:$H$57, ""))),0))</f>
        <v/>
      </c>
      <c r="D87" s="164">
        <f>IF($A87="","",IFERROR(--ISNUMBER(SEARCH(D$3, XLOOKUP($A87, Metrics!$B$8:$B$57, Metrics!$H$8:$H$57, ""))),0))</f>
        <v/>
      </c>
      <c r="E87" s="164">
        <f>IF($A87="","",IFERROR(--ISNUMBER(SEARCH(E$3, XLOOKUP($A87, Metrics!$B$8:$B$57, Metrics!$H$8:$H$57, ""))),0))</f>
        <v/>
      </c>
      <c r="F87" s="164">
        <f>IF($A87="","",IFERROR(--ISNUMBER(SEARCH(F$3, XLOOKUP($A87, Metrics!$B$8:$B$57, Metrics!$H$8:$H$57, ""))),0))</f>
        <v/>
      </c>
      <c r="G87" s="164">
        <f>IF($A87="","",IFERROR(--ISNUMBER(SEARCH(G$3, XLOOKUP($A87, Metrics!$B$8:$B$57, Metrics!$H$8:$H$57, ""))),0))</f>
        <v/>
      </c>
      <c r="H87" s="164">
        <f>IF($A87="","",IFERROR(--ISNUMBER(SEARCH(H$3, XLOOKUP($A87, Metrics!$B$8:$B$57, Metrics!$H$8:$H$57, ""))),0))</f>
        <v/>
      </c>
      <c r="I87" s="164">
        <f>IF($A87="","",IFERROR(--ISNUMBER(SEARCH(I$3, XLOOKUP($A87, Metrics!$B$8:$B$57, Metrics!$H$8:$H$57, ""))),0))</f>
        <v/>
      </c>
      <c r="J87" s="164">
        <f>IF($A87="","",IFERROR(--ISNUMBER(SEARCH(J$3, XLOOKUP($A87, Metrics!$B$8:$B$57, Metrics!$H$8:$H$57, ""))),0))</f>
        <v/>
      </c>
      <c r="K87" s="164">
        <f>IF($A87="","",IFERROR(--ISNUMBER(SEARCH(K$3, XLOOKUP($A87, Metrics!$B$8:$B$57, Metrics!$H$8:$H$57, ""))),0))</f>
        <v/>
      </c>
      <c r="L87" s="164">
        <f>IF($A87="","",IFERROR(--ISNUMBER(SEARCH(L$3, XLOOKUP($A87, Metrics!$B$8:$B$57, Metrics!$H$8:$H$57, ""))),0))</f>
        <v/>
      </c>
      <c r="M87" s="164">
        <f>IF($A87="","",IFERROR(--ISNUMBER(SEARCH(M$3, XLOOKUP($A87, Metrics!$B$8:$B$57, Metrics!$H$8:$H$57, ""))),0))</f>
        <v/>
      </c>
      <c r="N87" s="164">
        <f>IF($A87="","",IFERROR(--ISNUMBER(SEARCH(N$3, XLOOKUP($A87, Metrics!$B$8:$B$57, Metrics!$H$8:$H$57, ""))),0))</f>
        <v/>
      </c>
      <c r="O87" s="164">
        <f>IF($A87="","",IFERROR(--ISNUMBER(SEARCH(O$3, XLOOKUP($A87, Metrics!$B$8:$B$57, Metrics!$H$8:$H$57, ""))),0))</f>
        <v/>
      </c>
      <c r="P87" s="164">
        <f>IF($A87="","",IFERROR(--ISNUMBER(SEARCH(P$3, XLOOKUP($A87, Metrics!$B$8:$B$57, Metrics!$H$8:$H$57, ""))),0))</f>
        <v/>
      </c>
      <c r="Q87" s="164">
        <f>IF($A87="","",IFERROR(--ISNUMBER(SEARCH(Q$3, XLOOKUP($A87, Metrics!$B$8:$B$57, Metrics!$H$8:$H$57, ""))),0))</f>
        <v/>
      </c>
      <c r="R87" s="164">
        <f>IF($A87="","",IFERROR(--ISNUMBER(SEARCH(R$3, XLOOKUP($A87, Metrics!$B$8:$B$57, Metrics!$H$8:$H$57, ""))),0))</f>
        <v/>
      </c>
      <c r="S87" s="164">
        <f>IF($A87="","",IFERROR(--ISNUMBER(SEARCH(S$3, XLOOKUP($A87, Metrics!$B$8:$B$57, Metrics!$H$8:$H$57, ""))),0))</f>
        <v/>
      </c>
      <c r="T87" s="164">
        <f>IF($A87="","",IFERROR(--ISNUMBER(SEARCH(T$3, XLOOKUP($A87, Metrics!$B$8:$B$57, Metrics!$H$8:$H$57, ""))),0))</f>
        <v/>
      </c>
      <c r="U87" s="164">
        <f>IF($A87="","",IFERROR(--ISNUMBER(SEARCH(U$3, XLOOKUP($A87, Metrics!$B$8:$B$57, Metrics!$H$8:$H$57, ""))),0))</f>
        <v/>
      </c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>
        <f>IFERROR(INDEX(Metrics!$AA$8#,ROW()-3),"")</f>
        <v/>
      </c>
      <c r="B88" s="164">
        <f>IF($A88="","",IFERROR(--ISNUMBER(SEARCH(B$3, XLOOKUP($A88, Metrics!$B$8:$B$57, Metrics!$H$8:$H$57, ""))),0))</f>
        <v/>
      </c>
      <c r="C88" s="164">
        <f>IF($A88="","",IFERROR(--ISNUMBER(SEARCH(C$3, XLOOKUP($A88, Metrics!$B$8:$B$57, Metrics!$H$8:$H$57, ""))),0))</f>
        <v/>
      </c>
      <c r="D88" s="164">
        <f>IF($A88="","",IFERROR(--ISNUMBER(SEARCH(D$3, XLOOKUP($A88, Metrics!$B$8:$B$57, Metrics!$H$8:$H$57, ""))),0))</f>
        <v/>
      </c>
      <c r="E88" s="164">
        <f>IF($A88="","",IFERROR(--ISNUMBER(SEARCH(E$3, XLOOKUP($A88, Metrics!$B$8:$B$57, Metrics!$H$8:$H$57, ""))),0))</f>
        <v/>
      </c>
      <c r="F88" s="164">
        <f>IF($A88="","",IFERROR(--ISNUMBER(SEARCH(F$3, XLOOKUP($A88, Metrics!$B$8:$B$57, Metrics!$H$8:$H$57, ""))),0))</f>
        <v/>
      </c>
      <c r="G88" s="164">
        <f>IF($A88="","",IFERROR(--ISNUMBER(SEARCH(G$3, XLOOKUP($A88, Metrics!$B$8:$B$57, Metrics!$H$8:$H$57, ""))),0))</f>
        <v/>
      </c>
      <c r="H88" s="164">
        <f>IF($A88="","",IFERROR(--ISNUMBER(SEARCH(H$3, XLOOKUP($A88, Metrics!$B$8:$B$57, Metrics!$H$8:$H$57, ""))),0))</f>
        <v/>
      </c>
      <c r="I88" s="164">
        <f>IF($A88="","",IFERROR(--ISNUMBER(SEARCH(I$3, XLOOKUP($A88, Metrics!$B$8:$B$57, Metrics!$H$8:$H$57, ""))),0))</f>
        <v/>
      </c>
      <c r="J88" s="164">
        <f>IF($A88="","",IFERROR(--ISNUMBER(SEARCH(J$3, XLOOKUP($A88, Metrics!$B$8:$B$57, Metrics!$H$8:$H$57, ""))),0))</f>
        <v/>
      </c>
      <c r="K88" s="164">
        <f>IF($A88="","",IFERROR(--ISNUMBER(SEARCH(K$3, XLOOKUP($A88, Metrics!$B$8:$B$57, Metrics!$H$8:$H$57, ""))),0))</f>
        <v/>
      </c>
      <c r="L88" s="164">
        <f>IF($A88="","",IFERROR(--ISNUMBER(SEARCH(L$3, XLOOKUP($A88, Metrics!$B$8:$B$57, Metrics!$H$8:$H$57, ""))),0))</f>
        <v/>
      </c>
      <c r="M88" s="164">
        <f>IF($A88="","",IFERROR(--ISNUMBER(SEARCH(M$3, XLOOKUP($A88, Metrics!$B$8:$B$57, Metrics!$H$8:$H$57, ""))),0))</f>
        <v/>
      </c>
      <c r="N88" s="164">
        <f>IF($A88="","",IFERROR(--ISNUMBER(SEARCH(N$3, XLOOKUP($A88, Metrics!$B$8:$B$57, Metrics!$H$8:$H$57, ""))),0))</f>
        <v/>
      </c>
      <c r="O88" s="164">
        <f>IF($A88="","",IFERROR(--ISNUMBER(SEARCH(O$3, XLOOKUP($A88, Metrics!$B$8:$B$57, Metrics!$H$8:$H$57, ""))),0))</f>
        <v/>
      </c>
      <c r="P88" s="164">
        <f>IF($A88="","",IFERROR(--ISNUMBER(SEARCH(P$3, XLOOKUP($A88, Metrics!$B$8:$B$57, Metrics!$H$8:$H$57, ""))),0))</f>
        <v/>
      </c>
      <c r="Q88" s="164">
        <f>IF($A88="","",IFERROR(--ISNUMBER(SEARCH(Q$3, XLOOKUP($A88, Metrics!$B$8:$B$57, Metrics!$H$8:$H$57, ""))),0))</f>
        <v/>
      </c>
      <c r="R88" s="164">
        <f>IF($A88="","",IFERROR(--ISNUMBER(SEARCH(R$3, XLOOKUP($A88, Metrics!$B$8:$B$57, Metrics!$H$8:$H$57, ""))),0))</f>
        <v/>
      </c>
      <c r="S88" s="164">
        <f>IF($A88="","",IFERROR(--ISNUMBER(SEARCH(S$3, XLOOKUP($A88, Metrics!$B$8:$B$57, Metrics!$H$8:$H$57, ""))),0))</f>
        <v/>
      </c>
      <c r="T88" s="164">
        <f>IF($A88="","",IFERROR(--ISNUMBER(SEARCH(T$3, XLOOKUP($A88, Metrics!$B$8:$B$57, Metrics!$H$8:$H$57, ""))),0))</f>
        <v/>
      </c>
      <c r="U88" s="164">
        <f>IF($A88="","",IFERROR(--ISNUMBER(SEARCH(U$3, XLOOKUP($A88, Metrics!$B$8:$B$57, Metrics!$H$8:$H$57, ""))),0))</f>
        <v/>
      </c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>
        <f>IFERROR(INDEX(Metrics!$AA$8#,ROW()-3),"")</f>
        <v/>
      </c>
      <c r="B89" s="164">
        <f>IF($A89="","",IFERROR(--ISNUMBER(SEARCH(B$3, XLOOKUP($A89, Metrics!$B$8:$B$57, Metrics!$H$8:$H$57, ""))),0))</f>
        <v/>
      </c>
      <c r="C89" s="164">
        <f>IF($A89="","",IFERROR(--ISNUMBER(SEARCH(C$3, XLOOKUP($A89, Metrics!$B$8:$B$57, Metrics!$H$8:$H$57, ""))),0))</f>
        <v/>
      </c>
      <c r="D89" s="164">
        <f>IF($A89="","",IFERROR(--ISNUMBER(SEARCH(D$3, XLOOKUP($A89, Metrics!$B$8:$B$57, Metrics!$H$8:$H$57, ""))),0))</f>
        <v/>
      </c>
      <c r="E89" s="164">
        <f>IF($A89="","",IFERROR(--ISNUMBER(SEARCH(E$3, XLOOKUP($A89, Metrics!$B$8:$B$57, Metrics!$H$8:$H$57, ""))),0))</f>
        <v/>
      </c>
      <c r="F89" s="164">
        <f>IF($A89="","",IFERROR(--ISNUMBER(SEARCH(F$3, XLOOKUP($A89, Metrics!$B$8:$B$57, Metrics!$H$8:$H$57, ""))),0))</f>
        <v/>
      </c>
      <c r="G89" s="164">
        <f>IF($A89="","",IFERROR(--ISNUMBER(SEARCH(G$3, XLOOKUP($A89, Metrics!$B$8:$B$57, Metrics!$H$8:$H$57, ""))),0))</f>
        <v/>
      </c>
      <c r="H89" s="164">
        <f>IF($A89="","",IFERROR(--ISNUMBER(SEARCH(H$3, XLOOKUP($A89, Metrics!$B$8:$B$57, Metrics!$H$8:$H$57, ""))),0))</f>
        <v/>
      </c>
      <c r="I89" s="164">
        <f>IF($A89="","",IFERROR(--ISNUMBER(SEARCH(I$3, XLOOKUP($A89, Metrics!$B$8:$B$57, Metrics!$H$8:$H$57, ""))),0))</f>
        <v/>
      </c>
      <c r="J89" s="164">
        <f>IF($A89="","",IFERROR(--ISNUMBER(SEARCH(J$3, XLOOKUP($A89, Metrics!$B$8:$B$57, Metrics!$H$8:$H$57, ""))),0))</f>
        <v/>
      </c>
      <c r="K89" s="164">
        <f>IF($A89="","",IFERROR(--ISNUMBER(SEARCH(K$3, XLOOKUP($A89, Metrics!$B$8:$B$57, Metrics!$H$8:$H$57, ""))),0))</f>
        <v/>
      </c>
      <c r="L89" s="164">
        <f>IF($A89="","",IFERROR(--ISNUMBER(SEARCH(L$3, XLOOKUP($A89, Metrics!$B$8:$B$57, Metrics!$H$8:$H$57, ""))),0))</f>
        <v/>
      </c>
      <c r="M89" s="164">
        <f>IF($A89="","",IFERROR(--ISNUMBER(SEARCH(M$3, XLOOKUP($A89, Metrics!$B$8:$B$57, Metrics!$H$8:$H$57, ""))),0))</f>
        <v/>
      </c>
      <c r="N89" s="164">
        <f>IF($A89="","",IFERROR(--ISNUMBER(SEARCH(N$3, XLOOKUP($A89, Metrics!$B$8:$B$57, Metrics!$H$8:$H$57, ""))),0))</f>
        <v/>
      </c>
      <c r="O89" s="164">
        <f>IF($A89="","",IFERROR(--ISNUMBER(SEARCH(O$3, XLOOKUP($A89, Metrics!$B$8:$B$57, Metrics!$H$8:$H$57, ""))),0))</f>
        <v/>
      </c>
      <c r="P89" s="164">
        <f>IF($A89="","",IFERROR(--ISNUMBER(SEARCH(P$3, XLOOKUP($A89, Metrics!$B$8:$B$57, Metrics!$H$8:$H$57, ""))),0))</f>
        <v/>
      </c>
      <c r="Q89" s="164">
        <f>IF($A89="","",IFERROR(--ISNUMBER(SEARCH(Q$3, XLOOKUP($A89, Metrics!$B$8:$B$57, Metrics!$H$8:$H$57, ""))),0))</f>
        <v/>
      </c>
      <c r="R89" s="164">
        <f>IF($A89="","",IFERROR(--ISNUMBER(SEARCH(R$3, XLOOKUP($A89, Metrics!$B$8:$B$57, Metrics!$H$8:$H$57, ""))),0))</f>
        <v/>
      </c>
      <c r="S89" s="164">
        <f>IF($A89="","",IFERROR(--ISNUMBER(SEARCH(S$3, XLOOKUP($A89, Metrics!$B$8:$B$57, Metrics!$H$8:$H$57, ""))),0))</f>
        <v/>
      </c>
      <c r="T89" s="164">
        <f>IF($A89="","",IFERROR(--ISNUMBER(SEARCH(T$3, XLOOKUP($A89, Metrics!$B$8:$B$57, Metrics!$H$8:$H$57, ""))),0))</f>
        <v/>
      </c>
      <c r="U89" s="164">
        <f>IF($A89="","",IFERROR(--ISNUMBER(SEARCH(U$3, XLOOKUP($A89, Metrics!$B$8:$B$57, Metrics!$H$8:$H$57, ""))),0))</f>
        <v/>
      </c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>
        <f>IFERROR(INDEX(Metrics!$AA$8#,ROW()-3),"")</f>
        <v/>
      </c>
      <c r="B90" s="164">
        <f>IF($A90="","",IFERROR(--ISNUMBER(SEARCH(B$3, XLOOKUP($A90, Metrics!$B$8:$B$57, Metrics!$H$8:$H$57, ""))),0))</f>
        <v/>
      </c>
      <c r="C90" s="164">
        <f>IF($A90="","",IFERROR(--ISNUMBER(SEARCH(C$3, XLOOKUP($A90, Metrics!$B$8:$B$57, Metrics!$H$8:$H$57, ""))),0))</f>
        <v/>
      </c>
      <c r="D90" s="164">
        <f>IF($A90="","",IFERROR(--ISNUMBER(SEARCH(D$3, XLOOKUP($A90, Metrics!$B$8:$B$57, Metrics!$H$8:$H$57, ""))),0))</f>
        <v/>
      </c>
      <c r="E90" s="164">
        <f>IF($A90="","",IFERROR(--ISNUMBER(SEARCH(E$3, XLOOKUP($A90, Metrics!$B$8:$B$57, Metrics!$H$8:$H$57, ""))),0))</f>
        <v/>
      </c>
      <c r="F90" s="164">
        <f>IF($A90="","",IFERROR(--ISNUMBER(SEARCH(F$3, XLOOKUP($A90, Metrics!$B$8:$B$57, Metrics!$H$8:$H$57, ""))),0))</f>
        <v/>
      </c>
      <c r="G90" s="164">
        <f>IF($A90="","",IFERROR(--ISNUMBER(SEARCH(G$3, XLOOKUP($A90, Metrics!$B$8:$B$57, Metrics!$H$8:$H$57, ""))),0))</f>
        <v/>
      </c>
      <c r="H90" s="164">
        <f>IF($A90="","",IFERROR(--ISNUMBER(SEARCH(H$3, XLOOKUP($A90, Metrics!$B$8:$B$57, Metrics!$H$8:$H$57, ""))),0))</f>
        <v/>
      </c>
      <c r="I90" s="164">
        <f>IF($A90="","",IFERROR(--ISNUMBER(SEARCH(I$3, XLOOKUP($A90, Metrics!$B$8:$B$57, Metrics!$H$8:$H$57, ""))),0))</f>
        <v/>
      </c>
      <c r="J90" s="164">
        <f>IF($A90="","",IFERROR(--ISNUMBER(SEARCH(J$3, XLOOKUP($A90, Metrics!$B$8:$B$57, Metrics!$H$8:$H$57, ""))),0))</f>
        <v/>
      </c>
      <c r="K90" s="164">
        <f>IF($A90="","",IFERROR(--ISNUMBER(SEARCH(K$3, XLOOKUP($A90, Metrics!$B$8:$B$57, Metrics!$H$8:$H$57, ""))),0))</f>
        <v/>
      </c>
      <c r="L90" s="164">
        <f>IF($A90="","",IFERROR(--ISNUMBER(SEARCH(L$3, XLOOKUP($A90, Metrics!$B$8:$B$57, Metrics!$H$8:$H$57, ""))),0))</f>
        <v/>
      </c>
      <c r="M90" s="164">
        <f>IF($A90="","",IFERROR(--ISNUMBER(SEARCH(M$3, XLOOKUP($A90, Metrics!$B$8:$B$57, Metrics!$H$8:$H$57, ""))),0))</f>
        <v/>
      </c>
      <c r="N90" s="164">
        <f>IF($A90="","",IFERROR(--ISNUMBER(SEARCH(N$3, XLOOKUP($A90, Metrics!$B$8:$B$57, Metrics!$H$8:$H$57, ""))),0))</f>
        <v/>
      </c>
      <c r="O90" s="164">
        <f>IF($A90="","",IFERROR(--ISNUMBER(SEARCH(O$3, XLOOKUP($A90, Metrics!$B$8:$B$57, Metrics!$H$8:$H$57, ""))),0))</f>
        <v/>
      </c>
      <c r="P90" s="164">
        <f>IF($A90="","",IFERROR(--ISNUMBER(SEARCH(P$3, XLOOKUP($A90, Metrics!$B$8:$B$57, Metrics!$H$8:$H$57, ""))),0))</f>
        <v/>
      </c>
      <c r="Q90" s="164">
        <f>IF($A90="","",IFERROR(--ISNUMBER(SEARCH(Q$3, XLOOKUP($A90, Metrics!$B$8:$B$57, Metrics!$H$8:$H$57, ""))),0))</f>
        <v/>
      </c>
      <c r="R90" s="164">
        <f>IF($A90="","",IFERROR(--ISNUMBER(SEARCH(R$3, XLOOKUP($A90, Metrics!$B$8:$B$57, Metrics!$H$8:$H$57, ""))),0))</f>
        <v/>
      </c>
      <c r="S90" s="164">
        <f>IF($A90="","",IFERROR(--ISNUMBER(SEARCH(S$3, XLOOKUP($A90, Metrics!$B$8:$B$57, Metrics!$H$8:$H$57, ""))),0))</f>
        <v/>
      </c>
      <c r="T90" s="164">
        <f>IF($A90="","",IFERROR(--ISNUMBER(SEARCH(T$3, XLOOKUP($A90, Metrics!$B$8:$B$57, Metrics!$H$8:$H$57, ""))),0))</f>
        <v/>
      </c>
      <c r="U90" s="164">
        <f>IF($A90="","",IFERROR(--ISNUMBER(SEARCH(U$3, XLOOKUP($A90, Metrics!$B$8:$B$57, Metrics!$H$8:$H$57, ""))),0))</f>
        <v/>
      </c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>
        <f>IFERROR(INDEX(Metrics!$AA$8#,ROW()-3),"")</f>
        <v/>
      </c>
      <c r="B91" s="164">
        <f>IF($A91="","",IFERROR(--ISNUMBER(SEARCH(B$3, XLOOKUP($A91, Metrics!$B$8:$B$57, Metrics!$H$8:$H$57, ""))),0))</f>
        <v/>
      </c>
      <c r="C91" s="164">
        <f>IF($A91="","",IFERROR(--ISNUMBER(SEARCH(C$3, XLOOKUP($A91, Metrics!$B$8:$B$57, Metrics!$H$8:$H$57, ""))),0))</f>
        <v/>
      </c>
      <c r="D91" s="164">
        <f>IF($A91="","",IFERROR(--ISNUMBER(SEARCH(D$3, XLOOKUP($A91, Metrics!$B$8:$B$57, Metrics!$H$8:$H$57, ""))),0))</f>
        <v/>
      </c>
      <c r="E91" s="164">
        <f>IF($A91="","",IFERROR(--ISNUMBER(SEARCH(E$3, XLOOKUP($A91, Metrics!$B$8:$B$57, Metrics!$H$8:$H$57, ""))),0))</f>
        <v/>
      </c>
      <c r="F91" s="164">
        <f>IF($A91="","",IFERROR(--ISNUMBER(SEARCH(F$3, XLOOKUP($A91, Metrics!$B$8:$B$57, Metrics!$H$8:$H$57, ""))),0))</f>
        <v/>
      </c>
      <c r="G91" s="164">
        <f>IF($A91="","",IFERROR(--ISNUMBER(SEARCH(G$3, XLOOKUP($A91, Metrics!$B$8:$B$57, Metrics!$H$8:$H$57, ""))),0))</f>
        <v/>
      </c>
      <c r="H91" s="164">
        <f>IF($A91="","",IFERROR(--ISNUMBER(SEARCH(H$3, XLOOKUP($A91, Metrics!$B$8:$B$57, Metrics!$H$8:$H$57, ""))),0))</f>
        <v/>
      </c>
      <c r="I91" s="164">
        <f>IF($A91="","",IFERROR(--ISNUMBER(SEARCH(I$3, XLOOKUP($A91, Metrics!$B$8:$B$57, Metrics!$H$8:$H$57, ""))),0))</f>
        <v/>
      </c>
      <c r="J91" s="164">
        <f>IF($A91="","",IFERROR(--ISNUMBER(SEARCH(J$3, XLOOKUP($A91, Metrics!$B$8:$B$57, Metrics!$H$8:$H$57, ""))),0))</f>
        <v/>
      </c>
      <c r="K91" s="164">
        <f>IF($A91="","",IFERROR(--ISNUMBER(SEARCH(K$3, XLOOKUP($A91, Metrics!$B$8:$B$57, Metrics!$H$8:$H$57, ""))),0))</f>
        <v/>
      </c>
      <c r="L91" s="164">
        <f>IF($A91="","",IFERROR(--ISNUMBER(SEARCH(L$3, XLOOKUP($A91, Metrics!$B$8:$B$57, Metrics!$H$8:$H$57, ""))),0))</f>
        <v/>
      </c>
      <c r="M91" s="164">
        <f>IF($A91="","",IFERROR(--ISNUMBER(SEARCH(M$3, XLOOKUP($A91, Metrics!$B$8:$B$57, Metrics!$H$8:$H$57, ""))),0))</f>
        <v/>
      </c>
      <c r="N91" s="164">
        <f>IF($A91="","",IFERROR(--ISNUMBER(SEARCH(N$3, XLOOKUP($A91, Metrics!$B$8:$B$57, Metrics!$H$8:$H$57, ""))),0))</f>
        <v/>
      </c>
      <c r="O91" s="164">
        <f>IF($A91="","",IFERROR(--ISNUMBER(SEARCH(O$3, XLOOKUP($A91, Metrics!$B$8:$B$57, Metrics!$H$8:$H$57, ""))),0))</f>
        <v/>
      </c>
      <c r="P91" s="164">
        <f>IF($A91="","",IFERROR(--ISNUMBER(SEARCH(P$3, XLOOKUP($A91, Metrics!$B$8:$B$57, Metrics!$H$8:$H$57, ""))),0))</f>
        <v/>
      </c>
      <c r="Q91" s="164">
        <f>IF($A91="","",IFERROR(--ISNUMBER(SEARCH(Q$3, XLOOKUP($A91, Metrics!$B$8:$B$57, Metrics!$H$8:$H$57, ""))),0))</f>
        <v/>
      </c>
      <c r="R91" s="164">
        <f>IF($A91="","",IFERROR(--ISNUMBER(SEARCH(R$3, XLOOKUP($A91, Metrics!$B$8:$B$57, Metrics!$H$8:$H$57, ""))),0))</f>
        <v/>
      </c>
      <c r="S91" s="164">
        <f>IF($A91="","",IFERROR(--ISNUMBER(SEARCH(S$3, XLOOKUP($A91, Metrics!$B$8:$B$57, Metrics!$H$8:$H$57, ""))),0))</f>
        <v/>
      </c>
      <c r="T91" s="164">
        <f>IF($A91="","",IFERROR(--ISNUMBER(SEARCH(T$3, XLOOKUP($A91, Metrics!$B$8:$B$57, Metrics!$H$8:$H$57, ""))),0))</f>
        <v/>
      </c>
      <c r="U91" s="164">
        <f>IF($A91="","",IFERROR(--ISNUMBER(SEARCH(U$3, XLOOKUP($A91, Metrics!$B$8:$B$57, Metrics!$H$8:$H$57, ""))),0))</f>
        <v/>
      </c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>
        <f>IFERROR(INDEX(Metrics!$AA$8#,ROW()-3),"")</f>
        <v/>
      </c>
      <c r="B92" s="164">
        <f>IF($A92="","",IFERROR(--ISNUMBER(SEARCH(B$3, XLOOKUP($A92, Metrics!$B$8:$B$57, Metrics!$H$8:$H$57, ""))),0))</f>
        <v/>
      </c>
      <c r="C92" s="164">
        <f>IF($A92="","",IFERROR(--ISNUMBER(SEARCH(C$3, XLOOKUP($A92, Metrics!$B$8:$B$57, Metrics!$H$8:$H$57, ""))),0))</f>
        <v/>
      </c>
      <c r="D92" s="164">
        <f>IF($A92="","",IFERROR(--ISNUMBER(SEARCH(D$3, XLOOKUP($A92, Metrics!$B$8:$B$57, Metrics!$H$8:$H$57, ""))),0))</f>
        <v/>
      </c>
      <c r="E92" s="164">
        <f>IF($A92="","",IFERROR(--ISNUMBER(SEARCH(E$3, XLOOKUP($A92, Metrics!$B$8:$B$57, Metrics!$H$8:$H$57, ""))),0))</f>
        <v/>
      </c>
      <c r="F92" s="164">
        <f>IF($A92="","",IFERROR(--ISNUMBER(SEARCH(F$3, XLOOKUP($A92, Metrics!$B$8:$B$57, Metrics!$H$8:$H$57, ""))),0))</f>
        <v/>
      </c>
      <c r="G92" s="164">
        <f>IF($A92="","",IFERROR(--ISNUMBER(SEARCH(G$3, XLOOKUP($A92, Metrics!$B$8:$B$57, Metrics!$H$8:$H$57, ""))),0))</f>
        <v/>
      </c>
      <c r="H92" s="164">
        <f>IF($A92="","",IFERROR(--ISNUMBER(SEARCH(H$3, XLOOKUP($A92, Metrics!$B$8:$B$57, Metrics!$H$8:$H$57, ""))),0))</f>
        <v/>
      </c>
      <c r="I92" s="164">
        <f>IF($A92="","",IFERROR(--ISNUMBER(SEARCH(I$3, XLOOKUP($A92, Metrics!$B$8:$B$57, Metrics!$H$8:$H$57, ""))),0))</f>
        <v/>
      </c>
      <c r="J92" s="164">
        <f>IF($A92="","",IFERROR(--ISNUMBER(SEARCH(J$3, XLOOKUP($A92, Metrics!$B$8:$B$57, Metrics!$H$8:$H$57, ""))),0))</f>
        <v/>
      </c>
      <c r="K92" s="164">
        <f>IF($A92="","",IFERROR(--ISNUMBER(SEARCH(K$3, XLOOKUP($A92, Metrics!$B$8:$B$57, Metrics!$H$8:$H$57, ""))),0))</f>
        <v/>
      </c>
      <c r="L92" s="164">
        <f>IF($A92="","",IFERROR(--ISNUMBER(SEARCH(L$3, XLOOKUP($A92, Metrics!$B$8:$B$57, Metrics!$H$8:$H$57, ""))),0))</f>
        <v/>
      </c>
      <c r="M92" s="164">
        <f>IF($A92="","",IFERROR(--ISNUMBER(SEARCH(M$3, XLOOKUP($A92, Metrics!$B$8:$B$57, Metrics!$H$8:$H$57, ""))),0))</f>
        <v/>
      </c>
      <c r="N92" s="164">
        <f>IF($A92="","",IFERROR(--ISNUMBER(SEARCH(N$3, XLOOKUP($A92, Metrics!$B$8:$B$57, Metrics!$H$8:$H$57, ""))),0))</f>
        <v/>
      </c>
      <c r="O92" s="164">
        <f>IF($A92="","",IFERROR(--ISNUMBER(SEARCH(O$3, XLOOKUP($A92, Metrics!$B$8:$B$57, Metrics!$H$8:$H$57, ""))),0))</f>
        <v/>
      </c>
      <c r="P92" s="164">
        <f>IF($A92="","",IFERROR(--ISNUMBER(SEARCH(P$3, XLOOKUP($A92, Metrics!$B$8:$B$57, Metrics!$H$8:$H$57, ""))),0))</f>
        <v/>
      </c>
      <c r="Q92" s="164">
        <f>IF($A92="","",IFERROR(--ISNUMBER(SEARCH(Q$3, XLOOKUP($A92, Metrics!$B$8:$B$57, Metrics!$H$8:$H$57, ""))),0))</f>
        <v/>
      </c>
      <c r="R92" s="164">
        <f>IF($A92="","",IFERROR(--ISNUMBER(SEARCH(R$3, XLOOKUP($A92, Metrics!$B$8:$B$57, Metrics!$H$8:$H$57, ""))),0))</f>
        <v/>
      </c>
      <c r="S92" s="164">
        <f>IF($A92="","",IFERROR(--ISNUMBER(SEARCH(S$3, XLOOKUP($A92, Metrics!$B$8:$B$57, Metrics!$H$8:$H$57, ""))),0))</f>
        <v/>
      </c>
      <c r="T92" s="164">
        <f>IF($A92="","",IFERROR(--ISNUMBER(SEARCH(T$3, XLOOKUP($A92, Metrics!$B$8:$B$57, Metrics!$H$8:$H$57, ""))),0))</f>
        <v/>
      </c>
      <c r="U92" s="164">
        <f>IF($A92="","",IFERROR(--ISNUMBER(SEARCH(U$3, XLOOKUP($A92, Metrics!$B$8:$B$57, Metrics!$H$8:$H$57, ""))),0))</f>
        <v/>
      </c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>
        <f>IFERROR(INDEX(Metrics!$AA$8#,ROW()-3),"")</f>
        <v/>
      </c>
      <c r="B93" s="164">
        <f>IF($A93="","",IFERROR(--ISNUMBER(SEARCH(B$3, XLOOKUP($A93, Metrics!$B$8:$B$57, Metrics!$H$8:$H$57, ""))),0))</f>
        <v/>
      </c>
      <c r="C93" s="164">
        <f>IF($A93="","",IFERROR(--ISNUMBER(SEARCH(C$3, XLOOKUP($A93, Metrics!$B$8:$B$57, Metrics!$H$8:$H$57, ""))),0))</f>
        <v/>
      </c>
      <c r="D93" s="164">
        <f>IF($A93="","",IFERROR(--ISNUMBER(SEARCH(D$3, XLOOKUP($A93, Metrics!$B$8:$B$57, Metrics!$H$8:$H$57, ""))),0))</f>
        <v/>
      </c>
      <c r="E93" s="164">
        <f>IF($A93="","",IFERROR(--ISNUMBER(SEARCH(E$3, XLOOKUP($A93, Metrics!$B$8:$B$57, Metrics!$H$8:$H$57, ""))),0))</f>
        <v/>
      </c>
      <c r="F93" s="164">
        <f>IF($A93="","",IFERROR(--ISNUMBER(SEARCH(F$3, XLOOKUP($A93, Metrics!$B$8:$B$57, Metrics!$H$8:$H$57, ""))),0))</f>
        <v/>
      </c>
      <c r="G93" s="164">
        <f>IF($A93="","",IFERROR(--ISNUMBER(SEARCH(G$3, XLOOKUP($A93, Metrics!$B$8:$B$57, Metrics!$H$8:$H$57, ""))),0))</f>
        <v/>
      </c>
      <c r="H93" s="164">
        <f>IF($A93="","",IFERROR(--ISNUMBER(SEARCH(H$3, XLOOKUP($A93, Metrics!$B$8:$B$57, Metrics!$H$8:$H$57, ""))),0))</f>
        <v/>
      </c>
      <c r="I93" s="164">
        <f>IF($A93="","",IFERROR(--ISNUMBER(SEARCH(I$3, XLOOKUP($A93, Metrics!$B$8:$B$57, Metrics!$H$8:$H$57, ""))),0))</f>
        <v/>
      </c>
      <c r="J93" s="164">
        <f>IF($A93="","",IFERROR(--ISNUMBER(SEARCH(J$3, XLOOKUP($A93, Metrics!$B$8:$B$57, Metrics!$H$8:$H$57, ""))),0))</f>
        <v/>
      </c>
      <c r="K93" s="164">
        <f>IF($A93="","",IFERROR(--ISNUMBER(SEARCH(K$3, XLOOKUP($A93, Metrics!$B$8:$B$57, Metrics!$H$8:$H$57, ""))),0))</f>
        <v/>
      </c>
      <c r="L93" s="164">
        <f>IF($A93="","",IFERROR(--ISNUMBER(SEARCH(L$3, XLOOKUP($A93, Metrics!$B$8:$B$57, Metrics!$H$8:$H$57, ""))),0))</f>
        <v/>
      </c>
      <c r="M93" s="164">
        <f>IF($A93="","",IFERROR(--ISNUMBER(SEARCH(M$3, XLOOKUP($A93, Metrics!$B$8:$B$57, Metrics!$H$8:$H$57, ""))),0))</f>
        <v/>
      </c>
      <c r="N93" s="164">
        <f>IF($A93="","",IFERROR(--ISNUMBER(SEARCH(N$3, XLOOKUP($A93, Metrics!$B$8:$B$57, Metrics!$H$8:$H$57, ""))),0))</f>
        <v/>
      </c>
      <c r="O93" s="164">
        <f>IF($A93="","",IFERROR(--ISNUMBER(SEARCH(O$3, XLOOKUP($A93, Metrics!$B$8:$B$57, Metrics!$H$8:$H$57, ""))),0))</f>
        <v/>
      </c>
      <c r="P93" s="164">
        <f>IF($A93="","",IFERROR(--ISNUMBER(SEARCH(P$3, XLOOKUP($A93, Metrics!$B$8:$B$57, Metrics!$H$8:$H$57, ""))),0))</f>
        <v/>
      </c>
      <c r="Q93" s="164">
        <f>IF($A93="","",IFERROR(--ISNUMBER(SEARCH(Q$3, XLOOKUP($A93, Metrics!$B$8:$B$57, Metrics!$H$8:$H$57, ""))),0))</f>
        <v/>
      </c>
      <c r="R93" s="164">
        <f>IF($A93="","",IFERROR(--ISNUMBER(SEARCH(R$3, XLOOKUP($A93, Metrics!$B$8:$B$57, Metrics!$H$8:$H$57, ""))),0))</f>
        <v/>
      </c>
      <c r="S93" s="164">
        <f>IF($A93="","",IFERROR(--ISNUMBER(SEARCH(S$3, XLOOKUP($A93, Metrics!$B$8:$B$57, Metrics!$H$8:$H$57, ""))),0))</f>
        <v/>
      </c>
      <c r="T93" s="164">
        <f>IF($A93="","",IFERROR(--ISNUMBER(SEARCH(T$3, XLOOKUP($A93, Metrics!$B$8:$B$57, Metrics!$H$8:$H$57, ""))),0))</f>
        <v/>
      </c>
      <c r="U93" s="164">
        <f>IF($A93="","",IFERROR(--ISNUMBER(SEARCH(U$3, XLOOKUP($A93, Metrics!$B$8:$B$57, Metrics!$H$8:$H$57, ""))),0))</f>
        <v/>
      </c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>
        <f>IFERROR(INDEX(Metrics!$AA$8#,ROW()-3),"")</f>
        <v/>
      </c>
      <c r="B94" s="164">
        <f>IF($A94="","",IFERROR(--ISNUMBER(SEARCH(B$3, XLOOKUP($A94, Metrics!$B$8:$B$57, Metrics!$H$8:$H$57, ""))),0))</f>
        <v/>
      </c>
      <c r="C94" s="164">
        <f>IF($A94="","",IFERROR(--ISNUMBER(SEARCH(C$3, XLOOKUP($A94, Metrics!$B$8:$B$57, Metrics!$H$8:$H$57, ""))),0))</f>
        <v/>
      </c>
      <c r="D94" s="164">
        <f>IF($A94="","",IFERROR(--ISNUMBER(SEARCH(D$3, XLOOKUP($A94, Metrics!$B$8:$B$57, Metrics!$H$8:$H$57, ""))),0))</f>
        <v/>
      </c>
      <c r="E94" s="164">
        <f>IF($A94="","",IFERROR(--ISNUMBER(SEARCH(E$3, XLOOKUP($A94, Metrics!$B$8:$B$57, Metrics!$H$8:$H$57, ""))),0))</f>
        <v/>
      </c>
      <c r="F94" s="164">
        <f>IF($A94="","",IFERROR(--ISNUMBER(SEARCH(F$3, XLOOKUP($A94, Metrics!$B$8:$B$57, Metrics!$H$8:$H$57, ""))),0))</f>
        <v/>
      </c>
      <c r="G94" s="164">
        <f>IF($A94="","",IFERROR(--ISNUMBER(SEARCH(G$3, XLOOKUP($A94, Metrics!$B$8:$B$57, Metrics!$H$8:$H$57, ""))),0))</f>
        <v/>
      </c>
      <c r="H94" s="164">
        <f>IF($A94="","",IFERROR(--ISNUMBER(SEARCH(H$3, XLOOKUP($A94, Metrics!$B$8:$B$57, Metrics!$H$8:$H$57, ""))),0))</f>
        <v/>
      </c>
      <c r="I94" s="164">
        <f>IF($A94="","",IFERROR(--ISNUMBER(SEARCH(I$3, XLOOKUP($A94, Metrics!$B$8:$B$57, Metrics!$H$8:$H$57, ""))),0))</f>
        <v/>
      </c>
      <c r="J94" s="164">
        <f>IF($A94="","",IFERROR(--ISNUMBER(SEARCH(J$3, XLOOKUP($A94, Metrics!$B$8:$B$57, Metrics!$H$8:$H$57, ""))),0))</f>
        <v/>
      </c>
      <c r="K94" s="164">
        <f>IF($A94="","",IFERROR(--ISNUMBER(SEARCH(K$3, XLOOKUP($A94, Metrics!$B$8:$B$57, Metrics!$H$8:$H$57, ""))),0))</f>
        <v/>
      </c>
      <c r="L94" s="164">
        <f>IF($A94="","",IFERROR(--ISNUMBER(SEARCH(L$3, XLOOKUP($A94, Metrics!$B$8:$B$57, Metrics!$H$8:$H$57, ""))),0))</f>
        <v/>
      </c>
      <c r="M94" s="164">
        <f>IF($A94="","",IFERROR(--ISNUMBER(SEARCH(M$3, XLOOKUP($A94, Metrics!$B$8:$B$57, Metrics!$H$8:$H$57, ""))),0))</f>
        <v/>
      </c>
      <c r="N94" s="164">
        <f>IF($A94="","",IFERROR(--ISNUMBER(SEARCH(N$3, XLOOKUP($A94, Metrics!$B$8:$B$57, Metrics!$H$8:$H$57, ""))),0))</f>
        <v/>
      </c>
      <c r="O94" s="164">
        <f>IF($A94="","",IFERROR(--ISNUMBER(SEARCH(O$3, XLOOKUP($A94, Metrics!$B$8:$B$57, Metrics!$H$8:$H$57, ""))),0))</f>
        <v/>
      </c>
      <c r="P94" s="164">
        <f>IF($A94="","",IFERROR(--ISNUMBER(SEARCH(P$3, XLOOKUP($A94, Metrics!$B$8:$B$57, Metrics!$H$8:$H$57, ""))),0))</f>
        <v/>
      </c>
      <c r="Q94" s="164">
        <f>IF($A94="","",IFERROR(--ISNUMBER(SEARCH(Q$3, XLOOKUP($A94, Metrics!$B$8:$B$57, Metrics!$H$8:$H$57, ""))),0))</f>
        <v/>
      </c>
      <c r="R94" s="164">
        <f>IF($A94="","",IFERROR(--ISNUMBER(SEARCH(R$3, XLOOKUP($A94, Metrics!$B$8:$B$57, Metrics!$H$8:$H$57, ""))),0))</f>
        <v/>
      </c>
      <c r="S94" s="164">
        <f>IF($A94="","",IFERROR(--ISNUMBER(SEARCH(S$3, XLOOKUP($A94, Metrics!$B$8:$B$57, Metrics!$H$8:$H$57, ""))),0))</f>
        <v/>
      </c>
      <c r="T94" s="164">
        <f>IF($A94="","",IFERROR(--ISNUMBER(SEARCH(T$3, XLOOKUP($A94, Metrics!$B$8:$B$57, Metrics!$H$8:$H$57, ""))),0))</f>
        <v/>
      </c>
      <c r="U94" s="164">
        <f>IF($A94="","",IFERROR(--ISNUMBER(SEARCH(U$3, XLOOKUP($A94, Metrics!$B$8:$B$57, Metrics!$H$8:$H$57, ""))),0))</f>
        <v/>
      </c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>
        <f>IFERROR(INDEX(Metrics!$AA$8#,ROW()-3),"")</f>
        <v/>
      </c>
      <c r="B95" s="164">
        <f>IF($A95="","",IFERROR(--ISNUMBER(SEARCH(B$3, XLOOKUP($A95, Metrics!$B$8:$B$57, Metrics!$H$8:$H$57, ""))),0))</f>
        <v/>
      </c>
      <c r="C95" s="164">
        <f>IF($A95="","",IFERROR(--ISNUMBER(SEARCH(C$3, XLOOKUP($A95, Metrics!$B$8:$B$57, Metrics!$H$8:$H$57, ""))),0))</f>
        <v/>
      </c>
      <c r="D95" s="164">
        <f>IF($A95="","",IFERROR(--ISNUMBER(SEARCH(D$3, XLOOKUP($A95, Metrics!$B$8:$B$57, Metrics!$H$8:$H$57, ""))),0))</f>
        <v/>
      </c>
      <c r="E95" s="164">
        <f>IF($A95="","",IFERROR(--ISNUMBER(SEARCH(E$3, XLOOKUP($A95, Metrics!$B$8:$B$57, Metrics!$H$8:$H$57, ""))),0))</f>
        <v/>
      </c>
      <c r="F95" s="164">
        <f>IF($A95="","",IFERROR(--ISNUMBER(SEARCH(F$3, XLOOKUP($A95, Metrics!$B$8:$B$57, Metrics!$H$8:$H$57, ""))),0))</f>
        <v/>
      </c>
      <c r="G95" s="164">
        <f>IF($A95="","",IFERROR(--ISNUMBER(SEARCH(G$3, XLOOKUP($A95, Metrics!$B$8:$B$57, Metrics!$H$8:$H$57, ""))),0))</f>
        <v/>
      </c>
      <c r="H95" s="164">
        <f>IF($A95="","",IFERROR(--ISNUMBER(SEARCH(H$3, XLOOKUP($A95, Metrics!$B$8:$B$57, Metrics!$H$8:$H$57, ""))),0))</f>
        <v/>
      </c>
      <c r="I95" s="164">
        <f>IF($A95="","",IFERROR(--ISNUMBER(SEARCH(I$3, XLOOKUP($A95, Metrics!$B$8:$B$57, Metrics!$H$8:$H$57, ""))),0))</f>
        <v/>
      </c>
      <c r="J95" s="164">
        <f>IF($A95="","",IFERROR(--ISNUMBER(SEARCH(J$3, XLOOKUP($A95, Metrics!$B$8:$B$57, Metrics!$H$8:$H$57, ""))),0))</f>
        <v/>
      </c>
      <c r="K95" s="164">
        <f>IF($A95="","",IFERROR(--ISNUMBER(SEARCH(K$3, XLOOKUP($A95, Metrics!$B$8:$B$57, Metrics!$H$8:$H$57, ""))),0))</f>
        <v/>
      </c>
      <c r="L95" s="164">
        <f>IF($A95="","",IFERROR(--ISNUMBER(SEARCH(L$3, XLOOKUP($A95, Metrics!$B$8:$B$57, Metrics!$H$8:$H$57, ""))),0))</f>
        <v/>
      </c>
      <c r="M95" s="164">
        <f>IF($A95="","",IFERROR(--ISNUMBER(SEARCH(M$3, XLOOKUP($A95, Metrics!$B$8:$B$57, Metrics!$H$8:$H$57, ""))),0))</f>
        <v/>
      </c>
      <c r="N95" s="164">
        <f>IF($A95="","",IFERROR(--ISNUMBER(SEARCH(N$3, XLOOKUP($A95, Metrics!$B$8:$B$57, Metrics!$H$8:$H$57, ""))),0))</f>
        <v/>
      </c>
      <c r="O95" s="164">
        <f>IF($A95="","",IFERROR(--ISNUMBER(SEARCH(O$3, XLOOKUP($A95, Metrics!$B$8:$B$57, Metrics!$H$8:$H$57, ""))),0))</f>
        <v/>
      </c>
      <c r="P95" s="164">
        <f>IF($A95="","",IFERROR(--ISNUMBER(SEARCH(P$3, XLOOKUP($A95, Metrics!$B$8:$B$57, Metrics!$H$8:$H$57, ""))),0))</f>
        <v/>
      </c>
      <c r="Q95" s="164">
        <f>IF($A95="","",IFERROR(--ISNUMBER(SEARCH(Q$3, XLOOKUP($A95, Metrics!$B$8:$B$57, Metrics!$H$8:$H$57, ""))),0))</f>
        <v/>
      </c>
      <c r="R95" s="164">
        <f>IF($A95="","",IFERROR(--ISNUMBER(SEARCH(R$3, XLOOKUP($A95, Metrics!$B$8:$B$57, Metrics!$H$8:$H$57, ""))),0))</f>
        <v/>
      </c>
      <c r="S95" s="164">
        <f>IF($A95="","",IFERROR(--ISNUMBER(SEARCH(S$3, XLOOKUP($A95, Metrics!$B$8:$B$57, Metrics!$H$8:$H$57, ""))),0))</f>
        <v/>
      </c>
      <c r="T95" s="164">
        <f>IF($A95="","",IFERROR(--ISNUMBER(SEARCH(T$3, XLOOKUP($A95, Metrics!$B$8:$B$57, Metrics!$H$8:$H$57, ""))),0))</f>
        <v/>
      </c>
      <c r="U95" s="164">
        <f>IF($A95="","",IFERROR(--ISNUMBER(SEARCH(U$3, XLOOKUP($A95, Metrics!$B$8:$B$57, Metrics!$H$8:$H$57, ""))),0))</f>
        <v/>
      </c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>
        <f>IFERROR(INDEX(Metrics!$AA$8#,ROW()-3),"")</f>
        <v/>
      </c>
      <c r="B96" s="164">
        <f>IF($A96="","",IFERROR(--ISNUMBER(SEARCH(B$3, XLOOKUP($A96, Metrics!$B$8:$B$57, Metrics!$H$8:$H$57, ""))),0))</f>
        <v/>
      </c>
      <c r="C96" s="164">
        <f>IF($A96="","",IFERROR(--ISNUMBER(SEARCH(C$3, XLOOKUP($A96, Metrics!$B$8:$B$57, Metrics!$H$8:$H$57, ""))),0))</f>
        <v/>
      </c>
      <c r="D96" s="164">
        <f>IF($A96="","",IFERROR(--ISNUMBER(SEARCH(D$3, XLOOKUP($A96, Metrics!$B$8:$B$57, Metrics!$H$8:$H$57, ""))),0))</f>
        <v/>
      </c>
      <c r="E96" s="164">
        <f>IF($A96="","",IFERROR(--ISNUMBER(SEARCH(E$3, XLOOKUP($A96, Metrics!$B$8:$B$57, Metrics!$H$8:$H$57, ""))),0))</f>
        <v/>
      </c>
      <c r="F96" s="164">
        <f>IF($A96="","",IFERROR(--ISNUMBER(SEARCH(F$3, XLOOKUP($A96, Metrics!$B$8:$B$57, Metrics!$H$8:$H$57, ""))),0))</f>
        <v/>
      </c>
      <c r="G96" s="164">
        <f>IF($A96="","",IFERROR(--ISNUMBER(SEARCH(G$3, XLOOKUP($A96, Metrics!$B$8:$B$57, Metrics!$H$8:$H$57, ""))),0))</f>
        <v/>
      </c>
      <c r="H96" s="164">
        <f>IF($A96="","",IFERROR(--ISNUMBER(SEARCH(H$3, XLOOKUP($A96, Metrics!$B$8:$B$57, Metrics!$H$8:$H$57, ""))),0))</f>
        <v/>
      </c>
      <c r="I96" s="164">
        <f>IF($A96="","",IFERROR(--ISNUMBER(SEARCH(I$3, XLOOKUP($A96, Metrics!$B$8:$B$57, Metrics!$H$8:$H$57, ""))),0))</f>
        <v/>
      </c>
      <c r="J96" s="164">
        <f>IF($A96="","",IFERROR(--ISNUMBER(SEARCH(J$3, XLOOKUP($A96, Metrics!$B$8:$B$57, Metrics!$H$8:$H$57, ""))),0))</f>
        <v/>
      </c>
      <c r="K96" s="164">
        <f>IF($A96="","",IFERROR(--ISNUMBER(SEARCH(K$3, XLOOKUP($A96, Metrics!$B$8:$B$57, Metrics!$H$8:$H$57, ""))),0))</f>
        <v/>
      </c>
      <c r="L96" s="164">
        <f>IF($A96="","",IFERROR(--ISNUMBER(SEARCH(L$3, XLOOKUP($A96, Metrics!$B$8:$B$57, Metrics!$H$8:$H$57, ""))),0))</f>
        <v/>
      </c>
      <c r="M96" s="164">
        <f>IF($A96="","",IFERROR(--ISNUMBER(SEARCH(M$3, XLOOKUP($A96, Metrics!$B$8:$B$57, Metrics!$H$8:$H$57, ""))),0))</f>
        <v/>
      </c>
      <c r="N96" s="164">
        <f>IF($A96="","",IFERROR(--ISNUMBER(SEARCH(N$3, XLOOKUP($A96, Metrics!$B$8:$B$57, Metrics!$H$8:$H$57, ""))),0))</f>
        <v/>
      </c>
      <c r="O96" s="164">
        <f>IF($A96="","",IFERROR(--ISNUMBER(SEARCH(O$3, XLOOKUP($A96, Metrics!$B$8:$B$57, Metrics!$H$8:$H$57, ""))),0))</f>
        <v/>
      </c>
      <c r="P96" s="164">
        <f>IF($A96="","",IFERROR(--ISNUMBER(SEARCH(P$3, XLOOKUP($A96, Metrics!$B$8:$B$57, Metrics!$H$8:$H$57, ""))),0))</f>
        <v/>
      </c>
      <c r="Q96" s="164">
        <f>IF($A96="","",IFERROR(--ISNUMBER(SEARCH(Q$3, XLOOKUP($A96, Metrics!$B$8:$B$57, Metrics!$H$8:$H$57, ""))),0))</f>
        <v/>
      </c>
      <c r="R96" s="164">
        <f>IF($A96="","",IFERROR(--ISNUMBER(SEARCH(R$3, XLOOKUP($A96, Metrics!$B$8:$B$57, Metrics!$H$8:$H$57, ""))),0))</f>
        <v/>
      </c>
      <c r="S96" s="164">
        <f>IF($A96="","",IFERROR(--ISNUMBER(SEARCH(S$3, XLOOKUP($A96, Metrics!$B$8:$B$57, Metrics!$H$8:$H$57, ""))),0))</f>
        <v/>
      </c>
      <c r="T96" s="164">
        <f>IF($A96="","",IFERROR(--ISNUMBER(SEARCH(T$3, XLOOKUP($A96, Metrics!$B$8:$B$57, Metrics!$H$8:$H$57, ""))),0))</f>
        <v/>
      </c>
      <c r="U96" s="164">
        <f>IF($A96="","",IFERROR(--ISNUMBER(SEARCH(U$3, XLOOKUP($A96, Metrics!$B$8:$B$57, Metrics!$H$8:$H$57, ""))),0))</f>
        <v/>
      </c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>
        <f>IFERROR(INDEX(Metrics!$AA$8#,ROW()-3),"")</f>
        <v/>
      </c>
      <c r="B97" s="164">
        <f>IF($A97="","",IFERROR(--ISNUMBER(SEARCH(B$3, XLOOKUP($A97, Metrics!$B$8:$B$57, Metrics!$H$8:$H$57, ""))),0))</f>
        <v/>
      </c>
      <c r="C97" s="164">
        <f>IF($A97="","",IFERROR(--ISNUMBER(SEARCH(C$3, XLOOKUP($A97, Metrics!$B$8:$B$57, Metrics!$H$8:$H$57, ""))),0))</f>
        <v/>
      </c>
      <c r="D97" s="164">
        <f>IF($A97="","",IFERROR(--ISNUMBER(SEARCH(D$3, XLOOKUP($A97, Metrics!$B$8:$B$57, Metrics!$H$8:$H$57, ""))),0))</f>
        <v/>
      </c>
      <c r="E97" s="164">
        <f>IF($A97="","",IFERROR(--ISNUMBER(SEARCH(E$3, XLOOKUP($A97, Metrics!$B$8:$B$57, Metrics!$H$8:$H$57, ""))),0))</f>
        <v/>
      </c>
      <c r="F97" s="164">
        <f>IF($A97="","",IFERROR(--ISNUMBER(SEARCH(F$3, XLOOKUP($A97, Metrics!$B$8:$B$57, Metrics!$H$8:$H$57, ""))),0))</f>
        <v/>
      </c>
      <c r="G97" s="164">
        <f>IF($A97="","",IFERROR(--ISNUMBER(SEARCH(G$3, XLOOKUP($A97, Metrics!$B$8:$B$57, Metrics!$H$8:$H$57, ""))),0))</f>
        <v/>
      </c>
      <c r="H97" s="164">
        <f>IF($A97="","",IFERROR(--ISNUMBER(SEARCH(H$3, XLOOKUP($A97, Metrics!$B$8:$B$57, Metrics!$H$8:$H$57, ""))),0))</f>
        <v/>
      </c>
      <c r="I97" s="164">
        <f>IF($A97="","",IFERROR(--ISNUMBER(SEARCH(I$3, XLOOKUP($A97, Metrics!$B$8:$B$57, Metrics!$H$8:$H$57, ""))),0))</f>
        <v/>
      </c>
      <c r="J97" s="164">
        <f>IF($A97="","",IFERROR(--ISNUMBER(SEARCH(J$3, XLOOKUP($A97, Metrics!$B$8:$B$57, Metrics!$H$8:$H$57, ""))),0))</f>
        <v/>
      </c>
      <c r="K97" s="164">
        <f>IF($A97="","",IFERROR(--ISNUMBER(SEARCH(K$3, XLOOKUP($A97, Metrics!$B$8:$B$57, Metrics!$H$8:$H$57, ""))),0))</f>
        <v/>
      </c>
      <c r="L97" s="164">
        <f>IF($A97="","",IFERROR(--ISNUMBER(SEARCH(L$3, XLOOKUP($A97, Metrics!$B$8:$B$57, Metrics!$H$8:$H$57, ""))),0))</f>
        <v/>
      </c>
      <c r="M97" s="164">
        <f>IF($A97="","",IFERROR(--ISNUMBER(SEARCH(M$3, XLOOKUP($A97, Metrics!$B$8:$B$57, Metrics!$H$8:$H$57, ""))),0))</f>
        <v/>
      </c>
      <c r="N97" s="164">
        <f>IF($A97="","",IFERROR(--ISNUMBER(SEARCH(N$3, XLOOKUP($A97, Metrics!$B$8:$B$57, Metrics!$H$8:$H$57, ""))),0))</f>
        <v/>
      </c>
      <c r="O97" s="164">
        <f>IF($A97="","",IFERROR(--ISNUMBER(SEARCH(O$3, XLOOKUP($A97, Metrics!$B$8:$B$57, Metrics!$H$8:$H$57, ""))),0))</f>
        <v/>
      </c>
      <c r="P97" s="164">
        <f>IF($A97="","",IFERROR(--ISNUMBER(SEARCH(P$3, XLOOKUP($A97, Metrics!$B$8:$B$57, Metrics!$H$8:$H$57, ""))),0))</f>
        <v/>
      </c>
      <c r="Q97" s="164">
        <f>IF($A97="","",IFERROR(--ISNUMBER(SEARCH(Q$3, XLOOKUP($A97, Metrics!$B$8:$B$57, Metrics!$H$8:$H$57, ""))),0))</f>
        <v/>
      </c>
      <c r="R97" s="164">
        <f>IF($A97="","",IFERROR(--ISNUMBER(SEARCH(R$3, XLOOKUP($A97, Metrics!$B$8:$B$57, Metrics!$H$8:$H$57, ""))),0))</f>
        <v/>
      </c>
      <c r="S97" s="164">
        <f>IF($A97="","",IFERROR(--ISNUMBER(SEARCH(S$3, XLOOKUP($A97, Metrics!$B$8:$B$57, Metrics!$H$8:$H$57, ""))),0))</f>
        <v/>
      </c>
      <c r="T97" s="164">
        <f>IF($A97="","",IFERROR(--ISNUMBER(SEARCH(T$3, XLOOKUP($A97, Metrics!$B$8:$B$57, Metrics!$H$8:$H$57, ""))),0))</f>
        <v/>
      </c>
      <c r="U97" s="164">
        <f>IF($A97="","",IFERROR(--ISNUMBER(SEARCH(U$3, XLOOKUP($A97, Metrics!$B$8:$B$57, Metrics!$H$8:$H$57, ""))),0))</f>
        <v/>
      </c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>
        <f>IFERROR(INDEX(Metrics!$AA$8#,ROW()-3),"")</f>
        <v/>
      </c>
      <c r="B98" s="164">
        <f>IF($A98="","",IFERROR(--ISNUMBER(SEARCH(B$3, XLOOKUP($A98, Metrics!$B$8:$B$57, Metrics!$H$8:$H$57, ""))),0))</f>
        <v/>
      </c>
      <c r="C98" s="164">
        <f>IF($A98="","",IFERROR(--ISNUMBER(SEARCH(C$3, XLOOKUP($A98, Metrics!$B$8:$B$57, Metrics!$H$8:$H$57, ""))),0))</f>
        <v/>
      </c>
      <c r="D98" s="164">
        <f>IF($A98="","",IFERROR(--ISNUMBER(SEARCH(D$3, XLOOKUP($A98, Metrics!$B$8:$B$57, Metrics!$H$8:$H$57, ""))),0))</f>
        <v/>
      </c>
      <c r="E98" s="164">
        <f>IF($A98="","",IFERROR(--ISNUMBER(SEARCH(E$3, XLOOKUP($A98, Metrics!$B$8:$B$57, Metrics!$H$8:$H$57, ""))),0))</f>
        <v/>
      </c>
      <c r="F98" s="164">
        <f>IF($A98="","",IFERROR(--ISNUMBER(SEARCH(F$3, XLOOKUP($A98, Metrics!$B$8:$B$57, Metrics!$H$8:$H$57, ""))),0))</f>
        <v/>
      </c>
      <c r="G98" s="164">
        <f>IF($A98="","",IFERROR(--ISNUMBER(SEARCH(G$3, XLOOKUP($A98, Metrics!$B$8:$B$57, Metrics!$H$8:$H$57, ""))),0))</f>
        <v/>
      </c>
      <c r="H98" s="164">
        <f>IF($A98="","",IFERROR(--ISNUMBER(SEARCH(H$3, XLOOKUP($A98, Metrics!$B$8:$B$57, Metrics!$H$8:$H$57, ""))),0))</f>
        <v/>
      </c>
      <c r="I98" s="164">
        <f>IF($A98="","",IFERROR(--ISNUMBER(SEARCH(I$3, XLOOKUP($A98, Metrics!$B$8:$B$57, Metrics!$H$8:$H$57, ""))),0))</f>
        <v/>
      </c>
      <c r="J98" s="164">
        <f>IF($A98="","",IFERROR(--ISNUMBER(SEARCH(J$3, XLOOKUP($A98, Metrics!$B$8:$B$57, Metrics!$H$8:$H$57, ""))),0))</f>
        <v/>
      </c>
      <c r="K98" s="164">
        <f>IF($A98="","",IFERROR(--ISNUMBER(SEARCH(K$3, XLOOKUP($A98, Metrics!$B$8:$B$57, Metrics!$H$8:$H$57, ""))),0))</f>
        <v/>
      </c>
      <c r="L98" s="164">
        <f>IF($A98="","",IFERROR(--ISNUMBER(SEARCH(L$3, XLOOKUP($A98, Metrics!$B$8:$B$57, Metrics!$H$8:$H$57, ""))),0))</f>
        <v/>
      </c>
      <c r="M98" s="164">
        <f>IF($A98="","",IFERROR(--ISNUMBER(SEARCH(M$3, XLOOKUP($A98, Metrics!$B$8:$B$57, Metrics!$H$8:$H$57, ""))),0))</f>
        <v/>
      </c>
      <c r="N98" s="164">
        <f>IF($A98="","",IFERROR(--ISNUMBER(SEARCH(N$3, XLOOKUP($A98, Metrics!$B$8:$B$57, Metrics!$H$8:$H$57, ""))),0))</f>
        <v/>
      </c>
      <c r="O98" s="164">
        <f>IF($A98="","",IFERROR(--ISNUMBER(SEARCH(O$3, XLOOKUP($A98, Metrics!$B$8:$B$57, Metrics!$H$8:$H$57, ""))),0))</f>
        <v/>
      </c>
      <c r="P98" s="164">
        <f>IF($A98="","",IFERROR(--ISNUMBER(SEARCH(P$3, XLOOKUP($A98, Metrics!$B$8:$B$57, Metrics!$H$8:$H$57, ""))),0))</f>
        <v/>
      </c>
      <c r="Q98" s="164">
        <f>IF($A98="","",IFERROR(--ISNUMBER(SEARCH(Q$3, XLOOKUP($A98, Metrics!$B$8:$B$57, Metrics!$H$8:$H$57, ""))),0))</f>
        <v/>
      </c>
      <c r="R98" s="164">
        <f>IF($A98="","",IFERROR(--ISNUMBER(SEARCH(R$3, XLOOKUP($A98, Metrics!$B$8:$B$57, Metrics!$H$8:$H$57, ""))),0))</f>
        <v/>
      </c>
      <c r="S98" s="164">
        <f>IF($A98="","",IFERROR(--ISNUMBER(SEARCH(S$3, XLOOKUP($A98, Metrics!$B$8:$B$57, Metrics!$H$8:$H$57, ""))),0))</f>
        <v/>
      </c>
      <c r="T98" s="164">
        <f>IF($A98="","",IFERROR(--ISNUMBER(SEARCH(T$3, XLOOKUP($A98, Metrics!$B$8:$B$57, Metrics!$H$8:$H$57, ""))),0))</f>
        <v/>
      </c>
      <c r="U98" s="164">
        <f>IF($A98="","",IFERROR(--ISNUMBER(SEARCH(U$3, XLOOKUP($A98, Metrics!$B$8:$B$57, Metrics!$H$8:$H$57, ""))),0))</f>
        <v/>
      </c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>
        <f>IFERROR(INDEX(Metrics!$AA$8#,ROW()-3),"")</f>
        <v/>
      </c>
      <c r="B99" s="164">
        <f>IF($A99="","",IFERROR(--ISNUMBER(SEARCH(B$3, XLOOKUP($A99, Metrics!$B$8:$B$57, Metrics!$H$8:$H$57, ""))),0))</f>
        <v/>
      </c>
      <c r="C99" s="164">
        <f>IF($A99="","",IFERROR(--ISNUMBER(SEARCH(C$3, XLOOKUP($A99, Metrics!$B$8:$B$57, Metrics!$H$8:$H$57, ""))),0))</f>
        <v/>
      </c>
      <c r="D99" s="164">
        <f>IF($A99="","",IFERROR(--ISNUMBER(SEARCH(D$3, XLOOKUP($A99, Metrics!$B$8:$B$57, Metrics!$H$8:$H$57, ""))),0))</f>
        <v/>
      </c>
      <c r="E99" s="164">
        <f>IF($A99="","",IFERROR(--ISNUMBER(SEARCH(E$3, XLOOKUP($A99, Metrics!$B$8:$B$57, Metrics!$H$8:$H$57, ""))),0))</f>
        <v/>
      </c>
      <c r="F99" s="164">
        <f>IF($A99="","",IFERROR(--ISNUMBER(SEARCH(F$3, XLOOKUP($A99, Metrics!$B$8:$B$57, Metrics!$H$8:$H$57, ""))),0))</f>
        <v/>
      </c>
      <c r="G99" s="164">
        <f>IF($A99="","",IFERROR(--ISNUMBER(SEARCH(G$3, XLOOKUP($A99, Metrics!$B$8:$B$57, Metrics!$H$8:$H$57, ""))),0))</f>
        <v/>
      </c>
      <c r="H99" s="164">
        <f>IF($A99="","",IFERROR(--ISNUMBER(SEARCH(H$3, XLOOKUP($A99, Metrics!$B$8:$B$57, Metrics!$H$8:$H$57, ""))),0))</f>
        <v/>
      </c>
      <c r="I99" s="164">
        <f>IF($A99="","",IFERROR(--ISNUMBER(SEARCH(I$3, XLOOKUP($A99, Metrics!$B$8:$B$57, Metrics!$H$8:$H$57, ""))),0))</f>
        <v/>
      </c>
      <c r="J99" s="164">
        <f>IF($A99="","",IFERROR(--ISNUMBER(SEARCH(J$3, XLOOKUP($A99, Metrics!$B$8:$B$57, Metrics!$H$8:$H$57, ""))),0))</f>
        <v/>
      </c>
      <c r="K99" s="164">
        <f>IF($A99="","",IFERROR(--ISNUMBER(SEARCH(K$3, XLOOKUP($A99, Metrics!$B$8:$B$57, Metrics!$H$8:$H$57, ""))),0))</f>
        <v/>
      </c>
      <c r="L99" s="164">
        <f>IF($A99="","",IFERROR(--ISNUMBER(SEARCH(L$3, XLOOKUP($A99, Metrics!$B$8:$B$57, Metrics!$H$8:$H$57, ""))),0))</f>
        <v/>
      </c>
      <c r="M99" s="164">
        <f>IF($A99="","",IFERROR(--ISNUMBER(SEARCH(M$3, XLOOKUP($A99, Metrics!$B$8:$B$57, Metrics!$H$8:$H$57, ""))),0))</f>
        <v/>
      </c>
      <c r="N99" s="164">
        <f>IF($A99="","",IFERROR(--ISNUMBER(SEARCH(N$3, XLOOKUP($A99, Metrics!$B$8:$B$57, Metrics!$H$8:$H$57, ""))),0))</f>
        <v/>
      </c>
      <c r="O99" s="164">
        <f>IF($A99="","",IFERROR(--ISNUMBER(SEARCH(O$3, XLOOKUP($A99, Metrics!$B$8:$B$57, Metrics!$H$8:$H$57, ""))),0))</f>
        <v/>
      </c>
      <c r="P99" s="164">
        <f>IF($A99="","",IFERROR(--ISNUMBER(SEARCH(P$3, XLOOKUP($A99, Metrics!$B$8:$B$57, Metrics!$H$8:$H$57, ""))),0))</f>
        <v/>
      </c>
      <c r="Q99" s="164">
        <f>IF($A99="","",IFERROR(--ISNUMBER(SEARCH(Q$3, XLOOKUP($A99, Metrics!$B$8:$B$57, Metrics!$H$8:$H$57, ""))),0))</f>
        <v/>
      </c>
      <c r="R99" s="164">
        <f>IF($A99="","",IFERROR(--ISNUMBER(SEARCH(R$3, XLOOKUP($A99, Metrics!$B$8:$B$57, Metrics!$H$8:$H$57, ""))),0))</f>
        <v/>
      </c>
      <c r="S99" s="164">
        <f>IF($A99="","",IFERROR(--ISNUMBER(SEARCH(S$3, XLOOKUP($A99, Metrics!$B$8:$B$57, Metrics!$H$8:$H$57, ""))),0))</f>
        <v/>
      </c>
      <c r="T99" s="164">
        <f>IF($A99="","",IFERROR(--ISNUMBER(SEARCH(T$3, XLOOKUP($A99, Metrics!$B$8:$B$57, Metrics!$H$8:$H$57, ""))),0))</f>
        <v/>
      </c>
      <c r="U99" s="164">
        <f>IF($A99="","",IFERROR(--ISNUMBER(SEARCH(U$3, XLOOKUP($A99, Metrics!$B$8:$B$57, Metrics!$H$8:$H$57, ""))),0))</f>
        <v/>
      </c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>
        <f>IFERROR(INDEX(Metrics!$AA$8#,ROW()-3),"")</f>
        <v/>
      </c>
      <c r="B100" s="164">
        <f>IF($A100="","",IFERROR(--ISNUMBER(SEARCH(B$3, XLOOKUP($A100, Metrics!$B$8:$B$57, Metrics!$H$8:$H$57, ""))),0))</f>
        <v/>
      </c>
      <c r="C100" s="164">
        <f>IF($A100="","",IFERROR(--ISNUMBER(SEARCH(C$3, XLOOKUP($A100, Metrics!$B$8:$B$57, Metrics!$H$8:$H$57, ""))),0))</f>
        <v/>
      </c>
      <c r="D100" s="164">
        <f>IF($A100="","",IFERROR(--ISNUMBER(SEARCH(D$3, XLOOKUP($A100, Metrics!$B$8:$B$57, Metrics!$H$8:$H$57, ""))),0))</f>
        <v/>
      </c>
      <c r="E100" s="164">
        <f>IF($A100="","",IFERROR(--ISNUMBER(SEARCH(E$3, XLOOKUP($A100, Metrics!$B$8:$B$57, Metrics!$H$8:$H$57, ""))),0))</f>
        <v/>
      </c>
      <c r="F100" s="164">
        <f>IF($A100="","",IFERROR(--ISNUMBER(SEARCH(F$3, XLOOKUP($A100, Metrics!$B$8:$B$57, Metrics!$H$8:$H$57, ""))),0))</f>
        <v/>
      </c>
      <c r="G100" s="164">
        <f>IF($A100="","",IFERROR(--ISNUMBER(SEARCH(G$3, XLOOKUP($A100, Metrics!$B$8:$B$57, Metrics!$H$8:$H$57, ""))),0))</f>
        <v/>
      </c>
      <c r="H100" s="164">
        <f>IF($A100="","",IFERROR(--ISNUMBER(SEARCH(H$3, XLOOKUP($A100, Metrics!$B$8:$B$57, Metrics!$H$8:$H$57, ""))),0))</f>
        <v/>
      </c>
      <c r="I100" s="164">
        <f>IF($A100="","",IFERROR(--ISNUMBER(SEARCH(I$3, XLOOKUP($A100, Metrics!$B$8:$B$57, Metrics!$H$8:$H$57, ""))),0))</f>
        <v/>
      </c>
      <c r="J100" s="164">
        <f>IF($A100="","",IFERROR(--ISNUMBER(SEARCH(J$3, XLOOKUP($A100, Metrics!$B$8:$B$57, Metrics!$H$8:$H$57, ""))),0))</f>
        <v/>
      </c>
      <c r="K100" s="164">
        <f>IF($A100="","",IFERROR(--ISNUMBER(SEARCH(K$3, XLOOKUP($A100, Metrics!$B$8:$B$57, Metrics!$H$8:$H$57, ""))),0))</f>
        <v/>
      </c>
      <c r="L100" s="164">
        <f>IF($A100="","",IFERROR(--ISNUMBER(SEARCH(L$3, XLOOKUP($A100, Metrics!$B$8:$B$57, Metrics!$H$8:$H$57, ""))),0))</f>
        <v/>
      </c>
      <c r="M100" s="164">
        <f>IF($A100="","",IFERROR(--ISNUMBER(SEARCH(M$3, XLOOKUP($A100, Metrics!$B$8:$B$57, Metrics!$H$8:$H$57, ""))),0))</f>
        <v/>
      </c>
      <c r="N100" s="164">
        <f>IF($A100="","",IFERROR(--ISNUMBER(SEARCH(N$3, XLOOKUP($A100, Metrics!$B$8:$B$57, Metrics!$H$8:$H$57, ""))),0))</f>
        <v/>
      </c>
      <c r="O100" s="164">
        <f>IF($A100="","",IFERROR(--ISNUMBER(SEARCH(O$3, XLOOKUP($A100, Metrics!$B$8:$B$57, Metrics!$H$8:$H$57, ""))),0))</f>
        <v/>
      </c>
      <c r="P100" s="164">
        <f>IF($A100="","",IFERROR(--ISNUMBER(SEARCH(P$3, XLOOKUP($A100, Metrics!$B$8:$B$57, Metrics!$H$8:$H$57, ""))),0))</f>
        <v/>
      </c>
      <c r="Q100" s="164">
        <f>IF($A100="","",IFERROR(--ISNUMBER(SEARCH(Q$3, XLOOKUP($A100, Metrics!$B$8:$B$57, Metrics!$H$8:$H$57, ""))),0))</f>
        <v/>
      </c>
      <c r="R100" s="164">
        <f>IF($A100="","",IFERROR(--ISNUMBER(SEARCH(R$3, XLOOKUP($A100, Metrics!$B$8:$B$57, Metrics!$H$8:$H$57, ""))),0))</f>
        <v/>
      </c>
      <c r="S100" s="164">
        <f>IF($A100="","",IFERROR(--ISNUMBER(SEARCH(S$3, XLOOKUP($A100, Metrics!$B$8:$B$57, Metrics!$H$8:$H$57, ""))),0))</f>
        <v/>
      </c>
      <c r="T100" s="164">
        <f>IF($A100="","",IFERROR(--ISNUMBER(SEARCH(T$3, XLOOKUP($A100, Metrics!$B$8:$B$57, Metrics!$H$8:$H$57, ""))),0))</f>
        <v/>
      </c>
      <c r="U100" s="164">
        <f>IF($A100="","",IFERROR(--ISNUMBER(SEARCH(U$3, XLOOKUP($A100, Metrics!$B$8:$B$57, Metrics!$H$8:$H$57, ""))),0))</f>
        <v/>
      </c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>
        <f>IFERROR(INDEX(Metrics!$AA$8#,ROW()-3),"")</f>
        <v/>
      </c>
      <c r="B101" s="164">
        <f>IF($A101="","",IFERROR(--ISNUMBER(SEARCH(B$3, XLOOKUP($A101, Metrics!$B$8:$B$57, Metrics!$H$8:$H$57, ""))),0))</f>
        <v/>
      </c>
      <c r="C101" s="164">
        <f>IF($A101="","",IFERROR(--ISNUMBER(SEARCH(C$3, XLOOKUP($A101, Metrics!$B$8:$B$57, Metrics!$H$8:$H$57, ""))),0))</f>
        <v/>
      </c>
      <c r="D101" s="164">
        <f>IF($A101="","",IFERROR(--ISNUMBER(SEARCH(D$3, XLOOKUP($A101, Metrics!$B$8:$B$57, Metrics!$H$8:$H$57, ""))),0))</f>
        <v/>
      </c>
      <c r="E101" s="164">
        <f>IF($A101="","",IFERROR(--ISNUMBER(SEARCH(E$3, XLOOKUP($A101, Metrics!$B$8:$B$57, Metrics!$H$8:$H$57, ""))),0))</f>
        <v/>
      </c>
      <c r="F101" s="164">
        <f>IF($A101="","",IFERROR(--ISNUMBER(SEARCH(F$3, XLOOKUP($A101, Metrics!$B$8:$B$57, Metrics!$H$8:$H$57, ""))),0))</f>
        <v/>
      </c>
      <c r="G101" s="164">
        <f>IF($A101="","",IFERROR(--ISNUMBER(SEARCH(G$3, XLOOKUP($A101, Metrics!$B$8:$B$57, Metrics!$H$8:$H$57, ""))),0))</f>
        <v/>
      </c>
      <c r="H101" s="164">
        <f>IF($A101="","",IFERROR(--ISNUMBER(SEARCH(H$3, XLOOKUP($A101, Metrics!$B$8:$B$57, Metrics!$H$8:$H$57, ""))),0))</f>
        <v/>
      </c>
      <c r="I101" s="164">
        <f>IF($A101="","",IFERROR(--ISNUMBER(SEARCH(I$3, XLOOKUP($A101, Metrics!$B$8:$B$57, Metrics!$H$8:$H$57, ""))),0))</f>
        <v/>
      </c>
      <c r="J101" s="164">
        <f>IF($A101="","",IFERROR(--ISNUMBER(SEARCH(J$3, XLOOKUP($A101, Metrics!$B$8:$B$57, Metrics!$H$8:$H$57, ""))),0))</f>
        <v/>
      </c>
      <c r="K101" s="164">
        <f>IF($A101="","",IFERROR(--ISNUMBER(SEARCH(K$3, XLOOKUP($A101, Metrics!$B$8:$B$57, Metrics!$H$8:$H$57, ""))),0))</f>
        <v/>
      </c>
      <c r="L101" s="164">
        <f>IF($A101="","",IFERROR(--ISNUMBER(SEARCH(L$3, XLOOKUP($A101, Metrics!$B$8:$B$57, Metrics!$H$8:$H$57, ""))),0))</f>
        <v/>
      </c>
      <c r="M101" s="164">
        <f>IF($A101="","",IFERROR(--ISNUMBER(SEARCH(M$3, XLOOKUP($A101, Metrics!$B$8:$B$57, Metrics!$H$8:$H$57, ""))),0))</f>
        <v/>
      </c>
      <c r="N101" s="164">
        <f>IF($A101="","",IFERROR(--ISNUMBER(SEARCH(N$3, XLOOKUP($A101, Metrics!$B$8:$B$57, Metrics!$H$8:$H$57, ""))),0))</f>
        <v/>
      </c>
      <c r="O101" s="164">
        <f>IF($A101="","",IFERROR(--ISNUMBER(SEARCH(O$3, XLOOKUP($A101, Metrics!$B$8:$B$57, Metrics!$H$8:$H$57, ""))),0))</f>
        <v/>
      </c>
      <c r="P101" s="164">
        <f>IF($A101="","",IFERROR(--ISNUMBER(SEARCH(P$3, XLOOKUP($A101, Metrics!$B$8:$B$57, Metrics!$H$8:$H$57, ""))),0))</f>
        <v/>
      </c>
      <c r="Q101" s="164">
        <f>IF($A101="","",IFERROR(--ISNUMBER(SEARCH(Q$3, XLOOKUP($A101, Metrics!$B$8:$B$57, Metrics!$H$8:$H$57, ""))),0))</f>
        <v/>
      </c>
      <c r="R101" s="164">
        <f>IF($A101="","",IFERROR(--ISNUMBER(SEARCH(R$3, XLOOKUP($A101, Metrics!$B$8:$B$57, Metrics!$H$8:$H$57, ""))),0))</f>
        <v/>
      </c>
      <c r="S101" s="164">
        <f>IF($A101="","",IFERROR(--ISNUMBER(SEARCH(S$3, XLOOKUP($A101, Metrics!$B$8:$B$57, Metrics!$H$8:$H$57, ""))),0))</f>
        <v/>
      </c>
      <c r="T101" s="164">
        <f>IF($A101="","",IFERROR(--ISNUMBER(SEARCH(T$3, XLOOKUP($A101, Metrics!$B$8:$B$57, Metrics!$H$8:$H$57, ""))),0))</f>
        <v/>
      </c>
      <c r="U101" s="164">
        <f>IF($A101="","",IFERROR(--ISNUMBER(SEARCH(U$3, XLOOKUP($A101, Metrics!$B$8:$B$57, Metrics!$H$8:$H$57, ""))),0))</f>
        <v/>
      </c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>
        <f>IFERROR(INDEX(Metrics!$AA$8#,ROW()-3),"")</f>
        <v/>
      </c>
      <c r="B102" s="164">
        <f>IF($A102="","",IFERROR(--ISNUMBER(SEARCH(B$3, XLOOKUP($A102, Metrics!$B$8:$B$57, Metrics!$H$8:$H$57, ""))),0))</f>
        <v/>
      </c>
      <c r="C102" s="164">
        <f>IF($A102="","",IFERROR(--ISNUMBER(SEARCH(C$3, XLOOKUP($A102, Metrics!$B$8:$B$57, Metrics!$H$8:$H$57, ""))),0))</f>
        <v/>
      </c>
      <c r="D102" s="164">
        <f>IF($A102="","",IFERROR(--ISNUMBER(SEARCH(D$3, XLOOKUP($A102, Metrics!$B$8:$B$57, Metrics!$H$8:$H$57, ""))),0))</f>
        <v/>
      </c>
      <c r="E102" s="164">
        <f>IF($A102="","",IFERROR(--ISNUMBER(SEARCH(E$3, XLOOKUP($A102, Metrics!$B$8:$B$57, Metrics!$H$8:$H$57, ""))),0))</f>
        <v/>
      </c>
      <c r="F102" s="164">
        <f>IF($A102="","",IFERROR(--ISNUMBER(SEARCH(F$3, XLOOKUP($A102, Metrics!$B$8:$B$57, Metrics!$H$8:$H$57, ""))),0))</f>
        <v/>
      </c>
      <c r="G102" s="164">
        <f>IF($A102="","",IFERROR(--ISNUMBER(SEARCH(G$3, XLOOKUP($A102, Metrics!$B$8:$B$57, Metrics!$H$8:$H$57, ""))),0))</f>
        <v/>
      </c>
      <c r="H102" s="164">
        <f>IF($A102="","",IFERROR(--ISNUMBER(SEARCH(H$3, XLOOKUP($A102, Metrics!$B$8:$B$57, Metrics!$H$8:$H$57, ""))),0))</f>
        <v/>
      </c>
      <c r="I102" s="164">
        <f>IF($A102="","",IFERROR(--ISNUMBER(SEARCH(I$3, XLOOKUP($A102, Metrics!$B$8:$B$57, Metrics!$H$8:$H$57, ""))),0))</f>
        <v/>
      </c>
      <c r="J102" s="164">
        <f>IF($A102="","",IFERROR(--ISNUMBER(SEARCH(J$3, XLOOKUP($A102, Metrics!$B$8:$B$57, Metrics!$H$8:$H$57, ""))),0))</f>
        <v/>
      </c>
      <c r="K102" s="164">
        <f>IF($A102="","",IFERROR(--ISNUMBER(SEARCH(K$3, XLOOKUP($A102, Metrics!$B$8:$B$57, Metrics!$H$8:$H$57, ""))),0))</f>
        <v/>
      </c>
      <c r="L102" s="164">
        <f>IF($A102="","",IFERROR(--ISNUMBER(SEARCH(L$3, XLOOKUP($A102, Metrics!$B$8:$B$57, Metrics!$H$8:$H$57, ""))),0))</f>
        <v/>
      </c>
      <c r="M102" s="164">
        <f>IF($A102="","",IFERROR(--ISNUMBER(SEARCH(M$3, XLOOKUP($A102, Metrics!$B$8:$B$57, Metrics!$H$8:$H$57, ""))),0))</f>
        <v/>
      </c>
      <c r="N102" s="164">
        <f>IF($A102="","",IFERROR(--ISNUMBER(SEARCH(N$3, XLOOKUP($A102, Metrics!$B$8:$B$57, Metrics!$H$8:$H$57, ""))),0))</f>
        <v/>
      </c>
      <c r="O102" s="164">
        <f>IF($A102="","",IFERROR(--ISNUMBER(SEARCH(O$3, XLOOKUP($A102, Metrics!$B$8:$B$57, Metrics!$H$8:$H$57, ""))),0))</f>
        <v/>
      </c>
      <c r="P102" s="164">
        <f>IF($A102="","",IFERROR(--ISNUMBER(SEARCH(P$3, XLOOKUP($A102, Metrics!$B$8:$B$57, Metrics!$H$8:$H$57, ""))),0))</f>
        <v/>
      </c>
      <c r="Q102" s="164">
        <f>IF($A102="","",IFERROR(--ISNUMBER(SEARCH(Q$3, XLOOKUP($A102, Metrics!$B$8:$B$57, Metrics!$H$8:$H$57, ""))),0))</f>
        <v/>
      </c>
      <c r="R102" s="164">
        <f>IF($A102="","",IFERROR(--ISNUMBER(SEARCH(R$3, XLOOKUP($A102, Metrics!$B$8:$B$57, Metrics!$H$8:$H$57, ""))),0))</f>
        <v/>
      </c>
      <c r="S102" s="164">
        <f>IF($A102="","",IFERROR(--ISNUMBER(SEARCH(S$3, XLOOKUP($A102, Metrics!$B$8:$B$57, Metrics!$H$8:$H$57, ""))),0))</f>
        <v/>
      </c>
      <c r="T102" s="164">
        <f>IF($A102="","",IFERROR(--ISNUMBER(SEARCH(T$3, XLOOKUP($A102, Metrics!$B$8:$B$57, Metrics!$H$8:$H$57, ""))),0))</f>
        <v/>
      </c>
      <c r="U102" s="164">
        <f>IF($A102="","",IFERROR(--ISNUMBER(SEARCH(U$3, XLOOKUP($A102, Metrics!$B$8:$B$57, Metrics!$H$8:$H$57, ""))),0))</f>
        <v/>
      </c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>
        <f>IFERROR(INDEX(Metrics!$AA$8#,ROW()-3),"")</f>
        <v/>
      </c>
      <c r="B103" s="164">
        <f>IF($A103="","",IFERROR(--ISNUMBER(SEARCH(B$3, XLOOKUP($A103, Metrics!$B$8:$B$57, Metrics!$H$8:$H$57, ""))),0))</f>
        <v/>
      </c>
      <c r="C103" s="164">
        <f>IF($A103="","",IFERROR(--ISNUMBER(SEARCH(C$3, XLOOKUP($A103, Metrics!$B$8:$B$57, Metrics!$H$8:$H$57, ""))),0))</f>
        <v/>
      </c>
      <c r="D103" s="164">
        <f>IF($A103="","",IFERROR(--ISNUMBER(SEARCH(D$3, XLOOKUP($A103, Metrics!$B$8:$B$57, Metrics!$H$8:$H$57, ""))),0))</f>
        <v/>
      </c>
      <c r="E103" s="164">
        <f>IF($A103="","",IFERROR(--ISNUMBER(SEARCH(E$3, XLOOKUP($A103, Metrics!$B$8:$B$57, Metrics!$H$8:$H$57, ""))),0))</f>
        <v/>
      </c>
      <c r="F103" s="164">
        <f>IF($A103="","",IFERROR(--ISNUMBER(SEARCH(F$3, XLOOKUP($A103, Metrics!$B$8:$B$57, Metrics!$H$8:$H$57, ""))),0))</f>
        <v/>
      </c>
      <c r="G103" s="164">
        <f>IF($A103="","",IFERROR(--ISNUMBER(SEARCH(G$3, XLOOKUP($A103, Metrics!$B$8:$B$57, Metrics!$H$8:$H$57, ""))),0))</f>
        <v/>
      </c>
      <c r="H103" s="164">
        <f>IF($A103="","",IFERROR(--ISNUMBER(SEARCH(H$3, XLOOKUP($A103, Metrics!$B$8:$B$57, Metrics!$H$8:$H$57, ""))),0))</f>
        <v/>
      </c>
      <c r="I103" s="164">
        <f>IF($A103="","",IFERROR(--ISNUMBER(SEARCH(I$3, XLOOKUP($A103, Metrics!$B$8:$B$57, Metrics!$H$8:$H$57, ""))),0))</f>
        <v/>
      </c>
      <c r="J103" s="164">
        <f>IF($A103="","",IFERROR(--ISNUMBER(SEARCH(J$3, XLOOKUP($A103, Metrics!$B$8:$B$57, Metrics!$H$8:$H$57, ""))),0))</f>
        <v/>
      </c>
      <c r="K103" s="164">
        <f>IF($A103="","",IFERROR(--ISNUMBER(SEARCH(K$3, XLOOKUP($A103, Metrics!$B$8:$B$57, Metrics!$H$8:$H$57, ""))),0))</f>
        <v/>
      </c>
      <c r="L103" s="164">
        <f>IF($A103="","",IFERROR(--ISNUMBER(SEARCH(L$3, XLOOKUP($A103, Metrics!$B$8:$B$57, Metrics!$H$8:$H$57, ""))),0))</f>
        <v/>
      </c>
      <c r="M103" s="164">
        <f>IF($A103="","",IFERROR(--ISNUMBER(SEARCH(M$3, XLOOKUP($A103, Metrics!$B$8:$B$57, Metrics!$H$8:$H$57, ""))),0))</f>
        <v/>
      </c>
      <c r="N103" s="164">
        <f>IF($A103="","",IFERROR(--ISNUMBER(SEARCH(N$3, XLOOKUP($A103, Metrics!$B$8:$B$57, Metrics!$H$8:$H$57, ""))),0))</f>
        <v/>
      </c>
      <c r="O103" s="164">
        <f>IF($A103="","",IFERROR(--ISNUMBER(SEARCH(O$3, XLOOKUP($A103, Metrics!$B$8:$B$57, Metrics!$H$8:$H$57, ""))),0))</f>
        <v/>
      </c>
      <c r="P103" s="164">
        <f>IF($A103="","",IFERROR(--ISNUMBER(SEARCH(P$3, XLOOKUP($A103, Metrics!$B$8:$B$57, Metrics!$H$8:$H$57, ""))),0))</f>
        <v/>
      </c>
      <c r="Q103" s="164">
        <f>IF($A103="","",IFERROR(--ISNUMBER(SEARCH(Q$3, XLOOKUP($A103, Metrics!$B$8:$B$57, Metrics!$H$8:$H$57, ""))),0))</f>
        <v/>
      </c>
      <c r="R103" s="164">
        <f>IF($A103="","",IFERROR(--ISNUMBER(SEARCH(R$3, XLOOKUP($A103, Metrics!$B$8:$B$57, Metrics!$H$8:$H$57, ""))),0))</f>
        <v/>
      </c>
      <c r="S103" s="164">
        <f>IF($A103="","",IFERROR(--ISNUMBER(SEARCH(S$3, XLOOKUP($A103, Metrics!$B$8:$B$57, Metrics!$H$8:$H$57, ""))),0))</f>
        <v/>
      </c>
      <c r="T103" s="164">
        <f>IF($A103="","",IFERROR(--ISNUMBER(SEARCH(T$3, XLOOKUP($A103, Metrics!$B$8:$B$57, Metrics!$H$8:$H$57, ""))),0))</f>
        <v/>
      </c>
      <c r="U103" s="164">
        <f>IF($A103="","",IFERROR(--ISNUMBER(SEARCH(U$3, XLOOKUP($A103, Metrics!$B$8:$B$57, Metrics!$H$8:$H$57, ""))),0))</f>
        <v/>
      </c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2026-01-13T02:10:51Z</dcterms:created>
  <dcterms:modified xmlns:dcterms="http://purl.org/dc/terms/" xmlns:xsi="http://www.w3.org/2001/XMLSchema-instance" xsi:type="dcterms:W3CDTF">2026-01-13T06:13:35Z</dcterms:modified>
</cp:coreProperties>
</file>