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ology" sheetId="1" r:id="rId3"/>
    <sheet state="visible" name="Events" sheetId="2" r:id="rId4"/>
    <sheet state="hidden" name="CartoDBTableauCroiséDynamique" sheetId="3" r:id="rId5"/>
    <sheet state="hidden" name="CartoDBWorkingDoc" sheetId="4" r:id="rId6"/>
    <sheet state="hidden" name="Data Validation" sheetId="5" r:id="rId7"/>
  </sheets>
  <definedNames>
    <definedName hidden="1" localSheetId="1" name="Z_78ABDDC9_160E_429A_B474_BDF6E6E6C5C0_.wvu.FilterData">Events!$F$3065:$K$3192</definedName>
  </definedNames>
  <calcPr/>
  <customWorkbookViews>
    <customWorkbookView activeSheetId="0" maximized="1" tabRatio="600" windowHeight="0" windowWidth="0" guid="{78ABDDC9-160E-429A-B474-BDF6E6E6C5C0}" name="Filter 1"/>
  </customWorkbookViews>
  <pivotCaches>
    <pivotCache cacheId="0" r:id="rId8"/>
  </pivotCaches>
</workbook>
</file>

<file path=xl/sharedStrings.xml><?xml version="1.0" encoding="utf-8"?>
<sst xmlns="http://schemas.openxmlformats.org/spreadsheetml/2006/main" count="39768" uniqueCount="13255">
  <si>
    <t>THIS DATABASE WAS LAST UPDATED ON JUNE 24, 2016</t>
  </si>
  <si>
    <t>This document lists all events during which a person lost his or her life in an attempt to come to or stay in Europe since 2000.</t>
  </si>
  <si>
    <t>Definitions:</t>
  </si>
  <si>
    <r>
      <t xml:space="preserve">A </t>
    </r>
    <r>
      <rPr>
        <b/>
      </rPr>
      <t>Person</t>
    </r>
    <r>
      <t xml:space="preserve"> is anyone who does not possess an EU citizenship and who is born (fetuses are not counted).</t>
    </r>
  </si>
  <si>
    <r>
      <rPr>
        <b/>
      </rPr>
      <t>Attempting to come to Europe</t>
    </r>
    <r>
      <t xml:space="preserve"> means that a person is on his or her way to Europe or could be. A person traveling towards Tripoli or Istanbul might hope to settle there and be pushed by unforeseen circumstances to continue his or her journey towards Europe. Researchers are encouraged to add to the lists events that occurred on routes leading to Europe, even if the final destination of the deceased cannot be firmly established. Analysts are encouraged to take this into account when using the data. Previous research showed that about 1 in 5 person headed to Tripoli continues towards Europe, against two in three of those headed to Istanbul. However, such ratios change often. Deaths occurring after a deportation in a third country must be recorded.</t>
    </r>
  </si>
  <si>
    <r>
      <rPr>
        <b/>
      </rPr>
      <t>Attempting to stay in Europe</t>
    </r>
    <r>
      <t xml:space="preserve"> means that a person is or was in Europe and died as a result of his or her condition of illegal alien. Most if not all aspects of life for an illegal alien are impacted by his or her administrative status, from the places he or she can visit to the company he or she finds him or herself in. Deaths resulting from depression, police violence, escape attempts, lack of care etc. must be recorded. Deaths occurring after a person was deported from Europe must also be recorded insofar as the researcher has reasons to believe that the death could have been prevented had the deceased been given the status of legal alien.</t>
    </r>
  </si>
  <si>
    <r>
      <rPr>
        <b/>
      </rPr>
      <t>Europe</t>
    </r>
    <r>
      <t xml:space="preserve"> is understood as the Schengen area and the United Kingdom. The approximately 20,000 persons who died trying to reach Mayotte, a French colony of the Comoros Islands, are not to be counted.</t>
    </r>
  </si>
  <si>
    <r>
      <t xml:space="preserve">Intent of going to Europe: </t>
    </r>
    <r>
      <rPr/>
      <t>introduces the criteria of the doubt to the cases when the refugees have died outside the border of Europe, but could have been trying to reach it.Their death in a third counry i.e. Turkey, could have occured as the result of their  status of refugee -- e.g. they were forced to take a dangerous journey, they weren't given enough medical help, etc.</t>
    </r>
  </si>
  <si>
    <t>For each event, the researcher must record the Frontex-defined route on which it occurred, so that analysts can compute mortality rates by route. Because Frontex measures the number of people crossing the border according to a list of border crossing points and not the number of people actually on a route, researchers must apply the route that they think is appropriate. There is no correct choice, as refugees and migrants themselves often do not know at which BCP they will arrive (boats headed to Italy can be intercepted off the Greek coast, for instance). The routes are:</t>
  </si>
  <si>
    <t>Central Mediterranean: Attempt to reach Italy by sea.</t>
  </si>
  <si>
    <t>Eastern Mediterranean Land: Attempt to reach Greece or Bulgaria by land.</t>
  </si>
  <si>
    <t>Eastern Mediterranean Sea: Attempt to reach Greece, Bulgaria or Romania by sea.</t>
  </si>
  <si>
    <t>West African: Attempt to reach the Canary Islands.</t>
  </si>
  <si>
    <t>Western Balkan Route: Attempt to reach Hungary, Austria or Slovenia through Romania, Serbia and Croatia.</t>
  </si>
  <si>
    <t>Western Mediterranean: Attempt to reach Spain mainland, Ceuta or Melilla.</t>
  </si>
  <si>
    <t>Event_id</t>
  </si>
  <si>
    <t>Circular Route between Greece and Albania: Disused</t>
  </si>
  <si>
    <t>Apulia and Calabria: Disused</t>
  </si>
  <si>
    <t>Sources:</t>
  </si>
  <si>
    <t>cause_of_death</t>
  </si>
  <si>
    <t>Researchers are encouraged to use any reliable source available to document an event. Online sources should be saved using the Web Archive or Archive.is.</t>
  </si>
  <si>
    <t>CartoDB_Cause_of_death</t>
  </si>
  <si>
    <t>dataset</t>
  </si>
  <si>
    <t>date</t>
  </si>
  <si>
    <t>quarter</t>
  </si>
  <si>
    <t>Date-month</t>
  </si>
  <si>
    <t>Year</t>
  </si>
  <si>
    <t>dead</t>
  </si>
  <si>
    <t>missing</t>
  </si>
  <si>
    <t>dead_and_missing</t>
  </si>
  <si>
    <t>Intent of going to Eur: 1(yes) 0(not confirmed)</t>
  </si>
  <si>
    <t>description</t>
  </si>
  <si>
    <t>location</t>
  </si>
  <si>
    <t>latitude</t>
  </si>
  <si>
    <t>longitude</t>
  </si>
  <si>
    <t>Somme Dedoublement</t>
  </si>
  <si>
    <t>name</t>
  </si>
  <si>
    <t>route (Frontex)</t>
  </si>
  <si>
    <t>source</t>
  </si>
  <si>
    <t>source_url</t>
  </si>
  <si>
    <t xml:space="preserve"> </t>
  </si>
  <si>
    <t>shot by the police</t>
  </si>
  <si>
    <t>authorities related death</t>
  </si>
  <si>
    <t>2Q2016</t>
  </si>
  <si>
    <t>2016 -- 6</t>
  </si>
  <si>
    <t>8 Syrian refugees wre shot by the Turkush border police</t>
  </si>
  <si>
    <t>near Jisr al-Shugour</t>
  </si>
  <si>
    <t>SOHR</t>
  </si>
  <si>
    <t>http://edition.cnn.com/2016/06/20/middleeast/sohr-turkey-syria-border-shooting/</t>
  </si>
  <si>
    <t>drowned</t>
  </si>
  <si>
    <t>drowning or exhaustion related death</t>
  </si>
  <si>
    <t>a body of a man, about 50, was found on a beach in Lemos Vouliagmeni, near Athens</t>
  </si>
  <si>
    <t>Lemos Vouliagmeni</t>
  </si>
  <si>
    <t>Eastern Mediterranean route</t>
  </si>
  <si>
    <t>Greek Coast Guard</t>
  </si>
  <si>
    <t>http://www.hcg.gr/node/12832</t>
  </si>
  <si>
    <t>a body of a man awas recovered in along with 133 survivors in a rescue operation  between Italy and Libya.</t>
  </si>
  <si>
    <t>between Italy and Libya</t>
  </si>
  <si>
    <t>Central Mediterranean route</t>
  </si>
  <si>
    <t>DPA</t>
  </si>
  <si>
    <t>http://www.dpa-international.com/news/international/italy-coastguard-1230-sea-migrants-rescued-one-body-recovered-a-49628405.html</t>
  </si>
  <si>
    <t>stabbed</t>
  </si>
  <si>
    <t>malicious intent related death / manslaughter</t>
  </si>
  <si>
    <t>2 men, a Turkish national and a suspected smuggler were found stabbed to death in the woods near Subotica</t>
  </si>
  <si>
    <t>near Subotica</t>
  </si>
  <si>
    <t>Western Balkan route</t>
  </si>
  <si>
    <t>Telegraph</t>
  </si>
  <si>
    <t>http://www.telegraph.co.uk/news/2016/06/13/hungary-and-serbia-turning-a-blind-eye-to-thousands-of-migrants/</t>
  </si>
  <si>
    <t>unknown</t>
  </si>
  <si>
    <t>unknown - supposedly exhaustion related death</t>
  </si>
  <si>
    <t>a man was reported as missing off the coast of Cadiz</t>
  </si>
  <si>
    <t>near Cadiz</t>
  </si>
  <si>
    <t>Western Mediterranean route</t>
  </si>
  <si>
    <t>IOM</t>
  </si>
  <si>
    <t>exposure</t>
  </si>
  <si>
    <t>other</t>
  </si>
  <si>
    <t>a body of  man was found dead in the slowaway of an airplane that landed in Brussel airport</t>
  </si>
  <si>
    <t>Brussels</t>
  </si>
  <si>
    <t>Belga</t>
  </si>
  <si>
    <t>http://bx1.be/news/un-corps-sans-vie-decouvert-dans-un-avion-de-brussels-airlines/</t>
  </si>
  <si>
    <t>died in a sewer</t>
  </si>
  <si>
    <t>a young man frrom Sub-Saharan Africa died after trying to get into Melilla through a sewer</t>
  </si>
  <si>
    <t>Melilla</t>
  </si>
  <si>
    <t>Huffington Post</t>
  </si>
  <si>
    <t>http://www.huffpostmaghreb.com/2016/06/08/migrant-meurt-melilla_n_10351888.html</t>
  </si>
  <si>
    <t>A 22-year old man from Syria drowned in the river Tisza trying to cross to Hungary from Serbia. UNHCR has called for the investigation of the supposed pushback by the Hungarian border police that led to this death.</t>
  </si>
  <si>
    <t>Tisza river near the village of Roszke</t>
  </si>
  <si>
    <t>20.0005179,14</t>
  </si>
  <si>
    <t>UNHCR</t>
  </si>
  <si>
    <t>http://www.dw.com/en/unhcr-calls-for-investigation-into-river-drowning-of-syrian-refugee-in-hungary/a-19307392</t>
  </si>
  <si>
    <t>318 people were saved, 10 were found dead, and 329 went missing after a boat sank 75 nautical miles off Crete. It left from Alexandria, and carried about 650 people, according to survivors.</t>
  </si>
  <si>
    <t>75 nautical miles off Crete</t>
  </si>
  <si>
    <t>Reuters</t>
  </si>
  <si>
    <t>http://in.reuters.com/article/europe-migrants-greece-iom-idINKCN0YT1LQ</t>
  </si>
  <si>
    <t>133 dead people have been found on the sea shore in Libya near Zuwara. They are believed to be the refugees who went missing in the accidents of the previous week.</t>
  </si>
  <si>
    <t>near Zuwara</t>
  </si>
  <si>
    <t>Red Cresecent</t>
  </si>
  <si>
    <t>http://www.reuters.com/article/us-europe-migrants-libya-idUSKCN0YR0IZ</t>
  </si>
  <si>
    <t>murdered</t>
  </si>
  <si>
    <t>2016 -- 5</t>
  </si>
  <si>
    <t>a 16-year old girl, Afghan asylum seeker, was found dead in a forest in southern Stockholm. She is believed to be the Afghan refugee reported as missing on March 20.</t>
  </si>
  <si>
    <t>Hökarängen forest</t>
  </si>
  <si>
    <t>The Local</t>
  </si>
  <si>
    <t>http://www.thelocal.se/20160602/reports-dead-girl-was-16-year-old-asylum-seeker</t>
  </si>
  <si>
    <t>2 boys from Iraq were found dead in an irrigation reservoir near a shelter near Katherini, Northern Greece</t>
  </si>
  <si>
    <t>near Katherini</t>
  </si>
  <si>
    <t>ABC</t>
  </si>
  <si>
    <t>http://abcnews.go.com/International/wireStory/latest-eu-nations-extend-border-checks-39521792</t>
  </si>
  <si>
    <t>a decayed body of a 68-year old  man was found in the port Perveza</t>
  </si>
  <si>
    <t>Perveza</t>
  </si>
  <si>
    <t>http://www.hcg.gr/node/12607</t>
  </si>
  <si>
    <t>a body of a man was found in a boat with 123 refugees 28 miles north-west off Tripoli. They were picked up by the Irish ship Roisin</t>
  </si>
  <si>
    <t>28 nautical miles North-west of Tripoli</t>
  </si>
  <si>
    <t>Irish Examiner</t>
  </si>
  <si>
    <t>http://www.irishexaminer.com/ireland/migrants-body-found-on-dinghy-by-le-roisin-crew-402369.html</t>
  </si>
  <si>
    <t>IOM Italy reported the death of one man off the coast of Porto Empedocle, Italy</t>
  </si>
  <si>
    <t>Porto Empedocle</t>
  </si>
  <si>
    <t>IOM Italy</t>
  </si>
  <si>
    <t>IOM Italy reported 9 people a missing between Messina and North Africa</t>
  </si>
  <si>
    <t>Between North Africa and Messina</t>
  </si>
  <si>
    <t>burns or suffocation</t>
  </si>
  <si>
    <t>UNHCR reported the finding of 4 bodies in the water off Lampedusa.</t>
  </si>
  <si>
    <t>off the coast of Lampedusa</t>
  </si>
  <si>
    <t>hit by a truck</t>
  </si>
  <si>
    <t>violent accidental death (transport, blown in minefield...)</t>
  </si>
  <si>
    <t>a 25-year old Afghan man was run over by a truck on the A16 highway near Calais. He was killed when trying to block the road with tree branches.</t>
  </si>
  <si>
    <t>Calais</t>
  </si>
  <si>
    <t>Nord Littorale</t>
  </si>
  <si>
    <t>http://www.nordlittoral.fr/faits-divers/calais-mort-d-un-migrant-afghan-percute-par-un-camion-ia0b0n312327</t>
  </si>
  <si>
    <t>hit by a car</t>
  </si>
  <si>
    <t>an Eritrean woman was killed in Libya. Her daughter was later rescued from one of the sinking boats between Libya and Italy, on May 26.</t>
  </si>
  <si>
    <t>Libya</t>
  </si>
  <si>
    <t>CBC</t>
  </si>
  <si>
    <t>http://www.cbc.ca/news/world/migrant-drownings-1.3605484</t>
  </si>
  <si>
    <t>45 bodies were taken out of water, and 215 are feared missing after a boat sank between Italy and Libya</t>
  </si>
  <si>
    <t>Channel of Sicily, 35 miles from Libyan coast</t>
  </si>
  <si>
    <t>Italian Coast Guard</t>
  </si>
  <si>
    <t>http://palermo.repubblica.it/cronaca/2016/05/27/news/terzo_naufragio_in_tre_giorni_dieci_corpi_recuperati_decine_di_dispersi-140753076/?ref=HREA-1&amp;refresh_ce</t>
  </si>
  <si>
    <t>the Libyan coast guard has recovered 4 bodies, believed to be the victims of two different shipwrecks.</t>
  </si>
  <si>
    <t>off the coast of Libya</t>
  </si>
  <si>
    <t>Libyan Coast guard</t>
  </si>
  <si>
    <t>http://news.nationalpost.com/news/world/bodies-spotted-in-the-mediterranean-sea-after-migrant-boat-sinks-off-of-libyas-coast</t>
  </si>
  <si>
    <t>47 people have gone missing and 78 were saved off the coast of Sabratha, Libya</t>
  </si>
  <si>
    <t>off the coast of Sabratha</t>
  </si>
  <si>
    <t>about 500 people are reported as drowned, and 87 were saved after a boat sank off the Libyan coast. It was towed by another boat, and did not have an engine.</t>
  </si>
  <si>
    <t>35 nautical miles off the coast of Zuwara</t>
  </si>
  <si>
    <t>http://www.thenational.ae/world/europe/700-refugees-believed-drowned-in-the-mediterranean-in-three-days-says-un</t>
  </si>
  <si>
    <t>435 people were saved, and 5 bodies were recovered after a wooden fishing boat capcized off the coast of Libya. It was later reportedd that about 250 were trapped in the overturned boat and died when it sank.</t>
  </si>
  <si>
    <t>Off the coast of Zawiya</t>
  </si>
  <si>
    <t>Italian coast guard is searching for about 10 refugees who went missing after their boat capcisedd close to Sardinia. They were crossing from Algeria.</t>
  </si>
  <si>
    <t>Close to Sardinia</t>
  </si>
  <si>
    <t>The Telegraph</t>
  </si>
  <si>
    <t>http://www.telegraph.co.uk/news/2016/05/22/italy-launches-search-for-missing-migrant-boat-off-sardinia/</t>
  </si>
  <si>
    <t>illness</t>
  </si>
  <si>
    <t>a 44-year old Syrian man died in hospital in Chios after a badly performed surgeory on his stomach. He died because he could not be transferred to a better hospital</t>
  </si>
  <si>
    <t>Chios</t>
  </si>
  <si>
    <t>Are You Syrious</t>
  </si>
  <si>
    <t>https://archive.is/GuXGI</t>
  </si>
  <si>
    <t>2 young men were found dead in the Nile Delta, Kafr-el-Sheikh governorate</t>
  </si>
  <si>
    <t>Kafr-el-Scheikh governorate, sea shore</t>
  </si>
  <si>
    <t>MENA agency</t>
  </si>
  <si>
    <t>http://english.ahram.org.eg/NewsContent/1/64/216993/Egypt/Politics-/Two-bodies-found-near-sea-shore-in-Egypts-Kafr-ElS.aspx</t>
  </si>
  <si>
    <t>a 20-year old man from Morocco drowned in the port of Ceuta after trying to get on a ship to Algesiras. The body was later retrieved by the coast guard, and placed in the city morgue.</t>
  </si>
  <si>
    <t>Ceuta</t>
  </si>
  <si>
    <t>Yabiladi</t>
  </si>
  <si>
    <t>http://www.yabiladi.com/articles/details/44551/ceuta-marocain-meurt-essayant-rejoindre.html</t>
  </si>
  <si>
    <t>bombed</t>
  </si>
  <si>
    <t>4 children died in a Kilis orphanage due to bombing by IS in April</t>
  </si>
  <si>
    <t>Kilis</t>
  </si>
  <si>
    <t>The Daily Beast</t>
  </si>
  <si>
    <t>http://www.thedailybeast.com/articles/2016/05/09/isis-s-war-kills-syrian-orphans.html?via=desktop&amp;source=twitter</t>
  </si>
  <si>
    <t xml:space="preserve">a 24-year old man from Pakistan was hit by a car on Sunday night on the A16 near Calais, and died soon after. </t>
  </si>
  <si>
    <t>http://www.nordlittoral.fr/faits-divers/un-refugie-percute-sur-la-rocade-de-calais-meurt-un-ia0b0n306611</t>
  </si>
  <si>
    <t>killed</t>
  </si>
  <si>
    <t>28 refgees died in an airtsrike targeted at the camp near Turkish border</t>
  </si>
  <si>
    <t>Kamouna camp near Sarmada, Syria</t>
  </si>
  <si>
    <t>BBC</t>
  </si>
  <si>
    <t>http://www.bbc.co.uk/news/world-middle-east-36214290</t>
  </si>
  <si>
    <t xml:space="preserve">2016 -- 4 </t>
  </si>
  <si>
    <t>IOM Italy reported 9 migrants as missing after a shipwreck off the coast of Libya.</t>
  </si>
  <si>
    <t>IOM Rome</t>
  </si>
  <si>
    <t>a body of a woman, badly decayed, was found on the cost of Samos</t>
  </si>
  <si>
    <t>Samos</t>
  </si>
  <si>
    <t>http://www.hcg.gr/node/12503</t>
  </si>
  <si>
    <t>a man was found unconsious and soon died on the coast of Voulas, supposedly, he came from Asia.</t>
  </si>
  <si>
    <t>Voulas</t>
  </si>
  <si>
    <t>http://www.hcg.gr/node/12500</t>
  </si>
  <si>
    <t>23 people died and 454 were rescued and brought to the port of Pozzallo after a shipwreck in the Channel of Sicily. They mostly come from Adrical countires, but some are from Syria and Yemen.</t>
  </si>
  <si>
    <t>Channel of Sicily</t>
  </si>
  <si>
    <t>Giornale di Sicilia</t>
  </si>
  <si>
    <t>http://ragusa.gds.it/2016/05/02/sbarco-a-pozzallo-i-sopravvissuti-30-migranti-morti-in-mare-durante-i-soccorsi_507200/</t>
  </si>
  <si>
    <t>27 people were rescued by a passing merchant ship, and 84 have drowned as a boat from Libya attempted to reach Italy, but broke in 2 after about 2 hours at sea due to bad weather. The survivours have been brought to Lampedusa. The refugees came from West African countries</t>
  </si>
  <si>
    <t>4 miles off Sabratha</t>
  </si>
  <si>
    <t>http://www.middleeasteye.net/news/scores-missing-latest-sinking-libyan-coast-828095045</t>
  </si>
  <si>
    <t>3 Libyan smugglers and 13 Egyptians were killed in a series of incidents, supposedly in a conflict over smuggling.</t>
  </si>
  <si>
    <t>Bani Walid</t>
  </si>
  <si>
    <t>UNSMIL, IOM</t>
  </si>
  <si>
    <t>http://unsmil.unmissions.org/Default.aspx?tabid=3543&amp;ctl=Details&amp;mid=6187&amp;Itemid=2099587&amp;language=en-US</t>
  </si>
  <si>
    <t>a 40-year old man from Syria (possibly Kurdish) died in hospital in Idomeni after being hit by a police van during a riot in the Idomeni camp on Monday 18th of April.</t>
  </si>
  <si>
    <t>Idomeni</t>
  </si>
  <si>
    <t>Voria</t>
  </si>
  <si>
    <t>http://www.independent.co.uk/news/world/europe/syrian-refugee-dies-after-being-hit-by-police-van-at-idomeni-refugee-camp-in-greece-a6994161.html</t>
  </si>
  <si>
    <t>a body of a man was found on the island of Kos, delivered to the local hospital.</t>
  </si>
  <si>
    <t>Kos</t>
  </si>
  <si>
    <t>http://www.hcg.gr/node/12428</t>
  </si>
  <si>
    <t>5 Syrians including 4 children died in Turkish border town Kilis after bombing from ISIS</t>
  </si>
  <si>
    <t>CNN Türk</t>
  </si>
  <si>
    <t>http://www.cnnturk.com/turkiye/kiliste-roketli-saldiri-sonucu-olenlerin-sayisi-5e-yukseldi</t>
  </si>
  <si>
    <t>Latlong</t>
  </si>
  <si>
    <t>Lat</t>
  </si>
  <si>
    <t>Long</t>
  </si>
  <si>
    <t>suicide</t>
  </si>
  <si>
    <t>drowning, exhaustion related death or unknown cause of death</t>
  </si>
  <si>
    <t>Grand Total</t>
  </si>
  <si>
    <t>-0.228021, 15.827659</t>
  </si>
  <si>
    <t>shot</t>
  </si>
  <si>
    <t>2016 -- 4</t>
  </si>
  <si>
    <t>8 Syrian refugees- women and children among them - were shot by Turkish border guards not far from A'zaz</t>
  </si>
  <si>
    <t>Turkish-Syrian border</t>
  </si>
  <si>
    <t>The Times</t>
  </si>
  <si>
    <t>https://www.almasdarnews.com/article/syrian-women-children-shot-dead-turkish-border-guards/</t>
  </si>
  <si>
    <t xml:space="preserve">a body of a man was found close to the coast of Samos </t>
  </si>
  <si>
    <t>http://www.hcg.gr/node/12395</t>
  </si>
  <si>
    <t>-11.202692, 17.873887</t>
  </si>
  <si>
    <t>a body of a 3-year old girl was found in the water by Turkish fishermen off the coast of Izmir</t>
  </si>
  <si>
    <t>Izmir</t>
  </si>
  <si>
    <t>Daily Star</t>
  </si>
  <si>
    <t>http://www.dailystar.co.uk/news/latest-news/508405/Body-dead-refugee-child-girl-3-fisherman-net-Turkey</t>
  </si>
  <si>
    <t>-12.8275, 45.166244</t>
  </si>
  <si>
    <t>-12.8, 45.1</t>
  </si>
  <si>
    <t>about 500 people are feared dead after 2 boats capcised on the way from Libya to Italy. 41 survivors were saved by a merchant ship and delivered to Kalamata, Greece. The accident happened in the middle of the night, and the death toll is estimated between 400 and 500. One boat has left from Tobruk.</t>
  </si>
  <si>
    <t>Between Egypt and Italy</t>
  </si>
  <si>
    <t>-8.783195, 34.508523</t>
  </si>
  <si>
    <t>http://www.unhcr.org/57177c199.html</t>
  </si>
  <si>
    <t>-12.9, 45.2</t>
  </si>
  <si>
    <t>8 bodies were found in a drowning rubber boat close to Italy. 108 people resqued and taken to Lampedusa by a private ship called Aquarius (SOS Mediteranee charity). The survivors claimed that there were 135 passengers in the boat that left from the Libyan port of Sabratha</t>
  </si>
  <si>
    <t>Close to Lampedusa</t>
  </si>
  <si>
    <t>0.344922, 51.4609</t>
  </si>
  <si>
    <t>http://www.thelocal.it/20160418/over-400-italy-bound-migrants-drowned-in-latest-boat-tragedy</t>
  </si>
  <si>
    <t>0.390841, 9.453644</t>
  </si>
  <si>
    <t>a 20-year old man, asylum seeker from Syria, died on the highway near Frankfurt Airport.</t>
  </si>
  <si>
    <t>Frankfurt Airport</t>
  </si>
  <si>
    <t>12.8, 45.033333</t>
  </si>
  <si>
    <t>Frankfurter Allgemeine Zeitung</t>
  </si>
  <si>
    <t>http://www.faz.net/aktuell/rhein-main/asylbewerber-laeuft-auf-a3-und-wird-getoetet-14177883.html</t>
  </si>
  <si>
    <t>12.862807, 30.217636</t>
  </si>
  <si>
    <t>12.9, 30.3</t>
  </si>
  <si>
    <t>a 27-y.o. man was found unconsious in port Rafti in Attika, and later died in hospical.</t>
  </si>
  <si>
    <t>Porto Rafti, Attika</t>
  </si>
  <si>
    <t>http://www.hcg.gr/node/12375</t>
  </si>
  <si>
    <t>12.89952, -14.94427</t>
  </si>
  <si>
    <t>13.193887, -59.543198</t>
  </si>
  <si>
    <t>7 bodies were found by Tunisian fishermen in a port close to Lybian border</t>
  </si>
  <si>
    <t>Port El-Ketf, Ben Guerdane province</t>
  </si>
  <si>
    <t>AFP</t>
  </si>
  <si>
    <t>https://www.lorientlejour.com/article/980558/tunisie-les-depouilles-de-sept-migrants-repechees-au-large-du-sud-du-pays.html</t>
  </si>
  <si>
    <t>13.443182, -15.310139</t>
  </si>
  <si>
    <t>14.4903, 35.8334</t>
  </si>
  <si>
    <t>14.497401, -14.452362</t>
  </si>
  <si>
    <t>a man was found unconsious in the area of Nea Makri, Attika, and died in the Korgialenio - Benaki hospital</t>
  </si>
  <si>
    <t>Nea Makri</t>
  </si>
  <si>
    <t>http://www.hcg.gr/node/12371</t>
  </si>
  <si>
    <t>14.743417, -17.485433</t>
  </si>
  <si>
    <t>14.762683, -17.481736</t>
  </si>
  <si>
    <t>1Q2016</t>
  </si>
  <si>
    <t>2016 -- 3</t>
  </si>
  <si>
    <t>14.764504, -17.366029</t>
  </si>
  <si>
    <t>A gay Russian opposition activist who lived in Luxembourg as an asylum seeker has committed suicide. He suffered from depression.</t>
  </si>
  <si>
    <t>Luxembourg</t>
  </si>
  <si>
    <t>Le Quotidien</t>
  </si>
  <si>
    <t>http://www.lequotidien.lu/politique-et-societe/luxembourg-silence-sur-le-mysterieux-suicide-dun-refugie-russe/</t>
  </si>
  <si>
    <t>14.8, -17</t>
  </si>
  <si>
    <t>15.552727, 48.516388</t>
  </si>
  <si>
    <t>16.666667, -9.616667</t>
  </si>
  <si>
    <t>4 women and a child have drowned as their boat capsized in the Aegean Sea close to Samos on Saturday. 5 people have survuved, 4 still missing.</t>
  </si>
  <si>
    <t>http://www.romandie.com/news/Grece-5-migrants-dont-1-enfant-se-sont-noyes-en/693154.rom</t>
  </si>
  <si>
    <t>16.7, -9.7</t>
  </si>
  <si>
    <t>16.966667, 7.983333</t>
  </si>
  <si>
    <t>17, 8</t>
  </si>
  <si>
    <t>4 refugees were killed in a violent riot in a detention centre in Zawiya. The centre held refugees who were arrested on Libya's coast when they were trying to reach Europe.</t>
  </si>
  <si>
    <t>Zawiya</t>
  </si>
  <si>
    <t>Guardian</t>
  </si>
  <si>
    <t>https://www.theguardian.com/world/2016/apr/09/libya-influx-migrants-europe</t>
  </si>
  <si>
    <t>17.570692, -3.996166</t>
  </si>
  <si>
    <t>17.607789, 8.081666</t>
  </si>
  <si>
    <t>a refugee was found unconsious in the water and died in hospital ner the city of Voula</t>
  </si>
  <si>
    <t>Voula</t>
  </si>
  <si>
    <t>http://www.hcg.gr/node/12311</t>
  </si>
  <si>
    <t>17.916944, 19.116667</t>
  </si>
  <si>
    <t>17.6, 8.1</t>
  </si>
  <si>
    <t>a woman, about 30, was found dead on the island of Samos</t>
  </si>
  <si>
    <t>http://www.hcg.gr/node/12307</t>
  </si>
  <si>
    <t>17.9, 8</t>
  </si>
  <si>
    <t>ran over by a truck</t>
  </si>
  <si>
    <t>17.992731, -76.792009</t>
  </si>
  <si>
    <t>a Kurnish teenager (18 y.o.)  has died in Oxfordshire trying to travel underneath a truck from Dunkirk to Manchester. He had a legitimate right to stay in the UK.</t>
  </si>
  <si>
    <t>Oxfordshire</t>
  </si>
  <si>
    <t>18.084061, -15.97842</t>
  </si>
  <si>
    <t>http://www.theguardian.com/world/2016/apr/02/teenager-from-kurdistan-dies-under-lorry-in-oxfordshire</t>
  </si>
  <si>
    <t>18.733, 7.383</t>
  </si>
  <si>
    <t>19.0086, 12.88579</t>
  </si>
  <si>
    <t>19.213588, 6.800537</t>
  </si>
  <si>
    <t>the Egyptian coast guard reported that 127 weere rescued and 4 drowned after a boat sank off Kafr el-Sheikh province</t>
  </si>
  <si>
    <t>Kafr el-Sheikh</t>
  </si>
  <si>
    <t>2.033333, 45.35</t>
  </si>
  <si>
    <t>20, 25</t>
  </si>
  <si>
    <t>Sputnik</t>
  </si>
  <si>
    <t>http://sputniknews.com/world/20160331/1037266113/migrant-ship-sinks.html</t>
  </si>
  <si>
    <t>20.23, 25</t>
  </si>
  <si>
    <t>20.942518, -17.036227</t>
  </si>
  <si>
    <t>21.00789, -10.940835</t>
  </si>
  <si>
    <t>16 Syrian refugees, including 3 children, were shot by Turkish soldiers at the border since the start of 2016, Syrian Observatory for Human Rights reported.</t>
  </si>
  <si>
    <t>Syrian Observatory for Human Rights</t>
  </si>
  <si>
    <t>http://www.mirror.co.uk/news/world-news/turkey-shoots-dead-syrian-refugees-7659394</t>
  </si>
  <si>
    <t>21.8, 8.56</t>
  </si>
  <si>
    <t>21, -11</t>
  </si>
  <si>
    <t>22.785, 5.522778</t>
  </si>
  <si>
    <t>IOM Italy reports 86 refugees as missing after a boat sank off the cost of Libya, 4 corpses were later found on the Italian coast.</t>
  </si>
  <si>
    <t>Sabratha</t>
  </si>
  <si>
    <t>23.14632, 58.825119</t>
  </si>
  <si>
    <t>Reuters, IOM Italy</t>
  </si>
  <si>
    <t>http://www.reuters.com/article/us-europe-migrants-italy-idUSKCN0WW2AY</t>
  </si>
  <si>
    <t>23.684994, 90.356331</t>
  </si>
  <si>
    <t>23.69751, -15.93698</t>
  </si>
  <si>
    <t>23.803497, 11.291889</t>
  </si>
  <si>
    <t>IOM Italy reported 84 people as dead off the coast of Libya</t>
  </si>
  <si>
    <t>a 22-year old man died in hospital after being run over by a truck in the port of Calais</t>
  </si>
  <si>
    <t>Le Monde</t>
  </si>
  <si>
    <t>http://www.lemonde.fr/europe/article/2016/03/31/calais-un-migrant-meurt-renverse-par-un-camion_4892827_3214.html</t>
  </si>
  <si>
    <t>24.088938, 32.899829</t>
  </si>
  <si>
    <t>24.1, 33</t>
  </si>
  <si>
    <t>25, 32.9</t>
  </si>
  <si>
    <t>a 55-year old man was found dead in the sea off Rodos</t>
  </si>
  <si>
    <t>Rodos</t>
  </si>
  <si>
    <t>26.0667, 50.5577</t>
  </si>
  <si>
    <t>http://www.hcg.gr/node/12257</t>
  </si>
  <si>
    <t>26.133333, -14.466667</t>
  </si>
  <si>
    <t>26.3351, 17.228331</t>
  </si>
  <si>
    <t>12 bodies have been found on the Libyan cost near Tripoly, the coast guard estimates they must have been in the waterr for several days</t>
  </si>
  <si>
    <t>Tripoli</t>
  </si>
  <si>
    <t>https://www.cihan.com.tr/en/libya-coast-washed-ashore-2043333.htm</t>
  </si>
  <si>
    <t>26, 17.5</t>
  </si>
  <si>
    <t>26.5, 17</t>
  </si>
  <si>
    <t>a 15-year old boy from Somalia died of lung infection in hospital in Cagliali, Italy</t>
  </si>
  <si>
    <t>26.820553, 30.802498</t>
  </si>
  <si>
    <t>Cagliali</t>
  </si>
  <si>
    <t>27, 30.8</t>
  </si>
  <si>
    <t>a 47-year old woman was found dead on the edge of the water on the city of Patras</t>
  </si>
  <si>
    <t>Patras</t>
  </si>
  <si>
    <t>27.153611, -13.203333</t>
  </si>
  <si>
    <t>http://www.hcg.gr/node/12249</t>
  </si>
  <si>
    <t>27.725499, -18.024301</t>
  </si>
  <si>
    <t>2 men were found dead in Bulgaria close to the Turkish border</t>
  </si>
  <si>
    <t>27.759555, -15.57903</t>
  </si>
  <si>
    <t>Malko Tarnovo</t>
  </si>
  <si>
    <t>http://www.hurriyetdailynews.com/Default.aspx?pageID=238&amp;nid=96847</t>
  </si>
  <si>
    <t>27.78085, -15.520694</t>
  </si>
  <si>
    <t>27.793611, -15.658889</t>
  </si>
  <si>
    <t>4 people were reported dead by the IOM Italy between Libya and Lampedusa</t>
  </si>
  <si>
    <t>Lampedusa</t>
  </si>
  <si>
    <t>27.858484, -15.394362</t>
  </si>
  <si>
    <t>2 girls aged 1 and 2, were found dead in a boat on the Greek island of Ro</t>
  </si>
  <si>
    <t>Rho</t>
  </si>
  <si>
    <t>IOM Greece</t>
  </si>
  <si>
    <t>http://www.shanghaidaily.com/article/article_xinhua.aspx?id=324209</t>
  </si>
  <si>
    <t>27.93556, -12.91871</t>
  </si>
  <si>
    <t>28.009757, -15.53205</t>
  </si>
  <si>
    <t>2 refugees, aged 36 and 39, died in a hospital on the island of Lesvos, city of Mytilene, after being rescued from a boat by the coast guard</t>
  </si>
  <si>
    <t>Lesvos</t>
  </si>
  <si>
    <t>28.033886, 1.659626</t>
  </si>
  <si>
    <t>Greek Coast guard</t>
  </si>
  <si>
    <t>http://www.hcg.gr/node/12224</t>
  </si>
  <si>
    <t>28.05, -16.716667</t>
  </si>
  <si>
    <t>2 underage girls died in a hospital on the island of Kalolimnos after being resqued from a boat with 57 other people</t>
  </si>
  <si>
    <t>Kalolimnos</t>
  </si>
  <si>
    <t>28.100259, -15.699674</t>
  </si>
  <si>
    <t>28.103304, -17.219358</t>
  </si>
  <si>
    <t>a body was found near Catania, Sicily</t>
  </si>
  <si>
    <t>Catania</t>
  </si>
  <si>
    <t>28.113155, -15.440883</t>
  </si>
  <si>
    <t>a body was found near Pozallo, Sicily</t>
  </si>
  <si>
    <t>Pozallo</t>
  </si>
  <si>
    <t>28.291564, -16.62913</t>
  </si>
  <si>
    <t>9 people have drowned off Lybia, supposedly trying to reach Europe</t>
  </si>
  <si>
    <t>http://www.nst.com.my/news/2016/03/133955/nine-migrants-drown-libya-hundreds-rescued</t>
  </si>
  <si>
    <t>28, -16.6</t>
  </si>
  <si>
    <t>28.5, -16</t>
  </si>
  <si>
    <t>28.8, -16.8</t>
  </si>
  <si>
    <t>4 people died when their boat cought fire off the cost of Libya</t>
  </si>
  <si>
    <t>http://news.xinhuanet.com/english/2016-03/18/c_135199264.htm</t>
  </si>
  <si>
    <t>28.358744, -14.053676</t>
  </si>
  <si>
    <t>28.386856, -16.553251</t>
  </si>
  <si>
    <t>28.3968, -13.863823</t>
  </si>
  <si>
    <t>8 men from Pakistan were reported missing near the island of Kos</t>
  </si>
  <si>
    <t>http://www.globalpost.com/article/6745938/2016/03/14/eight-migrants-missing-greece-protest-erupts-border-camp</t>
  </si>
  <si>
    <t>28.415292, -14.01106</t>
  </si>
  <si>
    <t>28.569022, -16.324539</t>
  </si>
  <si>
    <t>Italian coast guard and navy, and a Norvegian ship found 3 drowned people during a search and resque operation in between Sicily and Borth Africa</t>
  </si>
  <si>
    <t>29.01, -12.79</t>
  </si>
  <si>
    <t>http://www.hurriyetdailynews.com/Default.aspx?pageID=238&amp;nid=96589&amp;NewsCatID=351</t>
  </si>
  <si>
    <t>29.046854, -13.589973</t>
  </si>
  <si>
    <t>29.060072, -13.560306</t>
  </si>
  <si>
    <t>A teenage boy from a North African country drowned trying to get on a boat standing in Melilla</t>
  </si>
  <si>
    <t>El Diario</t>
  </si>
  <si>
    <t>http://www.eldiario.es/desalambre/Muere-Melilla-inmigrante-intentar-alcanzar_0_494150689.html</t>
  </si>
  <si>
    <t>29.104381, 53.045893</t>
  </si>
  <si>
    <t>30.000473, 34.679418</t>
  </si>
  <si>
    <t>30.04442, 31.235712</t>
  </si>
  <si>
    <t>30, 31</t>
  </si>
  <si>
    <t>A woman and two men drowned in a river close to the Greek-Macedonian border due to the string current</t>
  </si>
  <si>
    <t>http://uk.reuters.com/article/uk-europe-migrants-macedonia-idUKKCN0WG0ZS</t>
  </si>
  <si>
    <t>30.134703, 31.254136</t>
  </si>
  <si>
    <t>30.153994, 34.035645</t>
  </si>
  <si>
    <t>fell off a train</t>
  </si>
  <si>
    <t>A teenager from Egypt has died after jumping off a train in Southern Germany. A few days before that, he was deported out of Germany. When discovered hiding under a seat, he handed the officians his documents (issued in Austria), and then rushed into another compartment, and jumped out of a window.</t>
  </si>
  <si>
    <t>Near Munich</t>
  </si>
  <si>
    <t>30.446042, 31.181203</t>
  </si>
  <si>
    <t>http://af.reuters.com/article/topNews/idAFKCN0WD28X</t>
  </si>
  <si>
    <t>30.597246, 30.987632</t>
  </si>
  <si>
    <t>30.755556, 20.225278</t>
  </si>
  <si>
    <t>a body of a man was found on a beach in Samos (N-E)</t>
  </si>
  <si>
    <t>http://www.hcg.gr/node/12172</t>
  </si>
  <si>
    <t>30.78004, 30.991133</t>
  </si>
  <si>
    <t>30.840842, 32.32634</t>
  </si>
  <si>
    <t>a body of a man was found on a beach in Samos</t>
  </si>
  <si>
    <t>http://www.hcg.gr/node/12175</t>
  </si>
  <si>
    <t>31.030972, -7.885086</t>
  </si>
  <si>
    <t>31.200092, 29.918739</t>
  </si>
  <si>
    <t>5 people (including a baby) from Iran and Afhganistnan  have drowned off the Turkish coast while trying to reach Lesbos. The Turkish coast guard saved 9 more.</t>
  </si>
  <si>
    <t>31, 30</t>
  </si>
  <si>
    <t>Dogan news agency</t>
  </si>
  <si>
    <t>http://www.reuters.com/article/us-europe-migrants-turkey-idUSKCN0WC0PI</t>
  </si>
  <si>
    <t>31.280267, 34.240191</t>
  </si>
  <si>
    <t>31.510077, 30.21185</t>
  </si>
  <si>
    <t>A boat sank off the Coast of Turkey, 25 people died among them 10 children. 15 were rescued.</t>
  </si>
  <si>
    <t>Didim, West Turkey</t>
  </si>
  <si>
    <t>31.558247, 31.085148</t>
  </si>
  <si>
    <t>Hurriyet Daily</t>
  </si>
  <si>
    <t>http://www.hurriyetdailynews.com/death-toll-in-latest-boat-tragedy-rises-to-25.aspx?pageID=238&amp;nid=96135</t>
  </si>
  <si>
    <t>31.791702, -7.09262</t>
  </si>
  <si>
    <t>31.79, -7.1</t>
  </si>
  <si>
    <t>shot by border police</t>
  </si>
  <si>
    <t>31.802985, -7.574833</t>
  </si>
  <si>
    <t xml:space="preserve">2016 -- 3 </t>
  </si>
  <si>
    <t>SOHR activists were informed that the Turkish border guards targeted a number of civilians during an attempt to cross from Lattakia and Idlib into Turkey what killed 2 civilians and wounded 10 others, it is still unknown if they have reached the Turkish borders, reports that the Turkish border guards also killed 8 others during attempts to cross into the Turkish lands.</t>
  </si>
  <si>
    <t>Idlib, Lattakia, Turkish border</t>
  </si>
  <si>
    <t>32, 17</t>
  </si>
  <si>
    <t>SOHR, DW</t>
  </si>
  <si>
    <t>http://www.syriahr.com/en/?p=44763</t>
  </si>
  <si>
    <t>32, 30.6</t>
  </si>
  <si>
    <t>IOM reported a death of a child in Mytilene  hospital in Lesvos due to respiratory problems</t>
  </si>
  <si>
    <t>32.116667, 20.066667</t>
  </si>
  <si>
    <t>wounded</t>
  </si>
  <si>
    <t>32.183929, 35.233453</t>
  </si>
  <si>
    <t>The PYD reports that 42 people were wounded and killed during internal fightings trying to reach the border and going on the seas to escape the fights,</t>
  </si>
  <si>
    <t xml:space="preserve">Kurdish region of Syria </t>
  </si>
  <si>
    <t>Anadolu news agency</t>
  </si>
  <si>
    <t>http://aa.com.tr/tr/guncel/snhr-suriyede-rejim-gucleri-sivilleri-dogrudan-hedef-aliyor/529687</t>
  </si>
  <si>
    <t>32.23, 26.64</t>
  </si>
  <si>
    <t>32.18, 35</t>
  </si>
  <si>
    <t>2016 -- 2</t>
  </si>
  <si>
    <t>IOM Italy reported death of 5 people between Tunisia and Italy</t>
  </si>
  <si>
    <t>32.3, 29.7</t>
  </si>
  <si>
    <t>2 Syrian children died in the hospital of Kilis, Turkey after fleeing a Russian airstrike in their hometown Aleppo</t>
  </si>
  <si>
    <t>http://www.radikal.com.tr/kilis-haber/sigindiklari-okulda-da-rus-bombasindan-kacamadilar-1512501/</t>
  </si>
  <si>
    <t>32.310059, -9.236617</t>
  </si>
  <si>
    <t>32.374298, 15.09492</t>
  </si>
  <si>
    <t>2 drowned refugees were found on Firday near Sicily by the Italian coast guard. They are believed to have attempted to get to Italy from Lybia in a wooden boat</t>
  </si>
  <si>
    <t>Siculiana</t>
  </si>
  <si>
    <t>http://www.skynews.com.au/news/world/europe/2016/02/20/two-refugees-drown-off-the-coast-of-sicily.html</t>
  </si>
  <si>
    <t>32.427908, 53.688046</t>
  </si>
  <si>
    <t>32.4, 53.6</t>
  </si>
  <si>
    <t>1 Afhgan boy (4 y.o.) was found dead in a boat that docked on the island of Chios</t>
  </si>
  <si>
    <t>32.5, 53.7</t>
  </si>
  <si>
    <t>32.5, 13.3</t>
  </si>
  <si>
    <t>News24</t>
  </si>
  <si>
    <t>http://www.news24.com/World/News/4-year-old-afghan-boy-dies-on-migrant-boat-20160217</t>
  </si>
  <si>
    <t>32.8, 13.1</t>
  </si>
  <si>
    <t>32.857, 14.306</t>
  </si>
  <si>
    <t>1 man was killed in a fight in a refugee centre in Sweden, in the town of Ljusne</t>
  </si>
  <si>
    <t>Ljusne</t>
  </si>
  <si>
    <t>32.876174, 13.187507</t>
  </si>
  <si>
    <t>http://news.yahoo.com/sweden-opens-murder-probe-over-death-refugee-centre-204106936.html</t>
  </si>
  <si>
    <t>32.9, 13.1</t>
  </si>
  <si>
    <t>32.8, 13.2</t>
  </si>
  <si>
    <t>disappeared</t>
  </si>
  <si>
    <t>1 man, 36 year old, from Afghanistan, diesppaeared on his way from Calais Jungle to a supermarket</t>
  </si>
  <si>
    <t>32.882937, 13.188336</t>
  </si>
  <si>
    <t>Doctorts of the World</t>
  </si>
  <si>
    <t>https://www.doctorsoftheworld.org.uk/blog/entry/attacks-on-calais-migrants-on-the-rise</t>
  </si>
  <si>
    <t>32.9, 13.5</t>
  </si>
  <si>
    <t>starved</t>
  </si>
  <si>
    <t>32.92, 13.335</t>
  </si>
  <si>
    <t>1 year old baby died at Adana Bus station due to coldness and starvation. The familiy walked from Aleppo to Hatay (Turkey), then took a bus when the child died at the satation</t>
  </si>
  <si>
    <t>Adana, Turkey</t>
  </si>
  <si>
    <t>Hürriyet</t>
  </si>
  <si>
    <t>http://www.hurriyet.com.tr/suriyeli-bebek-besin-yetersizligi-ve-soguktan-oldu-40051147</t>
  </si>
  <si>
    <t>32.933333, 12.083333</t>
  </si>
  <si>
    <t>32.982, 13.563</t>
  </si>
  <si>
    <t>33, 12.1</t>
  </si>
  <si>
    <t>1 man was found dead near the coast of Calais by the French coast guard. The corps has been in the water for a long time, and there were no papers on him.</t>
  </si>
  <si>
    <t>33, 13</t>
  </si>
  <si>
    <t>Figaro</t>
  </si>
  <si>
    <t>http://www.lefigaro.fr/flash-actu/2016/02/10/97001-20160210FILWWW00174-calais-probablement-un-migrant-retrouve-mort.php</t>
  </si>
  <si>
    <t>33, 13.1</t>
  </si>
  <si>
    <t>33, 13.4</t>
  </si>
  <si>
    <t xml:space="preserve">27 people (11 children) were found dead and 4 were resqued after a boat capsized in West Turkey </t>
  </si>
  <si>
    <t>Erdemit Bay</t>
  </si>
  <si>
    <t>http://www.dailysabah.com/nation/2016/02/08/tragedy-strikes-migrants-in-the-aegean-again-27-dead</t>
  </si>
  <si>
    <t>33, 14</t>
  </si>
  <si>
    <t>33, 30</t>
  </si>
  <si>
    <t>33.04, 12.23</t>
  </si>
  <si>
    <t>33.04, 13.64</t>
  </si>
  <si>
    <t>2 women, aged approx. 14-16 and 30-40, have frozen to death while crossing the Balkans</t>
  </si>
  <si>
    <t>Daily Mail</t>
  </si>
  <si>
    <t>http://www.dailymail.co.uk/news/article-3435843/Two-migrant-women-dead-cold-Bulgaria-Minister.html</t>
  </si>
  <si>
    <t>33.065030, 13.413009</t>
  </si>
  <si>
    <t>33.1, 13.3</t>
  </si>
  <si>
    <t>33.17, 13.88</t>
  </si>
  <si>
    <t>9 people (including 2 children) drowned, and 2 were saved when a boat sank off the coast of the Turkish provice Izmir.</t>
  </si>
  <si>
    <t>Seferihisar coast</t>
  </si>
  <si>
    <t>Hurrieyet Daily</t>
  </si>
  <si>
    <t>http://www.hurriyetdailynews.com/nine-migrants-drown-off-turkeys-aegean-coast.aspx?pageID=238&amp;nID=94644&amp;NewsCatID=341</t>
  </si>
  <si>
    <t>33.223191, 43.679291</t>
  </si>
  <si>
    <t>33.2, 43.7</t>
  </si>
  <si>
    <t>2016 -- 1</t>
  </si>
  <si>
    <t>3 people drowned on the way from Didim to Farmakonisi. 12 were rescued by the Turkish coast guyrd</t>
  </si>
  <si>
    <t>33.3, 13.6</t>
  </si>
  <si>
    <t>http://www.hurriyetdailynews.com/Default.aspx?pageID=238&amp;nid=94597&amp;NewsCatID=341</t>
  </si>
  <si>
    <t>33.349987, 13.58879</t>
  </si>
  <si>
    <t>IOM reported 6 people dead and 64 missing in the Channel of Sicily</t>
  </si>
  <si>
    <t>33.4, 13.5</t>
  </si>
  <si>
    <t>33.4, 13.3</t>
  </si>
  <si>
    <t>39 people (including 5 children) drowned and 75 saved by the Turkish coast guard after their boat hit the rocks on its way to Lesbos from Canakkale. The refugees came from Syria, Maynmar, and Afghanistan</t>
  </si>
  <si>
    <t>Canakkale</t>
  </si>
  <si>
    <t>http://aa.com.tr/en/turkey/39-dead-as-refugee-boat-sinks-off-western-turkey/512627</t>
  </si>
  <si>
    <t>33.4, 15.3</t>
  </si>
  <si>
    <t>33.442380, 25.610113</t>
  </si>
  <si>
    <t>33.47, 13.15</t>
  </si>
  <si>
    <t xml:space="preserve">A body of an infant was found on the island of Samos </t>
  </si>
  <si>
    <t>http://www.hcg.gr/node/11948</t>
  </si>
  <si>
    <t>33.503681, 11.11538</t>
  </si>
  <si>
    <t>33.51, 12.8</t>
  </si>
  <si>
    <t>A body of a man was found on the island of Samos</t>
  </si>
  <si>
    <t>33.533333, -7.583333</t>
  </si>
  <si>
    <t>http://www.hcg.gr/node/11954</t>
  </si>
  <si>
    <t>33.6, 13.3</t>
  </si>
  <si>
    <t>6 people were found dead in a rummer dinghi by the Italian coast guard during the resque operation between Italy and Lybia. The coast guyrds have resqued 290 from 3 boats.</t>
  </si>
  <si>
    <t>33.641882, 12.847345</t>
  </si>
  <si>
    <t>http://uk.reuters.com/article/us-europe-migrants-italy-idUKKCN0V6211</t>
  </si>
  <si>
    <t>33.7, 13.6</t>
  </si>
  <si>
    <t>33.7, 14.05</t>
  </si>
  <si>
    <t>26 people (10 children) were found dead near an island of Samos. 10 people resqued.</t>
  </si>
  <si>
    <t>33.81445, 12.700195</t>
  </si>
  <si>
    <t>http://www.bbc.co.uk/news/world-europe-35430667</t>
  </si>
  <si>
    <t>33.85, -7.03</t>
  </si>
  <si>
    <t>33.867198, 12.279102</t>
  </si>
  <si>
    <t>7 refugees (1 child among them) have drowned attempting to reach the Greek island of Kos. 1 man swam ashore, 3 still missing</t>
  </si>
  <si>
    <t>http://www.dailysabah.com/nation/2016/01/27/at-least-seven-refugees-including-2-children-drown-in-aegean-near-greek-island</t>
  </si>
  <si>
    <t>33.89, 12.61</t>
  </si>
  <si>
    <t>33.9, 13.44</t>
  </si>
  <si>
    <t>33.93911, 67.709953</t>
  </si>
  <si>
    <t>34, 68</t>
  </si>
  <si>
    <t>5 refugees have drowned, and 16 were resqued off the coast of Didim, West Turkey, as their boat sank on its way to the Greek island of Farmakonisi</t>
  </si>
  <si>
    <t>Didim</t>
  </si>
  <si>
    <t>34, 14.5</t>
  </si>
  <si>
    <t>http://www.ndtv.com/world-news/5-drown-off-turkey-in-new-aegean-migrant-tragedy-reports-1270306</t>
  </si>
  <si>
    <t>34.1, -6.8</t>
  </si>
  <si>
    <t>34, 14</t>
  </si>
  <si>
    <t>34,4, 14,1</t>
  </si>
  <si>
    <t>A body was brought to Sicily together with 700 rescued people</t>
  </si>
  <si>
    <t>34.015049, -6.83272</t>
  </si>
  <si>
    <t>Sicily</t>
  </si>
  <si>
    <t>34.1, 12.3</t>
  </si>
  <si>
    <t>A Pakistani man was stabbed to death, and 2 more wounded by a group of 5 menon the border to Macedonia</t>
  </si>
  <si>
    <t>Greek-Macedonian border</t>
  </si>
  <si>
    <t>http://www.ekathimerini.com/205388/article/ekathimerini/news/victim-of-border-attack-a-pakistani-national-police-say</t>
  </si>
  <si>
    <t>34.1, 15.7</t>
  </si>
  <si>
    <t>34.264061, -6.578296</t>
  </si>
  <si>
    <t>34.528455, 69.171703</t>
  </si>
  <si>
    <t>34.542858, 13.704729</t>
  </si>
  <si>
    <t>A body of a man was found on the island of Samos (East)</t>
  </si>
  <si>
    <t>34.553128, 18.048011</t>
  </si>
  <si>
    <t>http://www.hcg.gr/node/11895</t>
  </si>
  <si>
    <t>34.574, 12.605</t>
  </si>
  <si>
    <t>34.658056, 11.068611</t>
  </si>
  <si>
    <t>34.686667, -1.911389</t>
  </si>
  <si>
    <t>2 bodies (man and woman) were founded dead on the north-east of Samos</t>
  </si>
  <si>
    <t>http://www.hcg.gr/node/11888</t>
  </si>
  <si>
    <t>34.7, -1.9</t>
  </si>
  <si>
    <t>A heavily decayed body of a man was found on the island of Skyros by the coast guyrd</t>
  </si>
  <si>
    <t>Skyros</t>
  </si>
  <si>
    <t>34.7, 12.7</t>
  </si>
  <si>
    <t>34.7, 15.5</t>
  </si>
  <si>
    <t>34.745159, 10.7613</t>
  </si>
  <si>
    <t>A body of an underage girl was found on the island of Lesvos, Kaiga beach</t>
  </si>
  <si>
    <t>Lesbos</t>
  </si>
  <si>
    <t>http://www.hcg.gr/node/11886</t>
  </si>
  <si>
    <t>34.802075, 38.996815</t>
  </si>
  <si>
    <t>34.8, 39</t>
  </si>
  <si>
    <t>34.870244, 33.609009</t>
  </si>
  <si>
    <t>a man was found dead on the border of Bulgaria and Serbia</t>
  </si>
  <si>
    <t>West Bulgaria</t>
  </si>
  <si>
    <t>34.9, 15</t>
  </si>
  <si>
    <t>http://www.unhcr.org/56aa19556.html</t>
  </si>
  <si>
    <t>34.916667, 33.633333</t>
  </si>
  <si>
    <t>35, 15</t>
  </si>
  <si>
    <t>35, 15.1</t>
  </si>
  <si>
    <t>A young man (22) died trying to travel under a truck, but fell on the road and was ran over</t>
  </si>
  <si>
    <t>Ancona</t>
  </si>
  <si>
    <t>35, 15.7</t>
  </si>
  <si>
    <t>Corriere Adriatico</t>
  </si>
  <si>
    <t>http://www.corriereadriatico.it/ancona/ancona_investimento_mortale_pedone_perde_la_vita_via_conca-1504453.html</t>
  </si>
  <si>
    <t>35, 16</t>
  </si>
  <si>
    <t>35.010802, -7.514648</t>
  </si>
  <si>
    <t>35.01, -7.5</t>
  </si>
  <si>
    <t>A body of a man was found off the coast of Samos (north)</t>
  </si>
  <si>
    <t>35, -7.6</t>
  </si>
  <si>
    <t>http://www.hcg.gr/node/11885</t>
  </si>
  <si>
    <t>35.1, -1.85</t>
  </si>
  <si>
    <t>8 people drowned as a boat sank off the coast of the Greek island of Farmakonissi</t>
  </si>
  <si>
    <t>35.11, 14.41</t>
  </si>
  <si>
    <t>Farmakonissi</t>
  </si>
  <si>
    <t>http://news.yahoo.com/german-coalition-fails-resolve-rift-refugees-114516379.html</t>
  </si>
  <si>
    <t>35.126413, 33.429859</t>
  </si>
  <si>
    <t>35.2, 33.4</t>
  </si>
  <si>
    <t>35 bodies (17 women, 7 men, 11 children) recovered from a shipwreck off the coast of Kalolimnos, 26 people were resqued by the Greek coastguard. Later Turkeich coast gurd recovered 3 more bodies, and reseuqed 6 survivors in the area between Kalolimnos and Farmakonisi. They were crossing in a wooden sailboat</t>
  </si>
  <si>
    <t>http://uk.reuters.com/article/uk-europe-migrants-greece-idUKKCN0V00NF</t>
  </si>
  <si>
    <t>35.1, 33.5</t>
  </si>
  <si>
    <t>35.166667, -2.933333</t>
  </si>
  <si>
    <t>13 refugees (including a pregnant woman and 5 children) drowned, and 26 were resqued by the Turkish coast guard as a boat capsied on its way to Lesvos off the Tirkish resort town Foca</t>
  </si>
  <si>
    <t>Foca</t>
  </si>
  <si>
    <t>35.166667, 33.366667</t>
  </si>
  <si>
    <t>http://www.sfgate.com/world/article/12-seeking-asylum-drown-off-Turkey-in-rough-6775123.php</t>
  </si>
  <si>
    <t>35, 33.4</t>
  </si>
  <si>
    <t>35.183333, -6.15</t>
  </si>
  <si>
    <t>hypothermia</t>
  </si>
  <si>
    <t>35.208889, 0.479722</t>
  </si>
  <si>
    <t xml:space="preserve">2 women and a 5-year old child died of hypothermia in Lesvos </t>
  </si>
  <si>
    <t>35.235482, -2.873268</t>
  </si>
  <si>
    <t>http://news.trust.org/item/20160121185544-w7al4</t>
  </si>
  <si>
    <t>35.240117, 24.809269</t>
  </si>
  <si>
    <t>35.249299, -3.937112</t>
  </si>
  <si>
    <t>35.5, -4</t>
  </si>
  <si>
    <t>35.256944, -2.934167</t>
  </si>
  <si>
    <t>35.3, -3</t>
  </si>
  <si>
    <t>35, -2.9</t>
  </si>
  <si>
    <t>Migrants reported that smugglers have killed one and pushed 8 overboard</t>
  </si>
  <si>
    <t>Channel of Cicily</t>
  </si>
  <si>
    <t>35.292278, -2.938097</t>
  </si>
  <si>
    <t>http://missingmigrants.iom.int/</t>
  </si>
  <si>
    <t>35.3, 14.3</t>
  </si>
  <si>
    <t>35.30241, -1.14489</t>
  </si>
  <si>
    <t>35.37849, 1.32569</t>
  </si>
  <si>
    <t>A decayed body of a drowned woman found on the coast of  Fournoi  island</t>
  </si>
  <si>
    <t>Fournoi</t>
  </si>
  <si>
    <t>http://www.hcg.gr/node/11863</t>
  </si>
  <si>
    <t>35.394932, -5.014345</t>
  </si>
  <si>
    <t>suffocation</t>
  </si>
  <si>
    <t>35.4, 12.6</t>
  </si>
  <si>
    <t>An Afghan boy, aged 15, soffucated in a truck while trying to cross into the UK from Calais</t>
  </si>
  <si>
    <t>35.4, 14</t>
  </si>
  <si>
    <t>Independent</t>
  </si>
  <si>
    <t>http://www.independent.co.uk/news/uk/home-news/refugee-crisis-death-of-afghan-boy-who-suffocated-in-lorry-shows-failure-to-deal-with-calais-a6818261.html</t>
  </si>
  <si>
    <t>35.435, -2.993611</t>
  </si>
  <si>
    <t>35.46883, 44.39098</t>
  </si>
  <si>
    <t>35.5, 12.6</t>
  </si>
  <si>
    <t>35.502446, 11.045721</t>
  </si>
  <si>
    <t>35.5059, 12.6073</t>
  </si>
  <si>
    <t>35.508622, 12.59292</t>
  </si>
  <si>
    <t>An Indian man froze to death while waiting in a car trying to get into Finland from Russia</t>
  </si>
  <si>
    <t>BCP "Proizerskiy"</t>
  </si>
  <si>
    <t>35.52145, 35.7924</t>
  </si>
  <si>
    <t>Barents Observer</t>
  </si>
  <si>
    <t>http://thebarentsobserver.com/borders/2016/01/man-found-dead-arctic-migrant-route#.Vpzff6XcUlg.twitter</t>
  </si>
  <si>
    <t>35.533333, 1.016667</t>
  </si>
  <si>
    <t>35.55, 45.433333</t>
  </si>
  <si>
    <t>35.551211, 12.317398</t>
  </si>
  <si>
    <t>An Iraqi man killed himself in a refugee selter in the Netherlands, Alphen aan den Rijn</t>
  </si>
  <si>
    <t>Alphen aan den Rijn</t>
  </si>
  <si>
    <t>35.57621, -5.368435</t>
  </si>
  <si>
    <t>New York Times</t>
  </si>
  <si>
    <t>http://www.nytimes.com/aponline/2016/01/18/world/europe/ap-eu-netherlands-migrant-death.html?_r=0</t>
  </si>
  <si>
    <t>35.579544, -1.142499</t>
  </si>
  <si>
    <t>35.616667, 5.133333</t>
  </si>
  <si>
    <t>35.693271, -0.647622</t>
  </si>
  <si>
    <t>A heavily decayed body of a man was found by the coast guard on Samos, Remataki area</t>
  </si>
  <si>
    <t>35.696216, 51.422945</t>
  </si>
  <si>
    <t>35.696508, 11.107726</t>
  </si>
  <si>
    <t>http://www.hcg.gr/node/11850</t>
  </si>
  <si>
    <t>35.696944, -0.633056</t>
  </si>
  <si>
    <t>35.77, -5.8</t>
  </si>
  <si>
    <t>six bodies were found dead by the Greek coast guard off te coast of the island of Samos, believed to be drowned refugees</t>
  </si>
  <si>
    <t>http://www.dailymail.co.uk/news/article-3402432/Six-refugees-dead-Greek-island-number-people-drowned-trying-cross-Mediterranean-surpasses-60-two-weeks-2016.html</t>
  </si>
  <si>
    <t>35.8, -5.9</t>
  </si>
  <si>
    <t>35.766667, -5.8</t>
  </si>
  <si>
    <t>35.77718, 10.8261</t>
  </si>
  <si>
    <t>35.8, -0.266667</t>
  </si>
  <si>
    <t>35.815, 14.51</t>
  </si>
  <si>
    <t>4 people, (1 adult, 3 children), drowned when their boat sank on its way to Lesbos</t>
  </si>
  <si>
    <t>West Turkey</t>
  </si>
  <si>
    <t>35.825556, 14.528056</t>
  </si>
  <si>
    <t>35.827006, 14.423533</t>
  </si>
  <si>
    <t>Daily Sabah</t>
  </si>
  <si>
    <t>35.834673, 14.552498</t>
  </si>
  <si>
    <t>http://www.dailysabah.com/nation/2016/01/15/4-people-including-3-children-drown-as-refugee-boat-sinks-off-turkeys-aegean-coast</t>
  </si>
  <si>
    <t>35.841667, 14.544722</t>
  </si>
  <si>
    <t>35.844609, -5.367784</t>
  </si>
  <si>
    <t>35.85, -0.316667</t>
  </si>
  <si>
    <t>35.860278, 14.381389</t>
  </si>
  <si>
    <t>35.861313, 14.565384</t>
  </si>
  <si>
    <t>a baby found dead in a boat with 63 refugees that arrived to Farmakonissi on Friday. All other 63 passengers made it to the shore safely</t>
  </si>
  <si>
    <t>Ekathimerini</t>
  </si>
  <si>
    <t>http://www.ekathimerini.com/205103/article/ekathimerini/news/baby-found-dead-on-greece-migrant-boat</t>
  </si>
  <si>
    <t>35.866074, 12.868741</t>
  </si>
  <si>
    <t>35.869682, 14.566763</t>
  </si>
  <si>
    <t>35.88301, 14.493757</t>
  </si>
  <si>
    <t>35.888384, -5.324636</t>
  </si>
  <si>
    <t xml:space="preserve">2016 -- 1 </t>
  </si>
  <si>
    <t>2 children drowned in a shipwreck near the Greek island of Agathonisi. 20 people were resqued by the volunteers, among them the Turkish smuggler, who was handed over to the Greek police.</t>
  </si>
  <si>
    <t>Agathonisi</t>
  </si>
  <si>
    <t>36, -5.324636</t>
  </si>
  <si>
    <t>Migrant Report</t>
  </si>
  <si>
    <t>http://migrantreport.org/5327-2/</t>
  </si>
  <si>
    <t>35.888384, -5</t>
  </si>
  <si>
    <t>35.9, -5.2</t>
  </si>
  <si>
    <t>35.89779, 14.514106</t>
  </si>
  <si>
    <t>The bodies of five men and one woman have been washed ashore in West Turkey this Tuesday. They have beed dead for 5 to 10 days.</t>
  </si>
  <si>
    <t xml:space="preserve"> Seferihisar</t>
  </si>
  <si>
    <t>http://uk.reuters.com/article/uk-europe-migrants-turkey-idUKKCN0US1GN20160114</t>
  </si>
  <si>
    <t>36, 14.5</t>
  </si>
  <si>
    <t>35.9, 12.37</t>
  </si>
  <si>
    <t>35.913676, -5.418174</t>
  </si>
  <si>
    <t>35.91507, 10.560222</t>
  </si>
  <si>
    <t>35.922273, 28.476563</t>
  </si>
  <si>
    <t>A body of a man was found in the landing gear of an airplane in Orly. The aircraft belongs to Air France, and came from Barzil</t>
  </si>
  <si>
    <t>Paris</t>
  </si>
  <si>
    <t>36, 14.375416</t>
  </si>
  <si>
    <t>Paris-Soire</t>
  </si>
  <si>
    <t>http://www.francesoir.fr/societe-faits-divers/orly-un-mort-retrouve-dans-un-avion-air-france</t>
  </si>
  <si>
    <t>35.937496, 14.375416</t>
  </si>
  <si>
    <t>35.939838, 0.089767</t>
  </si>
  <si>
    <t>35.94, -5.38</t>
  </si>
  <si>
    <t>35.950486, -3.035088</t>
  </si>
  <si>
    <t>35.964373, -5.196533</t>
  </si>
  <si>
    <t>As a group of 37 Somali refugees tried to reach the Puglia coast, thrown into the water by the trafickers. 35 resqued, 1 woman found drowned, at least 5 women reported missing</t>
  </si>
  <si>
    <t>Italian coasts</t>
  </si>
  <si>
    <t>http://news.yahoo.com/one-dead-5-missing-migrant-boat-italy-coastguard-142601270.html</t>
  </si>
  <si>
    <t>36, -5.2</t>
  </si>
  <si>
    <t>35.97, -5.84</t>
  </si>
  <si>
    <t>35.976458, 14.346722</t>
  </si>
  <si>
    <t>35.98, -5.32</t>
  </si>
  <si>
    <t>Two women and a 5-y.o.girl drowned after a speedboat sinks off Ayvacik on its way to Lesbos, carrying 16 migrants. The rest survived, rescued or swam ashore. The search continues for 2 men and a boy. Cause of the accident- bad weather</t>
  </si>
  <si>
    <t>36, -0.3</t>
  </si>
  <si>
    <t>36, 12</t>
  </si>
  <si>
    <t>36, 15</t>
  </si>
  <si>
    <t>36, 27</t>
  </si>
  <si>
    <t>36.1, 27.5</t>
  </si>
  <si>
    <t>A heavily decayed body of a woman found on Lesvos</t>
  </si>
  <si>
    <t>36, -5.8</t>
  </si>
  <si>
    <t>http://www.hcg.gr/node/11813</t>
  </si>
  <si>
    <t>36.018776, -5.600819</t>
  </si>
  <si>
    <t>36.0443, 14.251222</t>
  </si>
  <si>
    <t>car accident</t>
  </si>
  <si>
    <t>36.098208, -5.820705</t>
  </si>
  <si>
    <t>A bus carrying refugees collided with a car in the Turkish province of Canakkale, on the way to Ayvalik, killing 6 people, 4 of them migrants</t>
  </si>
  <si>
    <t>36.1, 15.2</t>
  </si>
  <si>
    <t>http://www.hurriyetdailynews.com/bus-carrying-migrants-in-aegean-crashes-six-killed.aspx?pageID=238&amp;nID=93581&amp;NewsCatID=341</t>
  </si>
  <si>
    <t>36.1, 15.3</t>
  </si>
  <si>
    <t>36.105114, -5.488268</t>
  </si>
  <si>
    <t>36.132977, -5.453909</t>
  </si>
  <si>
    <t>A bus carrying refugees overturned in Turkish province of Balikesir, on the way to Ayvalik, killing 8 people, including the driver, and injuring 42</t>
  </si>
  <si>
    <t>http://www.hurriyetdailynews.com/eight-killed-in-new-migrant-bus-accident-in-western-turkey.aspx?pageID=238&amp;nID=93633&amp;NewsCatID=341</t>
  </si>
  <si>
    <t>36.2, -5.5</t>
  </si>
  <si>
    <t>36.140751, -5.353585</t>
  </si>
  <si>
    <t>36.142015, 4.240723</t>
  </si>
  <si>
    <t>36.146155, -1.494141</t>
  </si>
  <si>
    <t>36.163149, 27.971761</t>
  </si>
  <si>
    <t>36.19002, -5.92248</t>
  </si>
  <si>
    <t>36.2, 12.5</t>
  </si>
  <si>
    <t>36.3, 13</t>
  </si>
  <si>
    <t>Rescuers have pulled out six bodies from the wreckage of a bus that crashed into a car in northwest Turkey.</t>
  </si>
  <si>
    <t>Northwest Turkey</t>
  </si>
  <si>
    <t>36.210462, -5.384432</t>
  </si>
  <si>
    <t>https://web.archive.org/save/http://news.yahoo.com/latest-4-people-killed-migrant-bus-crash-turkey-084537979.html</t>
  </si>
  <si>
    <t>36.239546, 13.007813</t>
  </si>
  <si>
    <t>36.263269, 22.97737</t>
  </si>
  <si>
    <t>36.277685, -6.087779</t>
  </si>
  <si>
    <t>36.2941, 35.793903</t>
  </si>
  <si>
    <t xml:space="preserve"> Fournoi</t>
  </si>
  <si>
    <t>36.3, -2.5</t>
  </si>
  <si>
    <t>http://www.hcg.gr/node/11806</t>
  </si>
  <si>
    <t>36.4, -0.9</t>
  </si>
  <si>
    <t>36.4, -2.3</t>
  </si>
  <si>
    <t>36.4, 13.1</t>
  </si>
  <si>
    <t>The bodies of 36 migrants have been found, including 29 recovered by the Turkish gendarmerie and seven by the coastguard. It was not immediately clear how many boats had sunk in the high seasonal winds although the Dogan news agency said at least two separate incidents were involved.</t>
  </si>
  <si>
    <t>Ayvacik</t>
  </si>
  <si>
    <t>https://web.archive.org/save/http://news.yahoo.com/bodies-nine-migrants-found-washed-turkey-beach-report-081952667.html</t>
  </si>
  <si>
    <t>36.418702, -6.148541</t>
  </si>
  <si>
    <t>36.42985, -5.149141</t>
  </si>
  <si>
    <t>36.434963, 28.217483</t>
  </si>
  <si>
    <t>36.510071, -4.882447</t>
  </si>
  <si>
    <t>36.527061, -6.288596</t>
  </si>
  <si>
    <t>36.5, -6.4</t>
  </si>
  <si>
    <t>36.585572, 27.842865</t>
  </si>
  <si>
    <t>36.6, 27.9</t>
  </si>
  <si>
    <t>2  bodies, of a young woman (about 25), and a girl (7-10) was found on the island of Ikaria</t>
  </si>
  <si>
    <t>Ikaria</t>
  </si>
  <si>
    <t>36.60709, 2.196783</t>
  </si>
  <si>
    <t>36.622554, -4.499477</t>
  </si>
  <si>
    <t>36.623381, 2.654829</t>
  </si>
  <si>
    <t>A body of a man was found on the island of Tinos</t>
  </si>
  <si>
    <t>Tinos</t>
  </si>
  <si>
    <t>36.62629, -6.362981</t>
  </si>
  <si>
    <t>36.666667, 2.75</t>
  </si>
  <si>
    <t>36.68169, 15.133875</t>
  </si>
  <si>
    <t>A heavily decayed body of a man, 30-40 y.o. was found on the shore of Samos</t>
  </si>
  <si>
    <t>http://www.hcg.gr/node/11802</t>
  </si>
  <si>
    <t>36.695639, -3.465102</t>
  </si>
  <si>
    <t>36.697645, -4.443222</t>
  </si>
  <si>
    <t>36.704636, -4.506699</t>
  </si>
  <si>
    <t>4 bodies (1 woman, 3 men)  were washed ashore on the island of Fournoi</t>
  </si>
  <si>
    <t>36.711697, 14.773094</t>
  </si>
  <si>
    <t>36.721261, -4.421266</t>
  </si>
  <si>
    <t>http://www.hcg.gr/node/11797</t>
  </si>
  <si>
    <t>36.7, -4.4</t>
  </si>
  <si>
    <t>36.8, -4.5</t>
  </si>
  <si>
    <t>36.72986, 14.84911</t>
  </si>
  <si>
    <t>36.729861, 14.849113</t>
  </si>
  <si>
    <t>2016-01-02T00:00:00Z</t>
  </si>
  <si>
    <t>36.744421, -4.092531</t>
  </si>
  <si>
    <t>A drowned two-year-old boy became the first known migrant casualty of the year on Saturday after the crowded dinghy he was travelling in slammed into rocks off Greece's Agathonisi island</t>
  </si>
  <si>
    <t>36.748374, -3.516861</t>
  </si>
  <si>
    <t>https://web.archive.org/save/http://news.yahoo.com/drowned-toddler-becomes-first-2016-migrant-casualty-aegean-215810825.html</t>
  </si>
  <si>
    <t>36.750191, -3.017606</t>
  </si>
  <si>
    <t>36.752887, 3.042048</t>
  </si>
  <si>
    <t>36.8, 3.4</t>
  </si>
  <si>
    <t>2015-12-28T00:00:00Z</t>
  </si>
  <si>
    <t>4Q2015</t>
  </si>
  <si>
    <t>36.7, -2.8</t>
  </si>
  <si>
    <t>2015 -- 12</t>
  </si>
  <si>
    <t>A Iranian man died. His head was crushed by a bridge pillar</t>
  </si>
  <si>
    <t>Grande-Synthe</t>
  </si>
  <si>
    <t>36.774063, -2.815304</t>
  </si>
  <si>
    <t>La Voix du Nord</t>
  </si>
  <si>
    <t>https://web.archive.org/web/20151228174035/http://www.lavoixdunord.fr/region/grande-synthe-un-migrant-retrouve-mort-dans-une-remorque-ia17b47594n3242877?xtor=RSS-2</t>
  </si>
  <si>
    <t>36.779923, -4.100559</t>
  </si>
  <si>
    <t>36.793212, 14.706973</t>
  </si>
  <si>
    <t>36.799851, 27.102943</t>
  </si>
  <si>
    <t>36.8, 10</t>
  </si>
  <si>
    <t>2015-12-26T00:00:00Z</t>
  </si>
  <si>
    <t>36.9, 10.2</t>
  </si>
  <si>
    <t>A 41-year-old man from Guinea-Bissau was stabbed, causing a riot</t>
  </si>
  <si>
    <t>Roquetas de Mar</t>
  </si>
  <si>
    <t>36.81881, 10.16596</t>
  </si>
  <si>
    <t>Euronews</t>
  </si>
  <si>
    <t>http://web.archive.org/web/20151227145207/http://www.euronews.com/2015/12/26/african-migrants-protest-in-spanish-city-of-roquetas-de-mar/</t>
  </si>
  <si>
    <t>36.828221, 11.940496</t>
  </si>
  <si>
    <t>36.8, -2.4</t>
  </si>
  <si>
    <t>2015-12-25T00:00:00Z</t>
  </si>
  <si>
    <t>36.9, -2.5</t>
  </si>
  <si>
    <t>A mass attempt to scale the border fence on the Spanish island of Ceuta and reach European shores has left at least two people dead and 12 others injured.</t>
  </si>
  <si>
    <t>Benzu</t>
  </si>
  <si>
    <t>36.834047, -2.463714</t>
  </si>
  <si>
    <t>Red Cross</t>
  </si>
  <si>
    <t>https://web.archive.org/web/20151226074455/http://www.aljazeera.com/news/2015/12/drown-hundreds-migrants-swim-ceuta-151225150532407.html</t>
  </si>
  <si>
    <t>36.85, 11.1</t>
  </si>
  <si>
    <t>36.850566, 28.255586</t>
  </si>
  <si>
    <t>2015-12-22T00:00:00Z</t>
  </si>
  <si>
    <t>36.866667, 6.9</t>
  </si>
  <si>
    <t>11 people including three children crossing the Aegean Sea to Greece have drowned after their boat capsized</t>
  </si>
  <si>
    <t>36.868991, 15.135476</t>
  </si>
  <si>
    <t>Turkish Coast Guard</t>
  </si>
  <si>
    <t>https://web.archive.org/save/http://news.yahoo.com/latest-luxembourg-fm-says-eu-migrant-response-failed-125412714.html</t>
  </si>
  <si>
    <t>36.88414, 30.70563</t>
  </si>
  <si>
    <t>36.893322, 14.42889</t>
  </si>
  <si>
    <t>2015-12-24T00:00:00Z</t>
  </si>
  <si>
    <t>At least 18 migrants drowned when their overcrowded boat sank in the Aegean Sea, the Turkish coastguard recovered the bodies including several children from the sea, and were hunting for another two who were missing</t>
  </si>
  <si>
    <t>36.9, 27.4</t>
  </si>
  <si>
    <t>https://web.archive.org/save/http://news.yahoo.com/eight-migrants-including-3-children-drown-off-turkey-083736411.html</t>
  </si>
  <si>
    <t>36.902859, 7.755543</t>
  </si>
  <si>
    <t>36.9, 14.8</t>
  </si>
  <si>
    <t>2015-12-23T00:00:00Z</t>
  </si>
  <si>
    <t>37, 14.5</t>
  </si>
  <si>
    <t>15 people - 13 men and two women - were rescued and taken for health checks to the nearby island of Leros, where Greece has set up dozens of prefabricated homes. One person was still missing according to witnesses, the officials said.</t>
  </si>
  <si>
    <t>Leros</t>
  </si>
  <si>
    <t>https://web.archive.org/web/20151225062806/http://www.reuters.com/article/us-europe-migrants-greece-idUSKBN0U61E420151223</t>
  </si>
  <si>
    <t>36.926927, 14.725513</t>
  </si>
  <si>
    <t>36.999117, -1.892141</t>
  </si>
  <si>
    <t>37, 28</t>
  </si>
  <si>
    <t>Seven children, four men and two women drowned when a boat carrying migrants capsized off the tiny Greek island of Farmakonisi</t>
  </si>
  <si>
    <t>Farmakonisi</t>
  </si>
  <si>
    <t>37.035339, 27.43029</t>
  </si>
  <si>
    <t>37.07, 36.25</t>
  </si>
  <si>
    <t>37.074153, 14.240354</t>
  </si>
  <si>
    <t>37.075474, 15.286586</t>
  </si>
  <si>
    <t>The bodies of two people, including a three-and-a-half year old child and a 17-year-old girl, were found off the coast of Çeşme in İzmir province.</t>
  </si>
  <si>
    <t>Cesme</t>
  </si>
  <si>
    <t>https://web.archive.org/web/20151222142124/http://www.hurriyetdailynews.com/69-afghan-refugees-rescued-two-migrants-drown-in-aegean----.aspx?pageID=238&amp;nID=92805&amp;NewsCatID=341</t>
  </si>
  <si>
    <t>37.075546, 25.520736</t>
  </si>
  <si>
    <t>37.101709, 13.937331</t>
  </si>
  <si>
    <t>37.102103, 25.376114</t>
  </si>
  <si>
    <t>37.125836, 10.802826</t>
  </si>
  <si>
    <t>2015-12-21T00:00:00Z</t>
  </si>
  <si>
    <t>37.140914, 26.848843</t>
  </si>
  <si>
    <t>Two migrants trying to reach Europe by boat drowned off Libya on Monday, another 10 were missing and more than 100 were rescued.</t>
  </si>
  <si>
    <t>Janzour</t>
  </si>
  <si>
    <t>https://web.archive.org/save/http://news.yahoo.com/two-migrants-drown-108-rescued-off-libya-coastguard-191153452.html</t>
  </si>
  <si>
    <t>37.150437, 9.23422</t>
  </si>
  <si>
    <t>37.177336, -3.598557</t>
  </si>
  <si>
    <t>37.2, 11.199903</t>
  </si>
  <si>
    <t>37.2, 16</t>
  </si>
  <si>
    <t>tortured</t>
  </si>
  <si>
    <t>37.22813, -6.890386</t>
  </si>
  <si>
    <t>2012-12-16T00:00:00Z</t>
  </si>
  <si>
    <t>4Q2012</t>
  </si>
  <si>
    <t>2012 -- 12</t>
  </si>
  <si>
    <t>Umar Bilemkhanov, a Chechen dissident whose asylum request had been declined, was later found dead in 2012 after being tortured</t>
  </si>
  <si>
    <t>Chechnya</t>
  </si>
  <si>
    <t>37.27626, 9.873071</t>
  </si>
  <si>
    <t>https://web.archive.org/web/20151221133732/http://www.thelocal.no/20151218/chechens-deported-from-norway-were-killed</t>
  </si>
  <si>
    <t>37.282956, 27.088338</t>
  </si>
  <si>
    <t>37.291, 27.08</t>
  </si>
  <si>
    <t>37.31109, 13.576548</t>
  </si>
  <si>
    <t>37.349722, 22.352222</t>
  </si>
  <si>
    <t>2013-06-10T00:00:00Z</t>
  </si>
  <si>
    <t>2Q2013</t>
  </si>
  <si>
    <t>2013 -- 6</t>
  </si>
  <si>
    <t>37.349816, -3.289259</t>
  </si>
  <si>
    <t>Nazjujev, a Chechen dissident whose asylum request had been declined, was in 2013 found dead in a river,  with his teeth and nails pulled out, his knee caps shattered, broken skull and deep lacerations on his body, according to an autopsy report</t>
  </si>
  <si>
    <t>Kali</t>
  </si>
  <si>
    <t>37.369342, 27.27349</t>
  </si>
  <si>
    <t>37.388096, -5.98233</t>
  </si>
  <si>
    <t>37.411111, 25.568889</t>
  </si>
  <si>
    <t>37.423411, 24.916088</t>
  </si>
  <si>
    <t>2015-12-18T00:00:00Z</t>
  </si>
  <si>
    <t>37.446719, 25.328862</t>
  </si>
  <si>
    <t>Four Syrian migrants – three of them children - drowned</t>
  </si>
  <si>
    <t>Yalıkavak</t>
  </si>
  <si>
    <t>Leros News</t>
  </si>
  <si>
    <t>37.490112, 14.062893</t>
  </si>
  <si>
    <t>https://web.archive.org/web/20151221132933/http://www.hurriyetdailynews.com/latest-boat-accidents-kill-eight-migrants-off-western-turkey.aspx?pageID=238&amp;nID=92698&amp;NewsCatID=341</t>
  </si>
  <si>
    <t>37.5, 15.1</t>
  </si>
  <si>
    <t>37.508039, 15.082851</t>
  </si>
  <si>
    <t>37.544271, -4.727753</t>
  </si>
  <si>
    <t>37.583372, 12.825218</t>
  </si>
  <si>
    <t>2015-12-19T00:00:00Z</t>
  </si>
  <si>
    <t>At least 18 migrants have drowned and 14 others were rescued after a boat taking them to Greece sank off the Turkish coast.</t>
  </si>
  <si>
    <t>Bodrum</t>
  </si>
  <si>
    <t>37.599994, 14.015356</t>
  </si>
  <si>
    <t>AP</t>
  </si>
  <si>
    <t>https://web.archive.org/web/20151221132526/http://customwire.ap.org/dynamic/stories/E/EU_EUROPE_MIGRANTS?SITE=AP&amp;SECTION=HOME&amp;TEMPLATE=DEFAULT&amp;CTIME=2015-12-19-14-14-31</t>
  </si>
  <si>
    <t>37.617153, -0.992914</t>
  </si>
  <si>
    <t>37.625683, -0.996584</t>
  </si>
  <si>
    <t>37.667476, -4.882537</t>
  </si>
  <si>
    <t>37.8, 27</t>
  </si>
  <si>
    <t>37.743215, 26.820351</t>
  </si>
  <si>
    <t>Four Iraqis including two children have drowned after a Greece-bound migrant vessel capsized in the Aegean Sea</t>
  </si>
  <si>
    <t>https://web.archive.org/web/20151218140224/http://www.sbs.com.au/news/article/2015/12/18/four-iraqis-drown-migrant-boat-capsizes</t>
  </si>
  <si>
    <t>37.754786, 26.97777</t>
  </si>
  <si>
    <t>37.78816, 20.898827</t>
  </si>
  <si>
    <t>37.909534, 40.232029</t>
  </si>
  <si>
    <t>37.91441, 40.230629</t>
  </si>
  <si>
    <t>2015-12-16T00:00:00Z</t>
  </si>
  <si>
    <t>37.931706, -0.660553</t>
  </si>
  <si>
    <t>A man and a child died after their boat sank on its way from Turkey to the island of Lesbos.</t>
  </si>
  <si>
    <t>37.938637, 22.932238</t>
  </si>
  <si>
    <t>https://web.archive.org/save/http://www.afp.com/en/news/five-migrants-three-them-children-drown-way-greece</t>
  </si>
  <si>
    <t>37.969674, 13.180775</t>
  </si>
  <si>
    <t>37.970112, 23.642364</t>
  </si>
  <si>
    <t>37.973976, 12.054691</t>
  </si>
  <si>
    <t>Two Iraqi children, aged six and two, were found dead off the Turkish resort town of Çeşme</t>
  </si>
  <si>
    <t>37.982394, 23.696198</t>
  </si>
  <si>
    <t>https://web.archive.org/web/20151217143410/http://www.hurriyetdailynews.com/six-more-migrant-children-drown-in-aegean-off-turkey.aspx?pageID=238&amp;nID=92588&amp;NewsCatID=341</t>
  </si>
  <si>
    <t>37.983716, 23.72931</t>
  </si>
  <si>
    <t>37, 23.73</t>
  </si>
  <si>
    <t>38, 23.72</t>
  </si>
  <si>
    <t>37.983716, 23.8</t>
  </si>
  <si>
    <t>38, 23</t>
  </si>
  <si>
    <t>Four children have drowned off the west coast of Turkey after a boat carrying refugees sank</t>
  </si>
  <si>
    <t>38, -1</t>
  </si>
  <si>
    <t>https://web.archive.org/web/20151216131425/http://aa.com.tr/en/turkey/-four-dead-as-refugee-boat-sinks-off-turkish-coast/491747</t>
  </si>
  <si>
    <t>37.992331, -1.130458</t>
  </si>
  <si>
    <t>37.99462, 27.188235</t>
  </si>
  <si>
    <t>38, 0.5</t>
  </si>
  <si>
    <t>2015-12-15T00:00:00Z</t>
  </si>
  <si>
    <t>38.002298, 22.524509</t>
  </si>
  <si>
    <t>Greek coast guard officers recovered the bodies of three of the six people who were reported missing after their boat capsized off the coast of Kastelorizo</t>
  </si>
  <si>
    <t>Kastelorizo</t>
  </si>
  <si>
    <t>38.013999, 24.419899</t>
  </si>
  <si>
    <t>https://web.archive.org/web/20151216121427/http://www.ekathimerini.com/204350/article/ekathimerini/news/three-of-six-migrants-confirmed-drowned</t>
  </si>
  <si>
    <t>38.017618, 12.537202</t>
  </si>
  <si>
    <t>39, 12.53</t>
  </si>
  <si>
    <t>38.023446, 24.005924</t>
  </si>
  <si>
    <t>38.041285, 23.541755</t>
  </si>
  <si>
    <t>38.115688, 13.361267</t>
  </si>
  <si>
    <t>38.1260386, 23.7367192</t>
  </si>
  <si>
    <t>An Afghan refugee was stabbed to death in refugee shelter in Germany</t>
  </si>
  <si>
    <t>Hassloch</t>
  </si>
  <si>
    <t>http://www.dw.com/en/afghan-stabbed-to-death-in-refugee-shelter-in-germany/a-18919786</t>
  </si>
  <si>
    <t>38.1262665, 23.7379745</t>
  </si>
  <si>
    <t>38.158524, 14.742693</t>
  </si>
  <si>
    <t>38.177296, 41.493993</t>
  </si>
  <si>
    <t>2015-12-14T00:00:00Z</t>
  </si>
  <si>
    <t>38.193814, 15.554015</t>
  </si>
  <si>
    <t>Ten-year-old Nergis Maghsoudi drowned early Dec. 14 after a boat heading to the Greek island of Lesbos, with 50 Afghan migrants aboard, capsized in international waters.</t>
  </si>
  <si>
    <t>38.2, 26.833333</t>
  </si>
  <si>
    <t>Doğan News Agency</t>
  </si>
  <si>
    <t>https://web.archive.org/web/20151215142018/http://www.hurriyetdailynews.com/afghan-refugee-carries-drowned-daughter-in-turkeys-west.aspx?pageID=238&amp;nID=92502&amp;NewsCatID=341</t>
  </si>
  <si>
    <t>38.244854, 27.13824</t>
  </si>
  <si>
    <t>38.24664, 21.734574</t>
  </si>
  <si>
    <t>38.24, 21.8</t>
  </si>
  <si>
    <t>38.321027, 43.389597</t>
  </si>
  <si>
    <t>38.322579, 23.320431</t>
  </si>
  <si>
    <t>2015-12-10T00:00:00Z</t>
  </si>
  <si>
    <t>38.32981, 26.314921</t>
  </si>
  <si>
    <t>Four refugees drown, nine missing as boat capsizes in Aegean Sea</t>
  </si>
  <si>
    <t>https://web.archive.org/web/20151211133239/http://www.hurriyetdailynews.com/four-refugees-drown-nine-missing-as-boat-capsizes-in-aegean-sea.aspx?pageID=238&amp;nID=92333&amp;NewsCatID=341</t>
  </si>
  <si>
    <t>38.345996, -0.490686</t>
  </si>
  <si>
    <t>38.367942, 43.718279</t>
  </si>
  <si>
    <t>38.370981, 26.136346</t>
  </si>
  <si>
    <t>38.38, 26.14</t>
  </si>
  <si>
    <t>38.41885, 27.12872</t>
  </si>
  <si>
    <t>38.42, 43.25</t>
  </si>
  <si>
    <t>38.494167, 43.38</t>
  </si>
  <si>
    <t>2015-12-08T00:00:00Z</t>
  </si>
  <si>
    <t>38.50957, -1.698922</t>
  </si>
  <si>
    <t>A six-month-old baby was found dead off the Aegean coast after another migrant boat bound for Farmakonisi capsized on Dec. 8 at around 10 p.m</t>
  </si>
  <si>
    <t>38.515435, 26.220492</t>
  </si>
  <si>
    <t>https://web.archive.org/web/20151210135324/http://www.hurriyetdailynews.com/12-migrants-killed-as-two-boats-capsize-off-aegean-coast.aspx?PageID=238&amp;NID=92261&amp;NewsCatID=341</t>
  </si>
  <si>
    <t>38.523604, 23.858474</t>
  </si>
  <si>
    <t>38.592861, -2.549821</t>
  </si>
  <si>
    <t>38.652771, 26.613007</t>
  </si>
  <si>
    <t>38.65, 26.65</t>
  </si>
  <si>
    <t>38.725275, -9.150049</t>
  </si>
  <si>
    <t>38.77474, 0.08519</t>
  </si>
  <si>
    <t>2015-12-07T00:00:00Z</t>
  </si>
  <si>
    <t>11 African migrants drown trying to reach Canary Islands by boat</t>
  </si>
  <si>
    <t>147 kilometers south of Cape Bojador</t>
  </si>
  <si>
    <t>38.833366, 20.706911</t>
  </si>
  <si>
    <t>Western African route</t>
  </si>
  <si>
    <t>Moroccan authoriries</t>
  </si>
  <si>
    <t>https://web.archive.org/web/20151209191937/http://elpais.com/m/elpais/2015/12/09/inenglish/1449654627_462892.html</t>
  </si>
  <si>
    <t>38.933622, 16.275751</t>
  </si>
  <si>
    <t>39, 16.275751</t>
  </si>
  <si>
    <t>38.959265, 20.751716</t>
  </si>
  <si>
    <t>38.963745, 35</t>
  </si>
  <si>
    <t>39, 35.243322</t>
  </si>
  <si>
    <t>2015-12-09T00:00:00Z</t>
  </si>
  <si>
    <t>38.9, 35.2</t>
  </si>
  <si>
    <t>The Greek coast guard said 12 people were found dead, including six children, and 12 were missing after a migrant boat sank in the Aegean Sea off the Greek island of Farmakonisi</t>
  </si>
  <si>
    <t>38.963745, 35.243322</t>
  </si>
  <si>
    <t>https://web.archive.org/web/20151209220435/http://www.wsj.com/articles/12-dead-10-missing-after-migrant-boat-sinks-in-aegean-sea-1449661072</t>
  </si>
  <si>
    <t>38.994722, 43.768056</t>
  </si>
  <si>
    <t>39, 25</t>
  </si>
  <si>
    <t>39, 26</t>
  </si>
  <si>
    <t>39.02001, 1.482148</t>
  </si>
  <si>
    <t>39.029381, 43.375381</t>
  </si>
  <si>
    <t>39.063264, 8.45407</t>
  </si>
  <si>
    <t>Six Afghan children drowned after a rubber dinghy carrying migrants to Greece sank off Turkey's Aegean coast, the state-run news agency reported.
 Rescuers were searching for two other migrants who were reported missing.</t>
  </si>
  <si>
    <t>39.072097, 26.888203</t>
  </si>
  <si>
    <t>39.074208, 21.824312</t>
  </si>
  <si>
    <t>https://web.archive.org/web/20151208133049/http://bigstory.ap.org/article/bb6ee17a91cc450eb3e2bdd4993759a9/6-migrant-children-drown-turkeys-coast</t>
  </si>
  <si>
    <t>39.07, 21.9</t>
  </si>
  <si>
    <t>38.9, 22</t>
  </si>
  <si>
    <t>39.077771, 21.665039</t>
  </si>
  <si>
    <t>39.080793, 17.12711</t>
  </si>
  <si>
    <t>39.106738, 26.557275</t>
  </si>
  <si>
    <t>39.16408, 26.372171</t>
  </si>
  <si>
    <t>A 25 year old Sudanese was stabbed in the "Jungle" in Calais</t>
  </si>
  <si>
    <t>39.2, 19.7</t>
  </si>
  <si>
    <t>https://web.archive.org/web/20151208132707/http://www.bfmtv.com/societe/jungle-de-calais-un-migrant-soudanais-mort-poignarde-935172.html</t>
  </si>
  <si>
    <t>39.203084, 16.311798</t>
  </si>
  <si>
    <t>39.223841, 9.121661</t>
  </si>
  <si>
    <t>39.26451, 26.277707</t>
  </si>
  <si>
    <t>39.308771, 16.346379</t>
  </si>
  <si>
    <t>asphyxiated</t>
  </si>
  <si>
    <t>39.309142, 26.437219</t>
  </si>
  <si>
    <t>2015-11-30T00:00:00Z</t>
  </si>
  <si>
    <t>2015 -- 11</t>
  </si>
  <si>
    <t>Two cameroonian men died asphyxiated in a cave as Moroccan police burnt blankets in front of the cave</t>
  </si>
  <si>
    <t>Fnideq</t>
  </si>
  <si>
    <t>39.33589, 26.71281</t>
  </si>
  <si>
    <t>France 24</t>
  </si>
  <si>
    <t>https://web.archive.org/web/20151204142408/http://observers.france24.com/fr/20151203-migrants-morts-asphyxies-ceuta-bavure-forces-ordre-maroc-cameroun</t>
  </si>
  <si>
    <t>39.469908, -0.376288</t>
  </si>
  <si>
    <t>39.50615, 20.265534</t>
  </si>
  <si>
    <t>39.5, 20</t>
  </si>
  <si>
    <t>39.6, 20.3</t>
  </si>
  <si>
    <t>2015-12-03T00:00:00Z</t>
  </si>
  <si>
    <t>39.54864, 44.074207</t>
  </si>
  <si>
    <t>A Sudanese 16 years old was hit by a car on a highway near Coquelles</t>
  </si>
  <si>
    <t>Coquelles</t>
  </si>
  <si>
    <t>Codis</t>
  </si>
  <si>
    <t>https://web.archive.org/web/20151204130702/http://www.nordlittoral.fr/accueil/un-migrant-est-mort-percute-par-une-camionnette-jeudi-soir-ia0b0n264911</t>
  </si>
  <si>
    <t>39.55, 44.1</t>
  </si>
  <si>
    <t>39.557242, 2.75807</t>
  </si>
  <si>
    <t>39.587628, 18.94043</t>
  </si>
  <si>
    <t>39.6, 18.99</t>
  </si>
  <si>
    <t>Greek authorities say they have recovered the body of a woman and are still searching for three other missing migrants after their small boat sank in the eastern Aegean Sea.</t>
  </si>
  <si>
    <t>39.599541, 26.40086</t>
  </si>
  <si>
    <t>https://web.archive.org/web/20151204125743/http://www.ekathimerini.com/204000/article/ekathimerini/news/greeks-recover-migrants-body-3-still-missing</t>
  </si>
  <si>
    <t>39.611839, 19.830605</t>
  </si>
  <si>
    <t>39.648369, 27.88261</t>
  </si>
  <si>
    <t>39.671689, 26.196498</t>
  </si>
  <si>
    <t>electrocuted</t>
  </si>
  <si>
    <t>39.727177, 20.059855</t>
  </si>
  <si>
    <t>A migrant was electrocuted to death at the Greek-Macedonian border during a second successive day of clashes between police and migrants stranded for weeks on the Greek side.</t>
  </si>
  <si>
    <t>39.75425, 42.881542</t>
  </si>
  <si>
    <t>https://web.archive.org/save/http://news.yahoo.com/migrant-dies-greek-macedonian-border-second-day-clashes-114510207.html</t>
  </si>
  <si>
    <t>39.801, 18.356944</t>
  </si>
  <si>
    <t>39.864207, 20.792365</t>
  </si>
  <si>
    <t>39.89, 20.8</t>
  </si>
  <si>
    <t>39.9, 41.27</t>
  </si>
  <si>
    <t>2015-12-01T00:00:00Z</t>
  </si>
  <si>
    <t>A 4-year-old child was reported drowned as she and 28 fellow passengers tried to swim to the shore of Ro.</t>
  </si>
  <si>
    <t>Ro</t>
  </si>
  <si>
    <t>https://web.archive.org/web/20151202144947/http://www.ekathimerini.com/203956/article/ekathimerini/news/child-drowns-as-refugee-boat-tries-to-reach-greek-shores</t>
  </si>
  <si>
    <t>39.968176, 41.870802</t>
  </si>
  <si>
    <t>39.984458, -0.04495</t>
  </si>
  <si>
    <t>40.120875, 9.012893</t>
  </si>
  <si>
    <t>40.143898, 18.491168</t>
  </si>
  <si>
    <t>At least 30 people are missing after a boat carrying refugees sank off Turkey's western coast. The bodies of three Syrian refugees were found washed up on a nearby beach.</t>
  </si>
  <si>
    <t>https://web.archive.org/web/20151202144147/http://aa.com.tr/en/turkey/30-missing-as-refugee-boat-sinks-off-turkish-coast/484147</t>
  </si>
  <si>
    <t>40, 18.5</t>
  </si>
  <si>
    <t>40.261643, 20.786133</t>
  </si>
  <si>
    <t>40.3, 35.883333</t>
  </si>
  <si>
    <t>Armed men attacked a lorry carrying migrants in northern Mali, killing four people and wounding six</t>
  </si>
  <si>
    <t>Near Kidal</t>
  </si>
  <si>
    <t>40.346202, 43.470713</t>
  </si>
  <si>
    <t>https://web.archive.org/save/http://news.yahoo.com/four-dead-migrant-truck-attacked-mali-sources-232725101.html</t>
  </si>
  <si>
    <t>40.350451, 18.830566</t>
  </si>
  <si>
    <t>40.4, 18.17</t>
  </si>
  <si>
    <t>40.351516, 18.175016</t>
  </si>
  <si>
    <t>2015-11-27T00:00:00Z</t>
  </si>
  <si>
    <t>A boat carrying as many as 55 migrants from Syria and Afghanistan sank hours later off the town of Ayvacik, further north. Four Afghan children drowned in that incident, Anadolu reported.</t>
  </si>
  <si>
    <t>40.3, 18</t>
  </si>
  <si>
    <t>https://web.archive.org/web/20151127134944/http://bigstory.ap.org/article/4fff1adefed741cc934ded0a1c4db711/6-migrant-children-drown-way-greece</t>
  </si>
  <si>
    <t>40.385629, -3.76085</t>
  </si>
  <si>
    <t>40.403712, 17.557323</t>
  </si>
  <si>
    <t>40.416775, -3.70379</t>
  </si>
  <si>
    <t>A wooden boat smuggling some 20 people to the island of Kos capsized in bad weather off the Aegean resort of Bodrum. The state-run Anadolu Agency says most of the migrants made it to shore with the help of rescuers, but two sisters aged 4 and 1 drowned</t>
  </si>
  <si>
    <t>40.463667, -3.74922</t>
  </si>
  <si>
    <t>40.46, -3.8</t>
  </si>
  <si>
    <t>40.4, -3.7</t>
  </si>
  <si>
    <t>40.471882, 19.490219</t>
  </si>
  <si>
    <t>2015-11-23T00:00:00Z</t>
  </si>
  <si>
    <t>The bodies of six Sudanese migrants who had been shot dead were found in Egypt's Sinai Peninsula near the Israeli border</t>
  </si>
  <si>
    <t>Sinai</t>
  </si>
  <si>
    <t>https://web.archive.org/web/20151124160544/https://en-maktoob.news.yahoo.com/6-sudanese-found-shot-dead-near-egypt-israel-103758812.html</t>
  </si>
  <si>
    <t>40.519269, 21.268717</t>
  </si>
  <si>
    <t>40.632728, 17.941762</t>
  </si>
  <si>
    <t>40.63, 17.99</t>
  </si>
  <si>
    <t>2015-11-22T00:00:00Z</t>
  </si>
  <si>
    <t>40.634676, 22.943048</t>
  </si>
  <si>
    <t>Turkish fishermen found the dead body of a 4-year-old Syrian migrant girl off Turkey’s Bodrum coast</t>
  </si>
  <si>
    <t>http://www.hurriyetdailynews.com/4-year-old-syrian-migrant-girl-found-dead-off-turkeys-bodrum-coast.aspx?pageID=238&amp;nID=91545&amp;NewsCatID=341</t>
  </si>
  <si>
    <t>40.63935, 22.944606</t>
  </si>
  <si>
    <t>40.754548, -3.781521</t>
  </si>
  <si>
    <t>40.771667, 18.69873</t>
  </si>
  <si>
    <t>40.784526, 21.413122</t>
  </si>
  <si>
    <t>burned</t>
  </si>
  <si>
    <t>2015-11-24T00:00:00Z</t>
  </si>
  <si>
    <t>40.792839, 17.101193</t>
  </si>
  <si>
    <t>A fire sparked by an electrical fault has killed 18 people and injured 43 others at a camp in Algeria</t>
  </si>
  <si>
    <t>Ouargla</t>
  </si>
  <si>
    <t>http://www.theguardian.com/world/2015/nov/24/fire-at-algerian-migrant-camp-leaves-18-people-dead</t>
  </si>
  <si>
    <t>40.845719, 25.873962</t>
  </si>
  <si>
    <t>40.9, 25.8</t>
  </si>
  <si>
    <t>40.8, 14.3</t>
  </si>
  <si>
    <t>40.851775, 14.268124</t>
  </si>
  <si>
    <t>2015-11-19T00:00:00Z</t>
  </si>
  <si>
    <t>40.894241, 26.172202</t>
  </si>
  <si>
    <t>A 17-year-old girl was stabbed to death at a refugee reception centre in Western Norway</t>
  </si>
  <si>
    <t>Sunndal</t>
  </si>
  <si>
    <t>40.895168, 26.90943</t>
  </si>
  <si>
    <t>Swedish police</t>
  </si>
  <si>
    <t>http://www.thelocal.no/20151120/girl-stabbed-to-death-at-norway-refugee-centre</t>
  </si>
  <si>
    <t>40.914384, 14.79028</t>
  </si>
  <si>
    <t>40.962655, 26.330751</t>
  </si>
  <si>
    <t>41.00527, 28.97696</t>
  </si>
  <si>
    <t>2015-11-20T00:00:00Z</t>
  </si>
  <si>
    <t>A man between 25 and 30 was hit by a car near Grande-Synthe</t>
  </si>
  <si>
    <t>41.025869, 33.189515</t>
  </si>
  <si>
    <t>French Authorities</t>
  </si>
  <si>
    <t>http://www.lexpress.fr/actualites/1/societe/nord-un-migrant-meurt-percute-par-une-voiture-pres-de-grande-synthe_1737824.html</t>
  </si>
  <si>
    <t>41.036944, 28.9775</t>
  </si>
  <si>
    <t>41.1, 26.3</t>
  </si>
  <si>
    <t>41.117143, 16.871871</t>
  </si>
  <si>
    <t>2015-11-17T00:00:00Z</t>
  </si>
  <si>
    <t>The discovery of two bodies inside a container at industrial premises is being treated as suspicious, police have said. It is likely the bodies, thought to be those of two migrants aged under 30, were inside the crates for some time.</t>
  </si>
  <si>
    <t>Burton upon Trent</t>
  </si>
  <si>
    <t>41, 16.8</t>
  </si>
  <si>
    <t>41.11, 17</t>
  </si>
  <si>
    <t>British Police</t>
  </si>
  <si>
    <t>http://www.bbc.com/news/uk-england-stoke-staffordshire-34857071</t>
  </si>
  <si>
    <t>41.119673, 26.288073</t>
  </si>
  <si>
    <t>41.122439, 25.406558</t>
  </si>
  <si>
    <t>2015-11-18T00:00:00Z</t>
  </si>
  <si>
    <t>Spain's coast guard says at least one person died when a boat capsized off the western coast of Africa while trying to take sub-Saharan Africans to the Canary Islands and that a search is underway to try to find at least 17 missing people.</t>
  </si>
  <si>
    <t>Canary Islands</t>
  </si>
  <si>
    <t>41.125526, 9.024635</t>
  </si>
  <si>
    <t>http://latino.foxnews.com/latino/news/2015/11/18/migrant-boat-capsizes-off-coast-spain-1-dead-17-missing/</t>
  </si>
  <si>
    <t>41.130036, 24.88649</t>
  </si>
  <si>
    <t>41.140406, 28.465958</t>
  </si>
  <si>
    <t>41.14943, 22.071533</t>
  </si>
  <si>
    <t>One of the 15 migrants reported missing after a boat capsized off the Aegean resort town of Bodrum has been found dead.</t>
  </si>
  <si>
    <t>http://www.hurriyetdailynews.com/one-of-15-missing-in-bodrum-boat-capsizing-found-dead.aspx?pageID=238&amp;nID=91425&amp;NewsCatID=341</t>
  </si>
  <si>
    <t>41.153332, 20.168331</t>
  </si>
  <si>
    <t>41.2, 26</t>
  </si>
  <si>
    <t>41.24, 29.12</t>
  </si>
  <si>
    <t>hit by a train</t>
  </si>
  <si>
    <t>An afghan asylum seeker was hit by a train</t>
  </si>
  <si>
    <t>Cherbourg</t>
  </si>
  <si>
    <t>41.244376, 26.135943</t>
  </si>
  <si>
    <t>http://www.bfmtv.com/societe/un-demandeur-d-asile-afghan-retrouve-mort-a-cherbourg-930961.html</t>
  </si>
  <si>
    <t>41.4, 26.5</t>
  </si>
  <si>
    <t>A plastic boat carrying migrants capsized in the eastern Aegean Sea near the Greek island of Kos, killing at least nine people including four children, authorities said. Crews were searching for two boys who were reported missing by survivors.</t>
  </si>
  <si>
    <t>41.277486, 16.417833</t>
  </si>
  <si>
    <t>http://news.yahoo.com/migrant-boat-overturns-near-greek-island-least-8-070232080.html</t>
  </si>
  <si>
    <t>41.385064, 2.173403</t>
  </si>
  <si>
    <t>2015-11-13T00:00:00Z</t>
  </si>
  <si>
    <t>41.4, 2.1</t>
  </si>
  <si>
    <t>A body of a man about 30 years old, in an advanced state of decomposition, was found at sea off the island of Lesbos</t>
  </si>
  <si>
    <t>http://news.yahoo.com/latest-migrants-condemn-paris-attacks-155038414.html</t>
  </si>
  <si>
    <t>41.462198, 15.54463</t>
  </si>
  <si>
    <t>41.4, 15.5</t>
  </si>
  <si>
    <t xml:space="preserve">A girl was part of a family of six who were following train tracks to the city of Alexandroupolis. The girl apparently slipped away from her parents and was struck by a passing train, police say. </t>
  </si>
  <si>
    <t>Alexandroupolis</t>
  </si>
  <si>
    <t>41.58738, 26.490198</t>
  </si>
  <si>
    <t>41.608635, 21.745275</t>
  </si>
  <si>
    <t>41.639601, 13.342634</t>
  </si>
  <si>
    <t>41.645487, 26.476442</t>
  </si>
  <si>
    <t>A boy died at sea when the inflatable boat carrying 15 migrants and an operator smashed on rocks off the coast of the island of Chios, the Greek coast guard says. The boat engine exploded and all passengers jumped into the sea</t>
  </si>
  <si>
    <t>41.681808, 26.562269</t>
  </si>
  <si>
    <t>41.713846, 21.770409</t>
  </si>
  <si>
    <t>41.733333, 27.216667</t>
  </si>
  <si>
    <t>2015-11-15T00:00:00Z</t>
  </si>
  <si>
    <t>15 African migrants were shot to death in Egypt’s Sinai Peninsula while trying to reach Israel</t>
  </si>
  <si>
    <t>Rafah</t>
  </si>
  <si>
    <t>41.734495, 12.290967</t>
  </si>
  <si>
    <t>LA Times</t>
  </si>
  <si>
    <t>http://www.latimes.com/world/middleeast/la-fg-egypt-migrants-shooting-20151115-story.html</t>
  </si>
  <si>
    <t>41.87194, 12.56738</t>
  </si>
  <si>
    <t>41.892916, 12.48252</t>
  </si>
  <si>
    <t>2015-11-11T00:00:00Z</t>
  </si>
  <si>
    <t>41.997346, 21.427996</t>
  </si>
  <si>
    <t>4 people died after falling off a boat near Chios. 22 were rescued, but 2 are still missing.</t>
  </si>
  <si>
    <t>42, 26</t>
  </si>
  <si>
    <t>http://www.romandie.com/news/Turquie-18-migrants-en-route-vers-la-Grece-noyes-lors-de-deux/647699.rom</t>
  </si>
  <si>
    <t>42.5, 26.3</t>
  </si>
  <si>
    <t>42.039604, 9.012893</t>
  </si>
  <si>
    <t>Fourteen people drowned off Turkey’s western coast when a boat packed with refugees sank</t>
  </si>
  <si>
    <t>42.434479, 9.137443</t>
  </si>
  <si>
    <t>http://www.aa.com.tr/en/turkey/refugee-boat-sinks-off-western-turkey-14-dead/471476</t>
  </si>
  <si>
    <t>42.602636, 20.902977</t>
  </si>
  <si>
    <t>42.672421, 21.164539</t>
  </si>
  <si>
    <t>2015-11-06T00:00:00Z</t>
  </si>
  <si>
    <t>Eleven people, including two children, were rescued, while the body of a male refugee was retrieved. His wife is reportedly still missing.</t>
  </si>
  <si>
    <t>http://national.bgnnews.com/one-dead-as-refugee-boat-sinks-in-aegean-sea-haberi/10795</t>
  </si>
  <si>
    <t>42.675931, 23.433222</t>
  </si>
  <si>
    <t>42.733883, 25.48583</t>
  </si>
  <si>
    <t>42.7, 25.4</t>
  </si>
  <si>
    <t>43.001693, -7.85388</t>
  </si>
  <si>
    <t>2015-11-07T00:00:00Z</t>
  </si>
  <si>
    <t>The boy, aged 2-3 years, was found off the coast of Lesbos fully clothed, including boots, and wearing an orange life jacket, the Greek coast guard said in a statement.</t>
  </si>
  <si>
    <t>43.263013, -2.934985</t>
  </si>
  <si>
    <t>http://www.hurriyetdailynews.com/hundreds-of-migrants-rescued-off-eastern-greek-islands.aspx?pageID=238&amp;nID=90879&amp;NewsCatID=351</t>
  </si>
  <si>
    <t>43.296482, 5.36978</t>
  </si>
  <si>
    <t>43.32547, -1.93014</t>
  </si>
  <si>
    <t>43.328128, -3.033659</t>
  </si>
  <si>
    <t>43.342273, 17.812754</t>
  </si>
  <si>
    <t>2015-11-05T00:00:00Z</t>
  </si>
  <si>
    <t xml:space="preserve">One child drowned and another was missing off the Greek island of Kos
</t>
  </si>
  <si>
    <t>Near Kos</t>
  </si>
  <si>
    <t>43.351149, -8.185424</t>
  </si>
  <si>
    <t>http://www.reuters.com/article/2015/11/05/us-europe-migrants-greece-drowning-idUSKCN0SU0VW20151105#GiiOXof6tIsejXtq.97</t>
  </si>
  <si>
    <t>43.4, -8.1</t>
  </si>
  <si>
    <t>43.355524, -8.255738</t>
  </si>
  <si>
    <t>43.362344, -8.41154</t>
  </si>
  <si>
    <t>2015-11-03T00:00:00Z</t>
  </si>
  <si>
    <t>43.548473, 10.310567</t>
  </si>
  <si>
    <t>43.5, 10.3</t>
  </si>
  <si>
    <t>Greek authorities say three adults and a child are missing in the sea off the eastern island of Lesbos after an accident involving a boat with more than 40 migrants on board.</t>
  </si>
  <si>
    <t>43.61583, 13.518915</t>
  </si>
  <si>
    <t>http://www.nytimes.com/aponline/2015/11/03/world/europe/ap-eu-europe-migrants-the-latest.html?_r=0</t>
  </si>
  <si>
    <t>43.6, 13.6</t>
  </si>
  <si>
    <t>43.707408, 7.258543</t>
  </si>
  <si>
    <t>43.77268, 11.253604</t>
  </si>
  <si>
    <t>44.171131, 12.161842</t>
  </si>
  <si>
    <t>44.348399, 9.234647</t>
  </si>
  <si>
    <t>Greek authorities say four more people have drowned off the eastern island of Lesbos, after an accident involving a boat with nearly 50 migrants on board who had crossed over from nearby Turkey. The dead were identified as two men and two children</t>
  </si>
  <si>
    <t>44.3, 9.1</t>
  </si>
  <si>
    <t>44.36, 11.712429</t>
  </si>
  <si>
    <t>44.40565, 8.946256</t>
  </si>
  <si>
    <t>44.494887, 11.342616</t>
  </si>
  <si>
    <t>2015-11-01T00:00:00Z</t>
  </si>
  <si>
    <t>Rescuers found the bodies of four migrants after a boat said by survivors to be carrying 15 people sank en route to Greece, authorities said.</t>
  </si>
  <si>
    <t>44.5, 11.3</t>
  </si>
  <si>
    <t>http://uk.reuters.com/article/2015/11/02/uk-europe-greece-migrants-drowning-idUKKCN0SR0YW20151102</t>
  </si>
  <si>
    <t>44.4, 11.4</t>
  </si>
  <si>
    <t>44.502292, 26.101538</t>
  </si>
  <si>
    <t>44.648837, 10.920087</t>
  </si>
  <si>
    <t>2015-10-29T00:00:00Z</t>
  </si>
  <si>
    <t>2015 -- 10</t>
  </si>
  <si>
    <t>38 people believed still missing after the sinking of a wooden boat carrying migrants. Earlier, 242 people were rescued and three bodies were recovered.</t>
  </si>
  <si>
    <t>44.837789, -0.57918</t>
  </si>
  <si>
    <t>http://news.yahoo.com/38-missing-aegean-migrant-boat-sinking-102457060.html</t>
  </si>
  <si>
    <t>45.1, 15.2</t>
  </si>
  <si>
    <t>45, 15.3</t>
  </si>
  <si>
    <t>natural causes</t>
  </si>
  <si>
    <t>2015-10-31T00:00:00Z</t>
  </si>
  <si>
    <t>45.217675, 6.47587</t>
  </si>
  <si>
    <t>Croatian police say a 63-year-old woman from Afghanistan has died of natural causes in a refugee camp.</t>
  </si>
  <si>
    <t>Opatovac</t>
  </si>
  <si>
    <t>45.320227, 8.418573</t>
  </si>
  <si>
    <t>http://www.foxnews.com/world/2015/10/31/latest-afghan-woman-63-dies-in-refugee-camp-in-croatia-1st-migrant-death-in/</t>
  </si>
  <si>
    <t>45.440847, 12.315515</t>
  </si>
  <si>
    <t>45.4, 12.3</t>
  </si>
  <si>
    <t>45.3, 12.2</t>
  </si>
  <si>
    <t>15 migrants including six infants drowned when their boat capsized</t>
  </si>
  <si>
    <t>45.450072, 9.177592</t>
  </si>
  <si>
    <t>45.465454, 9.186516</t>
  </si>
  <si>
    <t>45.4, 9.2</t>
  </si>
  <si>
    <t>45.467276, 7.880059</t>
  </si>
  <si>
    <t>45.472519, 10.531554</t>
  </si>
  <si>
    <t>39 refugees have gone missing after their boat capsized off the coast of Morocco in the Mediterranean Sea</t>
  </si>
  <si>
    <t>Between Morocco and Spain</t>
  </si>
  <si>
    <t>http://www.huffpostmaghreb.com/2015/11/01/immigration-clandestine-espagne_n_8447004.html</t>
  </si>
  <si>
    <t>45.493488, 12.246318</t>
  </si>
  <si>
    <t>45.545479, 11.535421</t>
  </si>
  <si>
    <t>45.59834, 8.914248</t>
  </si>
  <si>
    <t>45.611892, 8.853127</t>
  </si>
  <si>
    <t>Another boat capsized off the coast of Lesbos, leaving eight more refugees dead</t>
  </si>
  <si>
    <t>45.649502, 0.12473</t>
  </si>
  <si>
    <t>http://www.independent.co.uk/news/world/europe/refugee-crisis-21-more-asylum-seekers-die-in-latest-disasters-in-aegean-sea-a6714546.html</t>
  </si>
  <si>
    <t>45.698264, 9.67727</t>
  </si>
  <si>
    <t>45.7283752, 5.0131031</t>
  </si>
  <si>
    <t>45.764898, 3.309457</t>
  </si>
  <si>
    <t>45.928847, 24.929615</t>
  </si>
  <si>
    <t xml:space="preserve"> A woman, child and baby drowned near Rhodes. Six of their fellow passengers were rescued and three others were missing.</t>
  </si>
  <si>
    <t>Rhodes</t>
  </si>
  <si>
    <t>45.940181, 13.620175</t>
  </si>
  <si>
    <t>46.151241, 14.995463</t>
  </si>
  <si>
    <t>46.1861871, 20.0312352</t>
  </si>
  <si>
    <t>46.198392, 6.142296</t>
  </si>
  <si>
    <t>46.1, 6.1</t>
  </si>
  <si>
    <t>More than 130 people were rescued from a boat that sank near the island of Kalymnos, killing 19.</t>
  </si>
  <si>
    <t>Kalymnos</t>
  </si>
  <si>
    <t>http://www.bbc.com/news/world-europe-34675406</t>
  </si>
  <si>
    <t>46.198494, 9.026918</t>
  </si>
  <si>
    <t>46.227638, 2.213749</t>
  </si>
  <si>
    <t>46.2, 2.3</t>
  </si>
  <si>
    <t>A bosnian child was abducted near a refugee center in Berlin. His body was found in a trunk.</t>
  </si>
  <si>
    <t>Berlin</t>
  </si>
  <si>
    <t>http://www.usnews.com/news/world/articles/2015/10/29/germany-arrests-suspect-in-bosnian-boys-disappearance</t>
  </si>
  <si>
    <t>46.1, 2.2</t>
  </si>
  <si>
    <t>46.369718, 10.126025</t>
  </si>
  <si>
    <t>46.60856, 13.85062</t>
  </si>
  <si>
    <t>46.62794, 14.30899</t>
  </si>
  <si>
    <t>2015-10-28T00:00:00Z</t>
  </si>
  <si>
    <t>One woman and two children drowned off the islet of Agathonissi</t>
  </si>
  <si>
    <t>Agathonissi</t>
  </si>
  <si>
    <t>46.656987, 9.578026</t>
  </si>
  <si>
    <t>http://www.independent.com.mt/articles/2015-10-29/world-news/Greek-coast-guard-rescues-242-after-boat-capsizes-near-Lesbos-11-dead-6736144407</t>
  </si>
  <si>
    <t>46.7822, 8.56939</t>
  </si>
  <si>
    <t>46.784013, 21.401367</t>
  </si>
  <si>
    <t>46.896129, 8.244838</t>
  </si>
  <si>
    <t>46.99576, 7.08635</t>
  </si>
  <si>
    <t>Three children and a man died off the coast of Samos</t>
  </si>
  <si>
    <t>47.162494, 19.503304</t>
  </si>
  <si>
    <t>47.16, 19.4</t>
  </si>
  <si>
    <t>47.2, 19.6</t>
  </si>
  <si>
    <t>47.19133, 8.856004</t>
  </si>
  <si>
    <t>47.225671, 8.982832</t>
  </si>
  <si>
    <t>47.230685, 16.621844</t>
  </si>
  <si>
    <t>A 7-year-old boy died off Lesbos</t>
  </si>
  <si>
    <t>47.36865, 8.539183</t>
  </si>
  <si>
    <t>47.39, 8.5</t>
  </si>
  <si>
    <t>47.43235, 8.76459</t>
  </si>
  <si>
    <t>47.433177, 19.26214</t>
  </si>
  <si>
    <t>Two young boys and a man died when their boat capsized</t>
  </si>
  <si>
    <t>47.45149, 9.16126</t>
  </si>
  <si>
    <t>http://www.reuters.com/article/2015/10/28/us-migrants-greece-shipwreck-idUSKCN0SM2MI20151028</t>
  </si>
  <si>
    <t>47.516231, 14.550072</t>
  </si>
  <si>
    <t>47.5, 14.6</t>
  </si>
  <si>
    <t>47.4, 14.5</t>
  </si>
  <si>
    <t>2015-10-26T00:00:00Z</t>
  </si>
  <si>
    <t>47.557421, 7.592573</t>
  </si>
  <si>
    <t>A man fall off a boat, his body was recovered near Lesbos</t>
  </si>
  <si>
    <t>47.594657, 8.136299</t>
  </si>
  <si>
    <t>http://www.bfmtv.com/international/grece-deux-nouveaux-corps-de-migrants-decouverts-sur-des-iles-en-egee-925247.html</t>
  </si>
  <si>
    <t>47.687457, 17.650397</t>
  </si>
  <si>
    <t>47.6, 17.7</t>
  </si>
  <si>
    <t>47.7, 17.6</t>
  </si>
  <si>
    <t>47.707766, 8.641442</t>
  </si>
  <si>
    <t>A woman fall off a boat near Chios, her body was recovered near Lesbos</t>
  </si>
  <si>
    <t>47.764064, 8.853396</t>
  </si>
  <si>
    <t>47.84637, 16.52796</t>
  </si>
  <si>
    <t>47.899011, 16.909332</t>
  </si>
  <si>
    <t>48.016043, 16.293962</t>
  </si>
  <si>
    <t>2015-10-25T00:00:00Z</t>
  </si>
  <si>
    <t>48.066823, 19.193115</t>
  </si>
  <si>
    <t>A woman and two young children drowned, and seven people were missing, after an inflatable dinghy carrying dozens of migrants from Turkey hit rocks near the Greek island of Lesbos</t>
  </si>
  <si>
    <t>Near Lesbos</t>
  </si>
  <si>
    <t>Greek authorities</t>
  </si>
  <si>
    <t>http://www.nytimes.com/2015/10/26/world/europe/two-children-among-migrants-killed-after-boat-sinks-off-greece.html?_r=0</t>
  </si>
  <si>
    <t>48.09033, 14.61606</t>
  </si>
  <si>
    <t>48.113475, -1.675708</t>
  </si>
  <si>
    <t>48.132108, 15.137272</t>
  </si>
  <si>
    <t>48.208174, 16.373819</t>
  </si>
  <si>
    <t>48.2, 16.4</t>
  </si>
  <si>
    <t>A Guinean drowned after a capsize</t>
  </si>
  <si>
    <t>48.2, 16.3</t>
  </si>
  <si>
    <t>http://www.lorientlejour.com/article/951419/espagne-noyade-dun-migrant-a-ceuta-apres-un-naufrage.html</t>
  </si>
  <si>
    <t>48.1, 16.37</t>
  </si>
  <si>
    <t>48.217686, 21.506965</t>
  </si>
  <si>
    <t>48.2, 21.5</t>
  </si>
  <si>
    <t>48.241408, 22.415221</t>
  </si>
  <si>
    <t>48.30694, 14.28583</t>
  </si>
  <si>
    <t>48.379433, 31.16558</t>
  </si>
  <si>
    <t>4 people were hit by a car in the Eurotunnel. One died, the others are injured.</t>
  </si>
  <si>
    <t>http://www.lavoixdunord.fr/region/migrants-fauches-par-une-voiture-a-calais-un-mort-une-ia33b48581n3126857#utm_medium=redaction&amp;utm_source=twitter&amp;utm_campaign=page-fan-vdn</t>
  </si>
  <si>
    <t>48.539225, 12.145922</t>
  </si>
  <si>
    <t>48.583148, 7.747882</t>
  </si>
  <si>
    <t>48.60192, 17.666016</t>
  </si>
  <si>
    <t>2015-10-24T00:00:00Z</t>
  </si>
  <si>
    <t>Bodies of 43 migrants wash ashore in Libya</t>
  </si>
  <si>
    <t>Zliten</t>
  </si>
  <si>
    <t>Libya’s Red Crescent</t>
  </si>
  <si>
    <t>http://www.abc.net.au/news/2015-10-26/libya-finds-43-bodies-of-apparent-migrants-on-beach/6883802</t>
  </si>
  <si>
    <t>48.669026, 19.699024</t>
  </si>
  <si>
    <t>48.793521, 17.089663</t>
  </si>
  <si>
    <t>48.847759, 2.439497</t>
  </si>
  <si>
    <t>2015-10-21T00:00:00Z</t>
  </si>
  <si>
    <t>A boat carrying migrants sank off the resort town of Kuşadası in the province of Aydın. Some 15 migrants in the boat were rescued while 15 others are missing.</t>
  </si>
  <si>
    <t xml:space="preserve">Kuşadası </t>
  </si>
  <si>
    <t>48.856614, 2.352</t>
  </si>
  <si>
    <t>Turkish Coast Guards</t>
  </si>
  <si>
    <t>http://www.hurriyetdailynews.com/two-migrants-killed-16-missing-in-aegean-sea-for-two-days.aspx?pageID=238&amp;nid=90229</t>
  </si>
  <si>
    <t>48.9, 2.3</t>
  </si>
  <si>
    <t>48.85, 2.4</t>
  </si>
  <si>
    <t>48.8, 2.3</t>
  </si>
  <si>
    <t>6 bodies, among them two women and one child, were discovered on a beach in the town of Guarabouli.</t>
  </si>
  <si>
    <t>48.89, 2.39</t>
  </si>
  <si>
    <t>48.9, 2.2</t>
  </si>
  <si>
    <t>Garabulli</t>
  </si>
  <si>
    <t>Red Crescent</t>
  </si>
  <si>
    <t>48.858, 2.2946</t>
  </si>
  <si>
    <t>48.9, 2.4</t>
  </si>
  <si>
    <t>2015-10-22T00:00:00Z</t>
  </si>
  <si>
    <t>48.922062, 2.253331</t>
  </si>
  <si>
    <t>One child and an unidentified person were killed in a capsized boat off the resort town of Ayvalık</t>
  </si>
  <si>
    <t>Ayvalık</t>
  </si>
  <si>
    <t>48.941106, 2.158431</t>
  </si>
  <si>
    <t>48.975751, 2.327234</t>
  </si>
  <si>
    <t>49.06159, 2.158135</t>
  </si>
  <si>
    <t>49.195098, 16.60673</t>
  </si>
  <si>
    <t>2015-10-17T00:00:00Z</t>
  </si>
  <si>
    <t>49.328575, 6.771879</t>
  </si>
  <si>
    <t>A Pakistani refugee reportedly drowned after falling off a boat carrying 38 people</t>
  </si>
  <si>
    <t>In the Aegean Sea</t>
  </si>
  <si>
    <t>http://www.turkishweekly.net/2015/10/17/news/refugee-boat-sinks-off-turkish-coast-12-dead/</t>
  </si>
  <si>
    <t>49.439453, 11.107278</t>
  </si>
  <si>
    <t>49.44032, 11.863345</t>
  </si>
  <si>
    <t>49.45203, 11.07675</t>
  </si>
  <si>
    <t>49.487459, 8.466039</t>
  </si>
  <si>
    <t>One baby, four children, five women and two men have drowned after a boat carrying refugees attempting to reach the Greek island of Lesbos sank in the Aegean Sea</t>
  </si>
  <si>
    <t>49.49437, 0.107929</t>
  </si>
  <si>
    <t>49.61001, 6.2588</t>
  </si>
  <si>
    <t>49.63675, 14.839266</t>
  </si>
  <si>
    <t>49.651244, 7.163161</t>
  </si>
  <si>
    <t>2015-10-16T00:00:00Z</t>
  </si>
  <si>
    <t>49.791595, 9.953571</t>
  </si>
  <si>
    <t>Four migrants, the oldest of them a young woman of 16, drowned and three other people were missing after their rubber boat capsized off a Greek island</t>
  </si>
  <si>
    <t>49.815273, 6.129583</t>
  </si>
  <si>
    <t>49.817492, 15.472962</t>
  </si>
  <si>
    <t>Greek Coast Guards</t>
  </si>
  <si>
    <t>http://news.yahoo.com/four-migrants-drown-off-greek-island-one-missing-074635709.html</t>
  </si>
  <si>
    <t>49.913334, 9.292279</t>
  </si>
  <si>
    <t>49.98875, 8.421698</t>
  </si>
  <si>
    <t>50.079533, 12.369864</t>
  </si>
  <si>
    <t>2015-10-18T00:00:00Z</t>
  </si>
  <si>
    <t>50.083558, 8.469386</t>
  </si>
  <si>
    <t>A baby, a child and two women were found dead in a boat near Kastelorizo. One man is missing.</t>
  </si>
  <si>
    <t>50.110922, 8.682127</t>
  </si>
  <si>
    <t>http://www.itele.fr/monde/video/cinq-nouveaux-refugies-trouvent-la-mort-en-mediterranee-140524</t>
  </si>
  <si>
    <t>50.1, 8.7</t>
  </si>
  <si>
    <t>50.155257, 7.783938</t>
  </si>
  <si>
    <t>50.394047, 49.21875</t>
  </si>
  <si>
    <t>A 8 year old died in a dingee with 110 refugees onboard</t>
  </si>
  <si>
    <t>50.409626, 4.446211</t>
  </si>
  <si>
    <t>50.41081, 4.444643</t>
  </si>
  <si>
    <t>50.413333, 12.451111</t>
  </si>
  <si>
    <t>50.414585, 13.007813</t>
  </si>
  <si>
    <t>50.482286, 17.329586</t>
  </si>
  <si>
    <t>Afghan migrant shot dead by police on Bulgarian border</t>
  </si>
  <si>
    <t>Sredets</t>
  </si>
  <si>
    <t>http://mashable.com/2015/10/16/bulgaria-afghanistan-migrant/?utm_cid=mash-com-Tw-main-link%237S5etCaC0WqY#QE3Mkm1jjqqY</t>
  </si>
  <si>
    <t>50.503887, 4.469936</t>
  </si>
  <si>
    <t>50.5, 4.5</t>
  </si>
  <si>
    <t>50.55581, 9.680845</t>
  </si>
  <si>
    <t>50.656873, 13.341127</t>
  </si>
  <si>
    <t>50.658799, 10.664964</t>
  </si>
  <si>
    <t xml:space="preserve">An unidentified body has been found near the rail path </t>
  </si>
  <si>
    <t>50.671046, 5.57847</t>
  </si>
  <si>
    <t>http://www.leparisien.fr/nord-pas-de-calais/calais-un-migrant-meurt-percute-par-un-train-de-marchandises-16-10-2015-5190523.php</t>
  </si>
  <si>
    <t>50.7, 5.58</t>
  </si>
  <si>
    <t>50.728872, 12.375184</t>
  </si>
  <si>
    <t>50.746259, -2.21973</t>
  </si>
  <si>
    <t>2015-10-14T00:00:00Z</t>
  </si>
  <si>
    <t>50.767197, 13.532895</t>
  </si>
  <si>
    <t xml:space="preserve"> A woman, a young girl and a baby have died after a boat carrying migrants and refugees to the Greek island of Lesbos sank</t>
  </si>
  <si>
    <t>50.768035, 0.290472</t>
  </si>
  <si>
    <t>http://news.yahoo.com/migrant-woman-baby-child-drown-trying-reach-greece-204014079.html</t>
  </si>
  <si>
    <t>50.769517, 1.610207</t>
  </si>
  <si>
    <t>50.787551, -1.124062</t>
  </si>
  <si>
    <t>2015-10-15T00:00:00Z</t>
  </si>
  <si>
    <t>50.7, -1.1</t>
  </si>
  <si>
    <t>A Syrian woman died after being hit by a car on a motorway near the Eurotunnel terminal</t>
  </si>
  <si>
    <t>Near Calais</t>
  </si>
  <si>
    <t>50.81451, 1.704929</t>
  </si>
  <si>
    <t>http://www.wsj.com/articles/syrian-woman-dies-after-being-hit-by-car-near-eurotunnel-in-calais-1444898481</t>
  </si>
  <si>
    <t>50.821854, 9.020215</t>
  </si>
  <si>
    <t>50.832793, 9.572866</t>
  </si>
  <si>
    <t>50.85, 4.33</t>
  </si>
  <si>
    <t>50.85034, 4.35171</t>
  </si>
  <si>
    <t>50.85, 4.4</t>
  </si>
  <si>
    <t>Rubber boat with Lebanon family of 12 sinks in Aegean Sea</t>
  </si>
  <si>
    <t>50.86, 4.3</t>
  </si>
  <si>
    <t>50.871818, -0.005832</t>
  </si>
  <si>
    <t>https://www.washingtonpost.com/world/middle_east/rubber-boat-with-lebanon-family-of-12-sinks-in-aegean-sea/2015/10/15/87e9941c-7356-11e5-ba14-318f8e87a2fc_story.html</t>
  </si>
  <si>
    <t>50.887047, 14.828072</t>
  </si>
  <si>
    <t>50.9, 1.86</t>
  </si>
  <si>
    <t>50.9, 4.38</t>
  </si>
  <si>
    <t>50.900875, 12.765471</t>
  </si>
  <si>
    <t>50.90793, 4.51349</t>
  </si>
  <si>
    <t>Seven dead and one missing after Greek coastguard vessel hits migrant boat</t>
  </si>
  <si>
    <t>50.912151, 8.530123</t>
  </si>
  <si>
    <t>http://www.independent.co.uk/news/world/europe/eight-missing-after-refugee-boat-collides-with-rescue-vessel-off-greek-coast-a6694941.html http://www.reuters.com/article/2015/10/15/eurozone-migrants-greece-idUSL8N12F4FY20151015</t>
  </si>
  <si>
    <t>2015-10-11T00:00:00Z</t>
  </si>
  <si>
    <t>50.917288, 1.824342</t>
  </si>
  <si>
    <t>Eleven drown as boat capsizes off Egypt</t>
  </si>
  <si>
    <t>Baltim</t>
  </si>
  <si>
    <t>50.9247443, 1.8000638</t>
  </si>
  <si>
    <t>https://www.dailystar.com.lb/News/Middle-East/2015/Oct-11/318464-11-migrants-drown-as-boat-capsizes-off-egypt.ashx</t>
  </si>
  <si>
    <t>50.937531, 6.960279</t>
  </si>
  <si>
    <t>50.946071, -1.004294</t>
  </si>
  <si>
    <t>2015-10-09T00:00:00Z</t>
  </si>
  <si>
    <t>50.95, 1.95</t>
  </si>
  <si>
    <t>A baby died after the rubber boat carrying him and another 56 migrants broke down and was left adrift off the Greek island of Lesbos</t>
  </si>
  <si>
    <t>50.95129, 1.858686</t>
  </si>
  <si>
    <t>http://uk.reuters.com/article/2015/10/09/uk-eurozone-greece-migrants-idUKKCN0S30DZ20151009</t>
  </si>
  <si>
    <t>50.9, 1.8</t>
  </si>
  <si>
    <t>50.95, 1.9</t>
  </si>
  <si>
    <t>police violence</t>
  </si>
  <si>
    <t>50.93, 1.85</t>
  </si>
  <si>
    <t>Two migrants died and 20 others were injured at the Spanish-Moroccan border on Friday 9 October after a raft on which they were travelling was overturned by the Moroccan Royal Marines</t>
  </si>
  <si>
    <t>50.954468, 1.862801</t>
  </si>
  <si>
    <t>Spanish radio station Cadena SER</t>
  </si>
  <si>
    <t>http://statewatch.org/news/2015/oct/ceuta-border-two-dead.htm</t>
  </si>
  <si>
    <t>50.96, 1.9</t>
  </si>
  <si>
    <t>50.963579, 10.067171</t>
  </si>
  <si>
    <t>2015-10-03T00:00:00Z</t>
  </si>
  <si>
    <t>50.985315, 12.974056</t>
  </si>
  <si>
    <t>A baby, aged between six months and a year, and a boy aged between 3 and 5 years were found on a beach, presumably after the boat carrying them from Turkey to Kos overturned</t>
  </si>
  <si>
    <t>Macedonian media</t>
  </si>
  <si>
    <t>51, 1</t>
  </si>
  <si>
    <t>http://www.independent.mk/articles/22794/Refugee+Crisis+One+Killed+in+Accident+Near+Vranje,+Two+Children+Drown+Near+Kos</t>
  </si>
  <si>
    <t>51.01792, 2.440483</t>
  </si>
  <si>
    <t>51.027979, 1.543579</t>
  </si>
  <si>
    <t>51.03, 2.38</t>
  </si>
  <si>
    <t>2015-10-04T00:00:00Z</t>
  </si>
  <si>
    <t>At least one person was killed in a truck/bus accident</t>
  </si>
  <si>
    <t>Presevo</t>
  </si>
  <si>
    <t>51.03456, 2.375202</t>
  </si>
  <si>
    <t>Serbian media</t>
  </si>
  <si>
    <t>51, 2.4</t>
  </si>
  <si>
    <t>51.060229, -0.343955</t>
  </si>
  <si>
    <t>51.081397, 1.169456</t>
  </si>
  <si>
    <t>51.081398, 1.169456</t>
  </si>
  <si>
    <t xml:space="preserve"> Red Crescent scouts found 10 corpses near Sabartha, a Libyan coastal city that is a main launching point for smugglers’ boats headed to Europe.</t>
  </si>
  <si>
    <t>Near Sabartha</t>
  </si>
  <si>
    <t>51.103951, 14.235404</t>
  </si>
  <si>
    <t>http://www.timesofisrael.com/libyan-red-crescent-says-bodies-of-95-migrants-washed-ashore/</t>
  </si>
  <si>
    <t>51.12509, 5.367066</t>
  </si>
  <si>
    <t>51.127876, 1.313403</t>
  </si>
  <si>
    <t>Red Crescent scouts found 85 of the corpses near Libya’s capital Tripoli</t>
  </si>
  <si>
    <t>Near Tripoli</t>
  </si>
  <si>
    <t>51.13, 1.3</t>
  </si>
  <si>
    <t>51.12, 1.35</t>
  </si>
  <si>
    <t>51.127876, 3.1</t>
  </si>
  <si>
    <t>51.155455, -0.165058</t>
  </si>
  <si>
    <t>2015-10-05T00:00:00Z</t>
  </si>
  <si>
    <t>One refugee died in a fire in a reception fire</t>
  </si>
  <si>
    <t>Saafeld</t>
  </si>
  <si>
    <t>51.156388, -0.160135</t>
  </si>
  <si>
    <t>German local news (MDR)</t>
  </si>
  <si>
    <t>http://www.lefigaro.fr/flash-actu/2015/10/05/97001-20151005FILWWW00407-un-refugie-mort-dans-un-foyer-incendie.php</t>
  </si>
  <si>
    <t>51.165691, 10.451526</t>
  </si>
  <si>
    <t>51.16, 10.44</t>
  </si>
  <si>
    <t>51.166, 10.45</t>
  </si>
  <si>
    <t>2015-09-30T00:00:00Z</t>
  </si>
  <si>
    <t>2015 -- 9</t>
  </si>
  <si>
    <t>Two refugees, a young child and a woman lost their lives when the boat carrying them from the Turkish coast to Greece capsized - See more at: http://greece.greekreporter.com/2015/09/30/refugee-boat-capsized-near-mytilene-woman-and-young-child-tragically-die-in-waters/#sthash.hlX6QGLT.dpuf</t>
  </si>
  <si>
    <t>51.2, 10.5</t>
  </si>
  <si>
    <t>http://greece.greekreporter.com/2015/09/30/refugee-boat-capsized-near-mytilene-woman-and-young-child-tragically-die-in-waters/</t>
  </si>
  <si>
    <t>51.16809, 7.126517</t>
  </si>
  <si>
    <t>51.182293, 14.423775</t>
  </si>
  <si>
    <t>51.187666, 10.039773</t>
  </si>
  <si>
    <t>51.204197, 6.687951</t>
  </si>
  <si>
    <t>2015-09-29T00:00:00Z</t>
  </si>
  <si>
    <t>One Syrian migrant has died and five others are reported missing after an inflatable boat carrying migrants capsized off Turkey’s northwestern coast late on Sept. 29</t>
  </si>
  <si>
    <t>near Enez</t>
  </si>
  <si>
    <t>51.227741, 6.773456</t>
  </si>
  <si>
    <t>http://www.hurriyetdailynews.com/one-migrant-dead-five-others-missing-in-aegean-boat-capsizing.aspx?pageID=238&amp;nid=89175&amp;NewsCatID=341&amp;utm_source=dlvr.it&amp;utm_medium=twitter</t>
  </si>
  <si>
    <t>51.302229, -3.867187</t>
  </si>
  <si>
    <t>51.35819, 4.863547</t>
  </si>
  <si>
    <t>51.389646, 1.386834</t>
  </si>
  <si>
    <t>51.4025, 8.641667</t>
  </si>
  <si>
    <t>51.409994, -0.687312</t>
  </si>
  <si>
    <t>crushed by a wooden pallet in a truck</t>
  </si>
  <si>
    <t>A young Irakian was found dead in a truck in the port of Calais</t>
  </si>
  <si>
    <t>51.441642, 5.469722</t>
  </si>
  <si>
    <t>http://www.rtbf.be/info/dossier/drames-de-la-migration-les-candidats-refugies-meurent-aux-portes-de-l-europe/detail_un-refugie-retrouve-mort-dans-un-camion-pres-du-port-de-calais?id=9093612</t>
  </si>
  <si>
    <t>51.453667, 3.570912</t>
  </si>
  <si>
    <t>51.454513, -2.58791</t>
  </si>
  <si>
    <t>51.455643, 7.011555</t>
  </si>
  <si>
    <t>51.457072, -0.181782</t>
  </si>
  <si>
    <t>2015-09-25T00:00:00Z</t>
  </si>
  <si>
    <t>51.458832, -0.10972</t>
  </si>
  <si>
    <t>The Greek coastguard said it was looking for seven migrants feared missing near the Aegean island of Kos, after rescuing 115 Syrians in a separate incident.</t>
  </si>
  <si>
    <t>Greek Coastguards</t>
  </si>
  <si>
    <t>http://news.yahoo.com/migrants-feared-missing-off-greeces-kos-island-141427880.html</t>
  </si>
  <si>
    <t>51.46046, 0.344943</t>
  </si>
  <si>
    <t>51.47238, -0.45094</t>
  </si>
  <si>
    <t>2015-09-27T00:00:00Z</t>
  </si>
  <si>
    <t>Turkish Coast Guard rescues 20 people after boat sinks near holiday resort, 17 Syrians drowned</t>
  </si>
  <si>
    <t>Gumusluk</t>
  </si>
  <si>
    <t xml:space="preserve">state-run Anadolu Agency </t>
  </si>
  <si>
    <t>http://www.cbc.ca/news/world/syrian-refugees-turkey-1.3245691</t>
  </si>
  <si>
    <t>51.4, -0.4</t>
  </si>
  <si>
    <t>51.5, -0.45</t>
  </si>
  <si>
    <t>2015-09-24T00:00:00Z</t>
  </si>
  <si>
    <t>Young migrant found dead in Channel Tunnel</t>
  </si>
  <si>
    <t>51.481969, -0.526243</t>
  </si>
  <si>
    <t>http://uk.reuters.com/article/2015/09/24/uk-europe-migrants-calais-death-idUKKCN0RO0VK20150924</t>
  </si>
  <si>
    <t>51.48, -0.5</t>
  </si>
  <si>
    <t>51.48309, -0.483529</t>
  </si>
  <si>
    <t>51.48, -0.49</t>
  </si>
  <si>
    <t>intoxicated</t>
  </si>
  <si>
    <t>2015-09-22T00:00:00Z</t>
  </si>
  <si>
    <t>Syrian Teen Who Ate Poisonous Mushroom Dies in Germany</t>
  </si>
  <si>
    <t>Münster</t>
  </si>
  <si>
    <t>51.484807, 0.087142</t>
  </si>
  <si>
    <t>51.487453, -0.475554</t>
  </si>
  <si>
    <t>51.49, -0.47</t>
  </si>
  <si>
    <t>Associated Press</t>
  </si>
  <si>
    <t>http://abcnews.go.com/International/wireStory/syrian-refugee-ate-poisonous-mushroom-dies-germany-33921183</t>
  </si>
  <si>
    <t>51.488623, 0.461426</t>
  </si>
  <si>
    <t>51.497303, 0.0899</t>
  </si>
  <si>
    <t>Greek authorities say two people are missing after a boat carrying people fleeing their homelands sank in the eastern Aegean Sea.</t>
  </si>
  <si>
    <t>51.511214, -0.119824</t>
  </si>
  <si>
    <t>http://www.ekathimerini.com/201798/article/ekathimerini/news/two-missing-as-migrant-boat-sinks-at-sea</t>
  </si>
  <si>
    <t>51.511, -0.119</t>
  </si>
  <si>
    <t>51.52, -0.16</t>
  </si>
  <si>
    <t>2015-09-20T00:00:00Z</t>
  </si>
  <si>
    <t>The body of a young Moroccan was found at sea</t>
  </si>
  <si>
    <t>Gravelines</t>
  </si>
  <si>
    <t>51.519411, -0.126966</t>
  </si>
  <si>
    <t>French General Attorney</t>
  </si>
  <si>
    <t>http://www.lavoixdunord.fr/region/migrants-le-corps-repeche-a-gravelines-est-celui-du-ia33b48581n3100418</t>
  </si>
  <si>
    <t>51.590352, -0.119725</t>
  </si>
  <si>
    <t>51.645269, 5.956666</t>
  </si>
  <si>
    <t>2015-09-19T00:00:00Z</t>
  </si>
  <si>
    <t>51.653306, 5.294347</t>
  </si>
  <si>
    <t>A five-year-old girl is among more than a dozen refugees feared to have died when their boat sank off Lesbos</t>
  </si>
  <si>
    <t>http://www.independent.co.uk/news/world/europe/refugee-crisis-fiveyearold-girl-dies-and-14-people-missing-after-latest-boat-disaster-10508965.html?origin=internalSearch</t>
  </si>
  <si>
    <t>51.687568, 5.298033</t>
  </si>
  <si>
    <t>51.7, -0.15</t>
  </si>
  <si>
    <t>51.735587, 0.46855</t>
  </si>
  <si>
    <t>51.765908, 0.667367</t>
  </si>
  <si>
    <t>2015-09-18T00:00:00Z</t>
  </si>
  <si>
    <t>The body of a young Syrian girl was found on a Turkish beach</t>
  </si>
  <si>
    <t>Near Cesme</t>
  </si>
  <si>
    <t>51.767787, 0.087806</t>
  </si>
  <si>
    <t>51.822244, 12.242452</t>
  </si>
  <si>
    <t>Turkey's state-run Anadolu Agency</t>
  </si>
  <si>
    <t>51.871292, 8.647819</t>
  </si>
  <si>
    <t>http://www.ouest-france.fr/refugies-une-fillette-syrienne-de-4-ans-se-noie-au-large-de-la-turquie-3697172</t>
  </si>
  <si>
    <t>51.89439, 11.053734</t>
  </si>
  <si>
    <t>51.903238, 8.385753</t>
  </si>
  <si>
    <t>51.919438, 19.145136</t>
  </si>
  <si>
    <t>A boat capsized off the coast of Turkey. 13 dead, 13 missing.</t>
  </si>
  <si>
    <t>Near Canakkale</t>
  </si>
  <si>
    <t>51.924, 1.44</t>
  </si>
  <si>
    <t>http://www.rtl.fr/actu/international/turquie-13-migrants-noyes-apres-la-collision-entre-leur-bateau-et-un-ferry-7779784446</t>
  </si>
  <si>
    <t>51.924216, 4.481776</t>
  </si>
  <si>
    <t>51.942889, 4.447575</t>
  </si>
  <si>
    <t>51.974449, 4.251163</t>
  </si>
  <si>
    <t>At least seven migrants, including a young child, have died after their boat sank off the coast of Libya.</t>
  </si>
  <si>
    <t>Off Libya</t>
  </si>
  <si>
    <t>35,1</t>
  </si>
  <si>
    <t>17,1</t>
  </si>
  <si>
    <t>52.012058, 5.429548</t>
  </si>
  <si>
    <t>http://www.euronews.com/2015/09/18/seven-dead-in-migrant-boat-tragedy-off-libyan-coast/</t>
  </si>
  <si>
    <t>52.031297, 4.659132</t>
  </si>
  <si>
    <t>52.070498, 4.3007</t>
  </si>
  <si>
    <t>52.091667, 5.117778</t>
  </si>
  <si>
    <t>2015-09-17T00:00:00Z</t>
  </si>
  <si>
    <t>A man found on Eurotunnel train roof dies from electrocution</t>
  </si>
  <si>
    <t>Coquelles, France</t>
  </si>
  <si>
    <t>http://www.bbc.com/news/uk-34287750</t>
  </si>
  <si>
    <t>52.118759, 5.40633</t>
  </si>
  <si>
    <t>52.132633, 5.291266</t>
  </si>
  <si>
    <t>2015-09-15T00:00:00Z</t>
  </si>
  <si>
    <t>52.14, 5.3</t>
  </si>
  <si>
    <t xml:space="preserve">At least 22 migrants including four children trying to reach Greece drowned </t>
  </si>
  <si>
    <t>near Kos</t>
  </si>
  <si>
    <t>http://economictimes.indiatimes.com/news/international/world-news/22-dead-after-greece-bound-migrant-boat-sinks-off-turkey-report/articleshow/48969590.cms</t>
  </si>
  <si>
    <t>52.135973, -0.466655</t>
  </si>
  <si>
    <t>52.143662, 14.641902</t>
  </si>
  <si>
    <t>52.169628, -0.503644</t>
  </si>
  <si>
    <t>2015-09-14T00:00:00Z</t>
  </si>
  <si>
    <t>52.193566, -0.482377</t>
  </si>
  <si>
    <t>Two Syrian migrants attempting to reach a Greek island drowned</t>
  </si>
  <si>
    <t>near Izmir</t>
  </si>
  <si>
    <t>Hurrieyet</t>
  </si>
  <si>
    <t>http://www.hurriyetdailynews.com/at-least-22-migrants-drown-as-boat-capsizes-in-aegean-sea.aspx?pageID=238&amp;nid=88492&amp;NewsCatID=341</t>
  </si>
  <si>
    <t>52.218, 13.224975</t>
  </si>
  <si>
    <t>52.260094, 0.064304</t>
  </si>
  <si>
    <t>52.276193, 0.096538</t>
  </si>
  <si>
    <t>2015-09-13T00:00:00Z</t>
  </si>
  <si>
    <t>The coastguard was also still searching for four children missing after another boat capsized</t>
  </si>
  <si>
    <t>Off Samos</t>
  </si>
  <si>
    <t>52.278385, 7.920044</t>
  </si>
  <si>
    <t>http://www.theguardian.com/world/2015/sep/14/babies-and-children-among-34-dead-in-aegean-migrant-boat-sinking?CMP=share_btn_tw</t>
  </si>
  <si>
    <t>52.283056, 13.8</t>
  </si>
  <si>
    <t>52.295891, 13.622838</t>
  </si>
  <si>
    <t>52.311057, 4.952201</t>
  </si>
  <si>
    <t>34 migrants die in boat capsize off Greece</t>
  </si>
  <si>
    <t>52.313025, 4.772477</t>
  </si>
  <si>
    <t>52.32, 4.8</t>
  </si>
  <si>
    <t>52.314079, 4.975107</t>
  </si>
  <si>
    <t>run over by a car</t>
  </si>
  <si>
    <t>2015-09-10T00:00:00Z</t>
  </si>
  <si>
    <t>52.355518, -1.17432</t>
  </si>
  <si>
    <t>A car hit three migrants walking along the main road in the dark near the city of Szeged in southern Hungary and one of them died in hospital</t>
  </si>
  <si>
    <t>Szeged</t>
  </si>
  <si>
    <t>Hungarian Police</t>
  </si>
  <si>
    <t>http://uk.reuters.com/article/2015/09/10/europe-migrants-hungary-death-idUKL5N11G1Z420150910</t>
  </si>
  <si>
    <t>52.35, -1.2</t>
  </si>
  <si>
    <t>52.36, -1.1</t>
  </si>
  <si>
    <t>52.370216, 4.895168</t>
  </si>
  <si>
    <t>2015-09-06T00:00:00Z</t>
  </si>
  <si>
    <t>One dead body was found near Ceuta</t>
  </si>
  <si>
    <t>Spanish Coast Guards</t>
  </si>
  <si>
    <t>http://ar.globedia.com/rescatado-cadaver-inmigrante-estrecho-gibraltar</t>
  </si>
  <si>
    <t>52.37, 4.9</t>
  </si>
  <si>
    <t>52.4, 4.8</t>
  </si>
  <si>
    <t>52.406822, -1.519693</t>
  </si>
  <si>
    <t>run over by a train</t>
  </si>
  <si>
    <t>2015-09-04T00:00:00Z</t>
  </si>
  <si>
    <t>1 man was run over by a train between Orestiada and Alexandroupolis</t>
  </si>
  <si>
    <t>Orestiada</t>
  </si>
  <si>
    <t>52.447828, 9.744931</t>
  </si>
  <si>
    <t>52.477116, 10.549576</t>
  </si>
  <si>
    <t>52.486243, -1.890401</t>
  </si>
  <si>
    <t>Police</t>
  </si>
  <si>
    <t>http://www.7sur7.be/7s7/fr/1505/Monde/article/detail/2445752/2015/09/04/Un-migrant-mort-en-Hongrie-un-autre-en-Grece.dhtml</t>
  </si>
  <si>
    <t>52.514382, 4.964061</t>
  </si>
  <si>
    <t>52.516775, 6.083022</t>
  </si>
  <si>
    <t>52.517664, -1.995159</t>
  </si>
  <si>
    <t>fall</t>
  </si>
  <si>
    <t>52.520007, 13.404954</t>
  </si>
  <si>
    <t>A migrant has died in Hungary after falling onto train tracks 'while running away from police'.</t>
  </si>
  <si>
    <t>Bicske</t>
  </si>
  <si>
    <t>52.51, 13.4</t>
  </si>
  <si>
    <t>Hungarian State television (MTI)</t>
  </si>
  <si>
    <t>http://www.lefigaro.fr/flash-actu/2015/09/04/97001-20150904FILWWW00384-hongrie-un-migrant-retrouve-mort.php</t>
  </si>
  <si>
    <t>52.52, 13.5</t>
  </si>
  <si>
    <t>52.534682, 5.721809</t>
  </si>
  <si>
    <t>52.618489, 14.545038</t>
  </si>
  <si>
    <t>2015-09-03T00:00:00Z</t>
  </si>
  <si>
    <t>At least 30 people were feared dead as a boat full of migrants sank off the coast of Libya</t>
  </si>
  <si>
    <t>Misrata</t>
  </si>
  <si>
    <t>52.630886, 1.297355</t>
  </si>
  <si>
    <t>http://www.wsj.com/articles/migrants-feared-drowned-after-boat-capsizes-off-libyan-coast-1441368304</t>
  </si>
  <si>
    <t>52.636878, -1.139759</t>
  </si>
  <si>
    <t>52.643661, 14.361496</t>
  </si>
  <si>
    <t>52.745242, 5.85333</t>
  </si>
  <si>
    <t>2015-09-05T00:00:00Z</t>
  </si>
  <si>
    <t>52.785804, 6.897585</t>
  </si>
  <si>
    <t>A two-month-old baby from a family of refugees died Saturday on the Greek island of Agathonisi, a police source said</t>
  </si>
  <si>
    <t>http://news.yahoo.com/refugee-baby-dies-greek-island-clashes-lesbos-195539172.html</t>
  </si>
  <si>
    <t>52.8, -2</t>
  </si>
  <si>
    <t>52.825559, 14.197083</t>
  </si>
  <si>
    <t>52.853126, 11.157355</t>
  </si>
  <si>
    <t>52.854738, 6.317742</t>
  </si>
  <si>
    <t>52.873165, 6.369422</t>
  </si>
  <si>
    <t>2015-09-02T00:00:00Z</t>
  </si>
  <si>
    <t>Four bodies were found by the Swedish navy near Sardaigna</t>
  </si>
  <si>
    <t>near Sardinia</t>
  </si>
  <si>
    <t>52.912679, 8.818135</t>
  </si>
  <si>
    <t>Frontex</t>
  </si>
  <si>
    <t>https://twitter.com/FrontexEU/status/638994645708615680</t>
  </si>
  <si>
    <t>52.9524, 6.356303</t>
  </si>
  <si>
    <t>52.954783, -1.158109</t>
  </si>
  <si>
    <t>52.958346, 3.867188</t>
  </si>
  <si>
    <t>Twelve Syrians drown heading from Turkey to Greek island. Amonst them, Aylan Kurdi, a 3 year old boy whose photo shared a lot on social networks</t>
  </si>
  <si>
    <t>52.988024, -2.20218</t>
  </si>
  <si>
    <t>53.018822, -2.189053</t>
  </si>
  <si>
    <t>53.079296, 8.801694</t>
  </si>
  <si>
    <t>53.171826, 6.605243</t>
  </si>
  <si>
    <t>http://www.reuters.com/article/2015/09/02/us-europe-migrants-turkey-idUSKCN0R20IJ20150902</t>
  </si>
  <si>
    <t>53.174638, 5.425152</t>
  </si>
  <si>
    <t>53.18, 5.41</t>
  </si>
  <si>
    <t>53.349805, -6.26031</t>
  </si>
  <si>
    <t>2015-08-30T00:00:00Z</t>
  </si>
  <si>
    <t>3Q2015</t>
  </si>
  <si>
    <t>2015 -- 8</t>
  </si>
  <si>
    <t>53.35, -6.3</t>
  </si>
  <si>
    <t>Seven people died when a boat carrying migrants sank off Libya’s coast and 30 bodies were discovered on Monday near the capsize</t>
  </si>
  <si>
    <t>near Khoms (Libya)</t>
  </si>
  <si>
    <t>53.366786, -2.279768</t>
  </si>
  <si>
    <t>http://www.news24.com/Africa/News/Migrant-boat-accident-Toll-hits-37-20150831</t>
  </si>
  <si>
    <t>53.381129, -1.470085</t>
  </si>
  <si>
    <t>53.406754, -2.158843</t>
  </si>
  <si>
    <t>53.408371, -2.991573</t>
  </si>
  <si>
    <t>2015-08-29T00:00:00Z</t>
  </si>
  <si>
    <t>A 17-year-old migrant was killed during a shootout at sea between Greek port police and human smugglers</t>
  </si>
  <si>
    <t>near Symi (Greece)</t>
  </si>
  <si>
    <t>53.41291, -8.24389</t>
  </si>
  <si>
    <t>Greek goverment</t>
  </si>
  <si>
    <t>http://www.theguardian.com/world/2015/aug/30/teenage-migrant-killed-in-shootout-between-greek-police-and-smugglers</t>
  </si>
  <si>
    <t>53.449038, -1.2996</t>
  </si>
  <si>
    <t>53.474021, -2.290393</t>
  </si>
  <si>
    <t>53.479324, -2.248485</t>
  </si>
  <si>
    <t>2015-08-27T00:00:00Z</t>
  </si>
  <si>
    <t>53.527039, -2.28064</t>
  </si>
  <si>
    <t>Up to 200 bodies have been discovered floating off the coast of Libya</t>
  </si>
  <si>
    <t>Zuwara</t>
  </si>
  <si>
    <t>Libyan Coastguards</t>
  </si>
  <si>
    <t>http://www.theguardian.com/world/2015/aug/27/at-least-30-dead-after-boat-carrying-migrants-sinks-in-mediterranean</t>
  </si>
  <si>
    <t>53.54368, -0.974168</t>
  </si>
  <si>
    <t>53.545921, -2.201948</t>
  </si>
  <si>
    <t>53.551085, 9.993682</t>
  </si>
  <si>
    <t>53.56, 9.9</t>
  </si>
  <si>
    <t>53.614086, -2.161814</t>
  </si>
  <si>
    <t>53.629738, 13.163799</t>
  </si>
  <si>
    <t>71 people, presumed to be asylum-seekers, have been found dead in the back of a lorry in Austria.</t>
  </si>
  <si>
    <t>Parndorf</t>
  </si>
  <si>
    <t>53.63459, 10.01608</t>
  </si>
  <si>
    <t>Austrian Police</t>
  </si>
  <si>
    <t>http://www.ft.com/cms/s/0/83323a26-4cc0-11e5-9b5d-89a026fda5c9.html#axzz3k5quE1Mi</t>
  </si>
  <si>
    <t>53.645792, -1.785035</t>
  </si>
  <si>
    <t>53.661998, -1.79723</t>
  </si>
  <si>
    <t>heart failure</t>
  </si>
  <si>
    <t>2015-08-25T00:00:00Z</t>
  </si>
  <si>
    <t>53.748575, -2.487529</t>
  </si>
  <si>
    <t>A 15 year old Somalian died on the boat of MSF taking him to Italy</t>
  </si>
  <si>
    <t>Between Libya and Sicily</t>
  </si>
  <si>
    <t>53.763201, -2.70309</t>
  </si>
  <si>
    <t>MSF</t>
  </si>
  <si>
    <t>http://www.lefigaro.fr/flash-actu/2015/08/25/97001-20150825FILWWW00114-migrants-un-ado-mort-apres-avoir-ete-secouru.php</t>
  </si>
  <si>
    <t>53.795984, -1.759398</t>
  </si>
  <si>
    <t>53.835187, -2.219377</t>
  </si>
  <si>
    <t>54.083419, 12.100429</t>
  </si>
  <si>
    <t>54.77525, -1.584852</t>
  </si>
  <si>
    <t>54.90116, -1.450343</t>
  </si>
  <si>
    <t>2015-08-26T00:00:00Z</t>
  </si>
  <si>
    <t>52 found dead' in hold of migrant boat off Libya</t>
  </si>
  <si>
    <t>54.906869, -1.383801</t>
  </si>
  <si>
    <t>54.977732, -1.604519</t>
  </si>
  <si>
    <t>54.978133, 25.762997</t>
  </si>
  <si>
    <t>54.978252, -1.61778</t>
  </si>
  <si>
    <t>54.986843, -1.461896</t>
  </si>
  <si>
    <t>2015-08-24T00:00:00Z</t>
  </si>
  <si>
    <t>54.999424, -1.427406</t>
  </si>
  <si>
    <t>Turkey's coast guard recovered three bodies and rescued 73 refugees from Syria and Afghanistan after a fishing boat that would have taken them to Lesbos capsized about off Turkey's Aegean coast at Canakkale, Turkey's state-run Anadolu Agency reported.</t>
  </si>
  <si>
    <t>http://www.aa.com.tr/tr/s/580137--ege-denizinde-kacaklari-tasiyan-tekne-batti</t>
  </si>
  <si>
    <t>55.201389, 11.401944</t>
  </si>
  <si>
    <t>55.378051, -3.435973</t>
  </si>
  <si>
    <t>55.38, -3.44</t>
  </si>
  <si>
    <t>Greece's coast guard recovered the bodies of two men, rescued six people and was searching for at least five more missing off the coast of the eastern Aegean island of Lesbos</t>
  </si>
  <si>
    <t>55.37, -3.45</t>
  </si>
  <si>
    <t>http://bigstory.ap.org/article/9b67577e90904ca495bff7c28d29ebd6/migrant-boat-capsizes-greek-island-1-dead-6-rescued#</t>
  </si>
  <si>
    <t>55.36, -3.43</t>
  </si>
  <si>
    <t>55.57156, -4.410332</t>
  </si>
  <si>
    <t>55.57, -4.42</t>
  </si>
  <si>
    <t>55.58, -4.41</t>
  </si>
  <si>
    <t>2015-08-16T00:00:00Z</t>
  </si>
  <si>
    <t>55.676097, 12.568337</t>
  </si>
  <si>
    <t>Red Cross found a 16 year old Syrian dead on a boat in Kos</t>
  </si>
  <si>
    <t>Croix Rouge</t>
  </si>
  <si>
    <t>55.864237, -4.251806</t>
  </si>
  <si>
    <t>http://www.h24info.ma/monde/international/sur-lile-de-kos-la-situation-toujours-explosive-malgre-les-mesures-prises/35588#ad-image-0</t>
  </si>
  <si>
    <t>55.899608, -4.360736</t>
  </si>
  <si>
    <t>55.982071, -3.728159</t>
  </si>
  <si>
    <t>56.067227, 12.230939</t>
  </si>
  <si>
    <t>2015-08-19T00:00:00Z</t>
  </si>
  <si>
    <t>56.26392, 9.501785</t>
  </si>
  <si>
    <t>Greece's coast guard rescued hundreds of migrants in more than a dozen search-and-rescue operations, including one in which a toddler found unconscious in an overcrowded dinghy died</t>
  </si>
  <si>
    <t>56.490671, -4.202646</t>
  </si>
  <si>
    <t>http://www.usnews.com/news/world/articles/2015/08/19/greek-coast-guard-rescues-hundreds-off-aegean-islands</t>
  </si>
  <si>
    <t>56.89921, 14.556001</t>
  </si>
  <si>
    <t>57.10269, 8.624268</t>
  </si>
  <si>
    <t>57.782614, 14.161788</t>
  </si>
  <si>
    <t>59.32893, 18.06491</t>
  </si>
  <si>
    <t>2015-08-18T00:00:00Z</t>
  </si>
  <si>
    <t>59.34, 18.06</t>
  </si>
  <si>
    <t>A boat overloaded with 31 Syrians sank on Tuesday, and six, including an infant, drowned.</t>
  </si>
  <si>
    <t>59.729407, 13.235402</t>
  </si>
  <si>
    <t>http://uk.reuters.com/article/2015/08/19/uk-europe-migrants-turkey-syria-idUKKCN0QO1AQ20150819</t>
  </si>
  <si>
    <t>59.858564, 17.638927</t>
  </si>
  <si>
    <t>60.128161, 18.643501</t>
  </si>
  <si>
    <t>60.128, 18.64</t>
  </si>
  <si>
    <t>60.13, 18.65</t>
  </si>
  <si>
    <t>Rescuers found one migrant dead and saved 354 on a fishing boat in rough seas</t>
  </si>
  <si>
    <t>Near the southern shores of Italy</t>
  </si>
  <si>
    <t>60.171536, 18.185188</t>
  </si>
  <si>
    <t>http://uk.reuters.com/article/2015/08/17/uk-europe-migrants-idUKKCN0QM1KT20150817</t>
  </si>
  <si>
    <t>60.472024, 8.468946</t>
  </si>
  <si>
    <t>60.67488, 17.141273</t>
  </si>
  <si>
    <t>61.52401, 105.318756</t>
  </si>
  <si>
    <t>2015-08-15T00:00:00Z</t>
  </si>
  <si>
    <t>49 people were found dead, probably from suffocation, on an overcrowded fishing boat.</t>
  </si>
  <si>
    <t>near Catania (Italy)</t>
  </si>
  <si>
    <t>63.430515, 10.395053</t>
  </si>
  <si>
    <t>http://www.reuters.com/article/2015/08/16/us-europe-migrants-italy-idUSKCN0QL0JG20150816</t>
  </si>
  <si>
    <t>7.369722, 12.354722</t>
  </si>
  <si>
    <t>7.946527, -1.023194</t>
  </si>
  <si>
    <t>9.224, -13.538</t>
  </si>
  <si>
    <t>2015-08-11T00:00:00Z</t>
  </si>
  <si>
    <t>A Senegalese man plunged to his death during a police raid</t>
  </si>
  <si>
    <t>Salou</t>
  </si>
  <si>
    <t>Libération</t>
  </si>
  <si>
    <t>http://www.liberation.fr/monde/2015/08/11/en-espagne-une-ville-en-etat-de-siege-apres-la-mort-d-un-senegalais_1362048</t>
  </si>
  <si>
    <t>2015-08-06T00:00:00Z</t>
  </si>
  <si>
    <t>A boat capsized off the coast of Libya. Between 600 and 700 were onboard. Only around 400 were rescued and 25 bodies were found</t>
  </si>
  <si>
    <t>North of Zouara (Libya)</t>
  </si>
  <si>
    <t>http://www.lemonde.fr/europe/article/2015/08/06/200-migrants-en-provenance-de-libye-toujours-portes-disparus-en-mediterranee_4714311_3214.html</t>
  </si>
  <si>
    <t>2015-08-03T00:00:00Z</t>
  </si>
  <si>
    <t>A 27 year old Moroccan has been found axphyxiated in a luggage on a ferry between Mellila and Almeria</t>
  </si>
  <si>
    <t>between Mellila and Almeria</t>
  </si>
  <si>
    <t>http://www.lemonde.fr/europe/article/2015/08/03/en-espagne-un-migrant-meurt-asphyxie-dans-une-valise-quatre-autres-se-noient-en-mediterranee_4709892_3214.html</t>
  </si>
  <si>
    <t>2015-08-02T00:00:00Z</t>
  </si>
  <si>
    <t>4 men have been found dead at sea, trying to get to Ceuta</t>
  </si>
  <si>
    <t>near Ceuta</t>
  </si>
  <si>
    <t>About 1,800 migrants have been rescued from seven overcrowded vessels in the Mediterranean, while five corpses were found on a rubber boat carrying 212 others, according to the Italian coastguard.
The bodies were found on board at the time of the rescue, a coastguard spokeswoman said on Sunday. The cause of death was not yet known.</t>
  </si>
  <si>
    <t>The Guardian</t>
  </si>
  <si>
    <t>http://www.theguardian.com/world/2015/aug/02/italian-coastguard-rescues-1800-migrants</t>
  </si>
  <si>
    <t>2015-07-07T00:00:00Z</t>
  </si>
  <si>
    <t>2015 -- 7</t>
  </si>
  <si>
    <t>One migrant fall from a train and broke his neck.</t>
  </si>
  <si>
    <t>http://www.lavoixdunord.fr/region/intrusion-de-pres-de-500-migrants-dans-le-site-du-ia33b48581n2932235</t>
  </si>
  <si>
    <t>COD CartoDB</t>
  </si>
  <si>
    <t>2015-07-13T00:00:00Z</t>
  </si>
  <si>
    <t>Routes</t>
  </si>
  <si>
    <t>One migrant died falling from a truck.</t>
  </si>
  <si>
    <t>Between Budapest and Vienna</t>
  </si>
  <si>
    <t>Index.hu</t>
  </si>
  <si>
    <t>http://www.hu-lala.org/un-migrant-trouve-la-mort-dans-le-sud-de-la-hongrie/</t>
  </si>
  <si>
    <t>Apulia and Calabria route</t>
  </si>
  <si>
    <t>Eastern Borders route</t>
  </si>
  <si>
    <t>Circular route from Greece and Albania</t>
  </si>
  <si>
    <t>2015-07-15T00:00:00Z</t>
  </si>
  <si>
    <t>One migrant died trying to escape from a police control.</t>
  </si>
  <si>
    <t>Röszke</t>
  </si>
  <si>
    <t>2015-07-01T00:00:00Z</t>
  </si>
  <si>
    <t>A migrant died while being evacuated from a squat</t>
  </si>
  <si>
    <t>Tanger</t>
  </si>
  <si>
    <t>http://www.lorientlejour.com/article/932429/maroc-un-migrant-tue-en-marge-dune-operation-devacuation-de-squats-a-tanger-autorites.html</t>
  </si>
  <si>
    <t>2015-07-09T00:00:00Z</t>
  </si>
  <si>
    <t>12 migrants drowned in the sea and 500 saved near Lampedusa</t>
  </si>
  <si>
    <t>France Info</t>
  </si>
  <si>
    <t>http://www.francetvinfo.fr/monde/europe/naufrage-a-lampedusa/douze-migrants-sont-morts-noyes-en-mediterranee-500-autres-ont-ete-secourus_991383.html</t>
  </si>
  <si>
    <t>A ship sunk between Turkey and Greece. 20 people got saved, 15 are missing, 1 dead.</t>
  </si>
  <si>
    <t>http://www.lemonde.fr/immigration-et-diversite/article/2015/07/07/naufrage-d-un-bateau-de-migrants-entre-la-turquie-et-la-grece_4674062_1654200.html</t>
  </si>
  <si>
    <t>2015-07-23T00:00:00Z</t>
  </si>
  <si>
    <t>One migrant drowned while trying to get into the Eurostar Tunnel</t>
  </si>
  <si>
    <t>BFM</t>
  </si>
  <si>
    <t>http://www.bfmtv.com/societe/calais-un-migrant-mort-noye-en-tentant-de-s-introduire-sur-le-site-d-eurotunnel-903263.html</t>
  </si>
  <si>
    <t>2015-07-20T00:00:00Z</t>
  </si>
  <si>
    <t>One migrant burned while trying to get into the Eurostar tunnel</t>
  </si>
  <si>
    <t>Le Parisien</t>
  </si>
  <si>
    <t>http://www.leparisien.fr/faits-divers/calais-deces-d-un-migrant-brule-dans-le-tunnel-sous-la-manche-20-07-2015-4959303.php</t>
  </si>
  <si>
    <t>2015-07-24T00:00:00Z</t>
  </si>
  <si>
    <t>Teen migrant found dead on the roof of an Eurostar</t>
  </si>
  <si>
    <t>Folkestone</t>
  </si>
  <si>
    <t>The Independant</t>
  </si>
  <si>
    <t>http://www.independent.co.uk/news/uk/home-news/calais-crisis-teenage-migrant-found-dead-on-top-of-eurotunnel-train-10412548.html</t>
  </si>
  <si>
    <t>Migrant found dead in a Eurostar</t>
  </si>
  <si>
    <t>France 3</t>
  </si>
  <si>
    <t>http://france3-regions.francetvinfo.fr/nord-pas-de-calais/un-migrant-retrouve-mort-au-terminal-britannique-d-eurotunnel-775727.html</t>
  </si>
  <si>
    <t>lack of medical care</t>
  </si>
  <si>
    <t>Diabetic child dies on migrant boat after traffickers throw her insulin overboard</t>
  </si>
  <si>
    <t>Between Egypt and Sicily</t>
  </si>
  <si>
    <t>http://www.independent.co.uk/news/world/europe/mediterranean-migrant-crisis-diabetic-child-dies-on-migrant-boat-after-traffickers-throw-her-insulin-overboard-10402029.html</t>
  </si>
  <si>
    <t>The migrants fell into the water and most were rescued by a commercial boat and then by a German navy ship, the Holstein, which brought a total of 283 people to safety.One 22-year-old Ghanaian cited by the newspaper claimed that some 30 of his fellow travellers had died.</t>
  </si>
  <si>
    <t>Between Italy and Libya</t>
  </si>
  <si>
    <t>Dispatch times</t>
  </si>
  <si>
    <t>http://www.dispatchtimes.com/italian-coast-guard-rescues-414-boat-migrants-including-4-newborns/19661/</t>
  </si>
  <si>
    <t>2015-07-28T00:00:00Z</t>
  </si>
  <si>
    <t>Fourteen migrant bodies recovered in the continuing exodus from north Africa</t>
  </si>
  <si>
    <t>80 kilometres north-west of the Libyan capital Tripoli.</t>
  </si>
  <si>
    <t>http://www.euronews.com/2015/07/28/fourteen-migrant-bodies-recovered-in-the-continuing-exodus-from-north-africa/</t>
  </si>
  <si>
    <t>run over by a truck</t>
  </si>
  <si>
    <t>2015-07-29T00:00:00Z</t>
  </si>
  <si>
    <t xml:space="preserve">A migrant got run over by a truck in the Eurotunnel </t>
  </si>
  <si>
    <t>20 Minutes</t>
  </si>
  <si>
    <t>http://www.20minutes.fr/monde/1659567-20150729-mort-migrant-calais-passe-site-eurotunnel</t>
  </si>
  <si>
    <t>A migrant got electrocuted while trying to get on the top of a train going to the UK</t>
  </si>
  <si>
    <t>http://www.franceinfo.fr/actu/societe/article/un-jeune-migrant-electrocute-sur-le-toit-d-un-eurostar-710689</t>
  </si>
  <si>
    <t>2015-06-16T00:00:00Z</t>
  </si>
  <si>
    <t>2Q2015</t>
  </si>
  <si>
    <t>2015 -- 6</t>
  </si>
  <si>
    <t>Bodys in an advanced state of decomposition were found in the Sahara</t>
  </si>
  <si>
    <t>Dirkou</t>
  </si>
  <si>
    <t>19.0086</t>
  </si>
  <si>
    <t>12.88579</t>
  </si>
  <si>
    <t>https://www.iom.int/fr/news/loim-evoque-la-decouverte-de-nouvelles-victimes-dans-le-sahara-parmi-les-migrants-en-route-pour</t>
  </si>
  <si>
    <t>2015-06-23T00:00:00Z</t>
  </si>
  <si>
    <t>One migrant was shot during the crossing of the Mediterrannean sea</t>
  </si>
  <si>
    <t>http://www.leparisien.fr/international/migrants-2-500-personnes-secourues-par-l-italie-un-mort-et-un-blesse-par-balles-23-06-2015-4885539.php</t>
  </si>
  <si>
    <t>exhaustion</t>
  </si>
  <si>
    <t>2015-06-24T00:00:00Z</t>
  </si>
  <si>
    <t>17 men and 1 woman were found in the desert, shortly after they left Arlit for Algeria</t>
  </si>
  <si>
    <t>near Arlit, Niger</t>
  </si>
  <si>
    <t>L'Opinion (MA)</t>
  </si>
  <si>
    <t>http://www.lopinion.ma/def.asp?codelangue=23&amp;id_info=46636&amp;date_ar=2015-6-24%2014:37:00</t>
  </si>
  <si>
    <t>2015-06-29T00:00:00Z</t>
  </si>
  <si>
    <t>On the night of the 29th June Zebiba a 23 year old women from Eritrea was found dead on the side of the A16 between Calais and Marck.</t>
  </si>
  <si>
    <t>Between Calais and Marck</t>
  </si>
  <si>
    <t>DailyMail</t>
  </si>
  <si>
    <t>http://www.dailymail.co.uk/news/article-3173971/The-migrant-express-Stowaways-leap-aboard-UK-bound-freight-trains-sneak-Channel-Tunnel-amid-Calais-chaos.html</t>
  </si>
  <si>
    <t>2015-06-15T00:00:00Z</t>
  </si>
  <si>
    <t>A rubber boat capsized during a rescue operation. 3 men died.</t>
  </si>
  <si>
    <t>Central Med</t>
  </si>
  <si>
    <t>http://www.msf.org.uk/article/migrants-saddened-by-loss-of-life-during-rescue</t>
  </si>
  <si>
    <t>died from dehydration</t>
  </si>
  <si>
    <t>2015-06-14T00:00:00Z</t>
  </si>
  <si>
    <t>A pickup truck got lost in the desert outside of Arlit, Niger</t>
  </si>
  <si>
    <t>Off Arlit, Niger</t>
  </si>
  <si>
    <t>http://news.yahoo.com/18-migrants-found-dead-nigers-desert-iom-says-140938318.html</t>
  </si>
  <si>
    <t>2015-06-01T00:00:00Z</t>
  </si>
  <si>
    <t>A 20 years old guy hitted by a car while crossing the highway</t>
  </si>
  <si>
    <t>1 migrant die while crossing the highway</t>
  </si>
  <si>
    <t>http://www.lavoixdunord.fr/region/coquelles-un-migrant-tue-en-traversant-l-a16-la-nuit-ia33b48583n2859280</t>
  </si>
  <si>
    <t>2015-05-31T00:00:00Z</t>
  </si>
  <si>
    <t>2015 -- 5</t>
  </si>
  <si>
    <t>17 bodies were found on three inflatable dinghies, from which more than 300 other migrants were rescued alive</t>
  </si>
  <si>
    <t>17 bodies found on three inflatable dinghies</t>
  </si>
  <si>
    <t>http://www.businessinsider.com/afp-4200-migrants-rescued-in-med-friday-17-dead-coastguard-2015-5#ixzz3buespTga</t>
  </si>
  <si>
    <t>2015-05-29T00:00:00Z</t>
  </si>
  <si>
    <t xml:space="preserve">The Italian navy found 11 dead migrants on boats headed across the Mediterranean to Europe </t>
  </si>
  <si>
    <t>Italian navy finds 11 dead migrants</t>
  </si>
  <si>
    <t>http://news.yahoo.com/italian-navy-finds-11-dead-migrants-rescues-hundreds-160013554.html</t>
  </si>
  <si>
    <t>2015-05-25T00:00:00Z</t>
  </si>
  <si>
    <t>Five African migrants drowned in the Mediterranean after jumping from their boat which was intercepted by the Egyptian coastguard, reported security officials.</t>
  </si>
  <si>
    <t>Off Egypt</t>
  </si>
  <si>
    <t>5 migrants drowned in Mediterranean</t>
  </si>
  <si>
    <t>Le Figaro</t>
  </si>
  <si>
    <t>http://www.lefigaro.fr/flash-actu/2015/05/25/97001-20150525FILWWW00083-cinq-migrants-noyes-en-mediterranee.php</t>
  </si>
  <si>
    <t>2015-05-23T00:00:00Z</t>
  </si>
  <si>
    <t>The bodies of five Tunisian migrants trying to reach the Italian island of Lampedusa were recovered off Tunisia</t>
  </si>
  <si>
    <t>Off Téboulba</t>
  </si>
  <si>
    <t>5 Tunisian migrants died trying to reach the Italian island Lampedusa</t>
  </si>
  <si>
    <t>http://www.lefigaro.fr/flash-actu/2015/05/23/97001-20150523FILWWW00055-cinq-migrants-morts-en-mer-49-secourus.php</t>
  </si>
  <si>
    <t>2015-05-12T00:00:00Z</t>
  </si>
  <si>
    <t>A youg afghan has been found dead in a truck</t>
  </si>
  <si>
    <t>Genas, France</t>
  </si>
  <si>
    <t>Lyon Capitale</t>
  </si>
  <si>
    <t>http://www.lyoncapitale.fr/Journal/Lyon/Actualite/Actualites/Accident/Un-jeune-migrant-afghan-retrouve-mort-a-Genas</t>
  </si>
  <si>
    <t>2015-05-05T00:00:00Z</t>
  </si>
  <si>
    <t>a young Kurdish man convicted of smuggling hung himself in his cell the night after the trial</t>
  </si>
  <si>
    <t>Longuenesse</t>
  </si>
  <si>
    <t>20 minutes</t>
  </si>
  <si>
    <t>http://www.20minutes.fr/lille/1602395-20150506-nord-passeur-kurde-ecroue-retrouve-mort-cellule</t>
  </si>
  <si>
    <t xml:space="preserve">The Save the Children aid group said on Tuesday rescued migrants disembarking in Sicily had told its personnel there that around 40 of their fellow travelers had drowned during the journey.        </t>
  </si>
  <si>
    <t xml:space="preserve">Sicily (strait of)        </t>
  </si>
  <si>
    <t>40 Migrants Reported Dead After Dinghy Burst at Sea on May 5 2015</t>
  </si>
  <si>
    <t>The wall street journal</t>
  </si>
  <si>
    <t>http://www.wsj.com/articles/40-migrants-reported-dead-after-dinghy-burst-at-sea-1430828951</t>
  </si>
  <si>
    <t>2015-05-03T00:00:00Z</t>
  </si>
  <si>
    <t xml:space="preserve">Hundreds of migrants were rescued from at least 16 boats off Libya's coast Sunday, but at least 10 bodies were recovered in the rescue operations involving the Italian Coast Guard.        </t>
  </si>
  <si>
    <t>Hundreds of migrants rescued and 10 dead in sea off Libya, 3 May 2015</t>
  </si>
  <si>
    <t>usatoday</t>
  </si>
  <si>
    <t>http://www.usatoday.com/story/news/world/2015/05/03/italy-coast-guard-rescue-migrants-sea/26824999/</t>
  </si>
  <si>
    <t>2015-05-02T00:00:00Z</t>
  </si>
  <si>
    <t xml:space="preserve">Three people were killed Saturday when a boat carrying migrants sunk off the coast of Beheira governorate’s Edku city.        </t>
  </si>
  <si>
    <t xml:space="preserve">Off Egypt, (Idku)       </t>
  </si>
  <si>
    <t>3 people die after boat sinks, 2 May 2015</t>
  </si>
  <si>
    <t>dailynewsegypt</t>
  </si>
  <si>
    <t>http://www.dailynewsegypt.com/2015/05/03/3-illegal-immigrants-die-after-boat-sinks/</t>
  </si>
  <si>
    <t>2015-04-24T00:00:00Z</t>
  </si>
  <si>
    <t>2015 -- 4</t>
  </si>
  <si>
    <t>Fourteen migrants were killed when they were struck by a train in a narrow gorge in Macedonia late on Thursday, part of a growing tide of people trying to get to western Europe via the Balkans instead of crossing the treacherous Mediterranean.</t>
  </si>
  <si>
    <t>Veles, macedonia</t>
  </si>
  <si>
    <t>Fourteen migrants were killed when they were struck by a train on April 24, 2015</t>
  </si>
  <si>
    <t>http://www.reuters.com/article/2015/04/24/us-macedonia-migrants-idUSKBN0NF0JD20150424</t>
  </si>
  <si>
    <t>run over by a bus</t>
  </si>
  <si>
    <t>2015-04-22T00:00:00Z</t>
  </si>
  <si>
    <t xml:space="preserve">The incident took place on Tuesday night on a ferry linking Igoumenitsa in northwest Greece with Bari across the Adriatic Sea in southeast Italy, Ana said. As the bus drove onto the ferry ramp, the 21-year-old migrant was struck and fatally injured by the axle.        </t>
  </si>
  <si>
    <t>Igoumenítsa, Nome de Thesprotie, Greece</t>
  </si>
  <si>
    <t>Migrant dies in Greece after hiding in bus undercarriage on April 22, 2015</t>
  </si>
  <si>
    <t>thelocal.it</t>
  </si>
  <si>
    <t>http://www.thelocal.it/20150423/migrant-dies-trying-to-smuggle-onto-car-ferry-to-italy</t>
  </si>
  <si>
    <t>2015-04-20T00:00:00Z</t>
  </si>
  <si>
    <t>2 Boats Carrying 400 People Send Distress Calls</t>
  </si>
  <si>
    <t>ABCnews</t>
  </si>
  <si>
    <t>http://abcnews.go.com/International/wireStory/eu-beef-border-agency-confront-migrant-influx-30439077</t>
  </si>
  <si>
    <t>The boat hit a reef at Zephyros beach in Rhodes and the migrants started to flee to the shore, jumping into the sea, withor help. According to preliminary information released by the authorities, the boat sailed from the coast of Turkey. The smuggler abandoned the migrants in the middle of the sea, however, they still managed to reach Rhodes.</t>
  </si>
  <si>
    <t>Rhodes, Greece</t>
  </si>
  <si>
    <t>200 Migrants Leaves 3 Dead in Rhodes on April 20, 2015</t>
  </si>
  <si>
    <t>greekreporter</t>
  </si>
  <si>
    <t>http://greece.greekreporter.com/2015/04/20/tragedy-with-200-migrants-leaves-3-dead-in-rhodes/</t>
  </si>
  <si>
    <t>2015-04-19T02:00:00Z</t>
  </si>
  <si>
    <t>800 migrants feared dead in Mediterranean shipwreck</t>
  </si>
  <si>
    <t>about 60 miles (96km) off the Libyan coast and 120 miles (193km) south of the Italian island of Lampedusa.</t>
  </si>
  <si>
    <t>700 migrants feared dead in Mediterranean shipwreck on April 19, 2015</t>
  </si>
  <si>
    <t>http://www.theguardian.com/world/2015/apr/19/700-migrants-feared-dead-mediterranean-shipwreck-worst-yet</t>
  </si>
  <si>
    <t>2015-04-17T00:00:00Z</t>
  </si>
  <si>
    <t>Just under 70 migrants, many suffering from severe burns, were picked up by Italian coastguards in the Mediterranean sea between northern Libya and Italy on Friday, after spending two days stranded on a half-inflated dinghy. One 25-year old woman died during the journey.</t>
  </si>
  <si>
    <t>Between northern Libya and Italy</t>
  </si>
  <si>
    <t>Severely burnt migrants found stranded in the Mediterranean on April 17, 2015</t>
  </si>
  <si>
    <t>https://ruptly.tv/vod/view/27158/italy-severely-burnt-migrants-found-stranded-in-the-mediterranean-graphic</t>
  </si>
  <si>
    <t>2015-04-16T00:00:00Z</t>
  </si>
  <si>
    <t>Between LY and Trapani</t>
  </si>
  <si>
    <t>41 feared dead on April 16 2015</t>
  </si>
  <si>
    <t>Central Mediterranean Route</t>
  </si>
  <si>
    <t>2015-04-14T00:00:00Z</t>
  </si>
  <si>
    <t>Between LY and Sicily</t>
  </si>
  <si>
    <t>12 thrown overboard on April 14</t>
  </si>
  <si>
    <t>2015-04-13T02:00:00Z</t>
  </si>
  <si>
    <t>About 400 migrants are feared died in an attempt to reach Italy from Libya when their boat capsized, survivors said.</t>
  </si>
  <si>
    <t>Off Libya (24 hours after departure)</t>
  </si>
  <si>
    <t>Ship capsizes off Libya on Apr 15 2015</t>
  </si>
  <si>
    <t>2015-04-12T00:00:00Z</t>
  </si>
  <si>
    <t>9 dead in shipwreck off Libya on Apr 12 2015</t>
  </si>
  <si>
    <t>2015-04-11T00:00:00Z</t>
  </si>
  <si>
    <t>Migrants were picked up by three merchant vessels and an Italian navy ship. In all 978 people were rescued, one person had died before help arrived.</t>
  </si>
  <si>
    <t>One dead on April 11, 2015</t>
  </si>
  <si>
    <t>Times of Malta</t>
  </si>
  <si>
    <t>2015-04-10T00:00:00Z</t>
  </si>
  <si>
    <t>A ship carrying 200 migrants capsized near Egypt's Mediterranean coast.</t>
  </si>
  <si>
    <t>off Borg Borolos, Kafr al-Sheikh</t>
  </si>
  <si>
    <t>Shipwreck off Kafr al-Sheikh on April 10, 2015</t>
  </si>
  <si>
    <t>MadaMasr</t>
  </si>
  <si>
    <t>2015-04-07T00:00:00Z</t>
  </si>
  <si>
    <t>Seven persons were found dead while another nine were rescued by members of the Turkish coast guard, after they were spotted east of the Greek island Symi, near Rhodes.</t>
  </si>
  <si>
    <t>East of Symi</t>
  </si>
  <si>
    <t>7 dead in Symi on Apr 7 2015</t>
  </si>
  <si>
    <t>Greek Reporter</t>
  </si>
  <si>
    <t>2015-03-17T00:00:00Z</t>
  </si>
  <si>
    <t>1Q2015</t>
  </si>
  <si>
    <t>2015 -- 3</t>
  </si>
  <si>
    <t>At least five people were killed when a boat carrying migrants sank near the southwestern province of Muƒüla early on March 17.</t>
  </si>
  <si>
    <t>Off Kos</t>
  </si>
  <si>
    <t>5 die on March 17, 2015</t>
  </si>
  <si>
    <t>H√ºrriyet</t>
  </si>
  <si>
    <t>2015-03-09T00:00:00Z</t>
  </si>
  <si>
    <t>Four dead and 8 missing on a 30-person boat.</t>
  </si>
  <si>
    <t>Off Lanzarote</t>
  </si>
  <si>
    <t>4 dead off the Canary Islands on March 9, 2015</t>
  </si>
  <si>
    <t>El Mundo</t>
  </si>
  <si>
    <t>2015-03-04T00:00:00Z</t>
  </si>
  <si>
    <t xml:space="preserve"> A boat transporting migrants has capsized off Sicily, killing at least ten people.</t>
  </si>
  <si>
    <t>off Sicily</t>
  </si>
  <si>
    <t>50 dead on March 4, 2015</t>
  </si>
  <si>
    <t>2015-02-26T00:00:00Z</t>
  </si>
  <si>
    <t>2015 -- 2</t>
  </si>
  <si>
    <t>Two men jump ship as they are being deported from the UK to Belgium.</t>
  </si>
  <si>
    <t>500m off Harwich</t>
  </si>
  <si>
    <t>2 Albanians jump ship on Feb 26, 2015</t>
  </si>
  <si>
    <t>East Anglian Daily Times</t>
  </si>
  <si>
    <t>2015-02-13T00:00:00Z</t>
  </si>
  <si>
    <t>untreated diabetes</t>
  </si>
  <si>
    <t>Thessaloniki police station</t>
  </si>
  <si>
    <t>Migrants commits suicide at Thessaloniki police station</t>
  </si>
  <si>
    <t>Socialist Worker</t>
  </si>
  <si>
    <t>2015-02-10T00:00:00Z</t>
  </si>
  <si>
    <t>300 migrants and refugees are thought to be dead by UN agencies based on survivors' testimonies.</t>
  </si>
  <si>
    <t>300 die in stormy sea in early February 2015</t>
  </si>
  <si>
    <t>NYT</t>
  </si>
  <si>
    <t>HIV after being denied treatment</t>
  </si>
  <si>
    <t>Death of Sayed Mehdi Achmpari</t>
  </si>
  <si>
    <t>2015-02-09T00:00:00Z</t>
  </si>
  <si>
    <t>More than 20 died of hypothermia. Another 15 in critical condition.</t>
  </si>
  <si>
    <t>Off Lampedusa</t>
  </si>
  <si>
    <t>29 die of hypothermia off Lampedusa on 9 February 2015</t>
  </si>
  <si>
    <t>adnkronos.com, Reuters</t>
  </si>
  <si>
    <t>2015-01-30T00:00:00Z</t>
  </si>
  <si>
    <t>2015 -- 1</t>
  </si>
  <si>
    <t>A boat carrying illegal migrants sank off the Mediterranean shore near the Spanish enclave of Melillla.</t>
  </si>
  <si>
    <t>Boukana beach, near Nador</t>
  </si>
  <si>
    <t>8 dead off Morocco on 30 January 2015</t>
  </si>
  <si>
    <t>Western Mediterranean Route</t>
  </si>
  <si>
    <t>drowned or thirst</t>
  </si>
  <si>
    <t>2015-01-22T00:00:00Z</t>
  </si>
  <si>
    <t>A Maltese patrol boat rescued about 80 migrants, who claimed 20 had died since leaving from Tripoli. A man died in a Maltese hospital after disembarking.</t>
  </si>
  <si>
    <t>Off Malta</t>
  </si>
  <si>
    <t>20 missing off Malta on 22 January 2015</t>
  </si>
  <si>
    <t>2015-01-20T00:00:00Z</t>
  </si>
  <si>
    <t>A people smuggler was carrying 12 Nigerien illegal immigrants from Tarhuna to Tripoli when a military patrol pursued his vehicle. During the pursuit, two military vehicles hit the smuggler's car, causing a tragic accident, in which the smugglers, the 12 immigrants and four troops were killed.</t>
  </si>
  <si>
    <t>Between Tarhuna and Tripoli</t>
  </si>
  <si>
    <t>12 killed in car chase in Libya on 20 January 2014</t>
  </si>
  <si>
    <t>Anadolu Agency</t>
  </si>
  <si>
    <t>2015-01-05T00:00:00Z</t>
  </si>
  <si>
    <t>A patera capsized. Refugees and migrants from another boat were able to rescue six people.</t>
  </si>
  <si>
    <t>80km off the Algerian coast</t>
  </si>
  <si>
    <t>5 dead off Murcia on Jan 5 2015</t>
  </si>
  <si>
    <t>El Periodico</t>
  </si>
  <si>
    <t>2014-09-30T00:00:00Z</t>
  </si>
  <si>
    <t>3Q2014</t>
  </si>
  <si>
    <t>2014 -- 9</t>
  </si>
  <si>
    <t>26-year-old Palestinian, Wael Adeeb Shahwan left the Gaza Strip for Alexandria, smuggled through the tunnels and on the high seas. One night around 20 September, Wael was smuggled onto a boat near Alexandria. The smugglers had stolen everyone's bags and mobile phones, meaning Wael - a diabetic - did not have his insulin.</t>
  </si>
  <si>
    <t>Off the Egyptian coast</t>
  </si>
  <si>
    <t>Death of a diabetic on a raft in September 2014</t>
  </si>
  <si>
    <t>SZ</t>
  </si>
  <si>
    <t>2014-09-29T00:00:00Z</t>
  </si>
  <si>
    <t>Two boats carrying migrants to Europe capsize near Tripoli</t>
  </si>
  <si>
    <t>Off Tripoli</t>
  </si>
  <si>
    <t>Event off Libya on Sep 29, 2014</t>
  </si>
  <si>
    <t>2014-09-22T00:00:00Z</t>
  </si>
  <si>
    <t>The overcrowded boat was attempting the crossing from North Africa to Italy.</t>
  </si>
  <si>
    <t>50km off the Libyan coast</t>
  </si>
  <si>
    <t>45 die in shipwreck on September 22, 2014</t>
  </si>
  <si>
    <t>2014-09-15T00:00:00Z</t>
  </si>
  <si>
    <t>102 migrants were rescued off Al-Qarbuli.</t>
  </si>
  <si>
    <t>Off Al-Qarbuli</t>
  </si>
  <si>
    <t>6 dead off Al-Qarbuli on September 15, 2014</t>
  </si>
  <si>
    <t>2014-09-14T00:00:00Z</t>
  </si>
  <si>
    <t>A boat capsized a few miles off the Libyan coast. 26 were rescued by the Libyan Navy.</t>
  </si>
  <si>
    <t>near Tajoura</t>
  </si>
  <si>
    <t>200 die in shipwreck on September 14, 2014</t>
  </si>
  <si>
    <t>Libyan Navy, AJE</t>
  </si>
  <si>
    <t>2014-09-13T00:00:00Z</t>
  </si>
  <si>
    <t>Fifteen migrants from Gaza died on Saturday after a boat they were riding in capsized. The boat had been wrecked after hitting a rock off the coast soon after departing from shore.</t>
  </si>
  <si>
    <t>off the coast of al-Ajami</t>
  </si>
  <si>
    <t>15 Palestinian migrants dead after boat capsizes off Egypt coast on September 13, 2014</t>
  </si>
  <si>
    <t>Ma'an</t>
  </si>
  <si>
    <t>2014-09-12T00:00:00Z</t>
  </si>
  <si>
    <t>A merchant ship rescued two migrants, who said a total of 30 had been on board. Later interviews put the figure at 500. They also added that the smugglers purposefully sunk the boat.</t>
  </si>
  <si>
    <t>300mi SE of Malta</t>
  </si>
  <si>
    <t>Shipwreck off Malta on September 12, 2014</t>
  </si>
  <si>
    <t>AP, IOM</t>
  </si>
  <si>
    <t>two migrants drowned and six more were rescued when their boat sank in the Mediterranean Sea near Malta</t>
  </si>
  <si>
    <t>Event off Malta on 12.09.14</t>
  </si>
  <si>
    <t>2014-09-10T00:00:00Z</t>
  </si>
  <si>
    <t>more than 160 African migrants were feared dead after an overloaded boat heading for Italy capsized off the coast of Libya, Libyan officials recovered dozens of bodies, 36 are rescued</t>
  </si>
  <si>
    <t>Event off Libya</t>
  </si>
  <si>
    <t>2014-08-31T00:00:00Z</t>
  </si>
  <si>
    <t>2014 -- 8</t>
  </si>
  <si>
    <t>Libyan coastguards found 15 bodies of sub-Saharan African migrants floating in the sea near a ripped inflatable boat</t>
  </si>
  <si>
    <t>Event off Libya on Aug 31, 2014</t>
  </si>
  <si>
    <t>The coast guard found the damaged rubber boat off the shores of al-Qarbouli, 50 kilometers (30 miles) east of Tripoli. The coast guard has estimated the boat carried at least 100 people.</t>
  </si>
  <si>
    <t>Off Al Garbouli</t>
  </si>
  <si>
    <t>Boat capsizes off Al Garbouli on August 31 2014</t>
  </si>
  <si>
    <t>2014-08-30T00:00:00Z</t>
  </si>
  <si>
    <t>The Tunisian coast guard recovered the bodies of 36 migrants who drowned when their boat sank in the Mediterranean near the maritime border with Libya</t>
  </si>
  <si>
    <t>Off Tunisia</t>
  </si>
  <si>
    <t>Event off Tunisia</t>
  </si>
  <si>
    <t>2014-08-29T00:00:00Z</t>
  </si>
  <si>
    <t>A boat capsized off Zuwara. No other information is available, except that bodies have been washed ashore in nearby Tunisia and that many more have been sighted at sea.</t>
  </si>
  <si>
    <t>Off Zuwara, Libya</t>
  </si>
  <si>
    <t>Boat capsizes off Zuwara on August 20, 2014</t>
  </si>
  <si>
    <t>2014-08-27T00:00:00Z</t>
  </si>
  <si>
    <t>Vluchtgarage center, Amsterdam</t>
  </si>
  <si>
    <t>Death of Nassir Guuleed in Amsterdam in August 2014</t>
  </si>
  <si>
    <t>Volkskrant</t>
  </si>
  <si>
    <t>2014-08-24T00:00:00Z</t>
  </si>
  <si>
    <t>A fishing boat carrying roughly 400 people capsized north of the Libyan coast in bad weather conditions. The Italian navy and coastguard, in a joint operation with a nearby merchant ship, rescued 364 people. 24 bodies have been recovered and more are feared dead.</t>
  </si>
  <si>
    <t>north of the Libyan coast</t>
  </si>
  <si>
    <t>Boat capsizes North of the Libyan coast on 24 August 2014</t>
  </si>
  <si>
    <t>Eighteen people are found dead on an inflatable dinghy floating south of Lampedusa by the Italian navy, 73 are rescued</t>
  </si>
  <si>
    <t>Event off Lampedusa on 24.08.14</t>
  </si>
  <si>
    <t>2014-08-23T00:00:00Z</t>
  </si>
  <si>
    <t>The Italian Navy boat Sirio rescued a boat with 73 migrants and 18 corpses. They were disembarked at Pozzalo.</t>
  </si>
  <si>
    <t>20 miles off the Libyan coast</t>
  </si>
  <si>
    <t>18 found dead on August 23, 2014</t>
  </si>
  <si>
    <t>Italian Navy</t>
  </si>
  <si>
    <t>2014-08-22T00:00:00Z</t>
  </si>
  <si>
    <t>More than 250 migrants may have died when a boat sank a kilometre off the Libyan coast.</t>
  </si>
  <si>
    <t>1 km off the Garbuli, Libya</t>
  </si>
  <si>
    <t>Boat sinks 1 kilometers off Libyan coats on 22 Aug 2014</t>
  </si>
  <si>
    <t>Thomson Reuters</t>
  </si>
  <si>
    <t>Greece's coastguard recovered the body of a migrant who died when a vessel containing at least another 80 people caught fire and sank in the Aegean</t>
  </si>
  <si>
    <t>Off Tilos, Greece</t>
  </si>
  <si>
    <t>Event off Greece on Aug 22, 2014</t>
  </si>
  <si>
    <t>2014-08-21T00:00:00Z</t>
  </si>
  <si>
    <t>An Algerian national died during his deportation. Policemen were present when he died but did not call for help.</t>
  </si>
  <si>
    <t>On the way to Charles de Gaulle airport</t>
  </si>
  <si>
    <t>Death of Abdelhak Goradia</t>
  </si>
  <si>
    <t>Rue89</t>
  </si>
  <si>
    <t>2014-08-14T05:00:00Z</t>
  </si>
  <si>
    <t>One man found dead in container with 35 migrants.</t>
  </si>
  <si>
    <t>Tilbury Docks</t>
  </si>
  <si>
    <t>1 dead in container on Aug 16 2014</t>
  </si>
  <si>
    <t>Sky News</t>
  </si>
  <si>
    <t>2014-08-02T05:00:00Z</t>
  </si>
  <si>
    <t>The Italian navy talked of 2 bodies recovered on its Twitter feed, without giving any further details.</t>
  </si>
  <si>
    <t>Mediterranean - unknown details</t>
  </si>
  <si>
    <t>2 dead recovered on August 3, 2014</t>
  </si>
  <si>
    <t>2014-07-30T00:00:00Z</t>
  </si>
  <si>
    <t>2014 -- 7</t>
  </si>
  <si>
    <t>At least 150 migrants died when their boat sank off Libya's coast, two dozen people survived</t>
  </si>
  <si>
    <t>Event off Libya on Jul 30, 2014</t>
  </si>
  <si>
    <t>Libya Herals</t>
  </si>
  <si>
    <t>2014-07-28T05:00:00Z</t>
  </si>
  <si>
    <t>A makeshift boat sank off the Libyan coast. 22 were rescued by the Libyan navy.</t>
  </si>
  <si>
    <t>100 km east of Tripoli</t>
  </si>
  <si>
    <t>20 die in shipwreck on July 29, 2014</t>
  </si>
  <si>
    <t>2014-07-22T05:00:00Z</t>
  </si>
  <si>
    <t>Ahmed Abdallah, 16, crossed the channel hidden under a bus. When he tried to leave, he was crushed by the bus.</t>
  </si>
  <si>
    <t>Run over by a bus</t>
  </si>
  <si>
    <t>Secours catholique</t>
  </si>
  <si>
    <t>http://passeursdhospitalites.wordpress.com/2014/08/12/encore-un-gosse-mort-a-la-frontiere/</t>
  </si>
  <si>
    <t>2014-07-19T05:00:00Z</t>
  </si>
  <si>
    <t>Survivors told investigators that a fight broke out as persons who were riding in the hold, suffocating from heat and a lack of oxygen, tried to climb on the upper deck. It is understood that the latch to the lower deck was forced shut and a ladder was removed. Conditions soon became unbearable with the intense heat emitted by the engine and the lack of oxygen and those below forced the door open and tried to climb onto the upper deck.</t>
  </si>
  <si>
    <t>Brawl erupts on boat on July 20, 2014</t>
  </si>
  <si>
    <t>ToM, Malta Independent</t>
  </si>
  <si>
    <t>2014-07-19T00:00:00Z</t>
  </si>
  <si>
    <t>migrants are feared to have drowned during transfer to a Danish freighter from the rickety fishing boat</t>
  </si>
  <si>
    <t>Off Libya/Malta</t>
  </si>
  <si>
    <t>Event off Libya on Jul 19, 2014</t>
  </si>
  <si>
    <t>Ansa</t>
  </si>
  <si>
    <t>2014-07-18T05:00:00Z</t>
  </si>
  <si>
    <t>Killed by toxic fumes from the boat's engine.</t>
  </si>
  <si>
    <t>148km from Lampedusa</t>
  </si>
  <si>
    <t>19 suffocate to death on boat on July 19, 2014</t>
  </si>
  <si>
    <t>Central European Route</t>
  </si>
  <si>
    <t>BBC, Al Jazeera</t>
  </si>
  <si>
    <t>crushed</t>
  </si>
  <si>
    <t>2014-07-17T05:00:00Z</t>
  </si>
  <si>
    <t>300 to 400 immigrants were in a boat that was taking in water. An Italian merchant ship that was in the area was requested to assist but 10 people or more, including a baby, died possibly in a stampede during the rescue. They were found dead in the vessel‚Äôs hold.</t>
  </si>
  <si>
    <t>10 die in rescue operation on July 18, 2014</t>
  </si>
  <si>
    <t>2014-07-16T05:00:00Z</t>
  </si>
  <si>
    <t>Libya's navy said it retrieved the bodies of three would-be migrants and rescued almost 100 others after their boat sank.</t>
  </si>
  <si>
    <t>3 die off Libya's shores on July 17, 2014</t>
  </si>
  <si>
    <t>A boat was intercepted as it sank by a merchant vessel, the Panamanian-flagged City of Sidon. 41 are feared dead</t>
  </si>
  <si>
    <t>36 nautical miles north of Tripoli</t>
  </si>
  <si>
    <t>41 feared dead on July 17, 2014</t>
  </si>
  <si>
    <t>Al Jazeera</t>
  </si>
  <si>
    <t>2014-07-14T00:00:00Z</t>
  </si>
  <si>
    <t>Libya's navy retrieved the bodies of three would-be migrants and rescued almost 100 others after their boat sank</t>
  </si>
  <si>
    <t>Event off Libya on Jul 17, 2014</t>
  </si>
  <si>
    <t>2014-07-10T05:00:00Z</t>
  </si>
  <si>
    <t>2 immigrants found dead in the sea area, ten miles west from Karlovasi, in Samos island. 13 were rescued by coast guard and an unknown number is reported missing.</t>
  </si>
  <si>
    <t>Greece: Two Immingrants Dead near Samos island</t>
  </si>
  <si>
    <t>http://www.efsyn.gr/?p=216196</t>
  </si>
  <si>
    <t>2014-07-05T05:00:00Z</t>
  </si>
  <si>
    <t>Shipwreck off the coast of Libya, reported by UNHCR. The victims were three Syrians (a mother and her children), three Eritreans and six Africans whose nationality had yet to be determined</t>
  </si>
  <si>
    <t>Off the Libyan coast</t>
  </si>
  <si>
    <t>12 die off Tripoli on July 6, 2014</t>
  </si>
  <si>
    <t>UNHCR/dpa</t>
  </si>
  <si>
    <t>http://en.europeonline-magazine.eu/leaditaly-demands-help-with-migrants-as-12-more-bodies-found-at-seaby-helen-maguire-dpa_345270.html</t>
  </si>
  <si>
    <t>2014-07-02T00:00:00Z</t>
  </si>
  <si>
    <t>The victims were in a fishing boat on which 600 people were made to board, more than double the boat's capacity</t>
  </si>
  <si>
    <t>Off Sicily</t>
  </si>
  <si>
    <t>Event off Sicily on Jul 2, 2014</t>
  </si>
  <si>
    <t>Ansa Mediterranean</t>
  </si>
  <si>
    <t>2014-07-01T05:00:00Z</t>
  </si>
  <si>
    <t>The 27 survivors of a shipwreck said there were an additional 75 persons on board.</t>
  </si>
  <si>
    <t>Off the Italian coast</t>
  </si>
  <si>
    <t>75 die at sea on Jul 2, 2014</t>
  </si>
  <si>
    <t>2014-06-27T00:00:00Z</t>
  </si>
  <si>
    <t>2014 -- 6</t>
  </si>
  <si>
    <t>A boat with 11 Senegalese on board sunk near Tanger</t>
  </si>
  <si>
    <t>Dakar Echo</t>
  </si>
  <si>
    <t>http://www.dakar-echo.com/un-zodiac-avec-11-senegalais-coule-a-tanger-deux-senegalais-meurent-noyes-9-rescapes/#.VY8kEMhI5kA.twitter</t>
  </si>
  <si>
    <t>2014-06-23T00:00:00Z</t>
  </si>
  <si>
    <t>Six Syrian refugees died when their boat capsized. 63 others were rescued by Turkish authorities.</t>
  </si>
  <si>
    <t>Off Bodrum</t>
  </si>
  <si>
    <t>L'Expression</t>
  </si>
  <si>
    <t>http://www.lexpressiondz.com/linformation_en_continue/218726-six-migrants-syriens-ont-trouve-la-mort-au-large-de-la-turquie.html</t>
  </si>
  <si>
    <t>2014-06-29T05:00:00Z</t>
  </si>
  <si>
    <t>2Q2014</t>
  </si>
  <si>
    <t>25 migrants were locked up in a cold store by their traffickers in Libya. 13 died.</t>
  </si>
  <si>
    <t>Death in a Libyan cold room on June 30, 2014</t>
  </si>
  <si>
    <t>Freedom Newspaper</t>
  </si>
  <si>
    <t>suffocated or drowned</t>
  </si>
  <si>
    <t>2014-06-28T05:00:00Z</t>
  </si>
  <si>
    <t>The 45 corpses were discovered in the bow area of the boat during the rescue operation, according to a navy statement. The victims were believed to have suffocated or drowned during the crossing. Initial news reports said the migrants had suffocated because they were packed in so tightly. It wasn‚Äôt clear if the boat was taking in water when it was rescued.</t>
  </si>
  <si>
    <t>Off the coast of Sicily</t>
  </si>
  <si>
    <t>45 die of suffcation on June 29, 2014</t>
  </si>
  <si>
    <t>http://time.com/2940451/italy-navy-corpses-migrant-boat/</t>
  </si>
  <si>
    <t>2014-06-18T00:00:00Z</t>
  </si>
  <si>
    <t>A 17-year-old Afghan refugee has died after suffering a cerebral hemorrhage following a police beating in the southeastern province of Van.</t>
  </si>
  <si>
    <t>Van, Turkey</t>
  </si>
  <si>
    <t>17-year-old Afghan refugee beaten to death by police on June 18, 2014</t>
  </si>
  <si>
    <t>2014-06-15T05:00:00Z</t>
  </si>
  <si>
    <t>The body of a Syrian who had died on the journey was  on board a Kuwaiti oil tanker arriving in Sicily carrying 356 migrants.</t>
  </si>
  <si>
    <t>1 dead found on June 16, 2014, aboard tanker</t>
  </si>
  <si>
    <t>2014-06-14T00:00:00Z</t>
  </si>
  <si>
    <t>A fishing boat containing the bodies of about 30 people was being towed by an Italian navy frigate to the Sicilian port of Pozzallo</t>
  </si>
  <si>
    <t>Event off Sicily on Jun 29, 2014</t>
  </si>
  <si>
    <t>2014-06-13T05:00:00Z</t>
  </si>
  <si>
    <t>The Italian navy rescued 39 migrants aboard an inflatable boat about 100 miles off Lampedusa. Ten people were found dead. Migrants told authorities some 80 to 90 people at least went missing during the storm.</t>
  </si>
  <si>
    <t>10 found dead on June 14, 2014</t>
  </si>
  <si>
    <t>2014-06-10T00:00:00Z</t>
  </si>
  <si>
    <t>four migrants from the Central African Republic fell from a rope ladder connecting a merchant ship with their stricken vessel and were swept away</t>
  </si>
  <si>
    <t>Off Italy</t>
  </si>
  <si>
    <t>Event off Italy on Jun 10, 2014</t>
  </si>
  <si>
    <t>2014-06-07T05:00:00Z</t>
  </si>
  <si>
    <t>Maltese soldiers threw life jackets at migrants in distress and asked a passing tanker to rescue them, but then left. Five migrants died as they were being transferred from their dinghy to the tanker. The bodies of three of them were recovered but the other two were not found.</t>
  </si>
  <si>
    <t>5 die as part of SAR operation on June 8, 2014</t>
  </si>
  <si>
    <t>ToM</t>
  </si>
  <si>
    <t>2014-06-02T05:00:00Z</t>
  </si>
  <si>
    <t>One immigrant was found dead on Tuesday, July 3rd, 2014, on the northeast coast of Lesvos island (Mytilini), in Greece.</t>
  </si>
  <si>
    <t>Lesvos, Greece</t>
  </si>
  <si>
    <t>Immigrant found dead on the northeast shores of Lesvos, Greece</t>
  </si>
  <si>
    <t>lesvosnews</t>
  </si>
  <si>
    <t>http://www.lesvosnews.gr/?p=3300</t>
  </si>
  <si>
    <t>2014-05-29T00:00:00Z</t>
  </si>
  <si>
    <t>2014 -- 5</t>
  </si>
  <si>
    <t>A 15-year-old Afghan immigrant was found dead in a truck carrying croissants at the port of Igoumenitsa this week.  According to reports, the youngster had stowed away in the truck with several other irregular migrants.  However, after a while, the atmosphere in the vehicle became stifling and the stowaways abandoned the vehicle.  The 15-year-old, however, had already lost consciousness and was found dead later by port officials.  The Afghan teenager had registered a week earlier with a center for the protection of minors in nearby Konitsa.</t>
  </si>
  <si>
    <t>Igoumenitsa, Greece</t>
  </si>
  <si>
    <t>Afghan kid dies in Igoumenitsa on May 23, 2014</t>
  </si>
  <si>
    <t>Neo Kosmos</t>
  </si>
  <si>
    <t>http://neoskosmos.com/news/en/Afghan-immigrant-dies-in-back-of-truck</t>
  </si>
  <si>
    <t>run over</t>
  </si>
  <si>
    <t>On March 9 an Albanian man was killed on a motorway outside Calais.</t>
  </si>
  <si>
    <t>Marquise, France</t>
  </si>
  <si>
    <t>Albanian man dies in Calais on March 9, 2014</t>
  </si>
  <si>
    <t>http://www.armentieres.maville.com/actu/actudet_-pas-de-calais-un-albanais-retrouve-mort-sur-une-aire-d-autoroute_fil-2508233_actu.Htm?xtor=RSS-4&amp;utm_source=RSS_MVI_armentieres&amp;utm_medium=RSS&amp;utm_campaign=RSS</t>
  </si>
  <si>
    <t>A migrant has been crushed to death by a British bus he was trying to hide aboard to get to the UK.  The horrific death in Calais is the latest in a long list in which desperate young men lose their lives as they attempt to reach England to claim asylum.  It happened soon after 2pm on Friday in the car park of an Auchan supermarket in the French port.</t>
  </si>
  <si>
    <t>Calais, France</t>
  </si>
  <si>
    <t>Death of a man of Sudanese origin in Calais on May 23, 2014</t>
  </si>
  <si>
    <t>http://www.dailymail.co.uk/news/article-2639807/Migrant-crushed-death-Calais-British-bus-trying-hide-aboard-UK.html</t>
  </si>
  <si>
    <t>Death of an Ethiopian national at Calais on March 15, 2014</t>
  </si>
  <si>
    <t>http://www.dailymail.co.uk/news/article-2640906/Police-surround-Calais-camp-prepare-remove-migrants.html</t>
  </si>
  <si>
    <t>The body of a 25-year-old Ethiopian man, Senay Berthay, was found in Calais‚Äôs  Batellerie dock on March 14.</t>
  </si>
  <si>
    <t>Death of Senay Berthay</t>
  </si>
  <si>
    <t>Ethiopian Mesfin Germa was hit by a lorry as he walked to the port of Calais</t>
  </si>
  <si>
    <t>Death of Mesfin Germa</t>
  </si>
  <si>
    <t>2014-05-27T05:00:00Z</t>
  </si>
  <si>
    <t>The boat capsizes while trying to reach Spain</t>
  </si>
  <si>
    <t>Two dead and one missing en route to Spain on May 28, 2014</t>
  </si>
  <si>
    <t>El Pa√≠s, Europa Press</t>
  </si>
  <si>
    <t>http://politica.elpais.com/politica/2014/05/28/actualidad/1401285544_986009.html</t>
  </si>
  <si>
    <t>2014-05-12T00:00:00Z</t>
  </si>
  <si>
    <t>At least 14 migrants have died after their their boat sank in the Mediterranean between Libya and Italy</t>
  </si>
  <si>
    <t>Event off Lampedusa on 12.05.14</t>
  </si>
  <si>
    <t>Al Jazeera, BBC</t>
  </si>
  <si>
    <t>2014-05-11T00:00:00Z</t>
  </si>
  <si>
    <t>At least 40 people have died after a boat carrying mostly sub-Saharan African migrants sank off the coast of Libya</t>
  </si>
  <si>
    <t>Event off Libya on May 11, 2014</t>
  </si>
  <si>
    <t>International Business Times</t>
  </si>
  <si>
    <t>exhaustion or thirst</t>
  </si>
  <si>
    <t>2014-05-06T05:00:00Z</t>
  </si>
  <si>
    <t xml:space="preserve">At least 13 of the dozens of migrants from Niger abandoned by smugglers in the Sahara desert last week have been found dead in southern Algeria, a local official and a military source in Niger said on Friday. </t>
  </si>
  <si>
    <t>Border to Algeria from Niger.</t>
  </si>
  <si>
    <t>Convoy abandonned en route to Algeria in May 2014</t>
  </si>
  <si>
    <t>IOL news</t>
  </si>
  <si>
    <t>http://www.iol.co.za/news/africa/13-migrants-found-dead-in-sahara-1.1686153</t>
  </si>
  <si>
    <t>A 20-year-old Eritrean whose corps was found on Wednesday in Pozzallo, where 289 other migrants came ashore, died of blows to the head and injuries sustained from being trampled.</t>
  </si>
  <si>
    <t>Ragusa, Italy</t>
  </si>
  <si>
    <t>Eritrean migrant dies in Italy on May 7, 2014</t>
  </si>
  <si>
    <t>ANSA</t>
  </si>
  <si>
    <t>http://www.ansamed.info/ansamed/en/news/sections/generalnews/2014/05/08/eritrean-migrant-died-from-blows-suffered-in-libya_5cd4e351-6e88-4c6e-b76c-0536c18e2f69.html</t>
  </si>
  <si>
    <t>2014-05-06T00:00:00Z</t>
  </si>
  <si>
    <t>At least 36 migrants drowned when their boat sank off the Libyan coast</t>
  </si>
  <si>
    <t>2014-05-04T05:00:00Z</t>
  </si>
  <si>
    <t>A yacht and a dinghy crammed with migrants trying to enter Greece has capsized in the eastern Aegean Sea leaving at least 22 dead, including four children, and potentially several more missing.</t>
  </si>
  <si>
    <t>2 boats capsize off Samos on  May 5, 2014</t>
  </si>
  <si>
    <t>http://www.theguardian.com/world/2014/may/05/many-dead-migrant-boast-capsizes-greece</t>
  </si>
  <si>
    <t>2014-05-03T05:00:00Z</t>
  </si>
  <si>
    <t>"The sea was rough, the boat was overcrowded and there were more than 200 on board ‚Äì many from Eritrea.</t>
  </si>
  <si>
    <t>Off Libya's coast</t>
  </si>
  <si>
    <t>Boat capsizes off Tripoli on May 4, 2014</t>
  </si>
  <si>
    <t>http://www.theguardian.com/world/2014/may/11/migrant-boat-sinks-coast-libya</t>
  </si>
  <si>
    <t>2014-05-01T05:00:00Z</t>
  </si>
  <si>
    <t>The Libyan coastguard reported that it had saved 80 people from a sinking vessel, including Eritreans, Somalis and Ethiopians. Four corpses were found, the report said.</t>
  </si>
  <si>
    <t>Boat rescued off Libya's coast on May 2, 2014</t>
  </si>
  <si>
    <t>2014-04-29T05:00:00Z</t>
  </si>
  <si>
    <t>2014 -- 4</t>
  </si>
  <si>
    <t>Last week, a joint Sudanese-Libyan force rescued 319 migrants after they became stranded in the desert on the border between the two countries, noting their miserable condition.  A Sudanese foreign ministry official told the state news agency SUNA at the time that human traffickers had abandoned the illrgal migrants in the desert. 10 died.</t>
  </si>
  <si>
    <t>Sudan-Libya border</t>
  </si>
  <si>
    <t>10 die at Sudan-Libya border on April 30, 2014</t>
  </si>
  <si>
    <t>Sudan Tribune</t>
  </si>
  <si>
    <t>http://www.sudantribune.com/spip.php?article50867</t>
  </si>
  <si>
    <t>One Somali survivor aboard who reported that 40 fellow passengers had drowned.</t>
  </si>
  <si>
    <t>Boat capsizes off Libya's coast on April 30, 2014</t>
  </si>
  <si>
    <t>2014-04-08T05:00:00Z</t>
  </si>
  <si>
    <t>Italian coast guard carried out a large rescue operation in the night to April 9, 2014. One corpse was found on board one of the ships.</t>
  </si>
  <si>
    <t>Death during a rescue operation on April 9, 2014</t>
  </si>
  <si>
    <t>Zeit</t>
  </si>
  <si>
    <t>http://www.zeit.de/gesellschaft/zeitgeschehen/2014-04/italienische-marine-bootsfluechtlinge-mittelmeer</t>
  </si>
  <si>
    <t>2014-03-30T05:00:00Z</t>
  </si>
  <si>
    <t>1Q2014</t>
  </si>
  <si>
    <t>2014 -- 3</t>
  </si>
  <si>
    <t>Death from "massive pulmonary thromno-embolism". An investigation was opened to know whether the inmate was denied medical care.</t>
  </si>
  <si>
    <t>Yarl's Wood Immigration Removal Centre</t>
  </si>
  <si>
    <t>Death at Yearl's Wood on March 30, 2014</t>
  </si>
  <si>
    <t>http://www.bbc.com/news/uk-26845350</t>
  </si>
  <si>
    <t>2014-03-18T00:00:00Z</t>
  </si>
  <si>
    <t>in the Agean Sea, off the Turkish coastal town of Bodrum, four Syrians died trying to reach the Greek island of Kos.</t>
  </si>
  <si>
    <t>Off Greece</t>
  </si>
  <si>
    <t>Event off Greece on March 18, 2014</t>
  </si>
  <si>
    <t>6 dead migrants are found by local residents</t>
  </si>
  <si>
    <t>Off Greece (Lesbos)</t>
  </si>
  <si>
    <t>taz</t>
  </si>
  <si>
    <t>A dinghy with 15 people that had taken in water sank in unclear circumstances .</t>
  </si>
  <si>
    <t>Lesbos, Greece</t>
  </si>
  <si>
    <t>7 migrants drown near Lesvos on March 18, 2014</t>
  </si>
  <si>
    <t>EnetEnglish</t>
  </si>
  <si>
    <t>http://www.enetenglish.gr/?i=news.en.home&amp;id=1813</t>
  </si>
  <si>
    <t>2014-03-01T00:00:00Z</t>
  </si>
  <si>
    <t>A Pakistani man was found in the Evros river in April 2014. His corpse had been in the water for at least 20 days, according to the police.</t>
  </si>
  <si>
    <t>Evros river</t>
  </si>
  <si>
    <t>A Pakistani man dies in the Evros in March 2014</t>
  </si>
  <si>
    <t>2014-02-27T00:00:00Z</t>
  </si>
  <si>
    <t>2014 -- 2</t>
  </si>
  <si>
    <t>Working without required documentation, a man and his French girlfriend were shot at a Paris terrasse.</t>
  </si>
  <si>
    <t>Paris, France</t>
  </si>
  <si>
    <t>Shot in Paris on December 22, 2013</t>
  </si>
  <si>
    <t>http://rue89.nouvelobs.com/2014/02/27/cest-lhistoire-dun-clandestin-tunisien-abattu-plein-paris-250273</t>
  </si>
  <si>
    <t>2014-02-06T06:00:00Z</t>
  </si>
  <si>
    <t>Spanish police fired rubber bullets in an attempt to stop migrants from entering the Spanish enclave of Ceuta, which contributed to at least 11 drowning deaths. A further 23 migrants were handed over Moroccan police after they crossed the wall into Ceuta.</t>
  </si>
  <si>
    <t>At Ceuta on February 6, 2014</t>
  </si>
  <si>
    <t>Amnesty International</t>
  </si>
  <si>
    <t>http://www.amnesty.org/en/news/spain-accountability-urged-appalling-migrant-deaths-ceuta-2014-02-14</t>
  </si>
  <si>
    <t>2014-02-04T06:00:00Z</t>
  </si>
  <si>
    <t>A migrant was shot at Calais. No other details were provided by the police.</t>
  </si>
  <si>
    <t>Migrant shot at Calais on Feb 4, 2014</t>
  </si>
  <si>
    <t>Lib√©ration</t>
  </si>
  <si>
    <t>2014-12-31T00:00:00Z</t>
  </si>
  <si>
    <t>4Q2014</t>
  </si>
  <si>
    <t>2014 -- 12</t>
  </si>
  <si>
    <t>Four migrants were found dead on a cargo ship which was taken to Italy after apparently being abandoned by its crew in Greek waters.</t>
  </si>
  <si>
    <t>Off Corfu</t>
  </si>
  <si>
    <t>Four migrants found dead on packed cargo ship brought to Italy on 31 December 2014</t>
  </si>
  <si>
    <t>2014-12-23T00:00:00Z</t>
  </si>
  <si>
    <t>Four African migrants died on a raft while attempting the Mediterranean Sea crossing to southern Italy.</t>
  </si>
  <si>
    <t>south of Lampedusa</t>
  </si>
  <si>
    <t>4 die near Lampedusa on 23 December 2014</t>
  </si>
  <si>
    <t>Xinhua, ANSA</t>
  </si>
  <si>
    <t>2014-12-19T00:00:00Z</t>
  </si>
  <si>
    <t>Moroccan authorities recovered the bodies of three babies and six adults who died while trying to cross to Spain in a small boat.</t>
  </si>
  <si>
    <t>Strait of Gibraltar</t>
  </si>
  <si>
    <t>Nine migrants die in Strait of Gibraltar on December 19, 2014</t>
  </si>
  <si>
    <t>2014-12-12T00:00:00Z</t>
  </si>
  <si>
    <t>A Sudanese man believed to have travelled to the UK from Calais by clinging to the bottom of a lorry has died after falling between its wheels on the M25.</t>
  </si>
  <si>
    <t>Junction 24 of M25</t>
  </si>
  <si>
    <t>Death on M25 on December 12, 2014</t>
  </si>
  <si>
    <t>ITV</t>
  </si>
  <si>
    <t>2014-12-06T00:00:00Z</t>
  </si>
  <si>
    <t>A vessel got into trouble south of Almeria. 30 were rescued.</t>
  </si>
  <si>
    <t>Off Almeria</t>
  </si>
  <si>
    <t>20 missing after storm off Almeria on December 8, 2014</t>
  </si>
  <si>
    <t>World Bulletin</t>
  </si>
  <si>
    <t>hypothermia and dehydration</t>
  </si>
  <si>
    <t>2014-12-05T00:00:00Z</t>
  </si>
  <si>
    <t>Italian sailors have rescued 278 migrants in the Strait of Sicily but found 16 others dead in their inflatable boat and one more who died shortly after help arrived.</t>
  </si>
  <si>
    <t>17 dead near Lampedusa on Dec 5, 2014</t>
  </si>
  <si>
    <t>2014-12-03T00:00:00Z</t>
  </si>
  <si>
    <t>Two Cameroonian migrants are suspected by Spanish police of killing up to 10 other migrants by pushing them from a boat into stormy waters in a fight over a prayer session.</t>
  </si>
  <si>
    <t>10 people thrown overboard on 3 December 2014</t>
  </si>
  <si>
    <t>Press Association</t>
  </si>
  <si>
    <t>2014-11-28T00:00:00Z</t>
  </si>
  <si>
    <t>2014 -- 11</t>
  </si>
  <si>
    <t>IOM reported that 18 migrants from Africa and the Middle East attempting to reach Europe disappeared and are presumed dead.</t>
  </si>
  <si>
    <t>18 missing migrants presumed dead on Nov 30, 2014</t>
  </si>
  <si>
    <t>2014-11-20T00:00:00Z</t>
  </si>
  <si>
    <t>Two Britain-bound migrants burn to death in the back of lorry in Dunkirk.</t>
  </si>
  <si>
    <t>Dunkirk, France</t>
  </si>
  <si>
    <t>2 migrants burn to death in lorry on November 20, 2014</t>
  </si>
  <si>
    <t>2014-11-06T00:00:00Z</t>
  </si>
  <si>
    <t>Asfak had suffered serious respiratory problems for months, though he was only hospitalised as his condition became life threatening, according to Greek anti-racism group Keerfa.</t>
  </si>
  <si>
    <t>Amygdaleza detention center</t>
  </si>
  <si>
    <t>Death of Mohamed Asfak on 6 November 2014</t>
  </si>
  <si>
    <t>2014-11-02T00:00:00Z</t>
  </si>
  <si>
    <t>A small boat carrying about 40 people capsized on its way to Romania. Turkish coast guards rescued sex persons.</t>
  </si>
  <si>
    <t>near Rumeli Feneri</t>
  </si>
  <si>
    <t>Boat sinks off north coast of Istanbul on 2 November 2014</t>
  </si>
  <si>
    <t>2014-11-01T00:00:00Z</t>
  </si>
  <si>
    <t>Two boats carrying 38 Algerian migrants were intercepted off the coast of Almeria. Two migrants died during the crossing when they fell overboard.</t>
  </si>
  <si>
    <t>2 fall overboard near Almeria in November 2014</t>
  </si>
  <si>
    <t>euroweeklynews</t>
  </si>
  <si>
    <t>2014-10-21T00:00:00Z</t>
  </si>
  <si>
    <t>2014 -- 10</t>
  </si>
  <si>
    <t>A 16-year-old girl Ethiopian girl died after being hit by a car as she attempted to run across a motorway outside Calais in the early hours of the morning. She was the third migrant to die on the roads in as many weeks.</t>
  </si>
  <si>
    <t>Death of an Ethiopian girl on October 21, 2014 in Calais</t>
  </si>
  <si>
    <t>2014-10-10T00:00:00Z</t>
  </si>
  <si>
    <t>Eighteen people were killed when a boat capsized near the Konta landing point straddling the small ports of Farmoriah and Benty</t>
  </si>
  <si>
    <t>Off Guinea</t>
  </si>
  <si>
    <t>Event off Guinea on 10.10.14</t>
  </si>
  <si>
    <t>2014-10-03T00:00:00Z</t>
  </si>
  <si>
    <t>Two shipwrecks off the coast of Libya are thought to have left about 130 migrants dead</t>
  </si>
  <si>
    <t>Event off Libya on Oct 3, 2014</t>
  </si>
  <si>
    <t>dpa</t>
  </si>
  <si>
    <t>2014-10-02T00:00:00Z</t>
  </si>
  <si>
    <t>A boat with about 180 people on board sank shortly after leaving. 90 were rescued.</t>
  </si>
  <si>
    <t>3nm off Tripoli</t>
  </si>
  <si>
    <t>Shipwreck off Tripoli</t>
  </si>
  <si>
    <t>2014-10-01T00:00:00Z</t>
  </si>
  <si>
    <t>a dinghy carrying 8 migrants sank</t>
  </si>
  <si>
    <t>Off Morocco</t>
  </si>
  <si>
    <t>Event off Morocco</t>
  </si>
  <si>
    <t>2014-01-19T00:00:00Z</t>
  </si>
  <si>
    <t>2014 -- 1</t>
  </si>
  <si>
    <t>Greek coast guards pushed back on the migrants' boat as they were a few hundreds meters from the coast of Farmakonisi island.</t>
  </si>
  <si>
    <t>Farmakonisi, Greece</t>
  </si>
  <si>
    <t>At Farmakonisi on  January 19, 2014</t>
  </si>
  <si>
    <t>http://www.sueddeutsche.de/politik/vorwuerfe-wegen-toten-vor-griechischer-insel-grenzschuetzer-sollen-fluechtlinge-aufs-meer-geschleppt-haben-1.1887459</t>
  </si>
  <si>
    <t>2013-09-29T05:00:00Z</t>
  </si>
  <si>
    <t>3Q2013</t>
  </si>
  <si>
    <t>2013 -- 9</t>
  </si>
  <si>
    <t>Boat ran aground, migrants drowned trying to reach the shore. The others were saved after tourists alerted the authorities.</t>
  </si>
  <si>
    <t>Scicli, Italy</t>
  </si>
  <si>
    <t>Shipwreck near Sclicli on September 30, 2013</t>
  </si>
  <si>
    <t>tagesspiegel</t>
  </si>
  <si>
    <t>http://www.tagesspiegel.de/weltspiegel/unglueck-auf-dem-mittelmeer-zehn-fluechtlinge-vor-sizilien-ertrunken/8866422.html</t>
  </si>
  <si>
    <t>Del grande</t>
  </si>
  <si>
    <t>2013-09-29T00:00:00Z</t>
  </si>
  <si>
    <t>Landing in Catania, forced to jump into the sea by traffickers, drowning 13 people (Sep 30, 2013)</t>
  </si>
  <si>
    <t>catania</t>
  </si>
  <si>
    <t>Event at Catania on Sep 29, 2013</t>
  </si>
  <si>
    <t>Repubblica</t>
  </si>
  <si>
    <t>http://palermo.repubblica.it/cronaca/2013/09/30/news/sbarco_tragico_a_ragusa_annegano_tredici_immigrati-67571864/</t>
  </si>
  <si>
    <t>2013-09-21T00:00:00Z</t>
  </si>
  <si>
    <t>A man was beaten to death in Angoul√™me. The police did not comment on the case.</t>
  </si>
  <si>
    <t>Grande Garenne, Angouleme</t>
  </si>
  <si>
    <t>Death of an undocumented migrant in Angouleme on 21 September 2013</t>
  </si>
  <si>
    <t>Ouest-France</t>
  </si>
  <si>
    <t>2013-09-18T00:00:00Z</t>
  </si>
  <si>
    <t>The Egyptian coast guard opened fire on a boat load of Syrians traveling to Italy on the route of smuggling. Two dead on board, including a woman. (Sep 19, 2013)</t>
  </si>
  <si>
    <t>egypt</t>
  </si>
  <si>
    <t>Event at Egypt on Sep 18, 2013</t>
  </si>
  <si>
    <t>http://www.repubblica.it/solidarieta/2013/09/19/news/egitto_guardia_costiera_spara_su_barca_di_rifugiati_siriani_diretta_verso_l_italia-66861534/</t>
  </si>
  <si>
    <t>2013-09-16T00:00:00Z</t>
  </si>
  <si>
    <t>Found a few miles from Punta Almina, Ceuta, a small boat capsized in the sea along with the lifeless body of one of his passengers (Sep 17, 2013)</t>
  </si>
  <si>
    <t>punta</t>
  </si>
  <si>
    <t>Event at Punta on Sep 16, 2013</t>
  </si>
  <si>
    <t>Abc</t>
  </si>
  <si>
    <t>http://www.abc.es/espana/20130916/abci-cadaver-inmigrantes-201309161435.html</t>
  </si>
  <si>
    <t>Shipwreck in the waters of Ceuta, is looking for 12 missing at sea (Sep 17, 2013)</t>
  </si>
  <si>
    <t>ceuta</t>
  </si>
  <si>
    <t>Event at Ceuta on Sep 16, 2013</t>
  </si>
  <si>
    <t>Diario Sur</t>
  </si>
  <si>
    <t>http://www.diariosur.es/v/20130917/melilla/buscan-doce-inmigrantes-desaparecidos-20130917.html</t>
  </si>
  <si>
    <t>Puls</t>
  </si>
  <si>
    <t>2013-09-12T00:00:00Z</t>
  </si>
  <si>
    <t>A group of about sixty people of different nationalities separated in the area between Ajdabiya and Tobruk before getting lost.</t>
  </si>
  <si>
    <t>Ajdabiya, Libya</t>
  </si>
  <si>
    <t>Event at Ajdabiya, Libya on September 12, 2013</t>
  </si>
  <si>
    <t>http://www.ansa.it/ansamed/en/news/sections/generalnews/2013/10/31/Immigration-10-60-lost-Libyan-desert-found_9549184.html</t>
  </si>
  <si>
    <t>Greek authorities locked up a Syrian refugee for weeks as his wife and two children died in a wildfire on an island where a smuggler had left them.</t>
  </si>
  <si>
    <t>Samos, Greece</t>
  </si>
  <si>
    <t>Event at Samos, Greece on September 12, 2013</t>
  </si>
  <si>
    <t>Diktyo</t>
  </si>
  <si>
    <t>http://www.dailystar.com.lb/News/Middle-East/2013/Sep-12/230999-syrian-refugee-detained-in-greece-as-family-burned-rights-group.ashx</t>
  </si>
  <si>
    <t>2013-09-09T00:00:00Z</t>
  </si>
  <si>
    <t>One Syrian woman died during an eight-day voyage on a boat carrying 354 other refugees. The woman was a nurse in Damascus and her husband gave his permission for the donor use of her liver and kidneys, which saved three Italian patients.</t>
  </si>
  <si>
    <t>Event at Sicily on September 9, 2013</t>
  </si>
  <si>
    <t>Channel Africa</t>
  </si>
  <si>
    <t>http://www.channelafrica.org/portal/site/ChannelAfrica/menuitem.0440eb803775db47ee41ee41674daeb9/?vgnextoid=66e88101fa101410VgnVCM10000077d4ea9bRCRD&amp;vgnextfmt=default</t>
  </si>
  <si>
    <t>2013-09-07T00:00:00Z</t>
  </si>
  <si>
    <t>Haardstee, Amsterdam</t>
  </si>
  <si>
    <t>Somali refugee dies in the Netherland in September 2013</t>
  </si>
  <si>
    <t>Dichtbij</t>
  </si>
  <si>
    <t>2013-08-10T00:00:00Z</t>
  </si>
  <si>
    <t>2013 -- 8</t>
  </si>
  <si>
    <t>A boat runs aground just 15 meters from the shore, in Catania. At the landing, passengers drown 6 (Aug 11, 2013)</t>
  </si>
  <si>
    <t>Event at Catania on Aug 10, 2013</t>
  </si>
  <si>
    <t>http://ricerca.repubblica.it/repubblica/archivio/repubblica/2013/08/11/la-strage-dei-ragazzi-in-fuga-dalla.html?ref=search</t>
  </si>
  <si>
    <t>2013-08-09T00:00:00Z</t>
  </si>
  <si>
    <t>A 31-year old Moroccan prisoner dies in the Centre for Identification and Expulsion (CIE) for an illness of Crotone, in circumstances not yet clarified (Aug 10, 2013)</t>
  </si>
  <si>
    <t>crotone</t>
  </si>
  <si>
    <t>Event at Crotone on Aug 09, 2013</t>
  </si>
  <si>
    <t>http://www.repubblica.it/solidarieta/immigrazione/2013/08/19/news/chiuso_il_cie_di_crotone_devastato_da_una_rivolta_dopo_la_morte_di_un_immigrato-64989177/?ref=search</t>
  </si>
  <si>
    <t>2013-08-04T00:00:00Z</t>
  </si>
  <si>
    <t>Three female migrants died during a voyage to Europe in a rubber dinghy and 174 others were rescued.</t>
  </si>
  <si>
    <t>Event at Lampedusa on August 4, 2013</t>
  </si>
  <si>
    <t>Naharnet</t>
  </si>
  <si>
    <t>http://www.naharnet.com/stories/en/93135-three-migrants-drown-on-perilous-trek-to-italy-in-rubber-dinghy</t>
  </si>
  <si>
    <t>2013-07-31T00:00:00Z</t>
  </si>
  <si>
    <t>2013 -- 7</t>
  </si>
  <si>
    <t>Boat adrift between Tangier and Tarifa in the Straits of Gibraltar. Despite the rescue of the Spanish coast guard, one of eight passenger dies on board (Aug 1, 2013)</t>
  </si>
  <si>
    <t>tarifa</t>
  </si>
  <si>
    <t>Event at Tarifa on Jul 31, 2013</t>
  </si>
  <si>
    <t>http://www.abc.es/agencias/noticia.asp?noticia=1470784</t>
  </si>
  <si>
    <t>A speed boat carrying migrants capsized.</t>
  </si>
  <si>
    <t>Tavaklƒ±, Turkey</t>
  </si>
  <si>
    <t>Event at Tavaklƒ±, Turkey on July 31, 2013</t>
  </si>
  <si>
    <t>http://www.hurriyetdailynews.com/at-least-24-illegal-migrants-drown-in-aegean-sea.aspx?pageID=238&amp;nid=51748&amp;NewsCatID=359</t>
  </si>
  <si>
    <t>2013-07-29T00:00:00Z</t>
  </si>
  <si>
    <t>A dinghy carrying 53 migrants capsized.</t>
  </si>
  <si>
    <t>Malta</t>
  </si>
  <si>
    <t>Event at Malta on July 29, 2013</t>
  </si>
  <si>
    <t>TOM</t>
  </si>
  <si>
    <t>http://www.timesofmalta.com/articles/view/20130729/local/press-digest.479895</t>
  </si>
  <si>
    <t>died (presumably) from ill treatments</t>
  </si>
  <si>
    <t>An Afghan detainee dies from a lung infection that his guards ignored for months.</t>
  </si>
  <si>
    <t>Event at Amygdaleza detention center on July 29, 2013</t>
  </si>
  <si>
    <t>KEERFA</t>
  </si>
  <si>
    <t>http://news.kuwaittimes.net/hunt-in-athens-after-detention-camp-riot/</t>
  </si>
  <si>
    <t>2013-07-27T00:00:00Z</t>
  </si>
  <si>
    <t>Inflatable direct Lampedusa spilling into the sea 29 miles off the Libyan coast, drowning 31 of the 53 passengers, including 9 women (Jul 28, 2013)</t>
  </si>
  <si>
    <t>lampedusa</t>
  </si>
  <si>
    <t>Event at Lampedusa on Jul 27, 2013</t>
  </si>
  <si>
    <t>http://www.repubblica.it/cronaca/2013/07/28/news/immigrazione_naufragio_31_morti-63857909/?ref=search</t>
  </si>
  <si>
    <t>2013-07-26T00:00:00Z</t>
  </si>
  <si>
    <t>Found two more bodies in the waters of Kos after the wreck yesterday. It is of two children, one of five years and the other eight (Jul 27, 2013)</t>
  </si>
  <si>
    <t>kos</t>
  </si>
  <si>
    <t>Event at Kos on Jul 26, 2013</t>
  </si>
  <si>
    <t>http://www.ekathimerini.com/4dcgi/_w_articles_wsite1_1_27/07/2013_511538</t>
  </si>
  <si>
    <t>Tahir Mehmood was found collapsed at the Pennine House facility. It is thought that he suffered a heart attack while awaiting deportation.</t>
  </si>
  <si>
    <t>Manchester airport</t>
  </si>
  <si>
    <t>Death at Pennine House on 26 July 2013</t>
  </si>
  <si>
    <t>Manchester Evening News</t>
  </si>
  <si>
    <t>2013-07-25T00:00:00Z</t>
  </si>
  <si>
    <t>Shipwreck off the island of Kos, only one survivor. Found the lifeless bodies of a little girl, 2 women and a man. 8 other passengers still missing (Jul 26, 2013)</t>
  </si>
  <si>
    <t>Event at Kos on Jul 25, 2013</t>
  </si>
  <si>
    <t>http://www.ekathimerini.com/4dcgi/_w_articles_wsite1_1_26/07/2013_511396</t>
  </si>
  <si>
    <t>2013-07-24T00:00:00Z</t>
  </si>
  <si>
    <t>About forty men assail the barrier on the border of the Spanish enclave of Melilla, Morocco, and manage to cross the border. One of them, however, died of a cardiorespiratory attack (Jul 25, 2013)</t>
  </si>
  <si>
    <t>melilla</t>
  </si>
  <si>
    <t>Event at Melilla on Jul 24, 2013</t>
  </si>
  <si>
    <t>http://www.abc.es/espana/20130725/rc-nuevo-asalto-valla-melilla-201307251949.html</t>
  </si>
  <si>
    <t>Shipwreck in the waters of the island of Oinusses, a man lost at sea (Jul 25, 2013)</t>
  </si>
  <si>
    <t>oinusses</t>
  </si>
  <si>
    <t>Event at Oinusses on Jul 24, 2013</t>
  </si>
  <si>
    <t>http://www.ekathimerini.com/4dcgi/_w_articles_wsite1_1_25/07/2013_511115</t>
  </si>
  <si>
    <t>2013-06-19T00:00:00Z</t>
  </si>
  <si>
    <t>A man from Benin committed suicide out of fear that he would be deported. His request had not been treated yet.</t>
  </si>
  <si>
    <t>Nerder-over-Heembeek</t>
  </si>
  <si>
    <t>Suicide at Nerder-over-Heembeek on 19 June 2013</t>
  </si>
  <si>
    <t>DHnet</t>
  </si>
  <si>
    <t>died in childbirth</t>
  </si>
  <si>
    <t>2013-06-14T00:00:00Z</t>
  </si>
  <si>
    <t>Woman dies in childbirth on a boat set sail from Turkey and landed in Roccella Jonica in Calabria. The body was abandoned at sea (Jun 15, 2013)</t>
  </si>
  <si>
    <t>calabria</t>
  </si>
  <si>
    <t>Event at Calabria on Jun 14, 2013</t>
  </si>
  <si>
    <t>http://www.repubblica.it/cronaca/2013/06/15/news/calabria_una_neonata_senza_mamma_tra_i_159_immigrati_arrivati_a_roccella-61143123/?ref=search</t>
  </si>
  <si>
    <t>2013-05-31T05:00:00Z</t>
  </si>
  <si>
    <t>2013 -- 5</t>
  </si>
  <si>
    <t>Libyan guards killed a dozen Sudanese migrants who had illegally crossed the border.</t>
  </si>
  <si>
    <t>Border between Libya and Sudan</t>
  </si>
  <si>
    <t>Migrants shot by Libyan border guards in June 2013</t>
  </si>
  <si>
    <t>2013-05-30T00:00:00Z</t>
  </si>
  <si>
    <t>Died in the transfer from a detention center in southern Libya to the border with Niger.</t>
  </si>
  <si>
    <t>Event at Libya on May 30, 2013</t>
  </si>
  <si>
    <t>MISNA</t>
  </si>
  <si>
    <t>http://www.misna.org/en/other/hundreds-of-migrants-deported-from-libya-to-niger-30-05-2013-813.html</t>
  </si>
  <si>
    <t>2013-05-29T05:00:40Z</t>
  </si>
  <si>
    <t>After he was attacked by neo-Nazis in Dresden, the victim killed himself in a detention center prior to his expulsion to Italy.</t>
  </si>
  <si>
    <t>Eisenh√ºttenstadt, Germany</t>
  </si>
  <si>
    <t>Suicide at Eisenh√ºttenstadt on May 29, 2013</t>
  </si>
  <si>
    <t>PNN</t>
  </si>
  <si>
    <t>http://www.pnn.de/brandenburg-berlin/755823/</t>
  </si>
  <si>
    <t>2013-05-14T00:00:00Z</t>
  </si>
  <si>
    <t>Shipwreck off the coast of the island Farmakonisi, dies drowned a six year old girl (May 15, 2013)</t>
  </si>
  <si>
    <t>farmakonisi</t>
  </si>
  <si>
    <t>Event at Farmakonisi on May 14, 2013</t>
  </si>
  <si>
    <t>http://www.ekathimerini.com/4dcgi/_w_articles_wsite1_1_15/05/2013_499041</t>
  </si>
  <si>
    <t>2013-05-01T05:00:00Z</t>
  </si>
  <si>
    <t>Moncef S. committed suicide at home after receiving warrant of deportation</t>
  </si>
  <si>
    <t>Zurich, Switzerland</t>
  </si>
  <si>
    <t>Suicide in reaction to deportation warrant</t>
  </si>
  <si>
    <t>Verein Bildung f√ºr alle</t>
  </si>
  <si>
    <t>http://www.bildung-fuer-alle.ch/artikel/selbstmord-von-asz-und-bleiberecht-aktivist-wegen-bevorstehender-ausschaffung-%E2%80%93-500-personen</t>
  </si>
  <si>
    <t>2013-04-17T00:00:00Z</t>
  </si>
  <si>
    <t>2013 -- 4</t>
  </si>
  <si>
    <t>Shipwreck off the coast of Al Hoceima, on the route for Spain, killed 10 of the 34 passengers (Apr 18, 2013)</t>
  </si>
  <si>
    <t>hoceima</t>
  </si>
  <si>
    <t>Event at Hoceima on Apr 17, 2013</t>
  </si>
  <si>
    <t>http://www.diariosur.es/v/20130418/andalucia/inmigrante-muere-tarifa-otros-20130418.html</t>
  </si>
  <si>
    <t>One of the passengers drowned in an inflatable rescue off the coast of Tarifa (Apr 18, 2013)</t>
  </si>
  <si>
    <t>Event at Tarifa on Apr 17, 2013</t>
  </si>
  <si>
    <t>2013-03-30T00:00:00Z</t>
  </si>
  <si>
    <t>1Q2013</t>
  </si>
  <si>
    <t>2013 -- 3</t>
  </si>
  <si>
    <t>Khalid Shahzad died in a train hours after being released from jail.</t>
  </si>
  <si>
    <t>Train to Manchester</t>
  </si>
  <si>
    <t>Death of Khalid Shahzad</t>
  </si>
  <si>
    <t>2013-03-23T00:00:00Z</t>
  </si>
  <si>
    <t>Arriving in Chad after an expulsion from Libya, died from a combination of exhaustion, dehydration, lack of food and water and sickness.</t>
  </si>
  <si>
    <t>Faya, Chad</t>
  </si>
  <si>
    <t>Event at Faya, Chad on March 23, 2013</t>
  </si>
  <si>
    <t>http://www.iom.int/cms/render/live/en/sites/iom/home/news-and-views/press-briefing-notes/pbn-2013/pbn-listing/chadian-migrants-expelled-from-l.html</t>
  </si>
  <si>
    <t>2013-03-15T00:00:00Z</t>
  </si>
  <si>
    <t>A man and a woman are lost at sea off the coast of Tarifa after the sinking of the boat they were traveling with eight other passengers (Mar 16, 2013)</t>
  </si>
  <si>
    <t>Event at Tarifa on Mar 15, 2013</t>
  </si>
  <si>
    <t>El Pais</t>
  </si>
  <si>
    <t>http://ccaa.elpais.com/ccaa/2013/03/16/andalucia/1363437379_530495.html</t>
  </si>
  <si>
    <t>2013-03-01T00:00:00Z</t>
  </si>
  <si>
    <t>Shipwreck in the Straits of Gibraltar, off the coast of Tarifa, a small boat carrying six passengers. 2 dead, 2 missing in sea (Mar 2, 2013)</t>
  </si>
  <si>
    <t>Event at Tarifa on Mar 01, 2013</t>
  </si>
  <si>
    <t>http://ccaa.elpais.com/ccaa/2013/03/02/andalucia/1362228735_012663.html</t>
  </si>
  <si>
    <t>2013-12-13T00:00:00Z</t>
  </si>
  <si>
    <t>4Q2013</t>
  </si>
  <si>
    <t>2013 -- 12</t>
  </si>
  <si>
    <t>An undocumented migrant died from knife wounds. No other information is known.</t>
  </si>
  <si>
    <t>Parce de la Reine Astrid, Charleroi</t>
  </si>
  <si>
    <t>Homicide in Charleroi on 14 December 2013</t>
  </si>
  <si>
    <t>2013-12-07T00:00:00Z</t>
  </si>
  <si>
    <t>Died after falling from the fourth floor of his residential building during a police operation.</t>
  </si>
  <si>
    <t>Tangiers</t>
  </si>
  <si>
    <t>Event at Tangiers on December 7, 2013</t>
  </si>
  <si>
    <t>Cameroon Online</t>
  </si>
  <si>
    <t>http://www.cameroononline.org/2013/12/07/sub-saharan-africans-tangiers-revolt-migrants-death/</t>
  </si>
  <si>
    <t>2013-11-16T00:00:00Z</t>
  </si>
  <si>
    <t>2013 -- 11</t>
  </si>
  <si>
    <t>A boat capsized on its way to Greece.</t>
  </si>
  <si>
    <t>Lefkada</t>
  </si>
  <si>
    <t>Event at Lefkada on November 16, 2013</t>
  </si>
  <si>
    <t>http://www.ekathimerini.com/4dcgi/_w_articles_wsite1_1_16/11/2013_528141</t>
  </si>
  <si>
    <t>2013-11-01T00:00:00Z</t>
  </si>
  <si>
    <t>Rescuers have found the decomposed bodies of 87 people stranded in the harsh Niger desert, most of them children and some eaten by jackals.</t>
  </si>
  <si>
    <t>Algeria</t>
  </si>
  <si>
    <t>Event at Algeria on November 1, 2013</t>
  </si>
  <si>
    <t>http://www.nation.com.pk/pakistan-news-newspaper-daily-english-online/international/01-Nov-2013/bodies-of-87-migrants-found-in-niger-desert</t>
  </si>
  <si>
    <t>2013-10-11T00:00:00Z</t>
  </si>
  <si>
    <t>2013 -- 10</t>
  </si>
  <si>
    <t>At least 27 people died when a boat carrying more than 200 migrants capsized</t>
  </si>
  <si>
    <t>Event off Lampedusa on Oct 10, 2014</t>
  </si>
  <si>
    <t>2013-10-10T00:00:00Z</t>
  </si>
  <si>
    <t>Is shipwrecked off the coast of Alexandria, a boat heading in Sicily. Recovered the bodies of 12 victims, 22 passengers still missing (Oct 11, 2013)</t>
  </si>
  <si>
    <t>alexandria</t>
  </si>
  <si>
    <t>Event at Alexandria on Oct 10, 2013</t>
  </si>
  <si>
    <t>http://www.repubblica.it/solidarieta/emergenza/2013/10/11/news/profughi_dall_egitto-68401013/?ref=HREA-1</t>
  </si>
  <si>
    <t>2013-10-02T00:00:00Z</t>
  </si>
  <si>
    <t>Lampedusa, sinking boat after a fire on board, opposite the island of rabbits. According to the story of the 155 survivors, 518 passengers were traveling on the vessel. The budget of the massacre is 363 deaths (Oct 3, 2013)</t>
  </si>
  <si>
    <t>Event at Lampedusa on Oct 02, 2013</t>
  </si>
  <si>
    <t>http://palermo.repubblica.it/cronaca/2013/10/03/news/naufraga_barcone_morti_a_lampedusa-67780674/?ref=HREA-1</t>
  </si>
  <si>
    <t>2013-01-23T00:00:00Z</t>
  </si>
  <si>
    <t>2013 -- 1</t>
  </si>
  <si>
    <t>Terminally ill Canadian man, 84, was kept in handcuffs by staff at Harmondsworth removal centre until after his heart stopped.</t>
  </si>
  <si>
    <t>IDC Harmondsworth</t>
  </si>
  <si>
    <t>Death of Alois Dvorzac on 23 January 2013</t>
  </si>
  <si>
    <t>2013-01-21T00:00:00Z</t>
  </si>
  <si>
    <t>Found on the banks of the Evros River at the border between Turkey and Greece, the lifeless body of a sixteen year old frozen to death trying to cross the border (Jan 22, 2013)</t>
  </si>
  <si>
    <t>evros</t>
  </si>
  <si>
    <t>Event at Evros on Jan 21, 2013</t>
  </si>
  <si>
    <t>http://www.ekathimerini.com/4dcgi/_w_articles_wsite1_1_22/01/2013_479643</t>
  </si>
  <si>
    <t>2013-01-17T06:00:02Z</t>
  </si>
  <si>
    <t>Russian Alexander Dolmatov who had sought political asylum in the Netherlands has committed suicide while awaiting deportation to his homeland.</t>
  </si>
  <si>
    <t>Rotterdam</t>
  </si>
  <si>
    <t>Event at Rotterdam on Jan 17, 2013</t>
  </si>
  <si>
    <t>http://www.bbc.co.uk/news/world-europe-21080561</t>
  </si>
  <si>
    <t>2013-01-13T00:00:00Z</t>
  </si>
  <si>
    <t>The bodies of three castaways fished in the waters of the island of Chios (Jan 14, 2013)</t>
  </si>
  <si>
    <t>chios</t>
  </si>
  <si>
    <t>Event at Chios on Jan 13, 2013</t>
  </si>
  <si>
    <t>http://www.ekathimerini.com/4dcgi/_w_articles_wsite1_1_14/01/2013_478257</t>
  </si>
  <si>
    <t>2013-01-04T06:00:00Z</t>
  </si>
  <si>
    <t>Suicide after being arrested for lack of identification papers</t>
  </si>
  <si>
    <t>Suicide at prison in Zurich</t>
  </si>
  <si>
    <t>http://www.bildung-fuer-alle.ch/artikel/kraftvoller-protest-gegen-todesfall-polizeigef%C3%A4ngnis</t>
  </si>
  <si>
    <t>Suicide at prison after being arrested for lack of identification papers</t>
  </si>
  <si>
    <t>United</t>
  </si>
  <si>
    <t>2012-09-30T00:00:00Z</t>
  </si>
  <si>
    <t>3Q2012</t>
  </si>
  <si>
    <t>2012 -- 9</t>
  </si>
  <si>
    <t>drowned trying to swim ashore with life jacket, body found floating 33 miles from Motril (E)  (Sep 30, 2012). From Del Grande's data set (translated): The lifeless bodies of two shipwrecked sailors drowned during the crossing of the Straits of Gibraltar were recovered one to 33 miles from Motril and the other 25 miles from Cadiz (Jan 10, 2012)</t>
  </si>
  <si>
    <t>cadiz</t>
  </si>
  <si>
    <t>Event at Cadiz on Sep 30, 2012</t>
  </si>
  <si>
    <t>MUGAK/ElDia</t>
  </si>
  <si>
    <t>http://fortresseurope.blogspot.com/2012/01/spagna-trovati-i-corpi-di-2-naufraghi.html</t>
  </si>
  <si>
    <t>2012-09-17T00:00:00Z</t>
  </si>
  <si>
    <t>Ceuta, found the lifeless body of a young man drowned while crossing (Sep 18, 2012)</t>
  </si>
  <si>
    <t>Event at Ceuta on Sep 17, 2012</t>
  </si>
  <si>
    <t>http://fortresseurope.blogspot.it/2012/09/spagna-ritrovato-un-cadavere-ceuta.html</t>
  </si>
  <si>
    <t>2012-09-16T00:00:00Z</t>
  </si>
  <si>
    <t>drowned, small boat sunk off Mostaganem (DZ) was on the way to Spain (Sep 16, 2012). From Del Grande's data set (translated): Shipwreck off the coast of Mostaganem on route to Spain, 1 dead (Sep 18, 2012)</t>
  </si>
  <si>
    <t>mostaganem</t>
  </si>
  <si>
    <t>Event at Mostaganem on Sep 16, 2012</t>
  </si>
  <si>
    <t>TSA/FE</t>
  </si>
  <si>
    <t>http://fortresseurope.blogspot.it/2012/09/algeria-annega-un-ragazzo-sulla-rotta.html</t>
  </si>
  <si>
    <t>2012-09-15T00:00:00Z</t>
  </si>
  <si>
    <t>car accident near Alexandroupolis(GR),car driven by smuggler overturned during police chase (Sep 15, 2012)</t>
  </si>
  <si>
    <t>alexandroupolis</t>
  </si>
  <si>
    <t>Event at Alexandroupolis on Sep 15, 2012</t>
  </si>
  <si>
    <t>PICUM</t>
  </si>
  <si>
    <t>2012-09-13T00:00:00Z</t>
  </si>
  <si>
    <t>Fished among the rocks of the island of Linosa's lifeless body of a young man drowned (Sep 14, 2012)</t>
  </si>
  <si>
    <t>linosa</t>
  </si>
  <si>
    <t>Event at Linosa on Sep 13, 2012</t>
  </si>
  <si>
    <t>TgCom</t>
  </si>
  <si>
    <t>http://fortresseurope.blogspot.it/2012/09/linosa-ritrovato-un-cadavere-sugli.html</t>
  </si>
  <si>
    <t>2012-09-09T00:00:00Z</t>
  </si>
  <si>
    <t>body washed ashore near Galapagos beach (E), reportedly was travelling on boat from Melilla (Sep 9, 2012)</t>
  </si>
  <si>
    <t>Event at Melilla on Sep 09, 2012</t>
  </si>
  <si>
    <t>FE/SUR</t>
  </si>
  <si>
    <t>2012-09-08T00:00:00Z</t>
  </si>
  <si>
    <t>The Egyptian border police firing on the border with Israel, killing a 25-year old Eritrean (Sep 9, 2012)</t>
  </si>
  <si>
    <t>Sinai, Egypt</t>
  </si>
  <si>
    <t>Event at Sinai, Egypt on Sep 08, 2012</t>
  </si>
  <si>
    <t>Gulf News</t>
  </si>
  <si>
    <t>http://fortresseurope.blogspot.it/2012/09/egitto-ucciso-25enne-eritreo-al-confine.html</t>
  </si>
  <si>
    <t>stowaway, body fell from a plane from Angola to Heathrow, onto a street in Mortlake (GB) (Sep 8, 2012)</t>
  </si>
  <si>
    <t>heathrow</t>
  </si>
  <si>
    <t>Event at Heathrow on Sep 08, 2012</t>
  </si>
  <si>
    <t>BBC/IRR/Evening Standard/MNS</t>
  </si>
  <si>
    <t>suicide - jumped in water</t>
  </si>
  <si>
    <t>2012-09-06T00:00:00Z</t>
  </si>
  <si>
    <t>suicide, body found in River Thames (GB), he was waiting for asylum claim to be processed  (Sep 6, 2012)</t>
  </si>
  <si>
    <t>thames</t>
  </si>
  <si>
    <t>Event at Thames on Sep 06, 2012</t>
  </si>
  <si>
    <t>IRR/ZimEye</t>
  </si>
  <si>
    <t>suicide - other</t>
  </si>
  <si>
    <t>2012-09-04T05:00:00Z</t>
  </si>
  <si>
    <t>suicide, in a refugee centre in Kirchheim (D), depression due to living conditions  (Apr 8, 2012)</t>
  </si>
  <si>
    <t>kirchheim</t>
  </si>
  <si>
    <t>Event at Kirchheim on Sep 4, 2012</t>
  </si>
  <si>
    <t>RTA/INDd/VRF/Karawane</t>
  </si>
  <si>
    <t>2012-08-28T00:00:00Z</t>
  </si>
  <si>
    <t>2012 -- 8</t>
  </si>
  <si>
    <t>drowned, family of asylum seekers, shipwreck on the way from Latakia (Syria) to Cyprus (Aug 28, 2012). From Del Grande's data set (translated): Shipwreck off the coast of Northern Cyprus, Syria drowns an entire family of 7 people, including 2 children (Aug 28, 2012)</t>
  </si>
  <si>
    <t>latakia</t>
  </si>
  <si>
    <t>Event at Latakia on Aug 28, 2012</t>
  </si>
  <si>
    <t>FE/CypMail</t>
  </si>
  <si>
    <t>http://fortresseurope.blogspot.com/2012/08/famiglia-siriana-annegata-al-largo-di.html</t>
  </si>
  <si>
    <t>2012-08-25T00:00:00Z</t>
  </si>
  <si>
    <t>drowned, 10 found, 30 missing after vessel from Tripoli (LY) capsized off Libyan coasts (Aug 25, 2012). From Del Grande's data set (translated): Wreck in front of the port of Bardia, lost at sea 39 Egyptians, a sole survivor (Aug 27, 2012)</t>
  </si>
  <si>
    <t>tripoli</t>
  </si>
  <si>
    <t>Event at Tripoli on Aug 25, 2012</t>
  </si>
  <si>
    <t>MNS/FE</t>
  </si>
  <si>
    <t>http://fortresseurope.blogspot.com/2012/08/libia-39-egiziani-annegati-in-un.html</t>
  </si>
  <si>
    <t>frozen</t>
  </si>
  <si>
    <t>2012-08-22T00:00:00Z</t>
  </si>
  <si>
    <t>stowaway, found in landing gear bay of plane at Heathrow (GB), travelled from South Africa  (Aug 22, 2012)</t>
  </si>
  <si>
    <t>Event at Heathrow on Aug 22, 2012</t>
  </si>
  <si>
    <t>Guardian Un./IRR</t>
  </si>
  <si>
    <t>2012-08-18T00:00:00Z</t>
  </si>
  <si>
    <t>3 found, 36 missing after overcrowded boat sank near Libya coast on the way to Europe (Aug 18, 2012)</t>
  </si>
  <si>
    <t>libya</t>
  </si>
  <si>
    <t>Event at Libya on Aug 18, 2012</t>
  </si>
  <si>
    <t>WSLS10/FE</t>
  </si>
  <si>
    <t>2012-08-17T00:00:00Z</t>
  </si>
  <si>
    <t>body found in Evros River (TR) reportedly was migrant trying to cross into GR from Turkey (Aug 17, 2012). From Del Grande's data set (translated): Found a dead body in the waters of the Evros River at the border between Turkey and Greece (Aug 18, 2012)</t>
  </si>
  <si>
    <t>Event at Evros on Aug 17, 2012</t>
  </si>
  <si>
    <t>FE</t>
  </si>
  <si>
    <t>http://fortresseurope.blogspot.com/2012/08/grecia-crollano-gli-arrivi-un-morto.html</t>
  </si>
  <si>
    <t>2012-08-15T00:00:00Z</t>
  </si>
  <si>
    <t>drowned,reaching rescue ship after 4 days adrifting, dinghy from LY to Malta (Aug 15, 2012). From Del Grande's data set (translated): Landing in Malta, 2 passengers found dead aboard boat drifting by 4 days, 2 others drown during rescue operations (Aug 16, 2012)</t>
  </si>
  <si>
    <t>malta</t>
  </si>
  <si>
    <t>Event at Malta on Aug 15, 2012</t>
  </si>
  <si>
    <t>FE/Ansamed</t>
  </si>
  <si>
    <t>http://fortresseurope.blogspot.com/2012/08/malta-4-morti-in-mare.html</t>
  </si>
  <si>
    <t>2012-08-09T00:00:00Z</t>
  </si>
  <si>
    <t>missing, after boat of 24 migrants from Comoros capsized off the coast of Mayotte (F) (Aug 9, 2012)</t>
  </si>
  <si>
    <t>mayotte</t>
  </si>
  <si>
    <t>Event at Mayotte on Aug 09, 2012</t>
  </si>
  <si>
    <t>VOA/UN/IRR</t>
  </si>
  <si>
    <t>drowned, after boat of 24 migrants from Comoros capsized off the coast of Mayotte (F) (Aug 9, 2012)</t>
  </si>
  <si>
    <t>drowned, boat sunk off Melilla s coasts (E) (Aug 9, 2012)</t>
  </si>
  <si>
    <t>Event at Melilla on Aug 09, 2012</t>
  </si>
  <si>
    <t>FE/20Me</t>
  </si>
  <si>
    <t>2012-08-08T00:00:00Z</t>
  </si>
  <si>
    <t>missing, after boat with 36 migrants from Anjouan (Comoros) sank off Mayotte coasts (F) (Aug 8, 2012)</t>
  </si>
  <si>
    <t>Event at Mayotte on Aug 08, 2012</t>
  </si>
  <si>
    <t>Universal/AFP</t>
  </si>
  <si>
    <t>drowned, after boat 36 migrants from Anjouan-Comoros sank off the coast of Mayotte (F) (Aug 8, 2012)</t>
  </si>
  <si>
    <t>Universal/AFP/PICUM</t>
  </si>
  <si>
    <t>2012-07-31T00:00:00Z</t>
  </si>
  <si>
    <t>2012 -- 7</t>
  </si>
  <si>
    <t>drowned trying to swim ashore with a life-belt, body found on the beach in Melilla (E)  (Jul 31, 2012)</t>
  </si>
  <si>
    <t>Event at Melilla on Jul 31, 2012</t>
  </si>
  <si>
    <t>MUGAK/LV</t>
  </si>
  <si>
    <t>suicide - hanged</t>
  </si>
  <si>
    <t>2012-07-29T00:00:00Z</t>
  </si>
  <si>
    <t>suicide, hanged himself in Rotherham park (GB) after residency application was rejected (Jul 29, 2012)</t>
  </si>
  <si>
    <t>Rotherham park, UK</t>
  </si>
  <si>
    <t>Event at Rotherham Park, Uk on Jul 29, 2012</t>
  </si>
  <si>
    <t>IRR/Star</t>
  </si>
  <si>
    <t>2012-07-08T00:00:00Z</t>
  </si>
  <si>
    <t>reportedly drowned while trying to reach the coast of Sicily (I), boat is still missing (Jul 8, 2012). From Del Grande's data set (translated): Shipwreck off Lampedusa, recovered a corpse, 79 passengers lost at sea (Sep 7, 2012)</t>
  </si>
  <si>
    <t>Event at Lampedusa on Jul 08, 2012</t>
  </si>
  <si>
    <t>PICUM/MAS/LRP/FE</t>
  </si>
  <si>
    <t>http://fortresseurope.blogspot.com/2012/09/naufragio-lampedusa-1-morto-e-40.html</t>
  </si>
  <si>
    <t>2012-07-01T00:00:00Z</t>
  </si>
  <si>
    <t>died of hypothermia in Health Centre of Soufli after crossing Evros River to enter Greece (Jul 1, 2012)</t>
  </si>
  <si>
    <t>Event at Evros on Jul 01, 2012</t>
  </si>
  <si>
    <t>PICUM/Skai</t>
  </si>
  <si>
    <t>2012-06-29T00:00:00Z</t>
  </si>
  <si>
    <t>2Q2012</t>
  </si>
  <si>
    <t>2012 -- 6</t>
  </si>
  <si>
    <t/>
  </si>
  <si>
    <t>Death of Mamadou Kamara on June 29, 2012</t>
  </si>
  <si>
    <t>asylum seeker, allegedly beaten to death in police custody in Safi (M);arrived dead in hospital (Jun 29, 2012)</t>
  </si>
  <si>
    <t>safi</t>
  </si>
  <si>
    <t>Event at Safi on Jun 29, 2012</t>
  </si>
  <si>
    <t>EUobserver/MaltaToday/MaltaStar/TimesM</t>
  </si>
  <si>
    <t>2012-06-28T00:00:00Z</t>
  </si>
  <si>
    <t>died in a detention centre in Malta, presumably maltreated by Armed Forces while in custody (Jun 28, 2012)</t>
  </si>
  <si>
    <t>Event at Malta on Jun 28, 2012</t>
  </si>
  <si>
    <t>TimesM/MaltaToday/FR-H</t>
  </si>
  <si>
    <t>drowned, found in advanced state of decomposition, was from shipwreck off Leuca coast (I) (Jun 28, 2012). From Del Grande's data set (translated): They were hiding under a truck to board the Superfast ferry from Patras (Greece) to Ancona. But at the time of landing were found dead, suffocated on the way (Jun 23, 2012)</t>
  </si>
  <si>
    <t>leuca</t>
  </si>
  <si>
    <t>Event at Leuca on Jun 28, 2012</t>
  </si>
  <si>
    <t>LR/FE</t>
  </si>
  <si>
    <t>2012-06-22T00:00:00Z</t>
  </si>
  <si>
    <t>stowaways, died of asphyxiation and heat inside a truck on Greece to Ancona (I) ferry (Jun 22, 2012)</t>
  </si>
  <si>
    <t>ancona</t>
  </si>
  <si>
    <t>Event at Ancona on Jun 22, 2012</t>
  </si>
  <si>
    <t>PICUM/Infomob/FE/LR</t>
  </si>
  <si>
    <t>2012-06-18T00:00:00Z</t>
  </si>
  <si>
    <t>missing, reportedly drowned, small boat sailing from North Africa capsized off Leuca coast(I) (Jun 18, 2012)</t>
  </si>
  <si>
    <t>Event at Leuca on Jun 18, 2012</t>
  </si>
  <si>
    <t>PICUM/LRB/FE/Infomob</t>
  </si>
  <si>
    <t>2012-06-11T00:00:00Z</t>
  </si>
  <si>
    <t>died of dehydration on stricken vessel of 53 migrants then rescued off Moroccan coast (Jun 11, 2012)</t>
  </si>
  <si>
    <t>morocco</t>
  </si>
  <si>
    <t>Event at Morocco on Jun 11, 2012</t>
  </si>
  <si>
    <t>2012-06-08T00:00:00Z</t>
  </si>
  <si>
    <t>drowned, overcrowded boat from Ahmetbeyli (TR) sank off Aegean coat, 46 survivors (Jun 8, 2012)</t>
  </si>
  <si>
    <t>ahmetbeyli</t>
  </si>
  <si>
    <t>Event at Ahmetbeyli on Jun 08, 2012</t>
  </si>
  <si>
    <t>Reu/AFP/Le Monde/Migreurop/SP/MNS/FE</t>
  </si>
  <si>
    <t>drowned, overcrowded boat from Ahmetbeyli (TR) sank off Aegean coast, 46 survivors (Jun 8, 2012)</t>
  </si>
  <si>
    <t>drowned, 1 found, 63 missing shipwreck near the island of Lampione (I) (Jun 8, 2012). From Del Grande's data set (translated): Shipwreck in Izmir on the route to the Greek Islands, 58 dead passengers (Sep 6, 2012)</t>
  </si>
  <si>
    <t>izmir</t>
  </si>
  <si>
    <t>Event at Izmir on Jun 08, 2012</t>
  </si>
  <si>
    <t>MNS/FE/Migreurop</t>
  </si>
  <si>
    <t>http://fortresseurope.blogspot.com/2012/09/turchia-naufragio-izmir-58-morti.html</t>
  </si>
  <si>
    <t>2012-06-01T00:00:00Z</t>
  </si>
  <si>
    <t>stowaway, died of asphyxiation in truck on way to Igoumenitsa (GR), a port leading to Italy (Jun 1, 2012). From Del Grande's data set (translated): Found along the road to Igoumenitsa the lifeless bodies of three boys suffocated, probably abandoned by a trucker direct to the port of Igoumenitsa to the ferries to Italy (Feb 8, 2012)</t>
  </si>
  <si>
    <t>igoumenitsa</t>
  </si>
  <si>
    <t>Event at Igoumenitsa on Jun 01, 2012</t>
  </si>
  <si>
    <t>PICUM/TVXS/MNS</t>
  </si>
  <si>
    <t>http://fortresseurope.blogspot.com/2012/02/grecia-3-afghani-morti-asfissiati-in-un.html</t>
  </si>
  <si>
    <t>2012-05-25T00:00:00Z</t>
  </si>
  <si>
    <t>2012 -- 5</t>
  </si>
  <si>
    <t>drowned, after an inflatable dinghy on way to Italy started to deflate off the coast of Lybia   (May 25, 2012). From Del Grande's data set (translated): At least 10 missing in the sea off the coast of Libya. Rescued by two merchant ships, the survivors were rejected (May 26, 2012)</t>
  </si>
  <si>
    <t>Event at Libya on May 25, 2012</t>
  </si>
  <si>
    <t>Migreurop/LRP</t>
  </si>
  <si>
    <t>http://fortresseurope.blogspot.it/2012/05/10-dispersi-nel-canale-di-sicilia.html</t>
  </si>
  <si>
    <t>2012-05-24T00:00:00Z</t>
  </si>
  <si>
    <t>at least 10 people missing after dinghy from Libya to Italy capsized in the Sicilian Channel (May 24, 2012). From Del Grande's data set (translated): Found a corpse in the sea in front of the island of Streetlight, in Lampedusa (May 25, 2012)</t>
  </si>
  <si>
    <t>Event at Lampedusa on May 24, 2012</t>
  </si>
  <si>
    <t>LR/Fe</t>
  </si>
  <si>
    <t>http://fortresseurope.blogspot.it/2012/05/lampedusa-ritrovato-un-cadavere-in-mare.html</t>
  </si>
  <si>
    <t>body in advanced state of decomposition washed ashore off Lampione Island (I) (May 24, 2012)</t>
  </si>
  <si>
    <t>lampione</t>
  </si>
  <si>
    <t>Event at Lampione on May 24, 2012</t>
  </si>
  <si>
    <t>FE/ANSA</t>
  </si>
  <si>
    <t>2012-05-18T00:00:00Z</t>
  </si>
  <si>
    <t>missing, after boat of 43 migrants sank off the coast of Mayotte (F) (May 18, 2012)</t>
  </si>
  <si>
    <t>Event at Mayotte on May 18, 2012</t>
  </si>
  <si>
    <t>Le Monde/AFP/Migreurop</t>
  </si>
  <si>
    <t>drowned, after boat of 43 migrants sank off the coast of Mayotte (F) (May 18, 2012)</t>
  </si>
  <si>
    <t>2012-05-07T00:00:00Z</t>
  </si>
  <si>
    <t>Landing on the island, the survivors tell of 7 passengers died of starvation during the journey, their bodies were abandoned at sea (May 8, 2012)</t>
  </si>
  <si>
    <t>Event at Malta on May 07, 2012</t>
  </si>
  <si>
    <t>http://fortresseurope.blogspot.co.uk/2012/05/malta-sbarco-sulla-spiaggia-dei-turisti.html</t>
  </si>
  <si>
    <t>2012-05-06T00:00:00Z</t>
  </si>
  <si>
    <t>drowned, shipwreck off Monastir (TN) on the way to Italy, border guards could save 22 (May 6, 2012). From Del Grande's data set (translated): Shipwreck off the coast of Monastir, recovered the bodies of three passengers in the boat directly in Sicily (Jul 6, 2012)</t>
  </si>
  <si>
    <t>monastir</t>
  </si>
  <si>
    <t>Event at Monastir on May 06, 2012</t>
  </si>
  <si>
    <t>TNNum</t>
  </si>
  <si>
    <t>http://fortresseurope.blogspot.it/2012/07/tunisia-naufragio-monastir-3-morti-in.html</t>
  </si>
  <si>
    <t>2012-05-02T00:00:00Z</t>
  </si>
  <si>
    <t>drowned, body found floating in Tajo-Segura Channel, in the town of Torre-Pacheco (E) (May 2, 2012)</t>
  </si>
  <si>
    <t>torre</t>
  </si>
  <si>
    <t>Event at Torre on May 02, 2012</t>
  </si>
  <si>
    <t>MUGAK/Raz</t>
  </si>
  <si>
    <t>2012-04-30T00:00:00Z</t>
  </si>
  <si>
    <t>2012 -- 4</t>
  </si>
  <si>
    <t>reportedly lack of medical help after asked for assistance in Barcelona s detention centre (E)  (Apr 30, 2012)</t>
  </si>
  <si>
    <t>barcelona</t>
  </si>
  <si>
    <t>Event at Barcelona on Apr 30, 2012</t>
  </si>
  <si>
    <t>IRR/MUGAK/LV/18Des/EP/EPress</t>
  </si>
  <si>
    <t>2012-04-28T00:00:00Z</t>
  </si>
  <si>
    <t>died in car accident while trying to escape a FRONTEX control (Apr 28, 2012). From Del Grande's data set (translated): Tracking the border with Turkey, Lykofos. A car fleeing Frontex patrols loses control and crashes. The accident killed 3 people who were attempting to cross the border (Apr 29, 2012)</t>
  </si>
  <si>
    <t>lykofos</t>
  </si>
  <si>
    <t>Event at Lykofos on Apr 28, 2012</t>
  </si>
  <si>
    <t>Migreurop/KTG/TF1/PICUM/Clandestina/Age/Skai/Ta Nea/ERT</t>
  </si>
  <si>
    <t>http://fortresseurope.blogspot.co.uk/2012/04/grecia-in-fuga-da-pattuglie-frontex-3.html</t>
  </si>
  <si>
    <t>2012-04-27T00:00:00Z</t>
  </si>
  <si>
    <t>drowned, after being thrown off a boat of 80 by smugglers when a patrol boat approached (Apr 27, 2012). From Del Grande's data set (translated): Landing at Licata, Agrigento, a sixteen year old drowns Egyptian (Apr 28, 2012)</t>
  </si>
  <si>
    <t>agrigento</t>
  </si>
  <si>
    <t>Event at Agrigento on Apr 27, 2012</t>
  </si>
  <si>
    <t>http://fortresseurope.blogspot.co.uk/2012/04/sicilia-sedicenne-annegato-in-uno.html</t>
  </si>
  <si>
    <t>2012-04-25T00:00:00Z</t>
  </si>
  <si>
    <t>drowned, after being thrown overboard by smugglers dozens of meters from Calabria s coast (Apr 25, 2012)</t>
  </si>
  <si>
    <t>Event at Calabria on Apr 25, 2012</t>
  </si>
  <si>
    <t>LR/Migreurop/PUCUM/FE</t>
  </si>
  <si>
    <t>2012-04-03T00:00:00Z</t>
  </si>
  <si>
    <t>Drifting boat rescued off Lampedusa, the survivors tell of 10 passengers died of starvation during the journey and abandoned at sea (Apr 4, 2012)</t>
  </si>
  <si>
    <t>Event at Lampedusa on Apr 03, 2012</t>
  </si>
  <si>
    <t>AGI</t>
  </si>
  <si>
    <t>http://fortresseurope.blogspot.co.uk/2012/04/sicilia-10-dispersi-nella-traversata.html</t>
  </si>
  <si>
    <t>2012-03-30T00:00:00Z</t>
  </si>
  <si>
    <t>1Q2012</t>
  </si>
  <si>
    <t>2012 -- 3</t>
  </si>
  <si>
    <t>died from dehydration on a rubber dinghy of 58 migrants during the voyage from Libya to I (Mar 30, 2012)</t>
  </si>
  <si>
    <t>Event at Libya on Mar 30, 2012</t>
  </si>
  <si>
    <t>Migreurop/AFP</t>
  </si>
  <si>
    <t>2012-03-28T00:00:00Z</t>
  </si>
  <si>
    <t>body found in an advanced state of decay in the rural area of Tichero, Evros Prefecture (GR) (Mar 28, 2012)</t>
  </si>
  <si>
    <t>Event at Evros on Mar 28, 2012</t>
  </si>
  <si>
    <t>PICUM/Age/Clandestina</t>
  </si>
  <si>
    <t>2012-03-16T00:00:00Z</t>
  </si>
  <si>
    <t>drowned while trying to cross Evros River to enter GR, body found in area of Nea Vissa (Mar 16, 2012)</t>
  </si>
  <si>
    <t>Event at Evros on Mar 16, 2012</t>
  </si>
  <si>
    <t>PICUM/Age</t>
  </si>
  <si>
    <t>2012-03-15T00:00:00Z</t>
  </si>
  <si>
    <t>found in boat of 57 on way to Lampedusa (I) rescued by Italian authorities in Libian waters (Mar 15, 2012). From Del Grande's data set (translated): 5 found dead in a boat rescued 70 miles off Lampedusa (Mar 17, 2012)</t>
  </si>
  <si>
    <t>Event at Lampedusa on Mar 15, 2012</t>
  </si>
  <si>
    <t>PICUM/LR/jW</t>
  </si>
  <si>
    <t>http://fortresseurope.blogspot.com/2012/03/lampedusa-5-morti-su-una-barca-soccorsa.html</t>
  </si>
  <si>
    <t>2012-03-14T00:00:00Z</t>
  </si>
  <si>
    <t>drowned while trying to cross Evros River to enter GR, body found near river in area of Soufli (Mar 14, 2012)</t>
  </si>
  <si>
    <t>Event at Evros on Mar 14, 2012</t>
  </si>
  <si>
    <t>2012-02-29T00:00:00Z</t>
  </si>
  <si>
    <t>2012 -- 2</t>
  </si>
  <si>
    <t>undocumented migrant found in container which he used as shelter close to Thiva (GR) (Feb 29, 2012)</t>
  </si>
  <si>
    <t>thiva</t>
  </si>
  <si>
    <t>Event at Thiva on Feb 29, 2012</t>
  </si>
  <si>
    <t>2012-02-28T00:00:00Z</t>
  </si>
  <si>
    <t>died of hypothermia, body found in a warehouse in the area of Korinthia (GR) (Feb 28, 2012)</t>
  </si>
  <si>
    <t>korinthia</t>
  </si>
  <si>
    <t>Event at Korinthia on Feb 28, 2012</t>
  </si>
  <si>
    <t>PICUM/Proto</t>
  </si>
  <si>
    <t>young girl and her grandfather missing after boat overturned while crossing Evros River (GR) (Feb 28, 2012)</t>
  </si>
  <si>
    <t>Event at Evros on Feb 28, 2012</t>
  </si>
  <si>
    <t>PICUM/Infomob/Ta Nea/Skai</t>
  </si>
  <si>
    <t>2012-02-20T00:00:00Z</t>
  </si>
  <si>
    <t>drowned while trying to enter Ceuta (E) by swimming along the coast from Morocco  (Feb 20, 2012). From Del Grande's data set (translated): The Moroccan police found the corpse of a drowned boy trying to bypass the border with Ceuta swimming (Feb 22, 2012)</t>
  </si>
  <si>
    <t>Event at Ceuta on Feb 20, 2012</t>
  </si>
  <si>
    <t>http://fortresseurope.blogspot.com/2012/02/ceuta-muore-tentando-di-passare-la.html</t>
  </si>
  <si>
    <t>died of hypothermia while trying to leave TR via Evros River, body found near Orestiada (GR) (Feb 20, 2012)</t>
  </si>
  <si>
    <t>Event at Evros on Feb 20, 2012</t>
  </si>
  <si>
    <t>PICUM/Infomob/Skai/Clandestina</t>
  </si>
  <si>
    <t>body found by border guards in the Evros River (GR) (Feb 20, 2012)</t>
  </si>
  <si>
    <t>MNS</t>
  </si>
  <si>
    <t>2012-02-04T00:00:00Z</t>
  </si>
  <si>
    <t>stowaway, suffocated in a truck into which he had hidden to avoid the border police checks (Feb 4, 2012). From Del Grande's data set (translated): Venice, found dead an Afghan boy hidden aboard a ferry line started from Greece (May 2, 2012)</t>
  </si>
  <si>
    <t>venice</t>
  </si>
  <si>
    <t>Event at Venice on Feb 04, 2012</t>
  </si>
  <si>
    <t>Migreurop/PICUM/AdnK/MP</t>
  </si>
  <si>
    <t>http://fortresseurope.blogspot.co.uk/2012/04/ragazzi-di-tunisi-dispersi-al-largo-di.html</t>
  </si>
  <si>
    <t>2012-02-02T00:00:00Z</t>
  </si>
  <si>
    <t>drowned, bodies carrying life jacket found in the sea near the Bay of Melilla (E) (Feb 2, 2012). From Del Grande's data set (translated): Found at the entrance of the port of Melilla, the bodies of two young men drowned (Mar 2, 2012)</t>
  </si>
  <si>
    <t>Event at Melilla on Feb 02, 2012</t>
  </si>
  <si>
    <t>MUGAK/Raz/Diario de Noticias/ElDia/SUR/VDG</t>
  </si>
  <si>
    <t>http://fortresseurope.blogspot.com/2012/03/spagna-morti-annegati-2-ragazzi-melilla.html</t>
  </si>
  <si>
    <t>The Spanish Civil Guard claims to have recovered in the waters of the Strait of Gibraltar, the bodies of 29 castaways in 2011 (Feb 3, 2012)</t>
  </si>
  <si>
    <t>gibraltar</t>
  </si>
  <si>
    <t>Event at Gibraltar on Feb 02, 2012</t>
  </si>
  <si>
    <t>http://fortresseurope.blogspot.com/2012/02/spagna-29-cadaveri-ripescati-in-mare.html</t>
  </si>
  <si>
    <t>2012-12-14T00:00:00Z</t>
  </si>
  <si>
    <t>Shipwreck in the waters of the island of Lesvos, Eastern Aegean, 20 people die, 7 others were scattered at sea (Dec 15, 2012)</t>
  </si>
  <si>
    <t>lesvos</t>
  </si>
  <si>
    <t>Event at Lesvos on Dec 14, 2012</t>
  </si>
  <si>
    <t>http://www.repubblica.it/esteri/2012/12/15/news/grecia_naufraga_barcone_di_migranti_sedici_morti_e_undici_dispersi-48800854/?ref=search</t>
  </si>
  <si>
    <t>2012-12-12T00:00:00Z</t>
  </si>
  <si>
    <t>During a chase at sea in the Canary Islands, off the coast of Lanzarote, the Spanish coast guard patrol boat of ramming a boat with 25 passengers on board, causing 1 dead and 7 missing (Dec 13, 2012)</t>
  </si>
  <si>
    <t>lanzarote</t>
  </si>
  <si>
    <t>Event at Lanzarote on Dec 12, 2012</t>
  </si>
  <si>
    <t>http://politica.elpais.com/politica/2012/12/13/actualidad/1355400561_102722.html</t>
  </si>
  <si>
    <t>2012-12-07T00:00:00Z</t>
  </si>
  <si>
    <t>unknown, body found near Wimereux (FR) beach in wetsuit, trying to swim Channel to GB (Dec 7, 2012)</t>
  </si>
  <si>
    <t>wimereux</t>
  </si>
  <si>
    <t>Event at Wimereux on Dec 07, 2012</t>
  </si>
  <si>
    <t>IRR/Mail Online/21Miles/DailyRec/ThisIsKent</t>
  </si>
  <si>
    <t>2012-12-06T00:00:00Z</t>
  </si>
  <si>
    <t>stowaway, died of asphyxia found under a truck inside the ferry to Venice (I) from GR (Dec 6, 2012). From Del Grande's data set (translated): Found in a greek ferry to the port of Venice's lifeless body of a young man suffocated under the truck where he was hiding to embark at the port of Igoumenitsa (Jul 12, 2012)</t>
  </si>
  <si>
    <t>Event at Venice on Dec 06, 2012</t>
  </si>
  <si>
    <t>CDS/FE</t>
  </si>
  <si>
    <t>http://fortresseurope.blogspot.it/2012/07/venezia-un-morto-sul-traghetto-dalla.html</t>
  </si>
  <si>
    <t>2012-12-03T00:00:00Z</t>
  </si>
  <si>
    <t>suicide, killed himself in the Netherlands in fear of being deported with his two children (Dec 3, 2012)</t>
  </si>
  <si>
    <t>netherlands</t>
  </si>
  <si>
    <t>Event at Netherlands on Dec 03, 2012</t>
  </si>
  <si>
    <t>DutchN/Migreurop/RNW/PICUM/ENAR</t>
  </si>
  <si>
    <t>2012-12-02T00:00:00Z</t>
  </si>
  <si>
    <t>rolled over by the truck he tried to hide under to leave Greece, near the new port in Patras (Dec 2, 2012)</t>
  </si>
  <si>
    <t>patras</t>
  </si>
  <si>
    <t>Event at Patras on Dec 02, 2012</t>
  </si>
  <si>
    <t>PICUM/patrasT</t>
  </si>
  <si>
    <t>2012-12-01T00:00:00Z</t>
  </si>
  <si>
    <t>A woman was found dead in a field in Greece.</t>
  </si>
  <si>
    <t>A field in Northern Greece</t>
  </si>
  <si>
    <t>Woman froze to death in Greece in December 2012</t>
  </si>
  <si>
    <t>2012-11-30T00:00:00Z</t>
  </si>
  <si>
    <t>2012 -- 11</t>
  </si>
  <si>
    <t>missing after 2 plastic boats trying to cross the border GR-TR via the Evros River overturned (Nov 30, 2012)</t>
  </si>
  <si>
    <t>Event at Evros on Nov 30, 2012</t>
  </si>
  <si>
    <t>PICUM/ClandestinE/Infomob/TK/MNS</t>
  </si>
  <si>
    <t>2012-11-12T06:00:00Z</t>
  </si>
  <si>
    <t>Suicide in custody on warrant of deportation</t>
  </si>
  <si>
    <t>Suicide in prison near Zurich</t>
  </si>
  <si>
    <t>http://www.amnesty.ch/de/themen/asyl-migration/asylpolitik-schweiz/dok/2012/suizid-in-ausschaffungshaft-amnesty-international-fordert-eine-unabhaengige-untersuchung</t>
  </si>
  <si>
    <t>Detainee commits suicide in custody on warrant of deportation</t>
  </si>
  <si>
    <t>2012-11-08T00:00:00Z</t>
  </si>
  <si>
    <t>The Spanish Coast Guard has suspended the search for 3 missing in the Strait of Gibraltar off the coast of Tarifa (Nov 9, 2012)</t>
  </si>
  <si>
    <t>Event at Tarifa on Nov 08, 2012</t>
  </si>
  <si>
    <t>http://fortresseurope.blogspot.it/2012/11/spagna-sospese-ricerche-di-3-dispersi.html</t>
  </si>
  <si>
    <t>A merchant ship passing through the Strait of Gibraltar, has rescued the lifeless body of a young boy drowned in the crossing to Spain, 12 miles southwest of Tarifa (Nov 9, 2012)</t>
  </si>
  <si>
    <t>Sur</t>
  </si>
  <si>
    <t>http://fortresseurope.blogspot.it/2012/11/spagna-recuperato-un-cadavere-al-largo.html</t>
  </si>
  <si>
    <t>2012-11-06T00:00:00Z</t>
  </si>
  <si>
    <t>The sea of __Lampedusa returns the lifeless body of a boy, perhaps one of the passengers of the boat wrecked off the island in September (Nov 7, 2012)</t>
  </si>
  <si>
    <t>Event at Lampedusa on Nov 06, 2012</t>
  </si>
  <si>
    <t>http://fortresseurope.blogspot.it/2012/11/lampedusa-trovato-un-altro-cadavere.html</t>
  </si>
  <si>
    <t>2012-11-05T00:00:00Z</t>
  </si>
  <si>
    <t>At least 89 travelers drowned in the waters of the Strait of Gibraltar in the week between October 26 and November 6, 2012, of which 31 are from Senegal. The figures were released by the Moroccan authorities. Six survivors landed in Spain have reported seeing others die 54 passengers vessel. Nineteen dead bodies were found in Tangier in addition to the 14 dead found from Rescue Maritimo on October 26 and the other two bodies fished out by the Spanish authorities the next day (Nov 6, 2012)</t>
  </si>
  <si>
    <t>tangier</t>
  </si>
  <si>
    <t>Event at Tangier on Nov 05, 2012</t>
  </si>
  <si>
    <t>MUA</t>
  </si>
  <si>
    <t>http://fortresseurope.blogspot.it/2012/11/marocco-89-morti-in-una-settimana-nello.html</t>
  </si>
  <si>
    <t>2012-11-04T00:00:00Z</t>
  </si>
  <si>
    <t>Found the lifeless body of a young boy drowned in the sea of __Ceuta, after he tried to swim to the Spanish enclave (Nov 5, 2012)</t>
  </si>
  <si>
    <t>Event at Ceuta on Nov 04, 2012</t>
  </si>
  <si>
    <t>La Voz de Galicia</t>
  </si>
  <si>
    <t>http://fortresseurope.blogspot.it/2012/11/spagna-un-30enne-morto-annegato-ceuta.html</t>
  </si>
  <si>
    <t>2012-11-03T00:00:00Z</t>
  </si>
  <si>
    <t>Shipwreck on the route to Lampedusa, 35 miles north of the Libyan coast. Recovered the bodies of 11 passengers drowned (Nov 4, 2012)</t>
  </si>
  <si>
    <t>Event at Lampedusa on Nov 03, 2012</t>
  </si>
  <si>
    <t>http://fortresseurope.blogspot.it/2012/11/libia-11-morti-140-miglia-sud-di.html</t>
  </si>
  <si>
    <t>2012-10-30T00:00:00Z</t>
  </si>
  <si>
    <t>2012 -- 10</t>
  </si>
  <si>
    <t>Ghanaian detainees put out a statement following the death that made a number of serious allegations about what happened to Prince Ofosu and about the poor treatment of others at the centre. They allege that guards at the centre restrained Prince while in the ‚Äòblock‚Äô (segregation unit) and that he had been held in his cell without heating and naked.</t>
  </si>
  <si>
    <t>Harmondsworth IRC</t>
  </si>
  <si>
    <t>Death at Harmondsworth IRC on 30 October 2012</t>
  </si>
  <si>
    <t>IRR</t>
  </si>
  <si>
    <t>2012-10-28T00:00:00Z</t>
  </si>
  <si>
    <t>In recent weeks the fishermen of Lampedusa have found two bodies in the sea. It is the missing of the sinking of September 6, 8 dead bodies have so far been fished out (Oct 29, 2012)</t>
  </si>
  <si>
    <t>Event at Lampedusa on Oct 28, 2012</t>
  </si>
  <si>
    <t>http://fortresseurope.blogspot.it/2012/10/lampedusa-i-pescatori-trovano-2.html</t>
  </si>
  <si>
    <t>2012-10-24T00:00:00Z</t>
  </si>
  <si>
    <t>drowned, 14 found, 40 missing, boat to E sunk off Al Huceima (MA), Frontex did not rescue (Oct 24, 2012). From Del Grande's data set (translated): Shipwreck in the Alboran Sea, off the coast of Al Hoceima. Recovered 14 bodies, other 4 passengers are dispersed (Oct 26, 2012)</t>
  </si>
  <si>
    <t>Al Huceima</t>
  </si>
  <si>
    <t>Event at Al Huceima on Oct 24, 2012</t>
  </si>
  <si>
    <t>FFM/Acoge/FE/Que/VK</t>
  </si>
  <si>
    <t>http://fortresseurope.blogspot.it/2012/10/spagna-14-morti-e-4-dispersi-in-un.html</t>
  </si>
  <si>
    <t>2012-10-22T00:00:00Z</t>
  </si>
  <si>
    <t>drowned, body washed ashore off Punta Almina (E) reportedly fell into the sea way from MA (Oct 22, 2012). From Del Grande's data set (translated): Recovered the corpse of a young man drowned off the coast of Punta Almina, in southern Spain (Oct 23, 2012)</t>
  </si>
  <si>
    <t>Event at Punta on Oct 22, 2012</t>
  </si>
  <si>
    <t>ABC/FE</t>
  </si>
  <si>
    <t>http://fortresseurope.blogspot.it/2012/10/spagna-ripescato-un-cadavere-punta.html</t>
  </si>
  <si>
    <t>2012-10-09T00:00:00Z</t>
  </si>
  <si>
    <t>Shipwreck in Melilla. Recovered the body of a 4 year old girl on the beach Galapagos. Remain missing 1 child and 3 women (Oct 10, 2012)</t>
  </si>
  <si>
    <t>Event at Melilla on Oct 09, 2012</t>
  </si>
  <si>
    <t>http://fortresseurope.blogspot.it/2012/10/spagna-naufragio-melilla-muore-una.html</t>
  </si>
  <si>
    <t>2012-10-06T00:00:00Z</t>
  </si>
  <si>
    <t>dehydration, dinghy adrift for 15 days on the way from LY to I, reached Tunisian coasts (Oct 6, 2012). From Del Grande's data set (translated): After 15 days adrift, is rescued off the Tunisian coast the sole survivor of a crew departed from Libya to Lampedusa. The other 54 passengers dead (Jul 10, 2012)</t>
  </si>
  <si>
    <t>Event at Lampedusa on Oct 06, 2012</t>
  </si>
  <si>
    <t>LR/MUGAK/EP/ELC/LV/PICUM/UNHCR/HRW/ABC/DNA/Diario de Noticias/Deia/gara.net/VDG/watchthemed/MNS</t>
  </si>
  <si>
    <t>http://fortresseurope.blogspot.it/2012/07/libia-54-dispersi-in-mare-sud-di.html</t>
  </si>
  <si>
    <t>2012-10-01T00:00:00Z</t>
  </si>
  <si>
    <t>died of hypothermia while trying to cross Evros River to enter GR, body found near Tichero (Oct 1, 2012)</t>
  </si>
  <si>
    <t>Event at Evros on Oct 01, 2012</t>
  </si>
  <si>
    <t>PICUM/Rizo</t>
  </si>
  <si>
    <t>2012-01-31T00:00:00Z</t>
  </si>
  <si>
    <t>2012 -- 1</t>
  </si>
  <si>
    <t>died from smoke inhalation from fire lit in tin can to keep warm inside abandoned truck (GR) (Jan 31, 2012)</t>
  </si>
  <si>
    <t>Greece</t>
  </si>
  <si>
    <t>Event at Greece on Jan 31, 2012</t>
  </si>
  <si>
    <t>MNS/PICUM</t>
  </si>
  <si>
    <t>2012-01-29T00:00:00Z</t>
  </si>
  <si>
    <t>died of hypothermia trying to cross Evros River (GR) with 14 migrants who were rescued (Jan 29, 2012). From Del Grande's data set (translated): One dead and six missing in the waters of the Evros River at the border between Turkey and Greece (Jan 30, 2012)</t>
  </si>
  <si>
    <t>Event at Evros on Jan 29, 2012</t>
  </si>
  <si>
    <t>PICUM/Clandestina/Skai/ToV</t>
  </si>
  <si>
    <t>http://fortresseurope.blogspot.com/2012/01/grecia-un-morto-e-6-dispersi-sul.html</t>
  </si>
  <si>
    <t>2012-01-28T00:00:00Z</t>
  </si>
  <si>
    <t>suicide, hanged himself with a sheet in asylum seekers centre in W√ºrzburg (D) (Jan 28, 2012)</t>
  </si>
  <si>
    <t>wurzburg</t>
  </si>
  <si>
    <t>Event at Wurzburg on Jan 28, 2012</t>
  </si>
  <si>
    <t>FR-BW/INDd/ARD/</t>
  </si>
  <si>
    <t>suicide, found hanged in asylum seekers house in Wurzburg (D), was in cure for depression (Jan 28, 2012)</t>
  </si>
  <si>
    <t>HRS/SD/MainP/U4IB/SOS/Karawane</t>
  </si>
  <si>
    <t>2012-01-27T00:00:00Z</t>
  </si>
  <si>
    <t>Were hidden in a truck headed to the place of embarkation for the Italian coast, while 5 have died in a road accident (Jan 28, 2012)</t>
  </si>
  <si>
    <t>italian coast</t>
  </si>
  <si>
    <t>Event at Italian Coast on Jan 27, 2012</t>
  </si>
  <si>
    <t>http://fortresseurope.blogspot.com/2012/01/grecia-5-morti-sulla-rotta-per-litalia.html</t>
  </si>
  <si>
    <t>2012-01-24T00:00:00Z</t>
  </si>
  <si>
    <t>drowned, after their vessel of 55 migrants sank, bodies found off the coast of Misrata (LY) (Jan 24, 2012). From Del Grande's data set (translated): 15 corpses found in the waters between Zliten and Misrata after the wreck last week, still lost at sea 40 of the 55 passengers (Jan 28, 2012)</t>
  </si>
  <si>
    <t>misrata</t>
  </si>
  <si>
    <t>Event at Misrata on Jan 24, 2012</t>
  </si>
  <si>
    <t>http://fortresseurope.blogspot.com/2012/01/libia-ritrovati-15-corpi-dopo-il.html</t>
  </si>
  <si>
    <t>2012-01-21T00:00:00Z</t>
  </si>
  <si>
    <t>A man and a woman killed by Egyptian border police gunfire to the border with Israel in Sinai (Jan 22, 2012)</t>
  </si>
  <si>
    <t>Event at Sinai, Egypt on Jan 21, 2012</t>
  </si>
  <si>
    <t>http://fortresseurope.blogspot.com/2012/01/egitto-un-uomo-e-una-donna-uccisi-nel.html</t>
  </si>
  <si>
    <t>body found floating in an advanced state of decomposition 7 miles from Cabo de Palos (E) (Jan 21, 2012)</t>
  </si>
  <si>
    <t>palos</t>
  </si>
  <si>
    <t>Event at Palos on Jan 21, 2012</t>
  </si>
  <si>
    <t>MUGAK/Verdad</t>
  </si>
  <si>
    <t>2012-01-19T00:00:00Z</t>
  </si>
  <si>
    <t>Found the bodies of four people drowned in Nador and Melilla trying to swim across the border with the Spanish enclave of Melilla, Morocco (Jan 20, 2012)</t>
  </si>
  <si>
    <t>Event at Melilla on Jan 19, 2012</t>
  </si>
  <si>
    <t>Abcds</t>
  </si>
  <si>
    <t>http://fortresseurope.blogspot.com/2012/01/marocco-4-ragazzi-annegati-tra-nador-e.html</t>
  </si>
  <si>
    <t>2012-01-14T00:00:00Z</t>
  </si>
  <si>
    <t>missing after shipwreck of a boat part of a group of 4 boats on the way from LY to I (Jan 14, 2012)</t>
  </si>
  <si>
    <t>Event at Libya on Jan 14, 2012</t>
  </si>
  <si>
    <t>PICUM/FE/TimesM/AFP/jW</t>
  </si>
  <si>
    <t>found dead alone in shipwrecked boat that was part of group of 4 boats on way from LY to I (Jan 14, 2012)</t>
  </si>
  <si>
    <t>bodies found on Libyan beaches after shipwreck of boat part of 4 boats group on way to I (Jan 14, 2012). From Del Grande's data set (translated): Found off the coast of Khums a boat carrying a corpse. It is a boat that was reported missing from a week. No trace of the other 54 passengers on board, feared drowned in sea (Jan 17, 2012)</t>
  </si>
  <si>
    <t>libyan</t>
  </si>
  <si>
    <t>Event at Libyan on Jan 14, 2012</t>
  </si>
  <si>
    <t>http://fortresseurope.blogspot.com/2012/01/libia-55-dispersi-sulla-rotta-per.html</t>
  </si>
  <si>
    <t>2012-01-09T00:00:00Z</t>
  </si>
  <si>
    <t>fell from 5th floor escaping police controlling for noise at birthday party, was undocumented (Jan 9, 2012)</t>
  </si>
  <si>
    <t>cyprus</t>
  </si>
  <si>
    <t>Event at Cyprus on Jan 09, 2012</t>
  </si>
  <si>
    <t>CypMail</t>
  </si>
  <si>
    <t>Found the body of a young man drowned trying to swim around the border of Melilla, the Spanish enclave in Morocco, at the height of Horcas Coloradas (Jan 10, 2012)</t>
  </si>
  <si>
    <t>Event at Melilla on Jan 09, 2012</t>
  </si>
  <si>
    <t>http://fortresseurope.blogspot.com/2012/01/melilla-ritrovato-un-cadavere-horcas.html</t>
  </si>
  <si>
    <t>2012-01-04T00:00:00Z</t>
  </si>
  <si>
    <t>died in a boat during a week-long voyage from LY to Malta, boat came ashore at Riviera Bay (Jan 4, 2012)</t>
  </si>
  <si>
    <t>Event at Malta on Jan 04, 2012</t>
  </si>
  <si>
    <t>2012-01-03T00:00:00Z</t>
  </si>
  <si>
    <t>drowned,reaching rescue ship; on boat on way LY-I.Was Olympia athlete facing death threats (Jan 3, 2012)</t>
  </si>
  <si>
    <t>Event at Libya on Jan 03, 2012</t>
  </si>
  <si>
    <t>BBC/Gulf/SP/WIK/IlMess</t>
  </si>
  <si>
    <t>drowned, reaching rescuing ship after boat from LY run out of petrol in Sicilian Channel (I) (Jan 3, 2012)</t>
  </si>
  <si>
    <t>sicily</t>
  </si>
  <si>
    <t>Event at Sicily on Jan 03, 2012</t>
  </si>
  <si>
    <t>He died of asphyxiation a young Afghan hidden inside a truck in Patras, the port of embarkation of trucks traveling to Italy (Jan 4, 2012)</t>
  </si>
  <si>
    <t>Event at Patras on Jan 03, 2012</t>
  </si>
  <si>
    <t>Kathimerini</t>
  </si>
  <si>
    <t>http://fortresseurope.blogspot.com/2011/01/nel-camion-si-erano-nascosti-in-tre-per.html</t>
  </si>
  <si>
    <t>2012-01-01T00:00:00Z</t>
  </si>
  <si>
    <t>suicide, killed himself a few hours before the delay given to him to leave Belgium was expired (Jan 1, 2012)</t>
  </si>
  <si>
    <t>belgium</t>
  </si>
  <si>
    <t>Event at Belgium on Jan 01, 2012</t>
  </si>
  <si>
    <t>2011-09-27T00:00:00Z</t>
  </si>
  <si>
    <t>3Q2011</t>
  </si>
  <si>
    <t>2011 -- 9</t>
  </si>
  <si>
    <t>burned, fire caused by lit candle in Pantin squat, Paris (F) - a municipality owned building (Sep 27, 2011)</t>
  </si>
  <si>
    <t>paris</t>
  </si>
  <si>
    <t>48.856614, 2.352222</t>
  </si>
  <si>
    <t>Event at Paris on Sep 27, 2011</t>
  </si>
  <si>
    <t>MNS/FTRC/Raz/Le Monde/Lib‚àö√†ration</t>
  </si>
  <si>
    <t>asphyxiation, fire started by lit candle in Pantin squat, Paris(F)- a municipality owned building (Sep 27, 2011)</t>
  </si>
  <si>
    <t>2011-09-22T00:00:00Z</t>
  </si>
  <si>
    <t>Shipwreck in the Ionian Sea on the route for Calabria, off the island of Zakynthos, 3 dead (Sep 23, 2011)</t>
  </si>
  <si>
    <t>Event at Calabria on Sep 22, 2011</t>
  </si>
  <si>
    <t>Clandestina</t>
  </si>
  <si>
    <t>http://fortresseurope.blogspot.com/2011/09/ancora-una-strage-su-una-delle-rotte.html</t>
  </si>
  <si>
    <t>2011-09-20T00:00:00Z</t>
  </si>
  <si>
    <t>The lifeless bodies of four men have surfaced from the sea along the coast of Izmir, Seferihisar, on the route to the Greek island of Samos. The number of missing unknown shipwreck (Sep 21, 2011)</t>
  </si>
  <si>
    <t>samos</t>
  </si>
  <si>
    <t>Event at Samos on Sep 20, 2011</t>
  </si>
  <si>
    <t>Today Zaman</t>
  </si>
  <si>
    <t>http://fortresseurope.blogspot.com/2011/09/turchia-naufragio-sulla-rotta-per-samos.html</t>
  </si>
  <si>
    <t>2011-09-13T00:00:00Z</t>
  </si>
  <si>
    <t>drowned, pushed off jetski when smuggler saw coastguards approaching in Andalusia (E) (Sep 13, 2011)</t>
  </si>
  <si>
    <t>andalusia</t>
  </si>
  <si>
    <t>Event at Andalusia on Sep 13, 2011</t>
  </si>
  <si>
    <t>Sur/Mugak</t>
  </si>
  <si>
    <t>http://medios.mugak.eu/noticias/noticia/291089</t>
  </si>
  <si>
    <t>2011-09-12T00:00:00Z</t>
  </si>
  <si>
    <t>17 guys are missing the left from a beach Benazzouz, in Skikda, on August 17 and to Sardinia. Their boat was found empty in Bejaia, where it was carried by the current (Sep 13, 2011)</t>
  </si>
  <si>
    <t>skikda</t>
  </si>
  <si>
    <t>Event at Skikda on Sep 12, 2011</t>
  </si>
  <si>
    <t>El Watan</t>
  </si>
  <si>
    <t>http://fortresseurope.blogspot.com/2011/09/algeria-2-harraga-morti-e-15-dispersi.html</t>
  </si>
  <si>
    <t>2011-09-10T00:00:00Z</t>
  </si>
  <si>
    <t>Found the lifeless bodies of two castaways to TENES, en route to Spain, the day before had been rescued a boat in the same area (Sep 11, 2011)</t>
  </si>
  <si>
    <t>Algeria to Spain</t>
  </si>
  <si>
    <t>Event at Algeria To Spain on Sep 10, 2011</t>
  </si>
  <si>
    <t>Apdha</t>
  </si>
  <si>
    <t>http://docs.google.com/viewer?url=http://www.apdha.org/media/FronteraSur2012.pdf</t>
  </si>
  <si>
    <t>missing after contacting Italian authorities because their boat was taking water in rough seas  (Sep 10, 2011)</t>
  </si>
  <si>
    <t>Event at Italian Coast on Sep 10, 2011</t>
  </si>
  <si>
    <t>2011-09-05T00:00:00Z</t>
  </si>
  <si>
    <t>Ceuta, found harbor in the body of a young man drowned trying to embark secretly on a ferry to Spain, to the Muelle Pier 4 Given Caonero (Sep 6, 2011)</t>
  </si>
  <si>
    <t>Event at Ceuta on Sep 05, 2011</t>
  </si>
  <si>
    <t>2011-09-02T00:00:00Z</t>
  </si>
  <si>
    <t>4 dead, 15 missing in a shipwreck in the Ionian Sea on the route for Calabria, off the island of Kefalonia (Sep 3, 2011)</t>
  </si>
  <si>
    <t>Event at Calabria on Sep 02, 2011</t>
  </si>
  <si>
    <t>http://fortresseurope.blogspot.com/2011/09/ionio-4-morti-e-15-dispersi-al-largo-di.html</t>
  </si>
  <si>
    <t>2011-09-01T00:00:00Z</t>
  </si>
  <si>
    <t>Lost at sea 14 boys aged between 18 and 25 years, all of the province of El-Amria. They had left from a beach of Ain Tmouchent, full ramadan to the Spanish coast (Sep 2, 2011)</t>
  </si>
  <si>
    <t>Ain Tmouchent, algeria</t>
  </si>
  <si>
    <t>Event at Ain Tmouchent, Algeria on Sep 01, 2011</t>
  </si>
  <si>
    <t>http://fortresseurope.blogspot.com/2011/09/algeria-14-ragazzi-dispersi-sulla-rotta.html</t>
  </si>
  <si>
    <t>2011-08-30T00:00:00Z</t>
  </si>
  <si>
    <t>2011 -- 8</t>
  </si>
  <si>
    <t>Almeria found the lifeless body of a drowning man drowned during the crossing (Aug 31, 2011)</t>
  </si>
  <si>
    <t>almeria</t>
  </si>
  <si>
    <t>Event at Almeria on Aug 30, 2011</t>
  </si>
  <si>
    <t>2011-08-23T00:00:00Z</t>
  </si>
  <si>
    <t>murdered, shot by Frontex officer while shooting at boats crossing TR-GR border,  Evros river (Aug 23, 2011)</t>
  </si>
  <si>
    <t>Event at Evros on Aug 23, 2011</t>
  </si>
  <si>
    <t>ClandestinE/Son Dakika/MNS</t>
  </si>
  <si>
    <t>2011-08-18T00:00:00Z</t>
  </si>
  <si>
    <t>Fall in the water during the crossing to Lampedusa, lost at sea 2 boys Tunisians (Aug 19, 2011)</t>
  </si>
  <si>
    <t>Event at Lampedusa on Aug 18, 2011</t>
  </si>
  <si>
    <t>Adnkronos</t>
  </si>
  <si>
    <t>http://fortresseurope.blogspot.com/2011/08/dispersi-in-mare-2-tunisini-nuova.html</t>
  </si>
  <si>
    <t>2011-08-17T00:00:00Z</t>
  </si>
  <si>
    <t>Two men killed at the border with Israel in Sinai, in the shooting of Egyptian border police (Aug 18, 2011)</t>
  </si>
  <si>
    <t>Event at Sinai, Egypt on Aug 17, 2011</t>
  </si>
  <si>
    <t>Al Masry Al Yawm</t>
  </si>
  <si>
    <t>http://fortresseurope.blogspot.com/2011/09/egitto-due-uomini-uccisi-dalla-polizia.html</t>
  </si>
  <si>
    <t>2011-08-13T00:00:00Z</t>
  </si>
  <si>
    <t>A dinghy flips off the island of Marettimo (Tr), 3 missing in sea (Aug 14, 2011)</t>
  </si>
  <si>
    <t>marettimo</t>
  </si>
  <si>
    <t>Event at Marettimo on Aug 13, 2011</t>
  </si>
  <si>
    <t>http://fortresseurope.blogspot.com/2011/08/marettimo-3-ragazzi-tunisini-dispersi.html</t>
  </si>
  <si>
    <t>2011-08-11T00:00:00Z</t>
  </si>
  <si>
    <t>A 23 year-old killed by gunfire in the Sudanese Egyptian border police on the border with Israel in Sinai. According to HRW would be at least 87 people have been killed by Egyptian agents along this border since 2007 (Aug 12, 2011)</t>
  </si>
  <si>
    <t>Event at Sinai, Egypt on Aug 11, 2011</t>
  </si>
  <si>
    <t>Afp</t>
  </si>
  <si>
    <t>http://fortresseurope.blogspot.com/2011/08/egitto-la-polizia-uccide-un-uomo-al.html</t>
  </si>
  <si>
    <t>2011-08-07T00:00:00Z</t>
  </si>
  <si>
    <t>Found the bodies of two boys hiding in the engine room of a ferry line between Ceuta and Spain, where they were hidden in secret to achieve Europe (Aug 8, 2011)</t>
  </si>
  <si>
    <t>Event at Ceuta on Aug 07, 2011</t>
  </si>
  <si>
    <t>http://fortresseurope.blogspot.com/2011/08/ceuta-due-morti-nascosti-nella-stiva-di.html</t>
  </si>
  <si>
    <t>suicide - put on fire</t>
  </si>
  <si>
    <t>2011-08-03T00:00:00Z</t>
  </si>
  <si>
    <t>suicide, failed asylum seeker set himself on fire in Amsterdam (NL), feared deportation (Aug 3, 2011)</t>
  </si>
  <si>
    <t>amsterdam</t>
  </si>
  <si>
    <t>Event at Amsterdam on Aug 03, 2011</t>
  </si>
  <si>
    <t>NBK/VK/Eindhovens Dagblad/IMA/MNS</t>
  </si>
  <si>
    <t>2011-07-31T00:00:00Z</t>
  </si>
  <si>
    <t>2011 -- 7</t>
  </si>
  <si>
    <t>froze to death, body found in Nea Vissa, Evros (GR) near to Turkish border (Jul 31, 2011)</t>
  </si>
  <si>
    <t>Event at Evros on Jul 31, 2011</t>
  </si>
  <si>
    <t>ClandestinE/Frontexplode</t>
  </si>
  <si>
    <t>2011-07-28T00:00:00Z</t>
  </si>
  <si>
    <t>unknown, bodies found on boat, engine failed after leaving Alexandria (Egypt) 1 week before (Jul 28, 2011). From Del Grande's data set (translated): Massacre at sea en route from Egypt that leads to the eastern coast of Sicily. The Egyptian Coast Guard has rescued the lifeless bodies of 30 boys drowned off the coast of Alexandria (Jul 29, 2011)</t>
  </si>
  <si>
    <t>Event at Alexandria on Jul 28, 2011</t>
  </si>
  <si>
    <t>FE/Libero</t>
  </si>
  <si>
    <t>http://fortresseurope.blogspot.com/2011/07/egitto-strage-in-mare-sulla-rotta-per.html</t>
  </si>
  <si>
    <t>2011-07-12T00:00:00Z</t>
  </si>
  <si>
    <t>stowaway, crushed to death, found in the wheel-bay of an Iberia passenger plane in Spain (Jul 12, 2011)</t>
  </si>
  <si>
    <t>spain</t>
  </si>
  <si>
    <t>Event at Spain on Jul 12, 2011</t>
  </si>
  <si>
    <t>2011-07-11T00:00:00Z</t>
  </si>
  <si>
    <t>missing, after having tried to reach Ceuta (E) from Moroccan coast by swimming (Jul 11, 2011). From Del Grande's data set (translated): Boat with 53 passengers rescued off the coast of Dar Kebdani, en route to Spain. On board 4 deaths, a fifth person is lost at sea (Dec 6, 2011)</t>
  </si>
  <si>
    <t>Event at Ceuta on Jul 11, 2011</t>
  </si>
  <si>
    <t>Ansamed</t>
  </si>
  <si>
    <t>http://fortresseurope.blogspot.com/2011/12/marocco-4-morti-e-1-disperso-sulla.html</t>
  </si>
  <si>
    <t>2011-07-09T00:00:00Z</t>
  </si>
  <si>
    <t>died instantly after being run over by train near Feres (GR) while walking along the railway (Jul 9, 2011)</t>
  </si>
  <si>
    <t>feres</t>
  </si>
  <si>
    <t>Event at Feres on Jul 09, 2011</t>
  </si>
  <si>
    <t>2011-07-06T00:00:00Z</t>
  </si>
  <si>
    <t>An Eritrean boy killed by a shot gun fired by Egyptian border police along the border with Israel in the Sinai desert (Jul 7, 2011)</t>
  </si>
  <si>
    <t>Event at Sinai, Egypt on Jul 06, 2011</t>
  </si>
  <si>
    <t>Al Masry Al Youm</t>
  </si>
  <si>
    <t>http://fortresseurope.blogspot.com/2011/07/egitto-ucciso-dalla-polizia-al-confine.html</t>
  </si>
  <si>
    <t>2011-06-30T00:00:00Z</t>
  </si>
  <si>
    <t>2Q2011</t>
  </si>
  <si>
    <t>2011 -- 6</t>
  </si>
  <si>
    <t>brain haemorrhage, could not receive medical treatment once deported from D to Kosovo (Jun 30, 2011)</t>
  </si>
  <si>
    <t>kosovo</t>
  </si>
  <si>
    <t>Event at Kosovo on Jun 30, 2011</t>
  </si>
  <si>
    <t>WSWS/LV/MNS/Karawane</t>
  </si>
  <si>
    <t>http://www.domradio.de/nachrichten/2011-01-10/kosovarin-stirbt-nach-abschiebung</t>
  </si>
  <si>
    <t>2011-06-28T00:00:00Z</t>
  </si>
  <si>
    <t>suspected hypothermia, body found wearing life jacket in Three Stones, Ceuta (E) (Jun 28, 2011)</t>
  </si>
  <si>
    <t>Event at Ceuta on Jun 28, 2011</t>
  </si>
  <si>
    <t>FE/VDG</t>
  </si>
  <si>
    <t>2011-06-24T00:00:00Z</t>
  </si>
  <si>
    <t>The Egyptian border police opened fire on a group of Sudanese intent to pass the Israeli border in the Sinai Desert, killing 4 men (Jun 25, 2011)</t>
  </si>
  <si>
    <t>Event at Sinai, Egypt on Jun 24, 2011</t>
  </si>
  <si>
    <t>http://fortresseurope.blogspot.com/2011/06/sinai-fuoco-al-confine-israeliano.html</t>
  </si>
  <si>
    <t>epileptic seizure, Libyan refugee on boat from Lampedusa(I) to mainland, was known sufferer (Jun 24, 2011). From Del Grande's data set (translated): A citizen of Ghana of 38 years died of a seizure on board the ship Excelsior game the day before from Lampedusa with 1,185 passengers for the various reception centers set up by the Civil Protection in Italy (Jun 25, 2011)</t>
  </si>
  <si>
    <t>Event at Lampedusa on Jun 24, 2011</t>
  </si>
  <si>
    <t>PICUM/FE/AdnK</t>
  </si>
  <si>
    <t>http://fortresseurope.blogspot.com/2011/06/ancora-una-vittima-sulla-frontiera.html</t>
  </si>
  <si>
    <t>feared drowned, fell from a boat found neat Motril, Granada (E), 2nd boat still missing (Jun 24, 2011). From Del Grande's data set (translated): Passengers rescued from a boat off the coast of the Alboran, Andalusia, speak of 6 passengers fell into the water during the crossing, including a child, and a second boat from Morocco game with 40 people on board, but for which you are untraceable. After 48 hours of searching, the Spanish coast guard fished a corpse in the same stretch of sea (Jun 25, 2011)</t>
  </si>
  <si>
    <t>Motril, Granada</t>
  </si>
  <si>
    <t>Event at Motril, Granada on Jun 24, 2011</t>
  </si>
  <si>
    <t>FE/PICUM/Diario de Navarra</t>
  </si>
  <si>
    <t>http://fortresseurope.blogspot.com/2011/06/ricerche-sospese.html</t>
  </si>
  <si>
    <t>drowned, body found 4 miles from capsized boat in Motril coast, Granada (E) (Jun 24, 2011)</t>
  </si>
  <si>
    <t>granada</t>
  </si>
  <si>
    <t>Event at Granada on Jun 24, 2011</t>
  </si>
  <si>
    <t>2011-06-23T00:00:00Z</t>
  </si>
  <si>
    <t>Landing in Sicily, between Sciacca and Ribera, one of the passengers found dead, an Egyptian boy of 15 years, probably killed by the propeller of the motor (Jun 24, 2011)</t>
  </si>
  <si>
    <t>Event at Sicily on Jun 23, 2011</t>
  </si>
  <si>
    <t>http://fortresseurope.blogspot.com/2011/06/agrigento-ragazzo-muore-durante-lo.html</t>
  </si>
  <si>
    <t>2011-06-11T00:00:00Z</t>
  </si>
  <si>
    <t>drowned, fell from a stricken vessel of 53 migrants then rescued off Moroccan coast (Jun 11, 2011)</t>
  </si>
  <si>
    <t>Event at Morocco on Jun 11, 2011</t>
  </si>
  <si>
    <t>died of dehydration on stricken vessel of 53 migrants then rescued off Moroccan coast  (Jun 11, 2011)</t>
  </si>
  <si>
    <t>Ceuta, which was found on the beach Calamocarro the lifeless body of a young boy drowned trying to swim to enter the Spanish enclave in Morocco (Jun 12, 2011)</t>
  </si>
  <si>
    <t>Event at Ceuta on Jun 11, 2011</t>
  </si>
  <si>
    <t>died at sea on way from Libya in a boat of 44 migrants found 75 miles south of Malta (Jun 11, 2011)</t>
  </si>
  <si>
    <t>Event at Malta on Jun 11, 2011</t>
  </si>
  <si>
    <t>TimesM</t>
  </si>
  <si>
    <t>reportedly smugglers tortured and then shot him, found outside Thriassio Hospital,Attik (GR) (Jun 11, 2011)</t>
  </si>
  <si>
    <t>Thriassio Hospital, Attik, greece</t>
  </si>
  <si>
    <t>Event at Thriassio Hospital, Attik, Greece on Jun 11, 2011</t>
  </si>
  <si>
    <t>2011-06-04T00:00:00Z</t>
  </si>
  <si>
    <t>drowned, 13 found, 32 missing, boat of 600 sank off coasts near Tripoli (LY) on the way to I (Jun 4, 2011)</t>
  </si>
  <si>
    <t>Event at Tripoli on Jun 04, 2011</t>
  </si>
  <si>
    <t>LR</t>
  </si>
  <si>
    <t>drowned after boat of 600 sank off the coasts near to Tripoli (LY) on the way to I (Jun 4, 2011). From Del Grande's data set (translated): Wreck in front of the harbor of Tripoli. A boat with 600 passengers on board capsized at sea shortly after left the port of Tripoli to Lampedusa. According to Somali sources, there would be at least 16 dead and 32 missing (May 6, 2011)</t>
  </si>
  <si>
    <t>Event at Lampedusa on Jun 04, 2011</t>
  </si>
  <si>
    <t>http://fortresseurope.blogspot.com/2011/05/naufagio-tripoli-16-morti-e-32-dispersi.html</t>
  </si>
  <si>
    <t>Fished in the waters of the island of Kerkennah the lifeless bodies of 26 passengers of the old fishing boat sank three days earlier on the route to Lampedusa (Jun 5, 2011)</t>
  </si>
  <si>
    <t>http://fortresseurope.blogspot.com/2011/06/tunisia-il-mare-ha-restituito-26.html</t>
  </si>
  <si>
    <t>2011-06-03T00:00:00Z</t>
  </si>
  <si>
    <t>missing, part of 325 migrants on LY-I boat, sank 39 miles from Lampedusa in Maltese waters (Jun 3, 2011). From Del Grande's data set (translated): Boat capsizes at sea during a rescue operation because of the stormy sea, 39 miles off Lampedusa. Scattered at sea at least 213 people, including many women and children (Apr 7, 2011)</t>
  </si>
  <si>
    <t>Event at Lampedusa on Jun 03, 2011</t>
  </si>
  <si>
    <t>LR/ANSA/Reu/Migreurop/Raz/Mail Online/Irish Times/MSN/ABC/ELC/EP/Gara.net/LV/Verdad/DiarioVasco/Aljazeera/AVUI/PICUM/MUGAK/PerCat/LV/ELM</t>
  </si>
  <si>
    <t>http://fortresseurope.blogspot.com/2011/04/strage-lampedusa-250-annegati-in-mare.html</t>
  </si>
  <si>
    <t>2011-06-02T00:00:00Z</t>
  </si>
  <si>
    <t>drowned, 3 found, 15 missing, jumped off LY-GR ship in Souda (GR) during repatriation (Jun 2, 2011). From Del Grande's data set (translated): Found in Crete, the bodies of 13 of Bangladeshis reported missing after being thrown overboard from the ship that they had been evacuated en masse from Libya to avoid deportation (Mar 16, 2011)</t>
  </si>
  <si>
    <t>crete</t>
  </si>
  <si>
    <t>Event at Crete on Jun 02, 2011</t>
  </si>
  <si>
    <t>KI/MNS</t>
  </si>
  <si>
    <t>http://fortresseurope.blogspot.com/2011/03/grecia-ritrovati-i-corpi-senza-vita-dei.html</t>
  </si>
  <si>
    <t>2011-05-31T00:00:00Z</t>
  </si>
  <si>
    <t>2011 -- 5</t>
  </si>
  <si>
    <t>drowned, bodies found in Evros River trying to cross GR-TR border (May 31, 2011). From Del Grande's data set (translated): Found the bodies of two men drowned trying to cross the Evros River, which marks the border between Turkey and Greece (Jan 7, 2011)</t>
  </si>
  <si>
    <t>Event at Evros on May 31, 2011</t>
  </si>
  <si>
    <t>FE/AFP</t>
  </si>
  <si>
    <t>http://fortresseurope.blogspot.com/2011/01/grece-deux-migrants-meurent-noyes-la.html</t>
  </si>
  <si>
    <t>2011-05-28T00:00:00Z</t>
  </si>
  <si>
    <t>drowned, bodies missing, boat collided with other boat off Libya s shore on the way to Italy (May 28, 2011)</t>
  </si>
  <si>
    <t>Event at Libya on May 28, 2011</t>
  </si>
  <si>
    <t>FE/ilClandestino</t>
  </si>
  <si>
    <t>survivors reported bodies missing while reaching the coasts off Sant Antioco (I) from Libya (May 28, 2011)</t>
  </si>
  <si>
    <t>sant antioco</t>
  </si>
  <si>
    <t>Event at Sant Antioco on May 28, 2011</t>
  </si>
  <si>
    <t>ANSA/FE</t>
  </si>
  <si>
    <t>burned or asphyxiated due to arson attack</t>
  </si>
  <si>
    <t>2011-05-22T00:00:00Z</t>
  </si>
  <si>
    <t>Arson at the refugee camp of Ras Jdayr, at the border between Tunisia and Libya, where there are thousands of displaced people who fled the war in Libya. Deaths 4 Eritreans (May 23, 2011)</t>
  </si>
  <si>
    <t>tunis</t>
  </si>
  <si>
    <t>Event at Tunis on May 22, 2011</t>
  </si>
  <si>
    <t>http://fortresseurope.blogspot.com/2011/05/tunisia-incendio-al-campo-profughi.html</t>
  </si>
  <si>
    <t>2011-05-21T00:00:00Z</t>
  </si>
  <si>
    <t>The Eritrean community in Rome to voice Agency Habeshia association, announced that he had received news of the death of 25 Eritreans held hostage by Bedouin smugglers Rashiaida of the clan, to which you were entrusted to switch the Egyptian border with Israel, along Sinai. For months, it is common practice that the smugglers take their passengers hostage pending payment of a ransom by his family, before taking them across the border (May 22, 2011)</t>
  </si>
  <si>
    <t>Event at Sinai, Egypt on May 21, 2011</t>
  </si>
  <si>
    <t>Agenzia Habeshia</t>
  </si>
  <si>
    <t>http://fortresseurope.blogspot.com/2011/05/egitto-25-eritrei-uccisi-nelle-ultime.html</t>
  </si>
  <si>
    <t>drowned, decomposed body found by Cabo de Gata (E), probably from 5/5/11 shipwreck (May 21, 2011). From Del Grande's data set (translated): Fished out the body of a woman seven miles off the coast of Cabo de Gata, could be one of the winds dispersed the sinking of the beginning of May in front of Cabo de Sacratif (May 22, 2011)</t>
  </si>
  <si>
    <t>sacratif</t>
  </si>
  <si>
    <t>Event at Sacratif on May 21, 2011</t>
  </si>
  <si>
    <t>ABC/Mugak</t>
  </si>
  <si>
    <t>http://fortresseurope.blogspot.com/2011/05/spagna-ripescato-un-cadavere-cabo-de.html</t>
  </si>
  <si>
    <t>2011-05-20T00:00:00Z</t>
  </si>
  <si>
    <t>An eyewitness report: 320 lost at sea on the night of 28 April 2011, after the shipwreck off the coast of Zuwara a direct boat to Lampedusa. Another dozen or so passengers on a second boat fell into the sea and drowned during the same night, because of the storm (May 21, 2011)</t>
  </si>
  <si>
    <t>Event at Lampedusa on May 20, 2011</t>
  </si>
  <si>
    <t>Fortress Europe</t>
  </si>
  <si>
    <t>http://fortresseurope.blogspot.com/2011/05/il-naufragio-fantasma-un-testimone-320.html</t>
  </si>
  <si>
    <t>2011-05-18T00:00:00Z</t>
  </si>
  <si>
    <t>Shipwreck in Preveza, on the route to Italy. Rescued at sea two corpses, including that of a child of eight years. Lost at sea another child (May 19, 2011)</t>
  </si>
  <si>
    <t>preveza</t>
  </si>
  <si>
    <t>Event at Preveza on May 18, 2011</t>
  </si>
  <si>
    <t>http://fortresseurope.blogspot.com/2011/05/grecia-naufragio-sulla-rotta-per.html</t>
  </si>
  <si>
    <t>Three drowned in Mazara del Vallo, Trapani, when the captain of a boat which then took over the wide, has forced 17 passengers to jump into the sea and Tunisians continue to swim to the shore (May 19, 2011)</t>
  </si>
  <si>
    <t>vallo</t>
  </si>
  <si>
    <t>Event at Vallo on May 18, 2011</t>
  </si>
  <si>
    <t>http://fortresseurope.blogspot.com/2011/05/sicilia-un-morto-e-due-dispersi-mazara.html</t>
  </si>
  <si>
    <t>2011-05-15T00:00:00Z</t>
  </si>
  <si>
    <t>Recovered 40 miles off the coast of Motril the lifeless body of a drowning (May 16, 2011)</t>
  </si>
  <si>
    <t>motril</t>
  </si>
  <si>
    <t>Event at Motril on May 15, 2011</t>
  </si>
  <si>
    <t>heat exhaustion</t>
  </si>
  <si>
    <t>2011-05-11T05:00:00Z</t>
  </si>
  <si>
    <t>stowaway, died of overheating in truck carrying cablewheels in Fulda (D) travelling from Greece (May 11, 2011)</t>
  </si>
  <si>
    <t>fulda</t>
  </si>
  <si>
    <t>Event at Fulda on Aug 04, 2011</t>
  </si>
  <si>
    <t>HessenR/HNA/Welt/SP</t>
  </si>
  <si>
    <t>http://www.news.com.au/breaking-news/two-illegal-immigrants-found-dead-in-drum/story-e6frfku0-1226053701992</t>
  </si>
  <si>
    <t>2011-05-10T00:00:00Z</t>
  </si>
  <si>
    <t>The Tunisian government admits: during the month of April, were found the bodies of 58 boys Tunisians drowned en route to Lampedusa. The findings have occurred along the beaches of Skhira, Chaffar, Kerkennah, Gabes, Djerba and Mahdia (May 11, 2011)</t>
  </si>
  <si>
    <t>Event at Lampedusa on May 10, 2011</t>
  </si>
  <si>
    <t>http://fortresseurope.blogspot.com/2011/05/tunisia-58-morti-4-motovedette-e-800.html</t>
  </si>
  <si>
    <t>One of the passengers of a vessel arrived in Lampedusa complaint: 5 people thrown into the sea as human sacrifices to ward off the bad weather (May 11, 2011)</t>
  </si>
  <si>
    <t>http://fortresseurope.blogspot.com/2011/05/gettati-in-mare-per-sacrifici-umani.html</t>
  </si>
  <si>
    <t>2011-05-09T00:00:00Z</t>
  </si>
  <si>
    <t>Lost at sea from a boat game Metline and live in Pantelleria, with 17 children on board the Cap Zebib (May 10, 2011)</t>
  </si>
  <si>
    <t>pantelleria</t>
  </si>
  <si>
    <t>Event at Pantelleria on May 09, 2011</t>
  </si>
  <si>
    <t>http://fortresseurope.blogspot.com/2011/05/tunisia-naufragio-metline-17-dispersi.html</t>
  </si>
  <si>
    <t>2011-05-08T05:00:00Z</t>
  </si>
  <si>
    <t>An overcrowded boat broke apart shortly after leaving Tripoli en route to Italy.</t>
  </si>
  <si>
    <t>Tripoli, Libya</t>
  </si>
  <si>
    <t>Off the coast of Tripoli on May 9, 2011</t>
  </si>
  <si>
    <t>http://www.huffingtonpost.com/2011/05/09/libya-boat-sinks-migrants_n_859440.html</t>
  </si>
  <si>
    <t>2011-05-08T00:00:00Z</t>
  </si>
  <si>
    <t>Found three bodies among the rocks of Punta Sword, in Lampedusa, where yesterday a boat ran aground with 528 passengers on board (May 9, 2011)</t>
  </si>
  <si>
    <t>Event at Lampedusa on May 08, 2011</t>
  </si>
  <si>
    <t>http://fortresseurope.blogspot.com/2011/05/lampedusa-recuperati-tre-cadaveri-tra.html</t>
  </si>
  <si>
    <t>Suspended the search for victims of the sinking of Almeria on May 6. The budget is 4 dead, including two children, and 20 missing (May 9, 2011)</t>
  </si>
  <si>
    <t>Event at Almeria on May 08, 2011</t>
  </si>
  <si>
    <t>Europa Press</t>
  </si>
  <si>
    <t>http://fortresseurope.blogspot.com/2011/05/almeria-sospese-le-ricerche-dei.html</t>
  </si>
  <si>
    <t>The British newspaper Guardian raised the complaints of eirtrei of Rome. A boat with 72 on board Eritrean wandered the Mediterranean for two weeks without receiving rescue ships of NATO, who left to die of starvation 61 passengers (May 9, 2011)</t>
  </si>
  <si>
    <t>Italy</t>
  </si>
  <si>
    <t>Event at sea en route to Italy on May 08, 2011</t>
  </si>
  <si>
    <t>http://fortresseurope.blogspot.com/2011/05/abbandonati-alla-deriva-dalle-navi.html</t>
  </si>
  <si>
    <t>2011-05-06T00:00:00Z</t>
  </si>
  <si>
    <t>drowned, body found near Selinunte, Trapani (I) in advanced state of decomposition (May 6, 2011). From Del Grande's data set (translated): The lifeless body of a young boy, probably Tunisian, was fished out of a few hundred meters from the shore of Selinunte, Trapani (Jul 5, 2011)</t>
  </si>
  <si>
    <t>selinunte</t>
  </si>
  <si>
    <t>Event at Selinunte on May 06, 2011</t>
  </si>
  <si>
    <t>http://fortresseurope.blogspot.com/2011/07/trapani-ripescato-il-corpo-senza-vita.html</t>
  </si>
  <si>
    <t>2011-05-04T00:00:00Z</t>
  </si>
  <si>
    <t>feared drowned, boat sank 2 miles from Adra, Almeria coast (E), 29 survivors (May 4, 2011). From Del Grande's data set (translated): Shipwreck off the coast of Almeria. At least 25 missing at sea, including a woman and a child of a few months (May 6, 2011)</t>
  </si>
  <si>
    <t>adra</t>
  </si>
  <si>
    <t>Event at Adra on May 04, 2011</t>
  </si>
  <si>
    <t>Humano/Publico/MUGAK/EP</t>
  </si>
  <si>
    <t>http://fortresseurope.blogspot.com/2011/05/spagna-25-dispersi-al-largo-di-almeria.html</t>
  </si>
  <si>
    <t>2011-04-29T00:00:00Z</t>
  </si>
  <si>
    <t>2011 -- 4</t>
  </si>
  <si>
    <t>Linosa, found a dead body among the rocks. Probably one of the more than two hundred missing the wreck of 6 April (Apr 30, 2011)</t>
  </si>
  <si>
    <t>Event at Linosa on Apr 29, 2011</t>
  </si>
  <si>
    <t>http://fortresseurope.blogspot.com/2011/04/linosa-ritrovato-un-cadavere-tra-gli.html</t>
  </si>
  <si>
    <t>2011-04-18T00:00:00Z</t>
  </si>
  <si>
    <t>Tunisian hit and killed on the Bari bypass while walking to the reception center (Apr 19, 2011)</t>
  </si>
  <si>
    <t>bari</t>
  </si>
  <si>
    <t>Event at Bari on Apr 18, 2011</t>
  </si>
  <si>
    <t>Agi</t>
  </si>
  <si>
    <t>http://fortresseurope.blogspot.com/2011/04/tunisino-investito-e-ucciso-sulla.html</t>
  </si>
  <si>
    <t>2011-04-17T05:00:22Z</t>
  </si>
  <si>
    <t>A guard at the detention center beat up the victim while arresting him after an escape attempt.  The victim spent an hour on the floor handcuffed before dying shortly afterwards from cardiac arrest.</t>
  </si>
  <si>
    <t>Hal Far, Malta</t>
  </si>
  <si>
    <t>At Hal Far Detention centre on April 16, 2011</t>
  </si>
  <si>
    <t>http://www.timesofmalta.com/articles/view/20140206/local/three-accused-of-causing-migrants-death.505756</t>
  </si>
  <si>
    <t>2011-04-16T00:00:00Z</t>
  </si>
  <si>
    <t>manner of death unknown, died in Malta det. ctr. a day after he was captured from escaping (Apr 16, 2011)</t>
  </si>
  <si>
    <t>Event at Malta on Apr 16, 2011</t>
  </si>
  <si>
    <t>MNS/TimesM</t>
  </si>
  <si>
    <t>2011-04-15T00:00:00Z</t>
  </si>
  <si>
    <t>drowned, found 3 days after shipwreck off Pantelleria (I) on the way from Libya (Apr 15, 2011). From Del Grande's data set (translated): Pantelleria, found a dead body in the sea. This is the third victim of the sinking of 6 April (Apr 19, 2011)</t>
  </si>
  <si>
    <t>Event at Pantelleria on Apr 15, 2011</t>
  </si>
  <si>
    <t>http://fortresseurope.blogspot.com/2011/04/pantelleria-ripescato-un-terzo-cadavere.html</t>
  </si>
  <si>
    <t>2011-04-12T00:00:00Z</t>
  </si>
  <si>
    <t>Are still missing at sea, twenty days after their departure from Libya, two boats of the Eritrean direct to Lampedusa. First there were 335 passengers and 160 on the second. Both had asked for help by calling the Eritrean community in Rome. But they never arrived at their destination. Neither in Italy nor in Malta, nor have returned to Libya (Apr 13, 2011)</t>
  </si>
  <si>
    <t>Event at Lampedusa on Apr 12, 2011</t>
  </si>
  <si>
    <t>http://fortresseurope.blogspot.com/2011/04/pantelleria-due-morte-un-disperso-e-le.html</t>
  </si>
  <si>
    <t>drowned, body found after boat wrecked off Pantelleria (I) on the way from Libya (Apr 12, 2011). From Del Grande's data set (translated): Boat is going to crash against the rocks of Pantelleria instead of following the coast guard patrol boat to the entrance of the harbor of the island. Despite the rescue operations, they die two women. A third man is lost at sea (Apr 13, 2011)</t>
  </si>
  <si>
    <t>Event at Pantelleria on Apr 12, 2011</t>
  </si>
  <si>
    <t>LR/FE/MAS/Mail Online</t>
  </si>
  <si>
    <t>2011-04-07T00:00:00Z</t>
  </si>
  <si>
    <t>unknown, bodies thrown overboard from LY boat rescued 104 miles from Lampedusa (I) (Apr 7, 2011). From Del Grande's data set (translated): Passengers on an old fishing boat rescue adrift off the coast of Lampedusa tell: dozens of deaths during the voyage. According to estimates most 'cautious, missing at sea would be at least thirty (Aug 8, 2011)</t>
  </si>
  <si>
    <t>Event at Lampedusa on Apr 07, 2011</t>
  </si>
  <si>
    <t>Telegraph/MAS/CDM</t>
  </si>
  <si>
    <t>http://fortresseurope.blogspot.com/2011/08/decine-di-morti-nelle-acque-libiche.html</t>
  </si>
  <si>
    <t>2011-04-02T00:00:00Z</t>
  </si>
  <si>
    <t>drowned, boat capsized in a storm off Lampedusa (I), 28 people were rescued (Apr 2, 2011)</t>
  </si>
  <si>
    <t>Event at Lampedusa on Apr 02, 2011</t>
  </si>
  <si>
    <t>AFP/Le Monde/Migreurop/Romandie/LR</t>
  </si>
  <si>
    <t>Shipwreck off the coast of Libya in a boat heading to Lampedusa. Found along the shores of Tripoli, the lifeless bodies of 68 people drowned. Unspecified number of missing at sea. According to the agency Habeshia could be over 250, but the information is not confirmed (Apr 3, 2011)</t>
  </si>
  <si>
    <t>Tg3</t>
  </si>
  <si>
    <t>http://fortresseurope.blogspot.com/2011/04/libia-naufragio-tripoli-almeno-68.html</t>
  </si>
  <si>
    <t>drowned, fell into sea during boat rescue of 22 migrants from Tunisia 50km from Marsala (I) (Apr 2, 2011). From Del Grande's data set (translated): The vessel Alcapa rescues a boat in distress off the coast of Marsala, during transhipment operations 2 passengers falling overboard and end up missing (Mar 5, 2011)</t>
  </si>
  <si>
    <t>Event at Tunis on Apr 02, 2011</t>
  </si>
  <si>
    <t>FE/GRR</t>
  </si>
  <si>
    <t>http://fortresseurope.blogspot.com/2011/03/due-dispersi-al-largo-di-marsala-strage.html</t>
  </si>
  <si>
    <t>2011-04-01T00:00:00Z</t>
  </si>
  <si>
    <t>Found a second dead body near Marina di Modica (Rg), in Sicily, in the cliffs of Punta Regilione, drowned after the landing of the previous days (Apr 2, 2011)</t>
  </si>
  <si>
    <t>Event at Punta on Apr 01, 2011</t>
  </si>
  <si>
    <t>Il clandestino</t>
  </si>
  <si>
    <t>http://fortresseurope.blogspot.com/2011/04/modica-ritrovato-un-altro-cadavere-in.html</t>
  </si>
  <si>
    <t>2011-03-31T00:00:00Z</t>
  </si>
  <si>
    <t>1Q2011</t>
  </si>
  <si>
    <t>2011 -- 3</t>
  </si>
  <si>
    <t>Landing at Marina di Modica (Rg), in Sicily, a drowned (Apr 1, 2011)</t>
  </si>
  <si>
    <t>marina</t>
  </si>
  <si>
    <t>Event at Marina on Mar 31, 2011</t>
  </si>
  <si>
    <t>http://fortresseurope.blogspot.com/2011/04/modica-un-morto-annegato-punta.html</t>
  </si>
  <si>
    <t>no medical help, died giving birth in Rennes (F), homeless since husband put in det. ctr. in NL (Mar 31, 2011)</t>
  </si>
  <si>
    <t>rennes</t>
  </si>
  <si>
    <t>Event at Rennes on Mar 31, 2011</t>
  </si>
  <si>
    <t>2011-03-30T00:00:00Z</t>
  </si>
  <si>
    <t>drowned, found off Tripoli coast (LY), may include those from 2 missing boats on way to I (Mar 30, 2011)</t>
  </si>
  <si>
    <t>Event at Tripoli on Mar 30, 2011</t>
  </si>
  <si>
    <t>Quotidiano/LR/Migeurop/Kaosenlared/RAI/PICUM/MUGAK/Quotidiano</t>
  </si>
  <si>
    <t>2011-03-28T00:00:00Z</t>
  </si>
  <si>
    <t>You lost at sea a boat game from Zarzis to Lampedusa with 46 passengers on board. At least 7 of them are from the district of Jebal Ahmer, in Tunis (Mar 29, 2011)</t>
  </si>
  <si>
    <t>Event at Lampedusa on Mar 28, 2011</t>
  </si>
  <si>
    <t>http://fortresseurope.blogspot.com/2011/11/il-naufragio-di-zarzis-e-i-ragazzi-di.html</t>
  </si>
  <si>
    <t>You lost at sea a boat game from Sfax to Lampedusa with 74 passengers on board. The victims were originating in the governorate of Kef and the districts of Hay and Nur Mallasin in Tunis, no victim of Jebal Ahmer (Mar 29, 2011)</t>
  </si>
  <si>
    <t>2011-03-27T00:00:00Z</t>
  </si>
  <si>
    <t>drowned, found off Kerkennah coast (TN) after 2 boats travelling together from LY sank  (Mar 27, 2011). From Del Grande's data set (translated): The bodies of 27 Tunisians, aged between 19 and 23 years, died in 2 wrecks of boats headed for Italy, on 13 and 27 March, were discovered in the last hours on the coast of the island of Kerkennah (Apr 1, 2011)</t>
  </si>
  <si>
    <t>kerkennah</t>
  </si>
  <si>
    <t>Event at Kerkennah on Mar 27, 2011</t>
  </si>
  <si>
    <t>PUB/Reu/TunisieSoir/GuardianUn/MUGAK/Quotidiano</t>
  </si>
  <si>
    <t>http://fortresseurope.blogspot.com/2011/04/tunisia-27-morti-sulla-rotta-per.html</t>
  </si>
  <si>
    <t>drowned, boat sank on way to Lampedusa (I) from LY, 6 rescued by Egyptian fishing boats (Mar 27, 2011)</t>
  </si>
  <si>
    <t>Event at Lampedusa on Mar 27, 2011</t>
  </si>
  <si>
    <t>Guardian Un./PerCat/AdnK</t>
  </si>
  <si>
    <t>2011-03-26T00:00:00Z</t>
  </si>
  <si>
    <t>feared drowned, boat of 335 left Libya for Italy has been missing for 2 weeks (Mar 26, 2011)</t>
  </si>
  <si>
    <t>Event at Libya on Mar 26, 2011</t>
  </si>
  <si>
    <t>Quotidiano/LR/Migeurop/Kaosenlared/RAI</t>
  </si>
  <si>
    <t>2011-03-25T00:00:00Z</t>
  </si>
  <si>
    <t>pulmonary embolism on flight to emergency surgery in Strasbourg(F), consulate delayed visa (Mar 25, 2011)</t>
  </si>
  <si>
    <t>strasbourg</t>
  </si>
  <si>
    <t>Event at Strasbourg on Mar 25, 2011</t>
  </si>
  <si>
    <t>Seneweb/Nouvel Obs</t>
  </si>
  <si>
    <t>2011-03-24T00:00:00Z</t>
  </si>
  <si>
    <t>feared drowned after 2 boats travelling together from Sidi Bilal (LY) sank on way to Italy (Mar 24, 2011)</t>
  </si>
  <si>
    <t>Sidi Bilal, libya</t>
  </si>
  <si>
    <t>Event at Sidi Bilal, Libya on Mar 24, 2011</t>
  </si>
  <si>
    <t>2011-03-21T00:00:00Z</t>
  </si>
  <si>
    <t>drowned, found off Crete s island jumped off LY-GR ship in Souda (GR) during repatriation (Mar 21, 2011)</t>
  </si>
  <si>
    <t>Event at Crete on Mar 21, 2011</t>
  </si>
  <si>
    <t>missing, sent distress signal near Paxoi island (GR) way to I, jumped into sea during rescue (Mar 21, 2011). From Del Grande's data set (translated): Three lost at sea during the rescue operation off the Greek island of Paxos in the Ionian Sea, a boat directly in Puglia (Mar 22, 2011)</t>
  </si>
  <si>
    <t>puglia</t>
  </si>
  <si>
    <t>Event at Puglia on Mar 21, 2011</t>
  </si>
  <si>
    <t>ORF</t>
  </si>
  <si>
    <t>http://fortresseurope.blogspot.com/2011/03/grecia-3-dispersi-sulla-rotta-per-la.html</t>
  </si>
  <si>
    <t>2011-03-17T00:00:00Z</t>
  </si>
  <si>
    <t>drowned, patrols found bodies in Petalo area of river Evros (GR) (Mar 17, 2011)</t>
  </si>
  <si>
    <t>Event at Evros on Mar 17, 2011</t>
  </si>
  <si>
    <t>clandestinE</t>
  </si>
  <si>
    <t>2011-03-16T00:00:00Z</t>
  </si>
  <si>
    <t>A corpse in an advanced state of decomposition was found on the rocks of Pantelleria. Two other victims of the crossings of the Strait of Sicily were fished out in the last hour off Lampedusa (Mar 17, 2011)</t>
  </si>
  <si>
    <t>Event at Lampedusa on Mar 16, 2011</t>
  </si>
  <si>
    <t>http://fortresseurope.blogspot.com/2011/03/pantelleria-trovato-un-cadavere-sugli.html</t>
  </si>
  <si>
    <t>2011-03-13T00:00:00Z</t>
  </si>
  <si>
    <t>drowned; 17 found, 23 missing, boat sank near Kerkenneh (TN) on way to Lampedusa (I) (Mar 13, 2011). From Del Grande's data set (translated): The family of 40 children of Tunis denouncing the sinking of a boat off the island of Kerkennah game from Sfax with 45 passengers on board. Saved in 5. Of the 40 victims, only 4 bodies are recovered (Mar 13, 2011)</t>
  </si>
  <si>
    <t>Event at Lampedusa on Mar 13, 2011</t>
  </si>
  <si>
    <t>LR/AFP/Le Figaro/EP/Diario de Noticias/TunisieSoir</t>
  </si>
  <si>
    <t>http://fortresseurope.blogspot.com/2011/11/lorologio-di-riad-e-i-ragazzi-di.html</t>
  </si>
  <si>
    <t>Sailed from Sidi Mansour (Sfax) on the route to Lampedusa, the old fishing vessel "Zuhair" is lost at sea with all its 48 passengers. It is a different vessel from that wrecked yesterday in Kerkennah (Mar 14, 2011)</t>
  </si>
  <si>
    <t>http://fortresseurope.blogspot.com/2011/11/ahmed-akram-mohammed-makram-e-walid.html</t>
  </si>
  <si>
    <t>2011-03-11T00:00:00Z</t>
  </si>
  <si>
    <t>presumed suicide, found hanged in Cagliari reception centre (I), unclear circumstances    (Mar 11, 2011)</t>
  </si>
  <si>
    <t>cagliari</t>
  </si>
  <si>
    <t>Event at Cagliari on Mar 11, 2011</t>
  </si>
  <si>
    <t>ElW</t>
  </si>
  <si>
    <t>2011-03-05T00:00:00Z</t>
  </si>
  <si>
    <t>found dead in police cell, was detained for having no papers in Zurich airport (CH) (Mar 5, 2011)</t>
  </si>
  <si>
    <t>zurich</t>
  </si>
  <si>
    <t>Event at Zurich on Mar 05, 2011</t>
  </si>
  <si>
    <t>Migreurop/AP</t>
  </si>
  <si>
    <t>2011-03-04T00:00:00Z</t>
  </si>
  <si>
    <t>During the landing of the ferry greek Ionian King at the port of Souda, Crete load of 1,200 foreigners were evacuated from Benghazi, fleeing Libya in revolt, a group of 46 Bangladeshis fear of being expelled from Greece throws herself into the sea to escape groped . 3 of them drowned, while 16 others are reported missing (Mar 5, 2011)</t>
  </si>
  <si>
    <t>Event at Crete on Mar 04, 2011</t>
  </si>
  <si>
    <t>http://fortresseurope.blogspot.com/2011/03/grecia-3-morti-e-16-dispersi-tra-i.html</t>
  </si>
  <si>
    <t>2011-03-03T00:00:00Z</t>
  </si>
  <si>
    <t>A vessel is at sea the lifeless body of a drowning man, to Cap Carbon, Arzew (Mar 4, 2011)</t>
  </si>
  <si>
    <t>arzew</t>
  </si>
  <si>
    <t>Event at Arzew on Mar 03, 2011</t>
  </si>
  <si>
    <t>2011-03-01T06:00:00Z</t>
  </si>
  <si>
    <t>Detainee who was sentenced to be deported strangles himself  in his cell</t>
  </si>
  <si>
    <t>Suicide at prison near Zurich</t>
  </si>
  <si>
    <t>NZZ</t>
  </si>
  <si>
    <t>http://www.nzz.ch/aktuell/zuerich/uebersicht/haeftling-erhaengt-sich-im-flughafengefaengnis-1.9739049</t>
  </si>
  <si>
    <t>2011-02-26T00:00:00Z</t>
  </si>
  <si>
    <t>2011 -- 2</t>
  </si>
  <si>
    <t>drowned while trying to cross Benzu breakwater (MA) to Ceuta (E) body found hours after (Feb 26, 2011). From Del Grande's data set (translated): Ceuta, found the body of a boy drowned trying to swim around the border post Benz (Feb 28, 2011)</t>
  </si>
  <si>
    <t>Event at Ceuta on Feb 26, 2011</t>
  </si>
  <si>
    <t>Faro/FE/DiarioVasco</t>
  </si>
  <si>
    <t>2011-02-25T00:00:00Z</t>
  </si>
  <si>
    <t>The family of 9 children in the province of Arzew recognize the bodies of their loved ones, fished in Jijel after the sinking of their ship direct to Spain, 6 other passengers are still missing (Feb 26, 2011)</t>
  </si>
  <si>
    <t>Event at Arzew on Feb 25, 2011</t>
  </si>
  <si>
    <t>2011-02-24T00:00:00Z</t>
  </si>
  <si>
    <t>Found the lifeless body of a young boy drowned trying to swim to Ceuta, one of the two Spanish enclaves in Morocco (Feb 25, 2011)</t>
  </si>
  <si>
    <t>Event at Ceuta on Feb 24, 2011</t>
  </si>
  <si>
    <t>El Faro</t>
  </si>
  <si>
    <t>http://fortresseurope.blogspot.com/2011/03/ceuta-muore-annegato-un-16enne-alla.html</t>
  </si>
  <si>
    <t>2011-02-14T00:00:00Z</t>
  </si>
  <si>
    <t>Found in Bouharoun, Tipaza, the lifeless bodies of 6 boys drowned during the crossing to Spain (Feb 15, 2011)</t>
  </si>
  <si>
    <t>bouharoun, tipaza</t>
  </si>
  <si>
    <t>Event at Bouharoun, Tipaza on Feb 14, 2011</t>
  </si>
  <si>
    <t>2011-02-07T00:00:00Z</t>
  </si>
  <si>
    <t>suicide, hanged himself in a shower at Campsfield House Immigration Removal Centre (GB) (Feb 7, 2011)</t>
  </si>
  <si>
    <t>campsfield</t>
  </si>
  <si>
    <t>Event at Campsfield on Feb 07, 2011</t>
  </si>
  <si>
    <t>2011-02-06T00:00:00Z</t>
  </si>
  <si>
    <t>died from heart attack after medical neglect at Colnbrook Immigration Removal Centre (GB)  (Feb 6, 2011)</t>
  </si>
  <si>
    <t>colnbrook</t>
  </si>
  <si>
    <t>Event at Colnbrook on Feb 06, 2011</t>
  </si>
  <si>
    <t>GuardianUn</t>
  </si>
  <si>
    <t>2011-02-05T00:00:00Z</t>
  </si>
  <si>
    <t>drowned, 2 found, overcrowded boat capsized 300km from Tripoli (LY) to Lampedusa (I) (Feb 5, 2011). From Del Grande's data set (translated): A fishing boat with 700 passengers on board capsized during rescue operations off the island of Kerkennah. Two dead and 270 missing (Jun 2, 2011)</t>
  </si>
  <si>
    <t>Event at Lampedusa on Feb 05, 2011</t>
  </si>
  <si>
    <t>Migreurop/Mugak/UNHCR/Reu/Universo/GuardianUn/BBC/LR</t>
  </si>
  <si>
    <t>http://fortresseurope.blogspot.com/2011/06/tunisia-2-morti-e-270-dispersi-al-largo.html</t>
  </si>
  <si>
    <t>2011-02-03T00:00:00Z</t>
  </si>
  <si>
    <t>drowned when disembarking boat of 500 migrants in Modica(I), body found by Punta Reglioni (Feb 3, 2011). From Del Grande's data set (translated): Man found dead in a truck tarpaulin, between different boxes, on board a ship just arrived from Greece in the port of Ancona (Apr 2, 2011)</t>
  </si>
  <si>
    <t>Event at Punta on Feb 03, 2011</t>
  </si>
  <si>
    <t>FE/PICUM</t>
  </si>
  <si>
    <t>http://fortresseurope.blogspot.com/2011/04/ancona-un-morto-su-un-traghetto-giunto.html</t>
  </si>
  <si>
    <t>stowaway, asphyxiation, body found in van at Ancona port (I) on ferry coming from GR (Feb 3, 2011)</t>
  </si>
  <si>
    <t>Event at Ancona on Feb 03, 2011</t>
  </si>
  <si>
    <t>PICUM/FE/ANSA/ClandestinE</t>
  </si>
  <si>
    <t>2011-02-02T00:00:00Z</t>
  </si>
  <si>
    <t>drowned, decomposed body found floating opposite La Carihuela beach, Torremolinos (E) (Feb 2, 2011). From Del Grande's data set (translated): Found on the beaches of Torremolinos lifeless body of a young boy drowned in the crossing of the Mediterranean (Mar 11, 2011)</t>
  </si>
  <si>
    <t>torremolinos</t>
  </si>
  <si>
    <t>Event at Torremolinos on Feb 02, 2011</t>
  </si>
  <si>
    <t>SUR/MUGAK</t>
  </si>
  <si>
    <t>http://fortresseurope.blogspot.com/2011/03/spagna-un-morto-torremolinos.html</t>
  </si>
  <si>
    <t>2011-12-31T00:00:00Z</t>
  </si>
  <si>
    <t>4Q2011</t>
  </si>
  <si>
    <t>2011 -- 12</t>
  </si>
  <si>
    <t>missing after they tried to cross the river Evros between GR and TR, part of a group of 15 (Dec 31, 2011)</t>
  </si>
  <si>
    <t>Event at Evros on Dec 31, 2011</t>
  </si>
  <si>
    <t>CMau/KI</t>
  </si>
  <si>
    <t>died of hypothermia trying to cross the river Evros between GR and TR, part of group of 15 (Dec 31, 2011)</t>
  </si>
  <si>
    <t>died at hospital, Essen (D), deportation threats, interdiction to work contributed to sickness (Dec 31, 2011)</t>
  </si>
  <si>
    <t>essen</t>
  </si>
  <si>
    <t>Event at Essen on Dec 31, 2011</t>
  </si>
  <si>
    <t>VRF</t>
  </si>
  <si>
    <t>2011-12-29T00:00:00Z</t>
  </si>
  <si>
    <t>According Adescam, 3 Congolese women, one of them pregnant, died of starvation after being expelled from Morocco and abandoned in a deserted area on the border with Algeria (Dec 30, 2011)</t>
  </si>
  <si>
    <t>algeria</t>
  </si>
  <si>
    <t>Event at Algeria on Dec 29, 2011</t>
  </si>
  <si>
    <t>2011-12-26T00:00:00Z</t>
  </si>
  <si>
    <t>died of hypothermia, body found by the police along the shores of the Evros River (GR) (Dec 26, 2011)</t>
  </si>
  <si>
    <t>Event at Evros on Dec 26, 2011</t>
  </si>
  <si>
    <t>2011-12-23T00:00:00Z</t>
  </si>
  <si>
    <t>One drowned in Ceuta, while trying to swim to the Spanish enclave in Morocco bypassing the border (Dec 24, 2011)</t>
  </si>
  <si>
    <t>Event at Ceuta on Dec 23, 2011</t>
  </si>
  <si>
    <t>El Pueblo de Ceuta</t>
  </si>
  <si>
    <t>http://fortresseurope.blogspot.com/2011/12/ancora-una-vittima-alla-frontiera-sud.html</t>
  </si>
  <si>
    <t>2011-12-21T00:00:00Z</t>
  </si>
  <si>
    <t>presumed suicide in police cell in NL days before deportation, very unclear circumstances (Dec 21, 2011)</t>
  </si>
  <si>
    <t>Netherland</t>
  </si>
  <si>
    <t>Event at Netherland on Dec 21, 2011</t>
  </si>
  <si>
    <t>Vrijheid</t>
  </si>
  <si>
    <t>2011-12-19T00:00:00Z</t>
  </si>
  <si>
    <t>Found on the roadside in Imola, the lifeless body of a young man died asphyxiated in the truck in which he was hiding in Greece to embark on a ferry to Italy. To abandon the corpse would have been a truck driver (Dec 20, 2011)</t>
  </si>
  <si>
    <t>Imola</t>
  </si>
  <si>
    <t>Event at Imola on Dec 19, 2011</t>
  </si>
  <si>
    <t>Corriere della Sera</t>
  </si>
  <si>
    <t>2011-12-18T00:00:00Z</t>
  </si>
  <si>
    <t>died of meningitis hours after her admission to hospital from Aluche detention centre (E) (Dec 18, 2011)</t>
  </si>
  <si>
    <t>aluche</t>
  </si>
  <si>
    <t>Event at Aluche on Dec 18, 2011</t>
  </si>
  <si>
    <t>IRR/ICARE/MUGAK</t>
  </si>
  <si>
    <t>2011-12-06T00:00:00Z</t>
  </si>
  <si>
    <t>Rescued 75 miles south of Malta a boat adrift with 44 passengers, who tell two died during the crossing (Dec 7, 2011)</t>
  </si>
  <si>
    <t>Event at Malta on Dec 06, 2011</t>
  </si>
  <si>
    <t>http://fortresseurope.blogspot.com/2011/12/libia-primo-sbarco-malta-dopo-3-mesi.html</t>
  </si>
  <si>
    <t>2011-12-03T00:00:00Z</t>
  </si>
  <si>
    <t>pregnant, died from drinking sea water, boat of 72 went adrift in Mediterranean for 16 days (Dec 3, 2011). From Del Grande's data set (translated): Rescued vessel in distress off the coast of Malta. A board was found the lifeless body of a girl of 29 years (Apr 12, 2011)</t>
  </si>
  <si>
    <t>Event at Malta on Dec 03, 2011</t>
  </si>
  <si>
    <t>http://fortresseurope.blogspot.com/2011/04/sbarco-malta-muore-una-ragazza-di-29.html</t>
  </si>
  <si>
    <t>2011-12-01T00:00:00Z</t>
  </si>
  <si>
    <t>drowned, boat sank off Zarzis (TN) on way to Italy, 1 body found, 1 missing, 10 survivors (Dec 1, 2011). From Del Grande's data set (translated): Spills at sea off the coast of Zarzis boat with 12 passengers was shuttled from the mother ship ready to go to Lampedusa. A boy drowned and another is lost at sea (Feb 12, 2011)</t>
  </si>
  <si>
    <t>Event at Lampedusa on Dec 01, 2011</t>
  </si>
  <si>
    <t>LESP</t>
  </si>
  <si>
    <t>http://fortresseurope.blogspot.com/2011/02/tunisianaufragio-zarzis-un-morto-e-un.html</t>
  </si>
  <si>
    <t>bodies found by patrol guards on a boat adrift near Sfax (TN) on way to Italy (Dec 1, 2011). From Del Grande's data set (translated): The bodies of four men were found on a finished boat adrift off the coast of Sfax on the route to Lampedusa (Feb 13, 2011)</t>
  </si>
  <si>
    <t>http://fortresseurope.blogspot.com/2011/02/altra-drammatica-notizia-dalla-tunisia.html</t>
  </si>
  <si>
    <t>2011-11-27T00:00:00Z</t>
  </si>
  <si>
    <t>2011 -- 11</t>
  </si>
  <si>
    <t>drowned, found in port of Ceuta (E) in advanced state of decomposition (Nov 27, 2011). From Del Grande's data set (translated): Found at the entrance of the port of Ceuta the lifeless body of a young boy drowned trying to swim to the Spanish enclave in Morocco (Nov 29, 2011)</t>
  </si>
  <si>
    <t>Event at Ceuta on Nov 27, 2011</t>
  </si>
  <si>
    <t>FE/ElDia/MUGAK</t>
  </si>
  <si>
    <t>http://fortresseurope.blogspot.com/2011/11/ceuta-tenta-di-aggirare-la-frontiera.html</t>
  </si>
  <si>
    <t>2011-11-26T00:00:00Z</t>
  </si>
  <si>
    <t>bodies found in the south-eastern port of Brindisi (I) after a vessel sank off the nearby coast (Nov 26, 2011). From Del Grande's data set (translated): Salt the death toll of the sinking of Brindisi, after the discovery of a third body in the sea without life (Nov 27, 2011)</t>
  </si>
  <si>
    <t>brindisi</t>
  </si>
  <si>
    <t>Event at Brindisi on Nov 26, 2011</t>
  </si>
  <si>
    <t>http://fortresseurope.blogspot.com/2011/11/brindisi-recuperato-un-terzo-corpo-in.html</t>
  </si>
  <si>
    <t>2011-11-25T00:00:00Z</t>
  </si>
  <si>
    <t>drowned, bodies found afer boat sank off Brindisi coasts (I) on the way from Turkey (Nov 25, 2011). From Del Grande's data set (translated): A sailing boat is shipwrecked off the coast brindisine after being stranded on the rocks. 2 bodies recovered, the missing and thirty, 39 survivors (Nov 26, 2011)</t>
  </si>
  <si>
    <t>Event at Brindisi on Nov 25, 2011</t>
  </si>
  <si>
    <t>FE/LR/PICUM/LRB/Blitz/MUGAK/Raz/ABC/VDG</t>
  </si>
  <si>
    <t>http://fortresseurope.blogspot.com/2011/11/brindisi-2-morti-in-mare-i-dispersi.html</t>
  </si>
  <si>
    <t>2011-11-23T00:00:00Z</t>
  </si>
  <si>
    <t>died of hypothermia, body found in a farming area in Thymaria, Alexandroupoli (GR) (Nov 23, 2011)</t>
  </si>
  <si>
    <t>alexandroupoli</t>
  </si>
  <si>
    <t>Event at Alexandroupoli on Nov 23, 2011</t>
  </si>
  <si>
    <t>died of hypothermia, body found in the Peplos region, on banks of Evros River (GR) (Nov 23, 2011)</t>
  </si>
  <si>
    <t>Event at Evros on Nov 23, 2011</t>
  </si>
  <si>
    <t>2011-11-22T00:00:00Z</t>
  </si>
  <si>
    <t>drowned, bodies found on Moroccan beach, part of group of 90 who tried to swim to Ceuta (Nov 22, 2011)</t>
  </si>
  <si>
    <t>Event at Ceuta on Nov 22, 2011</t>
  </si>
  <si>
    <t>2011-11-09T00:00:00Z</t>
  </si>
  <si>
    <t>died in accident, smugglers  car overturned as they tried to avoid a police road block (Nov 9, 2011)</t>
  </si>
  <si>
    <t>Event at Greece on Nov 09, 2011</t>
  </si>
  <si>
    <t>2011-11-04T00:00:00Z</t>
  </si>
  <si>
    <t>suicide, hanged himself in Parc de la Villette, Paris(F) when told he would be deported (Nov 4, 2011)</t>
  </si>
  <si>
    <t>Event at Paris on Nov 04, 2011</t>
  </si>
  <si>
    <t>DRARI/INDf</t>
  </si>
  <si>
    <t>2011-11-03T00:00:00Z</t>
  </si>
  <si>
    <t>body found in a drifting wooden boat off Malta s shore rescued patrol vessels (Nov 3, 2011)</t>
  </si>
  <si>
    <t>Event at Malta on Nov 03, 2011</t>
  </si>
  <si>
    <t>FE/AFM</t>
  </si>
  <si>
    <t>2011-11-01T00:00:00Z</t>
  </si>
  <si>
    <t>Melilla found the lifeless body of a young man drowned trying to swim around the border (Nov 2, 2011)</t>
  </si>
  <si>
    <t>Event at Melilla on Nov 01, 2011</t>
  </si>
  <si>
    <t>drowned; 5 found, 30 missing when TN coastguards rammed their boat, splitting it in two (Nov 1, 2011). From Del Grande's data set (translated): Collision at sea off the coast of Zarzis and on the route to Lampedusa, including a vessel with 120 passengers on board the corvette "Liberte 302" Navy Tunisia. 5 dead and 30 missing at sea. The survivors have accused marina deliberately rammed them (Feb 11, 2011)</t>
  </si>
  <si>
    <t>Event at Lampedusa on Nov 01, 2011</t>
  </si>
  <si>
    <t>MNS/BBC/LESP/LR/Le Monde/Newsaust/Mugak/Diario de Navarra</t>
  </si>
  <si>
    <t>http://fortresseurope.blogspot.com/2011/02/zarzis-parlano-i-superstiti-speronati.html</t>
  </si>
  <si>
    <t>2011-10-30T00:00:00Z</t>
  </si>
  <si>
    <t>2011 -- 10</t>
  </si>
  <si>
    <t>Found the lifeless body of a drowning man who died during the crossing of the Strait, off the coast of Motril, Granada (Oct 31, 2011)</t>
  </si>
  <si>
    <t>Event at Granada on Oct 30, 2011</t>
  </si>
  <si>
    <t>2011-10-23T00:00:00Z</t>
  </si>
  <si>
    <t>Found the lifeless bodies of 3 boys drowned trying to swim around the border post Tarajal. The Moroccan authorities do not exclude others lost at sea (Oct 24, 2011)</t>
  </si>
  <si>
    <t>tarajal</t>
  </si>
  <si>
    <t>Event at Tarajal on Oct 23, 2011</t>
  </si>
  <si>
    <t>http://fortresseurope.blogspot.com/2011/10/marocco-tentano-di-raggiungere-nuoto.html</t>
  </si>
  <si>
    <t>2011-10-22T00:00:00Z</t>
  </si>
  <si>
    <t>Disembark in Locri, Calabria, a vessel with 53 young Egyptians on board. Drowned a 16 year old boy (Oct 23, 2011)</t>
  </si>
  <si>
    <t>Event at Calabria on Oct 22, 2011</t>
  </si>
  <si>
    <t>http://fortresseurope.blogspot.com/2011/10/sbarco-nella-locride-muore-un-sedicenne.html</t>
  </si>
  <si>
    <t>2011-10-17T00:00:00Z</t>
  </si>
  <si>
    <t>Drown a twenty year old, fell into the sea while attempting to climb on the rocks along with the other 41 passengers landed at Seminara, in the province of Reggio Calabria (Oct 18, 2011)</t>
  </si>
  <si>
    <t>Event at Calabria on Oct 17, 2011</t>
  </si>
  <si>
    <t>http://fortresseurope.blogspot.com/2011/10/calabria-ritrovato-il-corpo-di-un-uomo.html</t>
  </si>
  <si>
    <t>2011-10-12T00:00:00Z</t>
  </si>
  <si>
    <t>3 found dead off the coast of Calblanque and 2 off Calarreona and Punta Negrete, in the area of __Murcia, they are the 5 missing in a boat rescued a few days before (Oct 13, 2011)</t>
  </si>
  <si>
    <t>Event at Punta on Oct 12, 2011</t>
  </si>
  <si>
    <t>2011-10-11T00:00:00Z</t>
  </si>
  <si>
    <t>bodies found in the area of Petalo (GR), tried to cross the border TR-GR via the Evros River (Oct 11, 2011). From Del Grande's data set (translated): Sixteen falls into the water and drowned during a chase between a Greek patrol boat and the boat was traveling with other passengers along the Evros River at the border between Turkey and Greece (Dec 9, 2011)</t>
  </si>
  <si>
    <t>Event at Evros on Oct 11, 2011</t>
  </si>
  <si>
    <t>http://fortresseurope.blogspot.com/2011/12/muore-16enne-in-un-inseguimento-di.html</t>
  </si>
  <si>
    <t>Found the bodies of two boys drowned trying to swim across the Evros River at the border between Turkey and Greece (Oct 12, 2011)</t>
  </si>
  <si>
    <t>http://fortresseurope.blogspot.com/2011/10/grecia-2-morti-annegati-sul-fiume-evros.html</t>
  </si>
  <si>
    <t>2011-10-04T00:00:00Z</t>
  </si>
  <si>
    <t>stowaway, fell out of a truck near Calais (F) was travelling to GB (Oct 4, 2011)</t>
  </si>
  <si>
    <t>calais</t>
  </si>
  <si>
    <t>Event at Calais on Oct 04, 2011</t>
  </si>
  <si>
    <t>LePhare</t>
  </si>
  <si>
    <t>2011-10-03T00:00:00Z</t>
  </si>
  <si>
    <t>died in prison near Misrata (LY) after boat left to drift for 16 days, SOS ignored by NATO (Oct 3, 2011)</t>
  </si>
  <si>
    <t>Event at Misrata on Oct 03, 2011</t>
  </si>
  <si>
    <t>GuardianUn/MUGAK/ELM/VDG/Raz/ABC/AVUI/PerCat/VK/SUR/Publico/ElDia/ELC/Diario Vasco/PACE/Verdad/Migreurop/UNHCR/ECRE/br2/AFP/HRW</t>
  </si>
  <si>
    <t>died from thirst and hunger on reaching land, boat drifted for 16 days, SOS ignored by NATO (Oct 3, 2011)</t>
  </si>
  <si>
    <t>Lybia to Italy</t>
  </si>
  <si>
    <t>Event at Lybia To Italy on Oct 03, 2011</t>
  </si>
  <si>
    <t>died from thirst and hunger, boat drifted in Mediterranean for 16 days, SOS ignored by NATO (Oct 3, 2011)</t>
  </si>
  <si>
    <t>2011-01-30T00:00:00Z</t>
  </si>
  <si>
    <t>2011 -- 1</t>
  </si>
  <si>
    <t>failed asylum seeker, died after jumping from window during police check in Nicosia flat (CY) (Jan 30, 2011)</t>
  </si>
  <si>
    <t>nicosia</t>
  </si>
  <si>
    <t>Event at Nicosia on Jan 30, 2011</t>
  </si>
  <si>
    <t>2011-01-25T00:00:00Z</t>
  </si>
  <si>
    <t>Emerges from the sea lifeless body of a man drowned during a shipwreck in the sea area between Morocco and Spain. The discovery was made in Estepona (Jan 26, 2011)</t>
  </si>
  <si>
    <t>estepona</t>
  </si>
  <si>
    <t>Event at Estepona on Jan 25, 2011</t>
  </si>
  <si>
    <t>http://fortresseurope.blogspot.com/2011/01/spagna-il-mare-porta-riva-un-altro.html</t>
  </si>
  <si>
    <t>2011-01-22T00:00:00Z</t>
  </si>
  <si>
    <t>stopped breathing, very weak after 4 days wait at Strait of Gibraltar coast for MA-E dinghy  (Jan 22, 2011). From Del Grande's data set (translated): Boy dies of starvation, after four days spent in a forest on the Mediterranean coast of Morocco unnecessarily waiting for a boat that was ferrying across the sea, to Spain (Jan 24, 2011)</t>
  </si>
  <si>
    <t>Event at Gibraltar on Jan 22, 2011</t>
  </si>
  <si>
    <t>Humano</t>
  </si>
  <si>
    <t>http://fortresseurope.blogspot.com/2011/01/marocco-muore-di-stenti-prima.html</t>
  </si>
  <si>
    <t>2011-01-21T00:00:00Z</t>
  </si>
  <si>
    <t>Found in Estepona, Malaga, the lifeless body of a young boy drowned in a crossing (Jan 22, 2011)</t>
  </si>
  <si>
    <t>Event at Estepona on Jan 21, 2011</t>
  </si>
  <si>
    <t>2011-01-17T00:00:00Z</t>
  </si>
  <si>
    <t>drowned, boat capsized near Metline (TN) during poor border control after Ben Ali abdication (Jan 17, 2011). From Del Grande's data set (translated): Intercepted by the Coast Guard off the coast of Algeria in Annaba on the route to Sardinia, passengers set fire to protest boat before plunging into the sea and get relief. But in the transaction disappear beneath the waves two boys lost at sea (Jan 18, 2011)</t>
  </si>
  <si>
    <t>annaba</t>
  </si>
  <si>
    <t>Event at Annaba on Jan 17, 2011</t>
  </si>
  <si>
    <t>http://fortresseurope.blogspot.com/2011/01/harraga-come-brucia-la-frontiera.html</t>
  </si>
  <si>
    <t>2011-01-16T00:00:00Z</t>
  </si>
  <si>
    <t>drowned, set boat on fire and jumped to avoid border patrol in Annaba (DZ) on the way to I (Jan 16, 2011). From Del Grande's data set (translated): Shipwreck Metline in northern Tunisia, on the route to Pantelleria. Drowned Boy (Jan 18, 2011)</t>
  </si>
  <si>
    <t>Event at Pantelleria on Jan 16, 2011</t>
  </si>
  <si>
    <t>FE/Migreurop/ElW</t>
  </si>
  <si>
    <t>http://fortresseurope.blogspot.com/2011/01/tunisia-naufragio-metlin-un-morto.html</t>
  </si>
  <si>
    <t>2011-01-15T00:00:00Z</t>
  </si>
  <si>
    <t>missing, feared drowned when ship sank near Corfu (GR) on way to Italy, 230 survivors (Jan 15, 2011). From Del Grande's data set (translated): He died in the shooting of a Border Patrol Eritrean girl of twenty years with a group of fellow was trying to cross the border with Israel in Sinai (Jan 17, 2011)</t>
  </si>
  <si>
    <t>corfu</t>
  </si>
  <si>
    <t>Event at Corfu on Jan 15, 2011</t>
  </si>
  <si>
    <t>ClandestinE/FE/AFP/KI/VK/MNS/BBC</t>
  </si>
  <si>
    <t>http://fortresseurope.blogspot.com/2011/01/morire-di-viaggio-ventanni.html</t>
  </si>
  <si>
    <t>2011-01-11T00:00:00Z</t>
  </si>
  <si>
    <t>missing after they sailed from Sidi Lakhdar (DZ) in the direction of Spain on a makeshift boat (Jan 11, 2011). From Del Grande's data set (translated): Departing from Sidi Lakhdar, Mostaganem, Arzew are 11 boys from days lost at sea en route to Spain (Dec 5, 2011)</t>
  </si>
  <si>
    <t>Event at Arzew on Jan 11, 2011</t>
  </si>
  <si>
    <t>FE/Le MatinDZ</t>
  </si>
  <si>
    <t>http://fortresseurope.blogspot.com/2011/12/algeria-11-dispersi-arzew-su-rotta-per.html</t>
  </si>
  <si>
    <t>killed after a car chase in Evros (GR), involving Greek border police and FRONTEX officials (Jan 11, 2011)</t>
  </si>
  <si>
    <t>Event at Evros on Jan 11, 2011</t>
  </si>
  <si>
    <t>2011-01-09T00:00:00Z</t>
  </si>
  <si>
    <t>found dead in his room at the Gerstungen asylum seekers centre (D) 10 days after he died  (Jan 9, 2011)</t>
  </si>
  <si>
    <t>gerstungen</t>
  </si>
  <si>
    <t>Event at Gerstungen on Jan 09, 2011</t>
  </si>
  <si>
    <t>murdered due to his religious after deportation from Sweden, his asylum claim was rejected (Jan 9, 2011)</t>
  </si>
  <si>
    <t>sweden</t>
  </si>
  <si>
    <t>Event at Sweden on Jan 09, 2011</t>
  </si>
  <si>
    <t>UNHCR/Sveriges</t>
  </si>
  <si>
    <t>2011-01-07T00:00:00Z</t>
  </si>
  <si>
    <t>suffocated, travelling on boat with 275 survivors, SOS sent 35 miles from Lampedusa (I) (Jan 7, 2011). From Del Grande's data set (translated): Found on board a fishing vessel the lifeless bodies of 25 children died from asphyxiation in the engine room of the boat. Another passenger would have instead been thrown into the sea after a scuffle during the crossing (Aug 1, 2011)</t>
  </si>
  <si>
    <t>Event at Lampedusa on Jan 07, 2011</t>
  </si>
  <si>
    <t>SP/FE/Le Figaro</t>
  </si>
  <si>
    <t>2011-01-06T00:00:00Z</t>
  </si>
  <si>
    <t>died of hypothermia trying to swim ashore with life jacket, body found off Ceuta s coast (E)  (Jan 6, 2011)</t>
  </si>
  <si>
    <t>Event at Ceuta on Jan 06, 2011</t>
  </si>
  <si>
    <t>2011-01-05T00:00:00Z</t>
  </si>
  <si>
    <t>unknown manner of death, died on the way from Libya to Malta body thrown overboard (Jan 5, 2011). From Del Grande's data set (translated): The passengers of a vessel rescued by the Maltese speak of a man who died of starvation during the journey and abandoned at sea (Jun 1, 2011)</t>
  </si>
  <si>
    <t>Event at Malta on Jan 05, 2011</t>
  </si>
  <si>
    <t>ANSA/Fe</t>
  </si>
  <si>
    <t>http://fortresseurope.blogspot.com/2011/06/imbarcazione-soccorsa-dai-maltesi-un.html</t>
  </si>
  <si>
    <t>2011-01-03T00:00:00Z</t>
  </si>
  <si>
    <t>drowned, reportedly from missing boat to Italy on 27/03. bodies found off Kerkenneh(TN) (Jan 3, 2011). From Del Grande's data set (translated): The bodies of 27 Tunisians, aged between 19 and 23 years, died in 2 wrecks of boats headed for Italy, on 13 and 27 March, were discovered in the last hours on the coast of the island of Kerkennah (Apr 1, 2011)</t>
  </si>
  <si>
    <t>Event at Kerkennah on Jan 03, 2011</t>
  </si>
  <si>
    <t>drowned, bodies found on Tunisian beaches by coastguards  (Jan 3, 2011)</t>
  </si>
  <si>
    <t>Event at Tunis on Jan 03, 2011</t>
  </si>
  <si>
    <t>Migreurop</t>
  </si>
  <si>
    <t>2011-01-02T00:00:00Z</t>
  </si>
  <si>
    <t>burned to death in a shack in Melilla (E) as they waited for a chance to cross to mainland (Jan 2, 2011)</t>
  </si>
  <si>
    <t>Event at Melilla on Jan 02, 2011</t>
  </si>
  <si>
    <t>ABC/MUGAK</t>
  </si>
  <si>
    <t>drowned, bodies found in advanced state of decomposition near Lampedusa (I) (Jan 2, 2011)</t>
  </si>
  <si>
    <t>Event at Lampedusa on Jan 02, 2011</t>
  </si>
  <si>
    <t>suicide - under train</t>
  </si>
  <si>
    <t>suicide, laid under train in Gifhorn(D)in fear of deportation, lived 16yrs in D where he had son (Jan 2, 2011)</t>
  </si>
  <si>
    <t>gifhorn</t>
  </si>
  <si>
    <t>Event at Gifhorn on Jan 02, 2011</t>
  </si>
  <si>
    <t>Karawane/taz/jW/waz</t>
  </si>
  <si>
    <t>2011-01-01T00:00:00Z</t>
  </si>
  <si>
    <t>A dead man killed in the shooting of the Egyptian police at the border with Israel on Sinai (Jan 2, 2011)</t>
  </si>
  <si>
    <t>Event at Sinai, Egypt on Jan 01, 2011</t>
  </si>
  <si>
    <t>http://fortresseurope.blogspot.com/2011/01/egypt-police-say-migrant-killed-at.html</t>
  </si>
  <si>
    <t>died crossing the Oder/Neisse border. German police did not record the precise date.</t>
  </si>
  <si>
    <t>Oder/Neisse border</t>
  </si>
  <si>
    <t>Event at Oder/Neisse border in 2011</t>
  </si>
  <si>
    <t>German Federal Police</t>
  </si>
  <si>
    <t>2010-09-30T00:00:00Z</t>
  </si>
  <si>
    <t>3Q2010</t>
  </si>
  <si>
    <t>2010 -- 9</t>
  </si>
  <si>
    <t>drowned, suspected that boat capsized 6 days earlier, travelling from Turkey to Greece (Sep 30, 2010)</t>
  </si>
  <si>
    <t>Event at Evros on Sep 30, 2010</t>
  </si>
  <si>
    <t>Zaman/NOB</t>
  </si>
  <si>
    <t>2010-09-20T00:00:00Z</t>
  </si>
  <si>
    <t>stowaway, travelling from Georgia, hurriedly jumped off truck near Foggia (I) and fell on head (Sep 20, 2010). From Del Grande's data set (translated): Three people are thrown from a truck Ukrainian 5 km from Foggia on the A14. One of these, a 22 year-old Eritrean, slams his head against the guardrail and dies instantly (Sep 21, 2010)</t>
  </si>
  <si>
    <t>foggia</t>
  </si>
  <si>
    <t>Event at Foggia on Sep 20, 2010</t>
  </si>
  <si>
    <t>Migreurop/FE/FaiNoti</t>
  </si>
  <si>
    <t>http://fortresseurope.blogspot.com/2010/09/foggia-eritreo-si-getta-dal-tir-e-muore.html</t>
  </si>
  <si>
    <t>2010-09-12T00:00:00Z</t>
  </si>
  <si>
    <t>heart attack, diabetic asylum seeker in Nicosia (CY), had a poor diet when welfare was cut (Sep 12, 2010)</t>
  </si>
  <si>
    <t>Event at Nicosia on Sep 12, 2010</t>
  </si>
  <si>
    <t>KISA/CypMail</t>
  </si>
  <si>
    <t>2010-09-10T00:00:00Z</t>
  </si>
  <si>
    <t>Yahya Ishaq Suleiman, 25, Sudanese, who was killed in the fire of the Egyptian police at the border with Israel in Sinai. So far this year, are already 32 migrants killed in this area (Sep 11, 2010)</t>
  </si>
  <si>
    <t>Event at Sinai, Egypt on Sep 10, 2010</t>
  </si>
  <si>
    <t>http://fortresseurope.blogspot.com/2010/09/sudanese-migrant-shot-dead-at-egypt.html</t>
  </si>
  <si>
    <t>brain haemorrhage, fell 20ft while working without papers, left at Ceuta hospital gate (E)  (Sep 10, 2010)</t>
  </si>
  <si>
    <t>Event at Ceuta on Sep 10, 2010</t>
  </si>
  <si>
    <t>ElDia/LV/MUGAK/Diario de Navarra/Diario de Noticias</t>
  </si>
  <si>
    <t>2010-09-03T00:00:00Z</t>
  </si>
  <si>
    <t>He died in the shooting of the Egyptian police on the border with Israel in Sinai, an immigrant African (Sep 4, 2010)</t>
  </si>
  <si>
    <t>Event at Sinai, Egypt on Sep 03, 2010</t>
  </si>
  <si>
    <t>http://fortresseurope.blogspot.com/2010/09/egyptian-police-shoot-migrant-trying-to.html</t>
  </si>
  <si>
    <t>Recovered after eight days adrift vessel sailed from Al Hoceima and live in Andalucia. Found 34 of the 37 passengers on board. The three dead were abandoned at sea (Sep 4, 2010)</t>
  </si>
  <si>
    <t>Event at Hoceima on Sep 03, 2010</t>
  </si>
  <si>
    <t>Diario De Sevilla</t>
  </si>
  <si>
    <t>http://fortresseurope.blogspot.com/2010/09/moverse-es-la-reaccion-natural-ante-un.html</t>
  </si>
  <si>
    <t>2010-08-30T00:00:00Z</t>
  </si>
  <si>
    <t>2010 -- 8</t>
  </si>
  <si>
    <t>bodies found by civil guard on Ceuta beach (E), in an advanced state of decomposition (Aug 30, 2010)</t>
  </si>
  <si>
    <t>Event at Ceuta on Aug 30, 2010</t>
  </si>
  <si>
    <t>SUR</t>
  </si>
  <si>
    <t>2010-08-28T00:00:00Z</t>
  </si>
  <si>
    <t>Sinking 50 miles off the coast of Sardinia. 1 body recovered, 1 missing at sea (Aug 29, 2010)</t>
  </si>
  <si>
    <t>sardinia</t>
  </si>
  <si>
    <t>Event at Sardinia on Aug 28, 2010</t>
  </si>
  <si>
    <t>Swiss Info</t>
  </si>
  <si>
    <t>http://fortresseurope.blogspot.com/2010/08/italia-immigrazione-naufragio-50-miglia.html</t>
  </si>
  <si>
    <t>2010-08-27T00:00:00Z</t>
  </si>
  <si>
    <t>found off Ceuta s coast (E), believed to have fallen from boats several months ago (Aug 27, 2010)</t>
  </si>
  <si>
    <t>Event at Ceuta on Aug 27, 2010</t>
  </si>
  <si>
    <t>MAC</t>
  </si>
  <si>
    <t>2010-08-26T00:00:00Z</t>
  </si>
  <si>
    <t>reportedly missing, boat from MA to E allegedly carrying 37 has gone missing  (Aug 26, 2010)</t>
  </si>
  <si>
    <t>Marocco to Spain</t>
  </si>
  <si>
    <t>Event at Marocco To Spain on Aug 26, 2010</t>
  </si>
  <si>
    <t>2010-08-24T00:00:00Z</t>
  </si>
  <si>
    <t>body found by police on Jonic coast, Calabria (I), reportedly died whilst disembarking sailboat (Aug 24, 2010). From Del Grande's data set (translated): Landing in Calabria, Catanzaro. A group of passengers is forced by the captain to jump overboard, one man drowned, the body is recovered after a few hours (Aug 25, 2010)</t>
  </si>
  <si>
    <t>Event at Calabria on Aug 24, 2010</t>
  </si>
  <si>
    <t>ANSA/Gazzettino</t>
  </si>
  <si>
    <t>http://fortresseurope.blogspot.com/2010/08/immigrati-catanzaro-recuperato-un.html</t>
  </si>
  <si>
    <t>2010-08-15T00:00:00Z</t>
  </si>
  <si>
    <t>He died suffocated inside the truck in which he was hiding in the greek port of Patras to board a ferry line to Venice, bound for England. The corpse of Baiz Ebraim Pshadar is then abandoned by the driver and found by police on the A23 Udine-Tarvisio (Aug 16, 2010)</t>
  </si>
  <si>
    <t>Event at Venice on Aug 15, 2010</t>
  </si>
  <si>
    <t>Il Gazzettino</t>
  </si>
  <si>
    <t>http://fortresseurope.blogspot.com/2010/08/udine-muore-un-curdo-iracheno-nel.html</t>
  </si>
  <si>
    <t>2010-08-14T00:00:00Z</t>
  </si>
  <si>
    <t>died of thirst in Algerian desert near Tamanrasset, with 9 others trying to reach Europe (Aug 14, 2010). From Del Grande's data set (translated): 12 dead dehydrated in the Algerian desert to the border with Mali, stranded in the Sahara after a mechanical failure of the truck they were traveling (Aug 16, 2010)</t>
  </si>
  <si>
    <t>tamanrasset</t>
  </si>
  <si>
    <t>Event at Tamanrasset on Aug 14, 2010</t>
  </si>
  <si>
    <t>AFP/FocusNews/AllWAfrica</t>
  </si>
  <si>
    <t>http://fortresseurope.blogspot.com/2010/08/nouveau-drame-de-limmigration.html</t>
  </si>
  <si>
    <t>Meeting the budget of the massacre of Eritreans in Sinai. According to police, in gunfire with the drivers have been killed at least 10 people dead and others may be dehydrated after fleeing into the wilderness (Aug 15, 2010)</t>
  </si>
  <si>
    <t>sinai</t>
  </si>
  <si>
    <t>Event at Sinai on Aug 14, 2010</t>
  </si>
  <si>
    <t>http://fortresseurope.blogspot.com/2010/08/police-fear-higher-sinai-migrant-death.html</t>
  </si>
  <si>
    <t>2010-08-13T00:00:00Z</t>
  </si>
  <si>
    <t>Shooting on the border between Egypt and Israel at Sinai. 6 Eritreans were killed, two under-fire police, 4 shots under their carers (Aug 14, 2010)</t>
  </si>
  <si>
    <t>Event at Sinai, Egypt on Aug 13, 2010</t>
  </si>
  <si>
    <t>http://fortresseurope.blogspot.com/2010/08/six-migrants-shot-dead-near-egypt.html</t>
  </si>
  <si>
    <t>2010-08-08T00:00:00Z</t>
  </si>
  <si>
    <t>missing, feared drowned on the way from El Bouni, Annaba (DZ) to Sardinia (I) by boat (Aug 8, 2010). From Del Grande's data set (translated): The family of 43 children of Annaba make complaints to the authorities about the disappearance of their children, started with the rough sea to Sardinia and disappeared into the sea. The boys would have boarded two boats by 19:24 seats, sailed from Oued-Bokrat (Seraidi) and Sidi-Salem (El Bouni) (Sep 8, 2010)</t>
  </si>
  <si>
    <t>Event at Annaba on Aug 08, 2010</t>
  </si>
  <si>
    <t>Les Temps D Algerie/FE</t>
  </si>
  <si>
    <t>http://fortresseurope.blogspot.com/2010/09/43-harraga-auraient-disparu-en-mer-au.html</t>
  </si>
  <si>
    <t>2010-08-05T00:00:00Z</t>
  </si>
  <si>
    <t>drowned whilst travelling from Turkey to Greece on Evros River (GR) (Aug 5, 2010). From Del Grande's data set (translated): Found the lifeless body of a man drowned in the Evros River at the border between Turkey and Greece (Jun 9, 2010)</t>
  </si>
  <si>
    <t>Event at Evros on Aug 05, 2010</t>
  </si>
  <si>
    <t>http://fortresseurope.blogspot.com/2010/06/dead-migrants-found-in-river-evros.html</t>
  </si>
  <si>
    <t>2010-08-03T00:00:00Z</t>
  </si>
  <si>
    <t>Landing in Calabria, found the lifeless body of a young Afghan on a beach of Catanzaro (Aug 4, 2010)</t>
  </si>
  <si>
    <t>Event at Calabria on Aug 03, 2010</t>
  </si>
  <si>
    <t>http://fortresseurope.blogspot.com/2010/08/giovane-afgano-trovato-morto-in-mare.html</t>
  </si>
  <si>
    <t>2010-08-02T00:00:00Z</t>
  </si>
  <si>
    <t>starvation, died 2days before mother, family got no social help after received asylum in GB (Aug 2, 2010)</t>
  </si>
  <si>
    <t>Great Britain</t>
  </si>
  <si>
    <t>Event at Great Britain on Aug 02, 2010</t>
  </si>
  <si>
    <t>GuardianUn.</t>
  </si>
  <si>
    <t>2010-07-28T00:00:00Z</t>
  </si>
  <si>
    <t>2010 -- 7</t>
  </si>
  <si>
    <t>Two deaths in one week along the border between Egypt and Israel in the Sinai, both killed by Egyptian border police gunfire. There are already 21 people killed on the Sinai since the beginning of 2010 (Jul 29, 2010)</t>
  </si>
  <si>
    <t>Event at Sinai, Egypt on Jul 28, 2010</t>
  </si>
  <si>
    <t>http://fortresseurope.blogspot.com/2010/07/egyptian-police-shoot-eritrean-migrant.html</t>
  </si>
  <si>
    <t>2010-07-27T00:00:00Z</t>
  </si>
  <si>
    <t>drowned during shipwreck off Ibiza Channel, bodies found off Javea coast (E) (Jul 27, 2010)</t>
  </si>
  <si>
    <t>ibiza</t>
  </si>
  <si>
    <t>Event at Ibiza on Jul 27, 2010</t>
  </si>
  <si>
    <t>EP/Provincias/DiarioVasco/RoundTown</t>
  </si>
  <si>
    <t>suicide - jumped from building</t>
  </si>
  <si>
    <t>2010-07-24T00:00:00Z</t>
  </si>
  <si>
    <t>suicide, jumped from balcony in Nottingham (GB), couldn t find solicitor for his asylum appeal (Jul 24, 2010)</t>
  </si>
  <si>
    <t>nottingham</t>
  </si>
  <si>
    <t>Event at Nottingham on Jul 24, 2010</t>
  </si>
  <si>
    <t>Guardian Un./BBC/IRR/ThisIsNott/TheHuff/NoBordersNott/MNS</t>
  </si>
  <si>
    <t>2010-07-20T00:00:00Z</t>
  </si>
  <si>
    <t>Landing in Calabria, Belcastro, 1 drowned (Jul 21, 2010)</t>
  </si>
  <si>
    <t>Event at Calabria on Jul 20, 2010</t>
  </si>
  <si>
    <t>http://fortresseurope.blogspot.it/2010/07/calabria-sbarco-belcastro-1-morto.html</t>
  </si>
  <si>
    <t>2010-07-11T00:00:00Z</t>
  </si>
  <si>
    <t>drowned, bodies found in the Evros region (GR) near to border with Turkey (Jul 11, 2010)</t>
  </si>
  <si>
    <t>Event at Evros on Jul 11, 2010</t>
  </si>
  <si>
    <t>2010-07-09T00:00:00Z</t>
  </si>
  <si>
    <t>stowaway, drowned whilst swimming from ship to shore at Pinedo beach, Valencia (E) (Jul 9, 2010)</t>
  </si>
  <si>
    <t>valencia</t>
  </si>
  <si>
    <t>Event at Valencia on Jul 09, 2010</t>
  </si>
  <si>
    <t>Provincias</t>
  </si>
  <si>
    <t>2010-07-07T00:00:00Z</t>
  </si>
  <si>
    <t>drowned during shipwreck off Ibiza Channel, body found on San Juan beach (E) (Jul 7, 2010)</t>
  </si>
  <si>
    <t>Event at Ibiza on Jul 07, 2010</t>
  </si>
  <si>
    <t>Provincias/EP/RoundTown</t>
  </si>
  <si>
    <t>drowned during shipwreck off Ibiza Channel, body found 2 miles from Altea, Alicante (E) (Jul 7, 2010)</t>
  </si>
  <si>
    <t>Provincias/EP/MNS/RoundTown</t>
  </si>
  <si>
    <t>2010-07-06T00:00:00Z</t>
  </si>
  <si>
    <t>Found two more bodies in the Evros River at the border with Turkey. Rises to 18 The death toll of the tragedy of July 1 (Jul 7, 2010)</t>
  </si>
  <si>
    <t>Event at Evros on Jul 06, 2010</t>
  </si>
  <si>
    <t>http://fortresseurope.blogspot.com/2010/07/greece-migrants-deaths-in-evros.html</t>
  </si>
  <si>
    <t>2010-07-03T00:00:00Z</t>
  </si>
  <si>
    <t>Sahro Barre Mohamed, 32 who had three-month pregnancy died in center for the asylum seekers in Leersum town of Utrecht province after she lacked urgent medical care.</t>
  </si>
  <si>
    <t>Utrecht</t>
  </si>
  <si>
    <t>Somali refugee dies in the Netherland in July 2010</t>
  </si>
  <si>
    <t>RTV Utrecht</t>
  </si>
  <si>
    <t>stabbed in canteen-queue fight in Sandholm Asylum Centre(DK) tension due to overcrowding (Jul 3, 2010)</t>
  </si>
  <si>
    <t>sandholm, denmark</t>
  </si>
  <si>
    <t>Event at Sandholm, Denmark on Jul 03, 2010</t>
  </si>
  <si>
    <t>CPH/IRR/MNS</t>
  </si>
  <si>
    <t>2010-07-02T00:00:00Z</t>
  </si>
  <si>
    <t>suicide, asylum seeker, hanged himself in Hamburg deportation centre (D) after hunger strike (Jul 2, 2010)</t>
  </si>
  <si>
    <t>hamburg</t>
  </si>
  <si>
    <t>Event at Hamburg on Jul 02, 2010</t>
  </si>
  <si>
    <t>WSWS/Migreurop/CaucKnot/SP/jW/taz/AN/IRR/MNS</t>
  </si>
  <si>
    <t>suicide, jumped with his family from 15 floor flat in Glasgow (GB), asylum claim was rejected (Jul 2, 2010)</t>
  </si>
  <si>
    <t>glasgow</t>
  </si>
  <si>
    <t>Event at Glasgow on Jul 02, 2010</t>
  </si>
  <si>
    <t>GuardianUn/IRR/Migreurop/TheHerlad/MNS/Independent</t>
  </si>
  <si>
    <t>suicide, jumped with her family from 15 floor flat in Glasgow (GB), asylum claim was rejected (Jul 2, 2010)</t>
  </si>
  <si>
    <t>GuardianUn/IRR/TheHerlad/MNS/Migreurop/Independent</t>
  </si>
  <si>
    <t>2010-06-30T00:00:00Z</t>
  </si>
  <si>
    <t>2Q2010</t>
  </si>
  <si>
    <t>2010 -- 6</t>
  </si>
  <si>
    <t>Massacre in the Evros River at the border between Turkey and Greece. Found 16 dead bodies, including five women, drowned trying to swim across the river (Jul 1, 2010)</t>
  </si>
  <si>
    <t>Event at Evros on Jun 30, 2010</t>
  </si>
  <si>
    <t>Hurriet</t>
  </si>
  <si>
    <t>http://fortresseurope.blogspot.com/2010/07/16-migrants-drown-trying-to-reach.html</t>
  </si>
  <si>
    <t>2010-06-28T00:00:00Z</t>
  </si>
  <si>
    <t>A 38 year-old Eritrean woman killed by three bullets fired by Egyptian police at the border with Israel in Sinai. It is the nineteenth victim of 2010 (Jun 29, 2010)</t>
  </si>
  <si>
    <t>Event at Sinai, Egypt on Jun 28, 2010</t>
  </si>
  <si>
    <t>http://fortresseurope.blogspot.com/2010/06/egypt-police-kill-eritrean-woman-at.html</t>
  </si>
  <si>
    <t>2010-06-26T00:00:00Z</t>
  </si>
  <si>
    <t>pregnant asylum seeker in a Leersum asylum centre (NL)who was denied urgent medical care (Jun 26, 2010)</t>
  </si>
  <si>
    <t>leersum, netherlands</t>
  </si>
  <si>
    <t>Event at Leersum, Netherlands on Jun 26, 2010</t>
  </si>
  <si>
    <t>aduc/Doorbraak/SunaT/IRR</t>
  </si>
  <si>
    <t>2010-06-24T00:00:00Z</t>
  </si>
  <si>
    <t>drowned, boat overturned crossing Evros river from TR-GR, bodies found in Orestiada (GR) (Jun 24, 2010)</t>
  </si>
  <si>
    <t>Event at Evros on Jun 24, 2010</t>
  </si>
  <si>
    <t>TimesM/Migreurop/AFP</t>
  </si>
  <si>
    <t>killed by another asylum seeker in Alvesta (S) apartment rented by Migration Board (Jun 24, 2010)</t>
  </si>
  <si>
    <t>alvesta, sweden</t>
  </si>
  <si>
    <t>Event at Alvesta, Sweden on Jun 24, 2010</t>
  </si>
  <si>
    <t>UNHCR/DS</t>
  </si>
  <si>
    <t>executed</t>
  </si>
  <si>
    <t>2010-05-29T00:00:00Z</t>
  </si>
  <si>
    <t>2010 -- 5</t>
  </si>
  <si>
    <t>whilst travelling to Europe, executed in Tripoli and Banghazi (LY) for alleged criminal offences (May 29, 2010)</t>
  </si>
  <si>
    <t>Event at Tripoli on May 29, 2010</t>
  </si>
  <si>
    <t>2010-05-25T00:00:00Z</t>
  </si>
  <si>
    <t>Found the bodies of two men drowned in the Evros River at the border between Turkey and Greece (May 26, 2010)</t>
  </si>
  <si>
    <t>Event at Evros on May 25, 2010</t>
  </si>
  <si>
    <t>2010-05-12T00:00:00Z</t>
  </si>
  <si>
    <t>suicide, hanged himself with bedsheet whilst awating deportation in Barcelona det centre(E) (May 12, 2010)</t>
  </si>
  <si>
    <t>Event at Barcelona on May 12, 2010</t>
  </si>
  <si>
    <t>SetDirecta/FAIV/EP/PerCat/IRR</t>
  </si>
  <si>
    <t>2010-04-20T00:00:00Z</t>
  </si>
  <si>
    <t>2010 -- 4</t>
  </si>
  <si>
    <t>A 16 year old Afghan boy hit by truck dies beneath which he had hidden in Dunkirk to embark secretly on a ferry to England (Apr 21, 2010)</t>
  </si>
  <si>
    <t>dunkirk</t>
  </si>
  <si>
    <t>Event at Dunkirk on Apr 20, 2010</t>
  </si>
  <si>
    <t>lHumanit</t>
  </si>
  <si>
    <t>http://fortresseurope.blogspot.com/2010/04/un-afghan-de-seize-ans-meurt-dunkerque.html</t>
  </si>
  <si>
    <t>2010-04-19T00:00:00Z</t>
  </si>
  <si>
    <t>A man killed by gunfire in the Egyptian border police on the border with Israel in Sinai. Already 14 victims beginning of the year (Apr 20, 2010)</t>
  </si>
  <si>
    <t>Event at Sinai, Egypt on Apr 19, 2010</t>
  </si>
  <si>
    <t>http://fortresseurope.blogspot.com/2010/04/reuters-ismailia-egypt-april-20-2010.html</t>
  </si>
  <si>
    <t>2010-04-18T00:00:00Z</t>
  </si>
  <si>
    <t>Stowaway fell from the wheelbay on a plane to Z√ºrich.</t>
  </si>
  <si>
    <t>Weisslingen, Switzerland</t>
  </si>
  <si>
    <t>Stowaway fell from plane in Weisslingen in May 2010</t>
  </si>
  <si>
    <t>http://www.nzz.ch/aktuell/startseite/aus-dem-flugzeug-in-die-tiefe-gefallen-1.5657424</t>
  </si>
  <si>
    <t>2010-04-17T00:00:00Z</t>
  </si>
  <si>
    <t>drowned whilst swimming to city, body washed up on Chorrillo beach, Ceuta (E) (Apr 17, 2010)</t>
  </si>
  <si>
    <t>Event at Ceuta on Apr 17, 2010</t>
  </si>
  <si>
    <t>Provincias/SUR/Can7</t>
  </si>
  <si>
    <t>drowned, bodies found by Evros river near Edirne (TR) when boat capsized, 7 survivors (Apr 17, 2010)</t>
  </si>
  <si>
    <t>Event at Evros on Apr 17, 2010</t>
  </si>
  <si>
    <t>PICUM/UNHCR</t>
  </si>
  <si>
    <t>2010-04-15T00:00:00Z</t>
  </si>
  <si>
    <t>suicide, hanged herself in deportation centre in Hamburg (D) (Apr 15, 2010)</t>
  </si>
  <si>
    <t>Event at Hamburg on Apr 15, 2010</t>
  </si>
  <si>
    <t>jW/Karawane/IRR/FR-H</t>
  </si>
  <si>
    <t>2010-04-14T00:00:00Z</t>
  </si>
  <si>
    <t>died after being denied medical attention by staff at Oakington detention centre (GB) (Apr 14, 2010)</t>
  </si>
  <si>
    <t>Oakington, united kingdom</t>
  </si>
  <si>
    <t>Event at Oakington, United Kingdom on Apr 14, 2010</t>
  </si>
  <si>
    <t>GuardianUn/IndyMedia/MornStar/IRR</t>
  </si>
  <si>
    <t>2010-04-12T00:00:00Z</t>
  </si>
  <si>
    <t>reportedly drowned, boat sank of Almeria coast (E) on way from Algeria.  3 survivors (Apr 12, 2010). From Del Grande's data set (translated): The merchant Liliana rescued 18 miles off the coast of Carboneras the three survivors of a sunken boat on the route between Algeria and Spain. Lost at sea the other 11 passengers (Apr 13, 2010)</t>
  </si>
  <si>
    <t>carboneras</t>
  </si>
  <si>
    <t>Event at Carboneras on Apr 12, 2010</t>
  </si>
  <si>
    <t>PUB/SUR/Provincias/Can7/Nerja/MUGAK/EP/ABC/Diario de Navarra/ELM/ELC/MNS</t>
  </si>
  <si>
    <t>http://fortresseurope.blogspot.com/2010/04/rescatados-tres-supervivientes-del.html</t>
  </si>
  <si>
    <t>2010-04-02T00:00:00Z</t>
  </si>
  <si>
    <t>Boat capsizes at sea during the landing in Lampedusa. Two missing. One of the corpses will be found a month later (Apr 3, 2010)</t>
  </si>
  <si>
    <t>Event at Lampedusa on Apr 02, 2010</t>
  </si>
  <si>
    <t>http://fortresseurope.blogspot.com/2010/05/cadavere-decapitato-trovato-in-mare.html</t>
  </si>
  <si>
    <t>2010-03-31T00:00:00Z</t>
  </si>
  <si>
    <t>1Q2010</t>
  </si>
  <si>
    <t>2010 -- 3</t>
  </si>
  <si>
    <t>drowned, boat capsized when travelling from Turkey to Greece (Mar 31, 2010). From Del Grande's data set (translated): Shipwreck in Alexandroupoli. Recovered four dead bodies, two neighbors at the port and two in the Rhodope. We are looking for other missing (Jan 4, 2010)</t>
  </si>
  <si>
    <t>Event at Alexandroupoli on Mar 31, 2010</t>
  </si>
  <si>
    <t>http://fortresseurope.blogspot.com/2010/01/greece-four-migrants-drown-at-sea.html</t>
  </si>
  <si>
    <t>asylum-seeker, died in detention centre in Vottem (B) due to lack of medical treatment (Mar 31, 2010)</t>
  </si>
  <si>
    <t>vottem</t>
  </si>
  <si>
    <t>Event at Vottem on Mar 31, 2010</t>
  </si>
  <si>
    <t>Migreurop/IRR/ST</t>
  </si>
  <si>
    <t>2010-03-29T00:00:00Z</t>
  </si>
  <si>
    <t>drowned, boat capsized 3 miles from Kafr el-Sheikh, Egypt on way to Italy. 38 survivors (Mar 29, 2010). From Del Grande's data set (translated): Shipwreck in Kafr Sheykh. It capsized boat bound for Italy, found 2 dead bodies, 13 men are missing (Mar 30, 2010)</t>
  </si>
  <si>
    <t>kafr</t>
  </si>
  <si>
    <t>Event at Kafr on Mar 29, 2010</t>
  </si>
  <si>
    <t>Le Monde/MP/FE/KI</t>
  </si>
  <si>
    <t>http://fortresseurope.blogspot.com/2010/03/un-bateau-de-migrants-chavire-au-large.html</t>
  </si>
  <si>
    <t>killed by bomb</t>
  </si>
  <si>
    <t>2010-03-27T00:00:00Z</t>
  </si>
  <si>
    <t>asylum seeker, killed by bomb exposion in Athens (GR) while searching for food into garbage  (Mar 27, 2010)</t>
  </si>
  <si>
    <t>athens</t>
  </si>
  <si>
    <t>Event at Athens on Mar 27, 2010</t>
  </si>
  <si>
    <t>IRR/MNS</t>
  </si>
  <si>
    <t>2010-03-26T00:00:00Z</t>
  </si>
  <si>
    <t>Egyptian police fired on a group of migrants at the border with Israel at Sinai. 2 killed and 5 wounded. 11 victims beginning of the year (Mar 27, 2010)</t>
  </si>
  <si>
    <t>Event at Sinai, Egypt on Mar 26, 2010</t>
  </si>
  <si>
    <t>http://fortresseurope.blogspot.com/2010/03/egypt-police-kill-2-african-migrants-on.html</t>
  </si>
  <si>
    <t>2010-03-20T00:00:00Z</t>
  </si>
  <si>
    <t>bodies thrown overboard on the way to Sicily (I), 20 surivors rescued by border patrol (Mar 20, 2010). From Del Grande's data set (translated): The passengers of a vessel rescued 25 miles off Lampedusa speak 3 dead abandoned at sea (Mar 22, 2010)</t>
  </si>
  <si>
    <t>Event at Lampedusa on Mar 20, 2010</t>
  </si>
  <si>
    <t>http://fortresseurope.blogspot.com/2010/03/immigrati-soccorsi-nel-canale-di.html</t>
  </si>
  <si>
    <t>suicide - hungerstrike</t>
  </si>
  <si>
    <t>2010-03-16T00:00:00Z</t>
  </si>
  <si>
    <t>died during deportation at Zurich airport (CH),weak from hunger strike,police forcibly restrain (Mar 16, 2010)</t>
  </si>
  <si>
    <t>Event at Zurich on Mar 16, 2010</t>
  </si>
  <si>
    <t>AdnK/Swiss.ch/BBC/UNHCR/Augen Auf/DerBund/IPSNA/KZ/NI/IRR/MNS/Aid/SSF</t>
  </si>
  <si>
    <t>2010-03-05T00:00:00Z</t>
  </si>
  <si>
    <t>unknown cause had mental health problems but was not monitored in Charleroi(B) asylum cr. (Mar 5, 2010)</t>
  </si>
  <si>
    <t>charleroi, belgium</t>
  </si>
  <si>
    <t>Event at Charleroi, Belgium on Mar 05, 2010</t>
  </si>
  <si>
    <t>MNS/FIDH/IRR</t>
  </si>
  <si>
    <t>2010-03-04T00:00:00Z</t>
  </si>
  <si>
    <t>stowaway, hanging under lorry, had permission to travel Ceuta-Malaga (E) but was prevented (Mar 4, 2010)</t>
  </si>
  <si>
    <t>Event at Ceuta on Mar 04, 2010</t>
  </si>
  <si>
    <t>MNS/MUGAK/SUR</t>
  </si>
  <si>
    <t>2010-03-02T00:00:00Z</t>
  </si>
  <si>
    <t>refused hospital treatment in Cernusco sul Naviglo (I) due to new discriminatory laws (Mar 2, 2010)</t>
  </si>
  <si>
    <t>naviglo, italy</t>
  </si>
  <si>
    <t>Event at Naviglo, Italy on Mar 02, 2010</t>
  </si>
  <si>
    <t>Everyone Group</t>
  </si>
  <si>
    <t>2010-02-22T00:00:00Z</t>
  </si>
  <si>
    <t>2010 -- 2</t>
  </si>
  <si>
    <t>One dead and two injured in the shooting of the Egyptian police at the border with Israel. 8 victims already from the beginning of the year (Feb 23, 2010)</t>
  </si>
  <si>
    <t>Event at Sinai, Egypt on Feb 22, 2010</t>
  </si>
  <si>
    <t>http://fortresseurope.blogspot.com/2010/03/egypt-police-kill-migrant-at-israel.html</t>
  </si>
  <si>
    <t>2010-02-09T00:00:00Z</t>
  </si>
  <si>
    <t>missing, feared drowned, sailing with 30 survivors rescued off coast of Mostaganem (DZ) (Feb 9, 2010). From Del Grande's data set (translated): Capovoltesi two boats rescued at sea 3 miles off of Mostaganem on the route to Spain. Salvi 30 passengers, 5 the missing at sea (Oct 4, 2010)</t>
  </si>
  <si>
    <t>capo</t>
  </si>
  <si>
    <t>Event at Capo on Feb 09, 2010</t>
  </si>
  <si>
    <t>FE/Swiss.ch</t>
  </si>
  <si>
    <t>http://fortresseurope.blogspot.com/2010/10/immigrazione-algeria-30-migranti.html</t>
  </si>
  <si>
    <t>2010-02-05T00:00:00Z</t>
  </si>
  <si>
    <t>suicide, hanged himself with kettle cord whilst facing deporting in Langenhagen prison (D)  (Feb 5, 2010)</t>
  </si>
  <si>
    <t>langenhagen</t>
  </si>
  <si>
    <t>Event at Langenhagen on Feb 05, 2010</t>
  </si>
  <si>
    <t>762/IRR</t>
  </si>
  <si>
    <t>2010-02-04T00:00:00Z</t>
  </si>
  <si>
    <t>suicide, asylum seeker hanged himself in Liverpool (GB) as he was homesick and left in limbo (Feb 4, 2010)</t>
  </si>
  <si>
    <t>liverpool</t>
  </si>
  <si>
    <t>Event at Liverpool on Feb 04, 2010</t>
  </si>
  <si>
    <t>2010-02-03T00:00:00Z</t>
  </si>
  <si>
    <t>Egyptian police opened fire on a group of migrants at the border with Israel, 2 dead (Feb 4, 2010)</t>
  </si>
  <si>
    <t>Event at Sinai, Egypt on Feb 03, 2010</t>
  </si>
  <si>
    <t>http://fortresseurope.blogspot.com/2010/02/egypt-police-kill-two-migrants-near.html</t>
  </si>
  <si>
    <t>stabbed by breadknife by drunk asylum seeker, whilst in asylum centre in Mostviertel (A) (Feb 3, 2010)</t>
  </si>
  <si>
    <t>Mostviertel, austria</t>
  </si>
  <si>
    <t>Event at Mostviertel, Austria on Feb 03, 2010</t>
  </si>
  <si>
    <t>DerStandard/Salzburger Nachrichten</t>
  </si>
  <si>
    <t>2010-12-27T00:00:00Z</t>
  </si>
  <si>
    <t>4Q2010</t>
  </si>
  <si>
    <t>2010 -- 12</t>
  </si>
  <si>
    <t>stowaway, crushed by the cargo of the truck he was hiding in, on way from Ceuta to Spain (Dec 27, 2010)</t>
  </si>
  <si>
    <t>Event at Ceuta on Dec 27, 2010</t>
  </si>
  <si>
    <t>MUGAK/ELM</t>
  </si>
  <si>
    <t>2010-12-19T00:00:00Z</t>
  </si>
  <si>
    <t>frozen to death, found in Nea Vissa (GR), crossing TR-GR border (Dec 19, 2010)</t>
  </si>
  <si>
    <t>vissa</t>
  </si>
  <si>
    <t>Event at Vissa on Dec 19, 2010</t>
  </si>
  <si>
    <t>Frontexplode/MNS</t>
  </si>
  <si>
    <t>2010-12-16T00:00:00Z</t>
  </si>
  <si>
    <t>froze to death, bodies found in Nea Vissa (GR), near Turkish border (Dec 16, 2010). From Del Grande's data set (translated): Found the bodies of two men frozen to death while attempting to walk across the border between Turkey and Greece, near Nea Vissa, Orestiada (Dec 17, 2010)</t>
  </si>
  <si>
    <t>Event at Vissa on Dec 16, 2010</t>
  </si>
  <si>
    <t>http://fortresseurope.blogspot.com/2010/12/greece-two-immigrants-froze-to-death-in.html</t>
  </si>
  <si>
    <t>2010-12-11T00:00:00Z</t>
  </si>
  <si>
    <t>asthma attack at Masotti Carabinieri station, Brescia (I) medical treatment provided too late (Dec 11, 2010)</t>
  </si>
  <si>
    <t>Masotti, brescia</t>
  </si>
  <si>
    <t>Event at Masotti, Brescia on Dec 11, 2010</t>
  </si>
  <si>
    <t>MNS/LR/Africa-News</t>
  </si>
  <si>
    <t>2010-12-10T00:00:00Z</t>
  </si>
  <si>
    <t>Killed by their smugglers two other men in the group of 250 Eritreans seized more than a month in the Sinai desert by the same Bedouin who had been entrusted to cross the border with Israel. The execution could be a retaliation for failure to pay the ransom of $ 8,000 that the robbers asking for free hostages (Dec 11, 2010)</t>
  </si>
  <si>
    <t>Event at Sinai, Egypt on Dec 10, 2010</t>
  </si>
  <si>
    <t>http://fortresseurope.blogspot.com/2010/12/profughi-eritrei-tragedia-nel-deserto.html</t>
  </si>
  <si>
    <t>2010-12-09T00:00:00Z</t>
  </si>
  <si>
    <t>suffocated, security guards restrained him during deportation, on flight from Heathrow (GB) (Dec 9, 2010). From Del Grande's data set (translated): He died an Angolan citizen, 46 years old, while trying to deport him by force on the BA flight from Heathrow to Luanda Flight 77. If an investigation was initiated on (Oct 16, 2010)</t>
  </si>
  <si>
    <t>Event at Heathrow on Dec 09, 2010</t>
  </si>
  <si>
    <t>GuardianUn/NR/IndGB/Demotix/BBC/Rue89/FE/PICUM/IRR/Socialist Worker/NOB</t>
  </si>
  <si>
    <t>http://fortresseurope.blogspot.com/2010/10/police-investigate-as-man-dies-while.html</t>
  </si>
  <si>
    <t>2010-12-07T00:00:00Z</t>
  </si>
  <si>
    <t>drowned, body found by helicopter rescue 24km from Tabarca, Alicante (E) (Dec 7, 2010). From Del Grande's data set (translated): Salt balance of the sinking of Alicante. Found a second body in the sea, search suspended for missing 6 (Aug 14, 2010)</t>
  </si>
  <si>
    <t>alicante</t>
  </si>
  <si>
    <t>Event at Alicante on Dec 07, 2010</t>
  </si>
  <si>
    <t>Provincias/Deia/Diario de Navarra/Raz/ElDia</t>
  </si>
  <si>
    <t>http://fortresseurope.blogspot.com/2010/08/harraga-disparus-alicante-peu-despoir.html</t>
  </si>
  <si>
    <t>2010-12-01T00:00:00Z</t>
  </si>
  <si>
    <t>Sardar Ayari, Afghanistan, 25 years and father of three, died crushed between two trucks while trying to hide in a truck near the port of Patras to embark secretly to Italy (Dec 2, 2010)</t>
  </si>
  <si>
    <t>Event at Patras on Dec 01, 2010</t>
  </si>
  <si>
    <t>http://fortresseurope.blogspot.com/2010/12/patrasso-schiacciato-tra-due-camion.html</t>
  </si>
  <si>
    <t>2010-11-29T00:00:00Z</t>
  </si>
  <si>
    <t>2010 -- 11</t>
  </si>
  <si>
    <t>A group of 250 Eritreans, 80 of which are rejected by Italy in Libya last year, ends sequestered into the hands of smugglers who have entrusted themselves to cross the border between Egypt and Israel in the Sinai. The redemption price is set at $ 8,000. An escape attempt fails and is repressed with unprecedented violence, resulting in the killing of six Eritreans (Nov 30, 2010)</t>
  </si>
  <si>
    <t>Event at Sinai, Egypt on Nov 29, 2010</t>
  </si>
  <si>
    <t>http://fortresseurope.blogspot.com/2010/11/uccisi-6-eritrei-nel-sinai-lincubo-di.html</t>
  </si>
  <si>
    <t>2010-11-28T00:00:00Z</t>
  </si>
  <si>
    <t>died from shock, taser was used on deportee by police in Colombes (FR) to calm fight (Nov 28, 2010)</t>
  </si>
  <si>
    <t>colombes</t>
  </si>
  <si>
    <t>Event at Colombes on Nov 28, 2010</t>
  </si>
  <si>
    <t>Europe1/MNS/Parisen</t>
  </si>
  <si>
    <t>2010-11-26T00:00:00Z</t>
  </si>
  <si>
    <t>stowaway, crushed between 2 trucks whilst trying to climb into one in Patras (GR) going to I (Nov 26, 2010)</t>
  </si>
  <si>
    <t>Event at Patras on Nov 26, 2010</t>
  </si>
  <si>
    <t>Migreurop/Kinisi/FE</t>
  </si>
  <si>
    <t>2010-11-22T00:00:00Z</t>
  </si>
  <si>
    <t>stowaways, suffocated in back of van near Amphiloxia (GR), travelling from Italy (Nov 22, 2010). From Del Grande's data set (translated): Asphyxiated 4 Iraqis hidden in a truck stopped at Amphiloxia and direct in Italy (Nov 23, 2010)</t>
  </si>
  <si>
    <t>iraq</t>
  </si>
  <si>
    <t>Event at Iraq on Nov 22, 2010</t>
  </si>
  <si>
    <t>Europe1/FE/PICUM/MNS</t>
  </si>
  <si>
    <t>http://fortresseurope.blogspot.com/2010/11/grece-4-migrants-retrouves-morts.html</t>
  </si>
  <si>
    <t>2010-11-21T00:00:00Z</t>
  </si>
  <si>
    <t>died of burns and fume inhalation, fire they made to heat up Santurtzi squat (E) spread (Nov 21, 2010)</t>
  </si>
  <si>
    <t>Santurtzi</t>
  </si>
  <si>
    <t>Event at Santurtzi on Nov 21, 2010</t>
  </si>
  <si>
    <t>EP/ELC</t>
  </si>
  <si>
    <t>2010-11-15T00:00:00Z</t>
  </si>
  <si>
    <t>drowned, boat sank on way from Balkans, body found in Bari(I) holding Greek expulsion order (Nov 15, 2010). From Del Grande's data set (translated): Found entangled in the nets of a fishing boat the corpse of a 23 year-old Somali, three miles off the coast from Mola di Bari (Nov 18, 2010)</t>
  </si>
  <si>
    <t>Event at Bari on Nov 15, 2010</t>
  </si>
  <si>
    <t>http://fortresseurope.blogspot.com/2010/11/otranto-sbarcano-27-afghani-recuperato.html</t>
  </si>
  <si>
    <t>2010-11-12T00:00:00Z</t>
  </si>
  <si>
    <t>Twenty-one Eritrean killed by the gunfire of the Egyptian border police on the border with Israel in Sinai (Nov 13, 2010)</t>
  </si>
  <si>
    <t>Event at Sinai, Egypt on Nov 12, 2010</t>
  </si>
  <si>
    <t>Almasr alyoum</t>
  </si>
  <si>
    <t>http://fortresseurope.blogspot.com/2010/11/egypt-10-african-migrants-arrested-and.html</t>
  </si>
  <si>
    <t>2010-11-11T00:00:00Z</t>
  </si>
  <si>
    <t>missing, feared drowned when ship sank off Kani Keli, Mayotte (F), 31 survivors (Nov 11, 2010). From Del Grande's data set (translated): Shipwreck of a kwassa off the island of Mayotte, in the Indian Ocean, at least 5 missing (Dec 13, 2010)</t>
  </si>
  <si>
    <t>Event at Mayotte on Nov 11, 2010</t>
  </si>
  <si>
    <t>info/FE</t>
  </si>
  <si>
    <t>http://fortresseurope.blogspot.com/2010/12/5-disparus-dans-le-naufrage-dun-kwassa.html</t>
  </si>
  <si>
    <t>Found the body of a young man drowned on the way to Spain, to Chabia. This is the fourth corpse fished out of a month in the area of __Mostaganem, after the three found in Ouled Boughanem, Hadjadj and Sidi Lakhdar (Nov 12, 2010)</t>
  </si>
  <si>
    <t>Event at Mostaganem on Nov 11, 2010</t>
  </si>
  <si>
    <t>Les Temps dAlgrie</t>
  </si>
  <si>
    <t>http://fortresseurope.blogspot.com/2010/11/un-autre-cadavre-decouvert-la-plage.html</t>
  </si>
  <si>
    <t>2010-11-07T00:00:00Z</t>
  </si>
  <si>
    <t>drowned, bodies found in La Linea de la Conception (E) near to the strait of Gibraltar (Nov 7, 2010)</t>
  </si>
  <si>
    <t>Event at Gibraltar on Nov 07, 2010</t>
  </si>
  <si>
    <t>EFE/SUR</t>
  </si>
  <si>
    <t>drowned, 6 missing and 2 found by sea patrol near Tabarka, Alicante (E) travelling from DZ (Nov 7, 2010). From Del Grande's data set (translated): Landing in Alicante, a drowned (Aug 13, 2010)</t>
  </si>
  <si>
    <t>Event at Alicante on Nov 07, 2010</t>
  </si>
  <si>
    <t>Les Temps d'Algerie/Migreurop</t>
  </si>
  <si>
    <t>http://fortresseurope.blogspot.com/2010/08/un-inmigrante-muerto-y-mas-de-80.html</t>
  </si>
  <si>
    <t>drowned, mark of a knock on his head, body found near to Levante beach (E) (Nov 7, 2010)</t>
  </si>
  <si>
    <t>levante</t>
  </si>
  <si>
    <t>Event at Levante on Nov 07, 2010</t>
  </si>
  <si>
    <t>EFE</t>
  </si>
  <si>
    <t>2010-11-06T00:00:00Z</t>
  </si>
  <si>
    <t>bodies found on a damaged boat rescued off Motril coast, Granada (E) carrying 25 survivors (Nov 6, 2010). From Del Grande's data set (translated): Sinking boat in the Strait of Gibraltar, 43 miles south of Motril. Drown 5 people, including 2 infants (Jul 12, 2010)</t>
  </si>
  <si>
    <t>Event at Granada on Nov 06, 2010</t>
  </si>
  <si>
    <t>Diario de Noticias/Diario de Navarra/ABC/SUR/Publico</t>
  </si>
  <si>
    <t>http://fortresseurope.blogspot.com/2010/07/espagne-naufrage-cinq-morts.html</t>
  </si>
  <si>
    <t>2010-11-03T00:00:00Z</t>
  </si>
  <si>
    <t>Shipwreck on the route for Spain, saves the merchant 5 of 10 passengers originating in Ain Tourk, Oran, the other 5 are dispersed (Nov 4, 2010)</t>
  </si>
  <si>
    <t>oran</t>
  </si>
  <si>
    <t>Event at Oran on Nov 03, 2010</t>
  </si>
  <si>
    <t>El Khaber</t>
  </si>
  <si>
    <t>http://fortresseurope.blogspot.com/2010/11/cinq-harragas-dain-tourk-ont-failli.html</t>
  </si>
  <si>
    <t>stowaway, fell under wheels of truck when it boarded a boat in Dunkirk (F), travelling to GB (Nov 3, 2010)</t>
  </si>
  <si>
    <t>Event at Dunkirk on Nov 03, 2010</t>
  </si>
  <si>
    <t>PICUM/IRR</t>
  </si>
  <si>
    <t>2010-11-02T00:00:00Z</t>
  </si>
  <si>
    <t>The court of Algiers, a conviction for the murder of Indian sailor Kalkouli Amine, aged 18, who was killed while trying to climb to sneak up on a merchant ship at anchor in the port of Algiers, August 24, 2008, and directed in Europe (Nov 3, 2010)</t>
  </si>
  <si>
    <t>algiers</t>
  </si>
  <si>
    <t>Event at Algiers on Nov 02, 2010</t>
  </si>
  <si>
    <t>Info Soir</t>
  </si>
  <si>
    <t>http://fortresseurope.blogspot.com/2010/11/alger-un-marin-indien-tue-un-harraga.html</t>
  </si>
  <si>
    <t>2010-11-01T00:00:00Z</t>
  </si>
  <si>
    <t>reportedly drowned, dinghy capsized off coast of Samos (GR) on the way to (GR) from (TR) (Nov 1, 2010). From Del Grande's data set (translated): Shipwreck in Samos, 8 recovered bodies from the sea, looking for others 6 missing (Feb 11, 2010)</t>
  </si>
  <si>
    <t>Event at Samos on Nov 01, 2010</t>
  </si>
  <si>
    <t>KI/FE/AP/Migreurop/ECRE</t>
  </si>
  <si>
    <t>http://fortresseurope.blogspot.com/2010/02/grece-huit-clandestins-se-noient-en-mer.html</t>
  </si>
  <si>
    <t>2010-10-30T00:00:00Z</t>
  </si>
  <si>
    <t>2010 -- 10</t>
  </si>
  <si>
    <t>Sudanese police gunfire killed by Egyptian border in the Sinai Desert, at the border with Israel (Oct 31, 2010)</t>
  </si>
  <si>
    <t>Event at Sinai, Egypt on Oct 30, 2010</t>
  </si>
  <si>
    <t>Map</t>
  </si>
  <si>
    <t>http://fortresseurope.blogspot.com/2010/10/un-soudanais-tue-lors-dune-tentative-de.html</t>
  </si>
  <si>
    <t>2010-10-13T00:00:00Z</t>
  </si>
  <si>
    <t>Attacked near the port of Samos, loses his life a boy who emigrated 23 years (Oct 14, 2010)</t>
  </si>
  <si>
    <t>Event at Samos on Oct 13, 2010</t>
  </si>
  <si>
    <t>http://fortresseurope.blogspot.com/2010/10/migrant-death-in-samos.html</t>
  </si>
  <si>
    <t>2010-10-03T00:00:00Z</t>
  </si>
  <si>
    <t>stabbed by housemate in Venice (I), jealous of his permanent residency and work permit  (Oct 3, 2010)</t>
  </si>
  <si>
    <t>Event at Venice on Oct 03, 2010</t>
  </si>
  <si>
    <t>LaNVenezia</t>
  </si>
  <si>
    <t>2010-10-02T00:00:00Z</t>
  </si>
  <si>
    <t>rare brain infection, no medical care and no social benefits after asylum application approved (Oct 2, 2010)</t>
  </si>
  <si>
    <t>Event at Great Britain on Oct 02, 2010</t>
  </si>
  <si>
    <t>2010-01-15T00:00:00Z</t>
  </si>
  <si>
    <t>2010 -- 1</t>
  </si>
  <si>
    <t>suicide, exhaled camping gas spray in his cell in S.Vittore prison, Milan (I) (Jan 15, 2010)</t>
  </si>
  <si>
    <t>milan</t>
  </si>
  <si>
    <t>Event at Milan on Jan 15, 2010</t>
  </si>
  <si>
    <t>LR/IRR</t>
  </si>
  <si>
    <t>2010-01-11T00:00:00Z</t>
  </si>
  <si>
    <t>stowaway, suffocated whilst hiding in truck on a ferry from Patras (GR) to Ancona (I) (Jan 11, 2010). From Del Grande's data set (translated): Found the body without life of a young man died asphyxiated in the truck where he was hiding to reach Italy, in the hold of the ship Cruise Europe, landed in Ancona coming from Patras, Greece (Dec 1, 2010)</t>
  </si>
  <si>
    <t>Event at Ancona on Jan 11, 2010</t>
  </si>
  <si>
    <t>Migreurop/FE/Kinisi/CorAdriatico</t>
  </si>
  <si>
    <t>http://fortresseurope.blogspot.com/2010/12/ancona-emigrati-su-un-traghetto-uno.html</t>
  </si>
  <si>
    <t>2010-01-10T00:00:00Z</t>
  </si>
  <si>
    <t>killed by traffickers holding them in Sinai desert (Israel), for using phones to call for help (Jan 10, 2010)</t>
  </si>
  <si>
    <t>Event at Sinai, Egypt on Jan 10, 2010</t>
  </si>
  <si>
    <t>LR/ECRE</t>
  </si>
  <si>
    <t>beaten to death with sticks by traffickers in Sinai desert (Israel), for trying to escape group (Jan 10, 2010)</t>
  </si>
  <si>
    <t>ECRE/LR</t>
  </si>
  <si>
    <t>2010-01-08T00:00:00Z</t>
  </si>
  <si>
    <t>murdered, was forcibly returned to Kabul in 2006 when asylum denied in NL, killed by Taliban (Jan 8, 2010)</t>
  </si>
  <si>
    <t>kabul, afghanistan</t>
  </si>
  <si>
    <t>Event at Kabul, Afghanistan on Jan 08, 2010</t>
  </si>
  <si>
    <t>MNS/Telegraaf</t>
  </si>
  <si>
    <t>bodies thrown overboard a boat carrying 34 others, found on Alboran Sea (E) (Jan 8, 2010)</t>
  </si>
  <si>
    <t>Alboran, spain</t>
  </si>
  <si>
    <t>Event at Alboran, Spain on Jan 08, 2010</t>
  </si>
  <si>
    <t>2010-01-07T00:00:00Z</t>
  </si>
  <si>
    <t>drowned during a shipwreck off Ibiza Channel, body found by fishermen in Calp, Alicante (E) (Jan 7, 2010)</t>
  </si>
  <si>
    <t>Event at Ibiza on Jan 07, 2010</t>
  </si>
  <si>
    <t>EP/Provincias/RoundTown</t>
  </si>
  <si>
    <t>2010-01-06T00:00:00Z</t>
  </si>
  <si>
    <t>reported missing on Jonic coast, Calabria (I) at end of July, had travelled by sailboat (Jan 6, 2010)</t>
  </si>
  <si>
    <t>Event at Calabria on Jan 06, 2010</t>
  </si>
  <si>
    <t>body found on Jonic coast, Calabria (I) at end of July, died during disembarking boat (Jan 6, 2010)</t>
  </si>
  <si>
    <t>drowned in the Seine river (F) after escaping from police control, was undocumented (Jan 6, 2010)</t>
  </si>
  <si>
    <t>Event at Paris on Jan 06, 2010</t>
  </si>
  <si>
    <t>Parisen</t>
  </si>
  <si>
    <t>2010-01-05T00:00:00Z</t>
  </si>
  <si>
    <t>missing, suspected drowned, boat overturned when crossing Evros river from TR-GR (Jan 5, 2010)</t>
  </si>
  <si>
    <t>Event at Evros on Jan 05, 2010</t>
  </si>
  <si>
    <t>drowned, boat overturned crossing Evros river from TR-GR, bodies found in Orestiada (GR) (Jan 5, 2010)</t>
  </si>
  <si>
    <t>drowned, boat overturned crossing Evros river (TR) trying to get to Greece (Jan 5, 2010)</t>
  </si>
  <si>
    <t>TimesM/Migreurop</t>
  </si>
  <si>
    <t>2010-01-04T00:00:00Z</t>
  </si>
  <si>
    <t>deported from NL without family, died while trying to reenter Europe via boat to Samos (GR) (Jan 4, 2010)</t>
  </si>
  <si>
    <t>Event at Samos on Jan 04, 2010</t>
  </si>
  <si>
    <t>VK</t>
  </si>
  <si>
    <t>2010-01-03T00:00:00Z</t>
  </si>
  <si>
    <t>suicide, depressed after asylum claim was rejected did not receive medical support (Jan 3, 2010)</t>
  </si>
  <si>
    <t>Sweden</t>
  </si>
  <si>
    <t>Event at Sweden on Jan 03, 2010</t>
  </si>
  <si>
    <t>UNHCR/Sverinsge</t>
  </si>
  <si>
    <t>2009-09-30T00:00:00Z</t>
  </si>
  <si>
    <t>3Q2009</t>
  </si>
  <si>
    <t>2009 -- 9</t>
  </si>
  <si>
    <t>drowned, transferred to canoe after abandoning boat trip to (E), capsized off Senegal coast (Sep 30, 2009)</t>
  </si>
  <si>
    <t>senegal</t>
  </si>
  <si>
    <t>Event at Senegal on Sep 30, 2009</t>
  </si>
  <si>
    <t>NOB/FE</t>
  </si>
  <si>
    <t>2009-09-22T00:00:00Z</t>
  </si>
  <si>
    <t>An exiled Eritrean killed in the shooting of Egyptian police along the border with Israel in Sinai (Sep 23, 2009)</t>
  </si>
  <si>
    <t>Event at Sinai, Egypt on Sep 22, 2009</t>
  </si>
  <si>
    <t>http://fortresseurope.blogspot.com/2009/10/egypt-police-kill-eritrean-migrant-at.html</t>
  </si>
  <si>
    <t>2009-09-18T00:00:00Z</t>
  </si>
  <si>
    <t>drowned, 8 found, 20 missing, small boat sank off the coast of MA near Perejil Island (E) (Sep 18, 2009). From Del Grande's data set (translated): Shipwreck on the route to Spain, off the islet of Perejil. 8 bodies recovered, 21 people are still missing (Sep 19, 2009)</t>
  </si>
  <si>
    <t>Perejil island, spain</t>
  </si>
  <si>
    <t>Event at Perejil Island, Spain on Sep 18, 2009</t>
  </si>
  <si>
    <t>AFP/EP/DiarioVasco/Razon/ELM/ELC/PerCat/Xinhua/APDHA/NOB</t>
  </si>
  <si>
    <t>http://fortresseurope.blogspot.com/2009/09/al-menos-ocho-muertos-en-el-naufragio.html</t>
  </si>
  <si>
    <t>2009-09-15T00:00:00Z</t>
  </si>
  <si>
    <t>Two Eritrean refugees killed in the shooting of Egyptian police along the border with Israel in Sinai (Sep 16, 2009)</t>
  </si>
  <si>
    <t>Event at Sinai, Egypt on Sep 15, 2009</t>
  </si>
  <si>
    <t>http://fortresseurope.blogspot.com/2009/09/egyptian-police-kill-two-eritreans-at.html</t>
  </si>
  <si>
    <t>2009-09-13T00:00:00Z</t>
  </si>
  <si>
    <t>suicide, died of heart attack due to a month-long hunger strike in prison in Wien (A) (Sep 13, 2009)</t>
  </si>
  <si>
    <t>wien</t>
  </si>
  <si>
    <t>Event at Wien on Sep 13, 2009</t>
  </si>
  <si>
    <t>DerStandard/FRO/WIKO/Asyl in Not/RoterP</t>
  </si>
  <si>
    <t>2009-09-11T00:00:00Z</t>
  </si>
  <si>
    <t>stowaway, frozen to death in a lorry trying to go from Tangeri (MA) to Marseilles (F) (Sep 11, 2009)</t>
  </si>
  <si>
    <t>tanger</t>
  </si>
  <si>
    <t>Event at Tanger on Sep 11, 2009</t>
  </si>
  <si>
    <t>AP/FE</t>
  </si>
  <si>
    <t>2009-09-08T00:00:00Z</t>
  </si>
  <si>
    <t>Four migrants killed in the shooting of Egyptian police along the border with Israel in Sinai. Already the 12 people killed since May 2009 (Sep 9, 2009)</t>
  </si>
  <si>
    <t>Event at Sinai, Egypt on Sep 08, 2009</t>
  </si>
  <si>
    <t>http://fortresseurope.blogspot.com/2009/09/egypt-police-kill-4-migrants-at-israeli.html</t>
  </si>
  <si>
    <t>2009-09-07T00:00:00Z</t>
  </si>
  <si>
    <t>missing after Benghazi (LY) massacre by police, in detention centre along LY to Italy route (Sep 7, 2009)</t>
  </si>
  <si>
    <t>benghazi</t>
  </si>
  <si>
    <t>Event at Benghazi on Sep 07, 2009</t>
  </si>
  <si>
    <t>FE/GiovaniE</t>
  </si>
  <si>
    <t>killed by police in Benghazi massacre (LY), when prisoners tried to escape detention centre (Sep 7, 2009)</t>
  </si>
  <si>
    <t>stowaway, body found on hallway Brindisi-Lecce (I) thrown over truck with 17 survivors (Sep 7, 2009)</t>
  </si>
  <si>
    <t>Event at Brindisi on Sep 07, 2009</t>
  </si>
  <si>
    <t>CDS/NOB</t>
  </si>
  <si>
    <t>suicide, failed asylum seeker who hanged himself in a South Shields park (GB) (Sep 7, 2009)</t>
  </si>
  <si>
    <t>South Shields, United Kingdom</t>
  </si>
  <si>
    <t>Event at South Shields, United Kingdom on Sep 07, 2009</t>
  </si>
  <si>
    <t>ShieldsG/IRR</t>
  </si>
  <si>
    <t>2009-08-31T00:00:00Z</t>
  </si>
  <si>
    <t>2009 -- 8</t>
  </si>
  <si>
    <t>Egyptian police shooting at a group of migrants along the Sinai border with Israel. A man killed. Seriously injured an Eritrean girl 18 years (Sep 1, 2009)</t>
  </si>
  <si>
    <t>Event at Sinai, Egypt on Aug 31, 2009</t>
  </si>
  <si>
    <t>http://fortresseurope.blogspot.com/2009/09/egypt-police-kill-african-at-border.html</t>
  </si>
  <si>
    <t>run over by the truck he was hanged on to pass the border in Ancona (I) harbour (Aug 31, 2009)</t>
  </si>
  <si>
    <t>Event at Ancona on Aug 31, 2009</t>
  </si>
  <si>
    <t>Adnk</t>
  </si>
  <si>
    <t>2009-08-28T00:00:00Z</t>
  </si>
  <si>
    <t>manner of death unknown, died during boat trip, found in Granadilla, Tenerife Island (E) (Aug 28, 2009). From Del Grande's data set (translated): Landing in the Canary Islands, Granadilla (Tenerife). A dead man on board (Aug 31, 2009)</t>
  </si>
  <si>
    <t>tenerife</t>
  </si>
  <si>
    <t>Event at Tenerife on Aug 28, 2009</t>
  </si>
  <si>
    <t>Diario de Noticia/ElDia/ABC/Verdad/DNG/Deia/gara.net/Diario de Navarra/PUB/DiarioVasco/EP/ELM/PICUM/NOB</t>
  </si>
  <si>
    <t>http://fortresseurope.blogspot.com/2009/08/llegan-dos-pateras-canarias-con-un.html</t>
  </si>
  <si>
    <t>2009-08-27T00:00:00Z</t>
  </si>
  <si>
    <t>drowned during rescue operation in Birzebuggia coast (M) on her way from Africa (Aug 27, 2009). From Del Grande's data set (translated): Retrieved a body off the coast of Bizzerbugia. This may be one of the passengers of the boat with 39 passengers rescue two days before in that area (Aug 29, 2009)</t>
  </si>
  <si>
    <t>africa</t>
  </si>
  <si>
    <t>Event at Africa on Aug 27, 2009</t>
  </si>
  <si>
    <t>Gara/MUGAK/NOB</t>
  </si>
  <si>
    <t>http://fortresseurope.blogspot.com/2009/08/malta-recuperato-un-altro-cadavere-al.html</t>
  </si>
  <si>
    <t>2009-08-26T00:00:00Z</t>
  </si>
  <si>
    <t>Rescued boat adrift with 79 passengers on board off the coast of Malta. Water found in the body of a man with no life (Aug 27, 2009)</t>
  </si>
  <si>
    <t>Event at Malta on Aug 26, 2009</t>
  </si>
  <si>
    <t>http://fortresseurope.blogspot.com/2009/08/sbarcati-134-emigrati-malta-e-siracusa.html</t>
  </si>
  <si>
    <t>2009-08-24T00:00:00Z</t>
  </si>
  <si>
    <t>suicide, asylum seeker found hanging in prison cell in Nuremburg (D) four days earlier (Aug 24, 2009)</t>
  </si>
  <si>
    <t>nuremburg</t>
  </si>
  <si>
    <t>Event at Nuremburg on Aug 24, 2009</t>
  </si>
  <si>
    <t>2009-08-23T00:00:00Z</t>
  </si>
  <si>
    <t>suicide, overdose to family being moved to an asylum seekers camp in Mittweida (D) (Aug 23, 2009)</t>
  </si>
  <si>
    <t>Mittweida, germany</t>
  </si>
  <si>
    <t>Event at Mittweida, Germany on Aug 23, 2009</t>
  </si>
  <si>
    <t>ARI</t>
  </si>
  <si>
    <t>2009-08-21T00:00:00Z</t>
  </si>
  <si>
    <t>Spotted by a boater a corpse in the waters of Linosa, 24 miles north of Lampedusa (Aug 22, 2009)</t>
  </si>
  <si>
    <t>Event at Lampedusa on Aug 21, 2009</t>
  </si>
  <si>
    <t>http://fortresseurope.blogspot.com/2009/08/trovato-un-cadavere-largo-di-linosa.html</t>
  </si>
  <si>
    <t>2009-08-19T00:00:00Z</t>
  </si>
  <si>
    <t>bodies thrown overboard after 23 days traveling from Libya to Lampedusa (I) (Aug 19, 2009). From Del Grande's data set (translated): Five Eritreans rescued on a raft 12 miles from Lampedusa say they spent 20 days adrift. 73 people have died in the crossing. Their bodies were thrown into the sea. The Maltese Armed Forces have spotted 7 corpses in the open sea (Aug 20, 2009)</t>
  </si>
  <si>
    <t>Event at Lampedusa on Aug 19, 2009</t>
  </si>
  <si>
    <t>LR/CDS/GE/FE/MUGAK/EP/AFP/GARA/ANSA/Nouvel Obs/ASGI/NOB</t>
  </si>
  <si>
    <t>http://fortresseurope.blogspot.com/2009/08/italia-5-eritrei-lampedusa-75-morti.html</t>
  </si>
  <si>
    <t>A man hanging under the chassis of a truck just landed at the port of Brindisi loses his grip and falls, dying instantly (Aug 20, 2009)</t>
  </si>
  <si>
    <t>Event at Brindisi on Aug 19, 2009</t>
  </si>
  <si>
    <t>http://fortresseurope.blogspot.com/2009/08/immigrato-cade-da-camion-e-muore.html</t>
  </si>
  <si>
    <t>2009-08-16T00:00:00Z</t>
  </si>
  <si>
    <t>drowned,7 found, 20 missing, 10 survived, shipwreck near Trafalgar beach in southern Spain (Aug 16, 2009)</t>
  </si>
  <si>
    <t>Trafalgar beach, spain</t>
  </si>
  <si>
    <t>Event at Trafalgar Beach, Spain on Aug 16, 2009</t>
  </si>
  <si>
    <t>LatinAHTribune</t>
  </si>
  <si>
    <t>2009-08-15T00:00:00Z</t>
  </si>
  <si>
    <t>fell from third floor window of an unfitted accommodation provided by a UKBA contractor (Aug 15, 2009)</t>
  </si>
  <si>
    <t>Event at Great Britain on Aug 15, 2009</t>
  </si>
  <si>
    <t>2009-08-12T00:00:00Z</t>
  </si>
  <si>
    <t>Recovered two dead bodies in the waters of the island of Kos, victims of a shipwreck. Another three people are reported missing (Aug 13, 2009)</t>
  </si>
  <si>
    <t>Event at Kos on Aug 12, 2009</t>
  </si>
  <si>
    <t>http://fortresseurope.blogspot.com/2009/08/greece-two-drown-in-migrant-boat.html</t>
  </si>
  <si>
    <t>2009-08-10T00:00:00Z</t>
  </si>
  <si>
    <t>Found a dead body in the sea, the waters of Cartagena, between Cabo del Agua and the island of Escombreras (Aug 11, 2009)</t>
  </si>
  <si>
    <t>Cartagena</t>
  </si>
  <si>
    <t>Event at Cartagena on Aug 10, 2009</t>
  </si>
  <si>
    <t>La Verdad</t>
  </si>
  <si>
    <t>http://fortresseurope.blogspot.com/2009/08/hallan-el-cadaver-de-un-hombre-flotando.html</t>
  </si>
  <si>
    <t>2009-08-09T00:00:00Z</t>
  </si>
  <si>
    <t>Landing at Pantelleria. From the boat adrift, three miles from the island, four of the nine Tunisians on board trying to go swimming. A dispersed (Aug 10, 2009)</t>
  </si>
  <si>
    <t>Event at Pantelleria on Aug 09, 2009</t>
  </si>
  <si>
    <t>http://fortresseurope.blogspot.com/2009/08/sbarco-pantelleria-uno-grave-e-un.html</t>
  </si>
  <si>
    <t>2009-08-08T00:00:00Z</t>
  </si>
  <si>
    <t>The Libyan police suppressed a riot erupted during an escape attempt in Ganfuda detention camp in Benghazi. At least six Somali refugees are stabbed to death. Other sources claim that the dead are 20 (Aug 9, 2009)</t>
  </si>
  <si>
    <t>Event at Benghazi on Aug 08, 2009</t>
  </si>
  <si>
    <t>http://fortresseurope.blogspot.com/2009/08/benghazi-spunta-un-testimone-ecco-come.html</t>
  </si>
  <si>
    <t>2009-08-07T00:00:00Z</t>
  </si>
  <si>
    <t>1 died, 11 missing, boat collided with Algerian coast guard vessel in the port of Annaba (DZ) (Aug 7, 2009). From Del Grande's data set (translated): Collision off between Annaba and a patrol boat of Algerian emigrants to Sardinia. One dead, 11 missing and 18 injured (Aug 6, 2009)</t>
  </si>
  <si>
    <t>Event at Annaba on Aug 07, 2009</t>
  </si>
  <si>
    <t>BBC/Migreurop/NOB</t>
  </si>
  <si>
    <t>http://fortresseurope.blogspot.com/2009/08/one-algerian-migrant-dies-11-missing.html</t>
  </si>
  <si>
    <t>2009-08-06T00:00:00Z</t>
  </si>
  <si>
    <t>A dead near the port of Igoumenitsa. It was hidden in a truck, thinking that he was going to Italy, but when he realized he was heading to Athens threw himself losing his life in the fall (Aug 7, 2009)</t>
  </si>
  <si>
    <t>Event at Igoumenitsa on Aug 06, 2009</t>
  </si>
  <si>
    <t>http://fortresseurope.blogspot.com/2009/08/body-found-at-igoumenitsa-port.html</t>
  </si>
  <si>
    <t>2009-07-30T00:00:00Z</t>
  </si>
  <si>
    <t>2009 -- 7</t>
  </si>
  <si>
    <t>Egyptian police opened fire on a group of migrants at the border with Israel. A dead. It is the seventh victim since last May (Jul 31, 2009)</t>
  </si>
  <si>
    <t>Event at Sinai, Egypt on Jul 30, 2009</t>
  </si>
  <si>
    <t>http://fortresseurope.blogspot.com/2009/08/egypt-police-kill-african-migrant-at.html</t>
  </si>
  <si>
    <t>2009-07-26T00:00:00Z</t>
  </si>
  <si>
    <t>reportedly drowned, parts of a body found along la Fontanilla beach of Marbella Island (E) (Jul 26, 2009). From Del Grande's data set (translated): Found human remains in an advanced state of decomposition along the beach of La Fontanilla Marbella, where a week before had been recovered a corpse (Jul 27, 2009)</t>
  </si>
  <si>
    <t>marbella</t>
  </si>
  <si>
    <t>Event at Marbella on Jul 26, 2009</t>
  </si>
  <si>
    <t>http://www.diariosur.es/20090727/marbella/hallan-restos-humanos-playa-20090727.html</t>
  </si>
  <si>
    <t>murdered, beaten by border guards in his attempt to embark to reach I, died in GR hospital (Jul 26, 2009)</t>
  </si>
  <si>
    <t>greece</t>
  </si>
  <si>
    <t>Event at Greece on Jul 26, 2009</t>
  </si>
  <si>
    <t>Beaten by the police in the Greek port of Igoumenitsa, while trying to get on a truck ready to embark for Italy, a young Kurdish died at the hospital in Thessaloniki after four months in a coma (Jul 27, 2009)</t>
  </si>
  <si>
    <t>Event at Igoumenitsa on Jul 26, 2009</t>
  </si>
  <si>
    <t>http://fortresseurope.blogspot.com/2006/01/pestato-sangue-dalla-polizia-greca-come.html</t>
  </si>
  <si>
    <t>2009-07-24T00:00:00Z</t>
  </si>
  <si>
    <t>died of heart attack in Tenerife (E), employer did not call for assistance as Luis was illegal (Jul 24, 2009)</t>
  </si>
  <si>
    <t>Event at Tenerife on Jul 24, 2009</t>
  </si>
  <si>
    <t>Can7/VDG/ElDia/Publico</t>
  </si>
  <si>
    <t>2009-07-23T00:00:00Z</t>
  </si>
  <si>
    <t>Missing a man fell into the sea during a rescue operation off the coast of Manilva, Malaga (Jul 24, 2009)</t>
  </si>
  <si>
    <t>malaga</t>
  </si>
  <si>
    <t>Event at Malaga on Jul 23, 2009</t>
  </si>
  <si>
    <t>http://www.diariosur.es/20090724/malaga/buscan-naufrago-patera-20090724.html</t>
  </si>
  <si>
    <t>2009-07-22T00:00:00Z</t>
  </si>
  <si>
    <t>Traffic accident with a truck load of emigrants to Kulp, in the province of Diyarbakr. Three people die, 18 injured (Jul 23, 2009)</t>
  </si>
  <si>
    <t>Diyarbakr</t>
  </si>
  <si>
    <t>Event at Diyarbakr on Jul 22, 2009</t>
  </si>
  <si>
    <t>France Presse</t>
  </si>
  <si>
    <t>http://www.hurriyetdailynews.com/n.php?n=three-immigrants-killed-in-road-accident-2009-07-23</t>
  </si>
  <si>
    <t>2009-07-21T00:00:00Z</t>
  </si>
  <si>
    <t>Found on the beach of La Fontanilla Marbella a corpse in an advanced state of decomposition (Jul 22, 2009)</t>
  </si>
  <si>
    <t>Event at Marbella on Jul 21, 2009</t>
  </si>
  <si>
    <t>http://www.diariosur.es/20090722/marbella/aparece-playa-cadaver-decapitado-20090722.html</t>
  </si>
  <si>
    <t>2009-07-16T00:00:00Z</t>
  </si>
  <si>
    <t>Found a dead body in the waters of Cadiz, in front of the beach of Barbate. It would be the tenth victim of the sinking of the past June 29 (Jul 17, 2009)</t>
  </si>
  <si>
    <t>barbate</t>
  </si>
  <si>
    <t>Event at Barbate on Jul 16, 2009</t>
  </si>
  <si>
    <t>http://www.diariosur.es/20090717/andalucia/aparece-cadaver-mujer-seria-20090717.html</t>
  </si>
  <si>
    <t>2009-07-14T00:00:00Z</t>
  </si>
  <si>
    <t>Landing Canarian island of El Hierro. A dead man on board, a second man dies of dehydration after hospitalization (Jul 15, 2009)</t>
  </si>
  <si>
    <t>hierro</t>
  </si>
  <si>
    <t>Event at Hierro on Jul 14, 2009</t>
  </si>
  <si>
    <t>Diario de Navarra</t>
  </si>
  <si>
    <t>http://www.diariodenavarra.es/20090714/nacional/mueren-dos-inmigrantes-llegaron-cayuco-hierro.html?not=2009071401405957&amp;idnot=2009071401405957&amp;dia=20090714&amp;seccion=nacional&amp;seccion2=sucesos&amp;chnl=30%E2%80%9D%3E15/07/09%3C/a%3E%3C/td%3E%3Ctd%3E%3Cp</t>
  </si>
  <si>
    <t>2009-07-13T00:00:00Z</t>
  </si>
  <si>
    <t>died at the hospital of El Hierro, Canary Islands (E),  after boat arrived in La Estaca harbour (Jul 13, 2009). From Del Grande's data set (translated): He died at the hospital in El Hierro third passenger boat arrived last Sunday in the Canary Islands (Jul 15, 2009)</t>
  </si>
  <si>
    <t>Event at Hierro on Jul 13, 2009</t>
  </si>
  <si>
    <t>Verdad/Diario de Navarra</t>
  </si>
  <si>
    <t>http://www.diariodenavarra.es/20090714/nacional/muere-hospital-otro-inmigrantes-llego-domingo-cayuco-hierro.html?not=2009071413060109&amp;idnot=2009071413060109&amp;dia=20090714&amp;seccion=nacional&amp;seccion2=sucesos&amp;chnl=30</t>
  </si>
  <si>
    <t>manslaughter, beaten by neonazis whilst returning to M√∂hlau asylum centre (D) at night (Jul 13, 2009)</t>
  </si>
  <si>
    <t>m√ºhlau, germany</t>
  </si>
  <si>
    <t>Event at M√ºHlau, Germany on Jul 13, 2009</t>
  </si>
  <si>
    <t>2009-07-04T00:00:00Z</t>
  </si>
  <si>
    <t>suicide in the detention centre of Ponte Gallera, in Roma (I) (Jul 4, 2009)</t>
  </si>
  <si>
    <t>roma</t>
  </si>
  <si>
    <t>Event at Roma on Jul 04, 2009</t>
  </si>
  <si>
    <t>IlMess/IRR</t>
  </si>
  <si>
    <t>2009-07-02T00:00:00Z</t>
  </si>
  <si>
    <t>Egyptian police opened fire on a group of migrants at the border with Israel. Killed two Somalis (Jul 3, 2009)</t>
  </si>
  <si>
    <t>Event at Sinai, Egypt on Jul 02, 2009</t>
  </si>
  <si>
    <t>http://fortresseurope.blogspot.com/2009/08/egypt-police-kill-two-somalis-at-israel.html</t>
  </si>
  <si>
    <t>2009-06-30T00:00:00Z</t>
  </si>
  <si>
    <t>2Q2009</t>
  </si>
  <si>
    <t>2009 -- 6</t>
  </si>
  <si>
    <t>stabbed in fight between migrants attempting to get aboard the lorry to UK in Calais (F)  (Jun 30, 2009)</t>
  </si>
  <si>
    <t>Event at Calais on Jun 30, 2009</t>
  </si>
  <si>
    <t>Telegraph/Mail Online/Evening Standard/PICUM/Congoo/Haaba</t>
  </si>
  <si>
    <t>2009-06-28T00:00:00Z</t>
  </si>
  <si>
    <t>drowned, wooden boat collided with rocks off Barbate (E), traffickers imprisoned for murder (Jun 28, 2009). From Del Grande's data set (translated): Spills on the rocks in front of the beaches of Barbate, near Cadiz, a boat load of emigrants. Found the lifeless bodies of 8 people drowned, including two women (Jun 30, 2009)</t>
  </si>
  <si>
    <t>Event at Barbate on Jun 28, 2009</t>
  </si>
  <si>
    <t>PICUM/SUR/Publico/EP/ELM/Verdad/DiarioVasco/MNS/NOB/AdnE</t>
  </si>
  <si>
    <t>http://www.elmundo.es/elmundo/2009/06/29/andalucia/1246262310.html</t>
  </si>
  <si>
    <t>2009-06-27T00:00:00Z</t>
  </si>
  <si>
    <t>Egyptian police opened fire on a group of migrants at the border with Israel. A murdered. Wounded in the back a 15 year old boy (Jun 28, 2009)</t>
  </si>
  <si>
    <t>Event at Sinai, Egypt on Jun 27, 2009</t>
  </si>
  <si>
    <t>http://af.reuters.com/article/eritreaNews/idAFLS33140420090628</t>
  </si>
  <si>
    <t>2009-06-23T00:00:00Z</t>
  </si>
  <si>
    <t>Egyptian police shooting at a group of migrants at the border with Israel in the wilderness of Sinai. He died in his twenties. It is the third victim of 2009 (Jun 24, 2009)</t>
  </si>
  <si>
    <t>Event at Sinai, Egypt on Jun 23, 2009</t>
  </si>
  <si>
    <t>http://af.reuters.com/article/eritreaNews/idAFLO9248220090624</t>
  </si>
  <si>
    <t>2009-06-22T00:00:00Z</t>
  </si>
  <si>
    <t>stowaway,fell from the truck he was hidden, died in hospital 3h later in Ancona (I) (Jun 22, 2009). From Del Grande's data set (translated): Amir Rohol, nineteen year-old Afghan, died after falling from a truck unloaded in the port of Ancona and headed north along the junction between the 76 Freeway and the A14 (Jun 23, 2009)</t>
  </si>
  <si>
    <t>Event at Ancona on Jun 22, 2009</t>
  </si>
  <si>
    <t>PICUM/LR/MP/NOB</t>
  </si>
  <si>
    <t>http://www.aduc.it/dyn/immigrazione/noti.php?id=263715</t>
  </si>
  <si>
    <t>2009-06-18T00:00:00Z</t>
  </si>
  <si>
    <t>suicide in a cell in Barcelona (E) hanging himself with his own shirt, arrested because illegal  (Jun 18, 2009)</t>
  </si>
  <si>
    <t>Event at Barcelona on Jun 18, 2009</t>
  </si>
  <si>
    <t>EP/AVUI/MUGAK</t>
  </si>
  <si>
    <t>2009-06-16T00:00:00Z</t>
  </si>
  <si>
    <t>1drowned, 1missing after shipwreck due to storm waters 30 miles south Cartagena (E) (Jun 16, 2009)</t>
  </si>
  <si>
    <t>Event at Cartagena on Jun 16, 2009</t>
  </si>
  <si>
    <t>LV/Verdad/PICUM/NOB</t>
  </si>
  <si>
    <t>Norwegian tanker rescued a small boat with 10 passengers off the coast of Murcia. One dead and one missing (Jun 17, 2009)</t>
  </si>
  <si>
    <t>murcia</t>
  </si>
  <si>
    <t>Event at Murcia on Jun 16, 2009</t>
  </si>
  <si>
    <t>http://www.unita.it/newsansa/37689/spagna_un_immigrato_morto_dopo_soccorsi</t>
  </si>
  <si>
    <t>2009-06-12T05:00:00Z</t>
  </si>
  <si>
    <t>A man died because he wanted to take a shower. As there was no shower in Calais, migrants washed in a canal. One of them slipped and died.</t>
  </si>
  <si>
    <t>A man died while washing in Calais, on June 13, 2009</t>
  </si>
  <si>
    <t>http://lille.blogs.liberation.fr/saberan/2009/06/interviewcelinedallery.html</t>
  </si>
  <si>
    <t>2009-06-10T00:00:00Z</t>
  </si>
  <si>
    <t>drowned, 5 died, 1 missing, overloaded boat sank off the coast of Bodrum (TR) (Jun 10, 2009)</t>
  </si>
  <si>
    <t>Event at Bodrum on Jun 10, 2009</t>
  </si>
  <si>
    <t>FE/Ansa/Le Monde/NOB</t>
  </si>
  <si>
    <t>suicide, jumped in Bilbao s river (E) escaping from policemen who took him for a thief (Jun 10, 2009)</t>
  </si>
  <si>
    <t>bilbao</t>
  </si>
  <si>
    <t>Event at Bilbao on Jun 10, 2009</t>
  </si>
  <si>
    <t>EP</t>
  </si>
  <si>
    <t>2009-06-09T00:00:00Z</t>
  </si>
  <si>
    <t>drowned, 4 died, 3 missing, trying to swim from a dinghy to the coast of Gela (I)  (Jun 9, 2009)</t>
  </si>
  <si>
    <t>gela</t>
  </si>
  <si>
    <t>Event at Gela on Jun 09, 2009</t>
  </si>
  <si>
    <t>Picum/EveryOne Group/NOB</t>
  </si>
  <si>
    <t>medical neglect, died in Busmantsi detention centre (BG) where he had been held for 3 years (Jun 9, 2009)</t>
  </si>
  <si>
    <t>busmantsi</t>
  </si>
  <si>
    <t>Event at Busmantsi on Jun 09, 2009</t>
  </si>
  <si>
    <t>http://www.ipsnews.net/2009/10/bulgaria-migrants-denied-even-medicine/</t>
  </si>
  <si>
    <t>2009-06-07T00:00:00Z</t>
  </si>
  <si>
    <t>suicide, threw herself in the Brembo River in Bergamo (I) in fear of deportation (Jun 7, 2009)</t>
  </si>
  <si>
    <t>bergamo</t>
  </si>
  <si>
    <t>Event at Bergamo on Jun 07, 2009</t>
  </si>
  <si>
    <t>2009-06-03T00:00:00Z</t>
  </si>
  <si>
    <t>18 km boat capsizes off the coast of Tarifa (Cdiz). Rescued 22 passengers. At least 18 missing in sea (Jun 4, 2009)</t>
  </si>
  <si>
    <t>Event at Tarifa on Jun 03, 2009</t>
  </si>
  <si>
    <t>http://www.elpais.com/articulo/espana/Desaparecidos/ocupantes/patera/cerca/Tarifa/elpepuesp/20090604elpepunac_1/Tes</t>
  </si>
  <si>
    <t>bled to death due to barbed wire</t>
  </si>
  <si>
    <t>2009-06-02T00:00:00Z</t>
  </si>
  <si>
    <t>tangled in razor wire trying to jump a border fence from Morocco to Ceuta (E) (Jun 2, 2009)</t>
  </si>
  <si>
    <t>Event at Ceuta on Jun 02, 2009</t>
  </si>
  <si>
    <t>REU/NOB</t>
  </si>
  <si>
    <t>Sighted by a merchant ship off the coast of Cabo de Gata, Andalucia, the corpse of a man abandoned by days at sea (Jun 3, 2009)</t>
  </si>
  <si>
    <t>gata</t>
  </si>
  <si>
    <t>Event at Gata on Jun 02, 2009</t>
  </si>
  <si>
    <t>La Verdad de Murcia</t>
  </si>
  <si>
    <t>http://www.laverdad.es/murcia/20090604/espana/encuentran-cadaver-subsahariano-aguas-20090604.html</t>
  </si>
  <si>
    <t>2009-06-01T00:00:00Z</t>
  </si>
  <si>
    <t>The Egyptian border police opened fire on a group of migrants along the Sinai border with Israel. One dead and one seriously injured (Jun 2, 2009)</t>
  </si>
  <si>
    <t>Event at Sinai, Egypt on Jun 01, 2009</t>
  </si>
  <si>
    <t>http://af.reuters.com/article/eritreaNews/idAFL2100269020090602</t>
  </si>
  <si>
    <t>2009-05-26T00:00:00Z</t>
  </si>
  <si>
    <t>2009 -- 5</t>
  </si>
  <si>
    <t>suicide after 67 days in detention centre in Gavle (S) in fear of being deported (May 26, 2009)</t>
  </si>
  <si>
    <t>gavle, sweden</t>
  </si>
  <si>
    <t>Event at Gavle, Sweden on May 26, 2009</t>
  </si>
  <si>
    <t>IRR/UPP/NewsD</t>
  </si>
  <si>
    <t>2009-05-21T00:00:00Z</t>
  </si>
  <si>
    <t>Found the lifeless body of an immigrant drowned off the island of Man, on the southeastern coast of Sardinia (May 22, 2009)</t>
  </si>
  <si>
    <t>Event at Sardinia on May 21, 2009</t>
  </si>
  <si>
    <t>http://www.ansa.it/</t>
  </si>
  <si>
    <t>2009-05-18T00:00:00Z</t>
  </si>
  <si>
    <t>reported suicide using tshirt but guards reportedly beat him in Barcelona detention centre(E) (May 18, 2009)</t>
  </si>
  <si>
    <t>Event at Barcelona on May 18, 2009</t>
  </si>
  <si>
    <t>SetDirecta/FAIV</t>
  </si>
  <si>
    <t>road accident, tried to jump onto moving truck on motorway in Teteghem (F) towards B (May 18, 2009)</t>
  </si>
  <si>
    <t>Teteghem, france</t>
  </si>
  <si>
    <t>Event at Teteghem, France on May 18, 2009</t>
  </si>
  <si>
    <t>VoixDuNord</t>
  </si>
  <si>
    <t>2009-05-03T00:00:00Z</t>
  </si>
  <si>
    <t>stabbed after a brawl in Villemin square, Paris (F), where he lived as asylum seeker (May 3, 2009)</t>
  </si>
  <si>
    <t>Event at Paris on May 03, 2009</t>
  </si>
  <si>
    <t>Reu/Ya.F/MSF/MRAP/CSE10/AFP</t>
  </si>
  <si>
    <t>2009-05-01T00:00:00Z</t>
  </si>
  <si>
    <t>He died at the hospital in Caltanissetta, suffering from meningitis, one of the castaways rescued two weeks ago by the merchant turkish Pinar (May 2, 2009)</t>
  </si>
  <si>
    <t>Caltanissetta</t>
  </si>
  <si>
    <t>Event at Caltanissetta on May 01, 2009</t>
  </si>
  <si>
    <t>http://www.rainews24.it/Notizia.asp?NewsId=116976</t>
  </si>
  <si>
    <t>2009-04-29T00:00:00Z</t>
  </si>
  <si>
    <t>2009 -- 4</t>
  </si>
  <si>
    <t>died in the hospital in Tarifa (E) after Spanish authorities blocked a boat from Tanger (MA)  (Apr 29, 2009). From Del Grande's data set (translated): One of the passengers of a boat intercepted the day before to 14 miles from Tarifa (Cdiz) died in the hospital on Isla de las Palomas (Apr 30, 2009)</t>
  </si>
  <si>
    <t>Event at Tarifa on Apr 29, 2009</t>
  </si>
  <si>
    <t>EFE/NOB</t>
  </si>
  <si>
    <t>http://www.elmundo.es/papel/2009/05/01/espana/2638476.html</t>
  </si>
  <si>
    <t>2009-04-22T00:00:00Z</t>
  </si>
  <si>
    <t>missing after shipwreck, 250 km east of Aden (Yemen), coming from Somalia, 165 survivors (Apr 22, 2009)</t>
  </si>
  <si>
    <t>aden</t>
  </si>
  <si>
    <t>Event at Aden on Apr 22, 2009</t>
  </si>
  <si>
    <t>MUGAK/Can7/EFE/UNHCR/LR/GARA</t>
  </si>
  <si>
    <t>drowned, bodies found after shipwreck 250 km east of Aden (Yemen) on way from Somalia (Apr 22, 2009)</t>
  </si>
  <si>
    <t>reportedly died of hypothermia, found by Spanish authorities in the Strait of Gibraltar (E) (Apr 22, 2009)</t>
  </si>
  <si>
    <t>Event at Gibraltar on Apr 22, 2009</t>
  </si>
  <si>
    <t>MUGAK/EFE/Diario de Navarra/PICUM/EHAR/NOB</t>
  </si>
  <si>
    <t>Fished by the Spanish coastguard two dead bodies from the waters of the Strait of Gibraltar (Apr 23, 2009)</t>
  </si>
  <si>
    <t>http://www.diariodenavarra.es/20090424/nacional/encontrados-estrecho-cuerpos-dos-inmigrantes.html?not=2009042402575945&amp;idnot=2009042402575945&amp;dia=20090424&amp;seccion=nacional&amp;seccion2=sucesos&amp;chnl=30</t>
  </si>
  <si>
    <t>2009-04-17T00:00:00Z</t>
  </si>
  <si>
    <t>body found by Mauritanian guards on a boat near Nuadibu on way to Canary Islands (E) (Apr 17, 2009). From Del Grande's data set (translated): Rescued 27 miles from Nouadibou game boat from Senegal and direct the archipelago of the Canary Islands. A drowned (Apr 20, 2009)</t>
  </si>
  <si>
    <t>nuadibu</t>
  </si>
  <si>
    <t>Event at Nuadibu on Apr 17, 2009</t>
  </si>
  <si>
    <t>MUGAK/EFE/ElDia/Diario de Navarra</t>
  </si>
  <si>
    <t>http://www.eldia.es/2009-04-20/CANARIAS/1-inmigrante-muere-costas-mauritanas-cuando-viajaba-Archipielago.htm</t>
  </si>
  <si>
    <t>2009-04-15T00:00:00Z</t>
  </si>
  <si>
    <t>1</t>
  </si>
  <si>
    <t>died during rescue operation, boat waited 4 days before to be allowed to reach Italian coasts  (Apr 15, 2009). From Del Grande's data set (translated): Relief from merchant turkish Pinar 140 emigrants wrecked in the Channel of Sicily. Operations in a Nigerian girl dies drowned 18-year old pregnant (Apr 16, 2009)</t>
  </si>
  <si>
    <t>Event at Sicily on Apr 15, 2009</t>
  </si>
  <si>
    <t>MUGAK/TimesM/Diario de Navarra/Verdad/LR/PUN/VDG/LR/SIR/Deia/Nouvel Obs/Tisc/IlMess/LS/CDS/MOP/AFP/Migreurop/NOB</t>
  </si>
  <si>
    <t>http://www.repubblica.it/2009/04/sezioni/cronaca/immigrati-5/reportage-21apr/reportage-21apr.html</t>
  </si>
  <si>
    <t>2009-04-07T00:00:00Z</t>
  </si>
  <si>
    <t>Relief from the fishing vessel Cesare Rustico Mazara, a boat full of migrants capsizes at sea. 3 missing, including a woman (Apr 8, 2009)</t>
  </si>
  <si>
    <t>mazara</t>
  </si>
  <si>
    <t>Event at Mazara on Apr 07, 2009</t>
  </si>
  <si>
    <t>http://www.lasiciliaweb.it/index.php?id=19875&amp;template=lasiciliaweb</t>
  </si>
  <si>
    <t>Afghan dies in fight in Parisian squat. Moved to Paris after the shut down of Sangatte (Apr 7, 2009)</t>
  </si>
  <si>
    <t>Event at Paris on Apr 07, 2009</t>
  </si>
  <si>
    <t>http://abonnes.lemonde.fr/les-articles-du-monde/090407.html</t>
  </si>
  <si>
    <t>2009-04-05T00:00:00Z</t>
  </si>
  <si>
    <t>missing after their boat sank 10 miles off Tarifa, Cadiz (E) on the way from Tanger (MA) (Apr 5, 2009)</t>
  </si>
  <si>
    <t>Event at Tarifa on Apr 05, 2009</t>
  </si>
  <si>
    <t>ABC/MUGAK/EP/ELM/LV/EFE/Diario de Navarra /GARA/DNG/Verdad/ElDia/EPress/APDHA/ELC/MNS/NOB</t>
  </si>
  <si>
    <t>2009-04-04T00:00:00Z</t>
  </si>
  <si>
    <t>Found a corpse in the Channel Tunnel. The man died falling off the wagon of the train in which he was hiding to reach England (Apr 5, 2009)</t>
  </si>
  <si>
    <t>england</t>
  </si>
  <si>
    <t>Event at England on Apr 04, 2009</t>
  </si>
  <si>
    <t>http://www.lemonde.fr/web/depeches/0</t>
  </si>
  <si>
    <t>2009-04-02T00:00:00Z</t>
  </si>
  <si>
    <t>Boat with 76 passengers intercepted 60 miles south of Lampedusa, on board 2 corpses (Apr 3, 2009)</t>
  </si>
  <si>
    <t>Event at Lampedusa on Apr 02, 2009</t>
  </si>
  <si>
    <t>Apcom</t>
  </si>
  <si>
    <t>http://www.apcom.net/newscronaca/20090403_140600_4d41667_59520.shtml</t>
  </si>
  <si>
    <t>2009-03-28T00:00:00Z</t>
  </si>
  <si>
    <t>1Q2009</t>
  </si>
  <si>
    <t>2009 -- 3</t>
  </si>
  <si>
    <t>missing after 3 boats sank due to stormy waters 30 km off LY on way from Tripoli (LY) to I  (Mar 28, 2009)</t>
  </si>
  <si>
    <t>Event at Tripoli on Mar 28, 2009</t>
  </si>
  <si>
    <t>ABC/MUGAK/Deia/DiariodeNavarra/DNG/APDHA/Berria/LV/PerCat/AVU/DNA/DiarioVasco/Verdad/Raz/GARA/Can7/ELC/VDG/ELM/EP/Publico/DM/SP/AN/VK/CGIL/FE/LR/CDS/Unit√©/Euronews/ANSA/Migreurop/RF/FTCR/AEDH/NYtimes/IANS/UNHCR/GuardianUn./MNS/TW/Stuff/Mediapart/SBS/CF/Reu/Ya.N/Boston/PICUM/NOB</t>
  </si>
  <si>
    <t>drowned, 21 bodies found, 3 boats sank due to stormy waters 30 km off LY on way to I  (Mar 28, 2009). From Del Grande's data set (translated): Fishing boat overloaded with migrants sinks off Biilal Janzur Said, a suburb of Tripoli, where he started three hours earlier. 20 bodies recovered, 210 missing at sea. In the same hour boat with 350 passengers rescued from the Italian tugboat Ace 22 (Mar 29, 2009)</t>
  </si>
  <si>
    <t>ABC/MUGAK/Deia/DiariodeNavarra/DNG/APDHA/Berria/LV/PerCat/AVU/DNA/DiarioVasco/Verdad/Raz/GARA/Can7/ELC/VDG/ELM/EP/Publico/DM/SP/AN/VK/CGIL/FE/LR/CDS/Unit√©/Euronews/ANSA/Migreurop/RF/FTCR/AEDH/NYtimes/IANS/UNHCR/GuardianUn./MNS/TW/Stuff/Mediapart/SBS/CF/Reu/Ya.N/Boston/PICUM/PANOR/AP/AFP/NOB/BBC</t>
  </si>
  <si>
    <t>http://www.rainews24.it/Notizia.asp?NewsId=112841</t>
  </si>
  <si>
    <t>Iraqi hiding under a truck embarked on a greek ferry from Patras, dies crushed between the axles of the articulated (Mar 29, 2009)</t>
  </si>
  <si>
    <t>Event at Patras on Mar 28, 2009</t>
  </si>
  <si>
    <t>http://www.corriereadriatico.it/articolo.aspx?varget=C6D7C83123BAF5598766164BAC3D7082</t>
  </si>
  <si>
    <t>stowaway, dead under a Bulgarian lorry he hang on to pass the border in Ancona harbour (I) (Mar 28, 2009)</t>
  </si>
  <si>
    <t>Event at Ancona on Mar 28, 2009</t>
  </si>
  <si>
    <t>2009-03-25T00:00:00Z</t>
  </si>
  <si>
    <t>14 Nigerians die in the Algerian desert during the crossing of the Sahara. The news has spread by the Ambassador of Nigeria to Algiers (Mar 26, 2009)</t>
  </si>
  <si>
    <t>Event at Algiers on Mar 25, 2009</t>
  </si>
  <si>
    <t>Nigerian Tribune</t>
  </si>
  <si>
    <t>http://www.tribune.com.ng/26032009/news/news7.html</t>
  </si>
  <si>
    <t>asylum seeker was run over by a lorry in Venice harbor (I) reportedly trying to skip ID control (Mar 25, 2009). From Del Grande's data set (translated): Found dead in the port of Venice, migrants hidden in a trailer on the ferry Hellenic Master, who started from Greece, and was crushed by a bale of waste paper (Mar 26, 2009)</t>
  </si>
  <si>
    <t>Event at Venice on Mar 25, 2009</t>
  </si>
  <si>
    <t>CDS/ANSA/AdnK/NOB</t>
  </si>
  <si>
    <t>http://www.gazzettino.it/articolo.php?id=52225&amp;sez=NORDEST</t>
  </si>
  <si>
    <t>2009-03-22T00:00:00Z</t>
  </si>
  <si>
    <t>found in Votanikos stream near Aliens Bureau in Athens (GR), stayed in coma for 3 months (Mar 22, 2009)</t>
  </si>
  <si>
    <t>votanikos</t>
  </si>
  <si>
    <t>Event at Votanikos on Mar 22, 2009</t>
  </si>
  <si>
    <t>NR/IRR</t>
  </si>
  <si>
    <t>2009-03-21T00:00:00Z</t>
  </si>
  <si>
    <t>missing when Spanish patrol transfered the passengers from their boat off Cabo de Gata (E) (Mar 21, 2009)</t>
  </si>
  <si>
    <t>Event at Gata on Mar 21, 2009</t>
  </si>
  <si>
    <t>MUGAK/EFE/PUB/NOB</t>
  </si>
  <si>
    <t>Fall into the sea during a rescue operation in Cabo de Gata, Almeria. Two missing (Mar 22, 2009)</t>
  </si>
  <si>
    <t>Publico</t>
  </si>
  <si>
    <t>http://www.publico.es/211773/buscan/ocupantes/patera/desaparecidos/caer/mar/rescate</t>
  </si>
  <si>
    <t>2009-03-18T00:00:00Z</t>
  </si>
  <si>
    <t>17 deaths, 50 missing, after shipwreck near to Sfax (TN) on the way from Libya to Italy (Mar 18, 2009). From Del Grande's data set (translated): Shipwreck on the route to Lampedusa off the coast of Sfax, not far from the island of Kerkennah. Recovered 17 corpses, at least 50 missing (Mar 20, 2009)</t>
  </si>
  <si>
    <t>Event at Lampedusa on Mar 18, 2009</t>
  </si>
  <si>
    <t>LS/FE/ANSA/Ach/AFP/LSW/NOB</t>
  </si>
  <si>
    <t>http://www.lasiciliaweb.it/index.php?id=18895&amp;template=lasiciliaweb</t>
  </si>
  <si>
    <t>reportedly beaten on the Ponte Gallierra det. cr. Roma (I) after refusal of medical treatment (Mar 18, 2009)</t>
  </si>
  <si>
    <t>Event at Roma on Mar 18, 2009</t>
  </si>
  <si>
    <t>CARTA/ElW</t>
  </si>
  <si>
    <t>2009-03-16T00:00:00Z</t>
  </si>
  <si>
    <t>body washed ashore on the beach Linea de la Concepcion, Cadiz (E) (Mar 16, 2009). From Del Grande's data set (translated): Found the lifeless body of an immigrant drowned, along the beaches of La Lnea de la Concepcin (Mar 18, 2009)</t>
  </si>
  <si>
    <t>Event at Cadiz on Mar 16, 2009</t>
  </si>
  <si>
    <t>MUGAK/DNA/SUR/PUB/EFE/ELM/NOB</t>
  </si>
  <si>
    <t>http://www.diariosur.es/20090318/andalucia/localizado-cadaver-inmigrante-playa-20090318.html</t>
  </si>
  <si>
    <t>2009-03-15T00:00:00Z</t>
  </si>
  <si>
    <t>died of thirst in the LY-Niger desert trying to reach I, left there by Libyan authorities (Mar 15, 2009)</t>
  </si>
  <si>
    <t>Event at Libyan on Mar 15, 2009</t>
  </si>
  <si>
    <t>NOB/LR</t>
  </si>
  <si>
    <t>2009-03-07T00:00:00Z</t>
  </si>
  <si>
    <t>drowned, 1 died, 11 missing, wooden boat capsized 4 miles from Cabo de Palos (E) (Mar 7, 2009)</t>
  </si>
  <si>
    <t>Event at Palos on Mar 07, 2009</t>
  </si>
  <si>
    <t>EP/Verdad/ELM/RAZ/MUGAK</t>
  </si>
  <si>
    <t>2009-03-06T00:00:00Z</t>
  </si>
  <si>
    <t>Young migrant stays attached to the network in mid-air with barbed wire border of Ceuta and bleeds to death (Mar 7, 2009)</t>
  </si>
  <si>
    <t>Event at Ceuta on Mar 06, 2009</t>
  </si>
  <si>
    <t>http://www.abc.es/20090307/nacional-sucesos/muere-desangrado-subsahariano-quedar-20090307.html</t>
  </si>
  <si>
    <t>2009-03-05T00:00:00Z</t>
  </si>
  <si>
    <t>reportedly drowned, boat hit a rock between Anjouan (Comoros) and Mayotte (F) (Mar 5, 2009)</t>
  </si>
  <si>
    <t>Event at Mayotte on Mar 05, 2009</t>
  </si>
  <si>
    <t>Malango</t>
  </si>
  <si>
    <t>drowned, boat hit a rock between Anjouan (Comoros) and Mayotte (F) (Mar 5, 2009)</t>
  </si>
  <si>
    <t>2009-03-03T00:00:00Z</t>
  </si>
  <si>
    <t>bodies found on a boat reportedly from LY 60 km off Lampedusa s Southern coast (I) (Mar 3, 2009)</t>
  </si>
  <si>
    <t>Event at Lampedusa on Mar 03, 2009</t>
  </si>
  <si>
    <t>ANSA/AVV/NOB</t>
  </si>
  <si>
    <t>2009-02-28T00:00:00Z</t>
  </si>
  <si>
    <t>2009 -- 2</t>
  </si>
  <si>
    <t>manner of death unknown, body found in a ditch in Votanikos (GR), near the Aliens Bureau (Feb 28, 2009)</t>
  </si>
  <si>
    <t>Event at Votanikos on Feb 28, 2009</t>
  </si>
  <si>
    <t>KI/IRR/MNS</t>
  </si>
  <si>
    <t>2009-02-24T00:00:00Z</t>
  </si>
  <si>
    <t>He died an infant daughter of a Kurdish family in the slums along the A16, at Dunkirk, on the route to Dover, England (Feb 25, 2009)</t>
  </si>
  <si>
    <t>Event at Dunkirk on Feb 24, 2009</t>
  </si>
  <si>
    <t>Nord Littoral</t>
  </si>
  <si>
    <t>http://www.millebabords.org/spip.php?article10500</t>
  </si>
  <si>
    <t>2009-02-20T00:00:00Z</t>
  </si>
  <si>
    <t>died when vessel tried to land near Montril (E); 34 migrants survived (Feb 20, 2009)</t>
  </si>
  <si>
    <t>montril, spain</t>
  </si>
  <si>
    <t>Event at Montril, Spain on Feb 20, 2009</t>
  </si>
  <si>
    <t>NOB/REU</t>
  </si>
  <si>
    <t>A dead aboard a boat of 35 passengers intercepted 18 miles off the coast of Motril, Granada (Feb 21, 2009)</t>
  </si>
  <si>
    <t>Event at Granada on Feb 20, 2009</t>
  </si>
  <si>
    <t>La Razn</t>
  </si>
  <si>
    <t>http://www.larazon.es/noticia/un-muerto-entre-35-subsaharianos-llegados-en-patera</t>
  </si>
  <si>
    <t>2009-02-14T00:00:00Z</t>
  </si>
  <si>
    <t>missing after boat crashed with a rock and sank 20 metres from Lanzarote s coast (E)  (Feb 14, 2009)</t>
  </si>
  <si>
    <t>Event at Lanzarote on Feb 14, 2009</t>
  </si>
  <si>
    <t>Can7/ABC/Publico/ELM/DiariodeNoticias/Deia/EP/Raz/ELC/VDG/Verdad/ElDia/PerCat/LV/AVUI/SUR/GARA/DiariodeNavarra/DiarioVasco/DNG/Tribuna/SOS/PrensaLibre/SP/Canadian/CadSER/NYboat/MUGAK/ENAR/MSN/MAG/VOA/BostonH/DN/Migreurop/20Mf/WOL/MNS/STAMPA/Liberazione/AFP/NOB/VK</t>
  </si>
  <si>
    <t>drowned after boat crashed with a rock and sank 20 metres from Lanzarote s coast (E)  (Feb 14, 2009)</t>
  </si>
  <si>
    <t>2009-02-01T00:00:00Z</t>
  </si>
  <si>
    <t>reportedly dehydration, died after 4 days without water or food in boat near Canary Isl. (E) (Feb 1, 2009). From Del Grande's data set (translated): Intercepted south of Gran Canaria island, a boat with 3 deaths on board (Feb 2, 2009)</t>
  </si>
  <si>
    <t>canary</t>
  </si>
  <si>
    <t>Event at Canary on Feb 01, 2009</t>
  </si>
  <si>
    <t>ABC/EP/MUGAK/ELM/Diario de Navarra/SUR/Can7/ELC/Deia/Der Standard/AFP/NOB</t>
  </si>
  <si>
    <t>http://www.elpais.com/articulo/espana/Rescatada/Canarias/barca/papeles/cadaveres/elpepiesp/20090203elpepinac_17/Tes</t>
  </si>
  <si>
    <t>2009-12-31T00:00:00Z</t>
  </si>
  <si>
    <t>4Q2009</t>
  </si>
  <si>
    <t>2009 -- 12</t>
  </si>
  <si>
    <t>feared drowned, missing after boat sank off Andalusia coast (E) (Dec 31, 2009)</t>
  </si>
  <si>
    <t>Event at Andalusia on Dec 31, 2009</t>
  </si>
  <si>
    <t>LV</t>
  </si>
  <si>
    <t>drowned, boat sank off Andalusia coast (E), 10 bodies found, 3 missing (Dec 31, 2009)</t>
  </si>
  <si>
    <t>drowned, shipwreck with 36 survivors, bodies found on Valencia coast (E) (Dec 31, 2009)</t>
  </si>
  <si>
    <t>Event at Valencia on Dec 31, 2009</t>
  </si>
  <si>
    <t>suicide, jumped in front of train in Hamburg (D) after hearing he would be deported (Dec 31, 2009)</t>
  </si>
  <si>
    <t>Event at Hamburg on Dec 31, 2009</t>
  </si>
  <si>
    <t>SP</t>
  </si>
  <si>
    <t>2009-12-30T00:00:00Z</t>
  </si>
  <si>
    <t>reportedly drowned on way from Turkey, boat shipwrecked off Alexandroupoli coast (GR) (Dec 30, 2009)</t>
  </si>
  <si>
    <t>Event at Alexandroupoli on Dec 30, 2009</t>
  </si>
  <si>
    <t>FE/Migreurop/AP/Le Figaro/CDS/ANSA/Unita /TodZam</t>
  </si>
  <si>
    <t>2009-12-24T00:00:00Z</t>
  </si>
  <si>
    <t>suicide, transexual hanged herself with a sheet in detention center of Milan (I) (Dec 24, 2009)</t>
  </si>
  <si>
    <t>Event at Milan on Dec 24, 2009</t>
  </si>
  <si>
    <t>EveryOne Group/LR/Migreurop</t>
  </si>
  <si>
    <t>2009-12-17T00:00:00Z</t>
  </si>
  <si>
    <t>Two men killed by Egyptian border police at the border with Israel on Sinai (Dec 18, 2009)</t>
  </si>
  <si>
    <t>Event at Sinai, Egypt on Dec 17, 2009</t>
  </si>
  <si>
    <t>http://fortresseurope.blogspot.com/2009/12/egyptian-police-kill-two-migrants-at.html</t>
  </si>
  <si>
    <t>2009-12-14T00:00:00Z</t>
  </si>
  <si>
    <t>Sinking boat in the river Tisza, on the border between Serbia and Hungary. Drowning 15 people, including a newborn baby (Dec 15, 2009)</t>
  </si>
  <si>
    <t>hungary</t>
  </si>
  <si>
    <t>Event at Hungary on Dec 14, 2009</t>
  </si>
  <si>
    <t>http://fortresseurope.blogspot.com/2009/12/seven-held-in-kosovo-after-migrants.html</t>
  </si>
  <si>
    <t>stowaway, killed crossing a highway near Calais (F), trying to go to GB by hiding in a truck (Dec 14, 2009). From Del Grande's data set (translated): Young Afghan fatally hit by a car while trying to hide under a truck in Calais to embark for England (Dec 15, 2009)</t>
  </si>
  <si>
    <t>Event at Calais on Dec 14, 2009</t>
  </si>
  <si>
    <t>http://fortresseurope.blogspot.com/2009/12/calais-jeune-afghan-tue-fauche-par-une.html</t>
  </si>
  <si>
    <t>2009-12-12T00:00:00Z</t>
  </si>
  <si>
    <t>Data for 16 missing migrants off the coast of Mostaganem, en route to Spain (Dec 13, 2009)</t>
  </si>
  <si>
    <t>Event at Mostaganem on Dec 12, 2009</t>
  </si>
  <si>
    <t>http://fortresseurope.blogspot.com/2009/12/algeria-16-dispersi-sulla-rotta-per-la.html</t>
  </si>
  <si>
    <t>2009-12-11T00:00:00Z</t>
  </si>
  <si>
    <t>reportedly drowned, boat sank off coast of Leros Island (GR), 25 rescued from rocky islet (Dec 11, 2009). From Del Grande's data set (translated): Shipwreck off the island of Leros. Recovered a dead body, a woman lost at sea (Dec 11, 2009)</t>
  </si>
  <si>
    <t>leros</t>
  </si>
  <si>
    <t>Event at Leros on Dec 11, 2009</t>
  </si>
  <si>
    <t>NOB/TodZam</t>
  </si>
  <si>
    <t>http://fortresseurope.blogspot.com/2009/12/grecia-un-morto-e-un-disperso-in-un.html</t>
  </si>
  <si>
    <t>2009-12-10T00:00:00Z</t>
  </si>
  <si>
    <t>suicide, jumped from bridge near Heathrow (GB) after police questioned her about residence (Dec 10, 2009)</t>
  </si>
  <si>
    <t>Event at Heathrow on Dec 10, 2009</t>
  </si>
  <si>
    <t>IRR/UxbGaz</t>
  </si>
  <si>
    <t>2009-12-09T00:00:00Z</t>
  </si>
  <si>
    <t>drowned, boat sank by Kani-Keli, southern Mayotte, on way from Comoros (Dec 9, 2009)</t>
  </si>
  <si>
    <t>Event at Mayotte on Dec 09, 2009</t>
  </si>
  <si>
    <t>Malanga</t>
  </si>
  <si>
    <t>2009-12-08T00:00:00Z</t>
  </si>
  <si>
    <t>Found the lifeless body of an immigrant inside a truck landed at the port of Marseille to Tangier (Dec 9, 2009)</t>
  </si>
  <si>
    <t>Event at Tangier on Dec 08, 2009</t>
  </si>
  <si>
    <t>http://fortresseurope.blogspot.com/2009/12/mort-dun-migrant-marseille.html</t>
  </si>
  <si>
    <t>2009-12-07T00:00:00Z</t>
  </si>
  <si>
    <t>drowned, 2 died, motorboat sank off the coast of Kos Island (GR) on the way from TR (Dec 7, 2009)</t>
  </si>
  <si>
    <t>Event at Kos on Dec 07, 2009</t>
  </si>
  <si>
    <t>FE/Picum/Cesdop/NOB</t>
  </si>
  <si>
    <t>2009-12-06T00:00:00Z</t>
  </si>
  <si>
    <t>1 died on board during travel, 1 died at the hospital of El Hierro (E) because of dehydration  (Dec 6, 2009)</t>
  </si>
  <si>
    <t>Event at Hierro on Dec 06, 2009</t>
  </si>
  <si>
    <t>Publico/EP/Diario de Noticia/VDG/Gara/Verdad/Diario de Navarra</t>
  </si>
  <si>
    <t>2009-11-30T00:00:00Z</t>
  </si>
  <si>
    <t>2009 -- 11</t>
  </si>
  <si>
    <t>Egyptian police fired on the border with Israel at Sinai. A dead. At least 17 victims from the start of the year (Dec 1, 2009)</t>
  </si>
  <si>
    <t>Event at Sinai, Egypt on Nov 30, 2009</t>
  </si>
  <si>
    <t>http://fortresseurope.blogspot.com/2009/12/egypt-police-kill-african-migrant-at.html</t>
  </si>
  <si>
    <t>2009-11-23T00:00:00Z</t>
  </si>
  <si>
    <t>reportedly drowned, boat sank between island Mayotte (F) and Comoros Islands  (Nov 23, 2009)</t>
  </si>
  <si>
    <t>Event at Mayotte on Nov 23, 2009</t>
  </si>
  <si>
    <t>Publico/AFP/MigrantsOM</t>
  </si>
  <si>
    <t>murdered by his employer in Vercelli (I) as he did not want to pay him a 3 months salary  (Nov 23, 2009)</t>
  </si>
  <si>
    <t>vercelli</t>
  </si>
  <si>
    <t>Event at Vercelli on Nov 23, 2009</t>
  </si>
  <si>
    <t>CDS</t>
  </si>
  <si>
    <t>2009-11-19T00:00:00Z</t>
  </si>
  <si>
    <t>died after repatriation operation after 26 days spent inside detention center of Malaga (E) (Nov 19, 2009)</t>
  </si>
  <si>
    <t>Event at Malaga on Nov 19, 2009</t>
  </si>
  <si>
    <t>2009-11-17T00:00:00Z</t>
  </si>
  <si>
    <t>reportedly drowned, fell from wooden boat in the sea off the coast of Tarifa (E)  (Nov 17, 2009). From Del Grande's data set (translated): One of the 12 immigrants landed yesterday in Tarifa, Cadiz, is lost at sea, he had landed in the water just before the arrival of the rescue (Nov 19, 2009)</t>
  </si>
  <si>
    <t>Event at Tarifa on Nov 17, 2009</t>
  </si>
  <si>
    <t>EP/FE</t>
  </si>
  <si>
    <t>http://fortresseurope.blogspot.com/2009/11/desaparece-uno-de-los-12-inmigrantes-de.html%20</t>
  </si>
  <si>
    <t>2009-11-15T00:00:00Z</t>
  </si>
  <si>
    <t>10 missing after the sinking of two boats off the coast of El Marsa, on the route to Spain. Three bodies recovered (Nov 16, 2009)</t>
  </si>
  <si>
    <t>marsa</t>
  </si>
  <si>
    <t>Event at Marsa on Nov 15, 2009</t>
  </si>
  <si>
    <t>Ansa Med</t>
  </si>
  <si>
    <t>http://fortresseurope.blogspot.com/2009/11/algeria-3-morti-e-10-dispersial-largo.html</t>
  </si>
  <si>
    <t>2009-11-13T00:00:00Z</t>
  </si>
  <si>
    <t>The Egyptian border police shot and killed a man on the border with Israel. Three other people were arrested (Nov 14, 2009)</t>
  </si>
  <si>
    <t>Event at Sinai, Egypt on Nov 13, 2009</t>
  </si>
  <si>
    <t>http://fortresseurope.blogspot.com/2009/11/egypt-police-kill-africa-migrant-on.html</t>
  </si>
  <si>
    <t>2009-11-05T00:00:00Z</t>
  </si>
  <si>
    <t>Shipwreck off the coast of Turkey in Bodrum, 7 bodies recovered, including 5 children (Nov 6, 2009)</t>
  </si>
  <si>
    <t>Event at Bodrum on Nov 05, 2009</t>
  </si>
  <si>
    <t>http://fortresseurope.blogspot.com/2009/11/quattro-annegati-al-largo-delle-coste.html</t>
  </si>
  <si>
    <t>2009-11-01T00:00:00Z</t>
  </si>
  <si>
    <t>Found a dead body on the island of Lesvos. It would be the ninth victim of the sinking of October 27 (Nov 2, 2009)</t>
  </si>
  <si>
    <t>Event at Lesvos on Nov 01, 2009</t>
  </si>
  <si>
    <t>http://fortresseurope.blogspot.com/2009/11/death-toll-in-migrant-sea-tragedy-hits.html</t>
  </si>
  <si>
    <t>2009-10-29T00:00:00Z</t>
  </si>
  <si>
    <t>2009 -- 10</t>
  </si>
  <si>
    <t>stowaway, asphyxiated while hidden in a lorry near Calais (F), trying to go to GB (Oct 29, 2009). From Del Grande's data set (translated): Calais, boy dies suffocated inside the truck in which he was hiding in an attempt to cross the Channel Tunnel, to England (Nov 1, 2009)</t>
  </si>
  <si>
    <t>Event at Calais on Oct 29, 2009</t>
  </si>
  <si>
    <t>Lib‚àö√†ration/PrivateSource/Libelille</t>
  </si>
  <si>
    <t>http://fortresseurope.blogspot.com/2009/11/migrant-found-dead-in-back-of-lorry-as.html</t>
  </si>
  <si>
    <t>jumped in river Thames(GB) after police questioned him in custody for immigration offences  (Oct 29, 2009)</t>
  </si>
  <si>
    <t>Event at Thames on Oct 29, 2009</t>
  </si>
  <si>
    <t>2009-10-28T00:00:00Z</t>
  </si>
  <si>
    <t>bodies found on a boat tracked southeast of Cartagena on Spain s southern coast (Oct 28, 2009)</t>
  </si>
  <si>
    <t>Event at Cartagena on Oct 28, 2009</t>
  </si>
  <si>
    <t>EXP/UnSarda/EarthT/EP/PUB/PICUM/NOB</t>
  </si>
  <si>
    <t>2009-10-26T00:00:00Z</t>
  </si>
  <si>
    <t>found on boat escorted to Sicily; I and M refused for 3 days to receive them in their territory (Oct 26, 2009)</t>
  </si>
  <si>
    <t>Event at Sicily on Oct 26, 2009</t>
  </si>
  <si>
    <t>LR/Can7/Picum/NOB</t>
  </si>
  <si>
    <t>drowned after wooden boat from TR collided with rocks on the island of Mytilini (GR) (Oct 26, 2009)</t>
  </si>
  <si>
    <t>mytilini</t>
  </si>
  <si>
    <t>Event at Mytilini on Oct 26, 2009</t>
  </si>
  <si>
    <t>LR/TDN/Le Figaro/CDS/Migreurop/ANSA/gara.net/Picum/NOB</t>
  </si>
  <si>
    <t>Shipwreck in the waters of Lesvos. Drown 3 women and 5 Afghan children (Oct 27, 2009)</t>
  </si>
  <si>
    <t>Event at Lesvos on Oct 26, 2009</t>
  </si>
  <si>
    <t>http://fortresseurope.blogspot.com/2009/10/8-afghan-immigrants-drown-as-boat-sinks.html</t>
  </si>
  <si>
    <t>2009-10-25T00:00:00Z</t>
  </si>
  <si>
    <t>Landed at Pozzallo 300 Eritreans and Somalis stuck for five days in a stormy sea. A dead man on board (Oct 26, 2009)</t>
  </si>
  <si>
    <t>pozzallo</t>
  </si>
  <si>
    <t>Event at Pozzallo on Oct 25, 2009</t>
  </si>
  <si>
    <t>http://fortresseurope.blogspot.com/2009/10/barcone-sbarca-nel-ragusano-un-morto.html</t>
  </si>
  <si>
    <t>2009-10-14T00:00:00Z</t>
  </si>
  <si>
    <t>drowned, 11 died, 5 missing, boat capsized trying to cross Serbo-H border via Tisza river  (Oct 14, 2009)</t>
  </si>
  <si>
    <t>Tisza</t>
  </si>
  <si>
    <t>Event at Tisza on Oct 14, 2009</t>
  </si>
  <si>
    <t>Picum/UNMIK/NOB</t>
  </si>
  <si>
    <t>2009-10-09T00:00:00Z</t>
  </si>
  <si>
    <t>murdered, beaten, dragged in police station of Nikaia (GR) and tortured till death (Oct 9, 2009)</t>
  </si>
  <si>
    <t>Nikaia, greece</t>
  </si>
  <si>
    <t>Event at Nikaia, Greece on Oct 09, 2009</t>
  </si>
  <si>
    <t>Anarkismo/IRR</t>
  </si>
  <si>
    <t>2009-10-08T00:00:00Z</t>
  </si>
  <si>
    <t>suicide, unaccompanied minor who hanged himself in London (GB) as he feared eviction (Oct 8, 2009)</t>
  </si>
  <si>
    <t>london</t>
  </si>
  <si>
    <t>Event at London on Oct 08, 2009</t>
  </si>
  <si>
    <t>2009-10-07T00:00:00Z</t>
  </si>
  <si>
    <t>murdered, guards opened fire during their escape attempt from det. cr. in Banghazi (LY) (Oct 7, 2009)</t>
  </si>
  <si>
    <t>banghazi</t>
  </si>
  <si>
    <t>Event at Banghazi on Oct 07, 2009</t>
  </si>
  <si>
    <t>FE/VOA</t>
  </si>
  <si>
    <t>2009-10-06T00:00:00Z</t>
  </si>
  <si>
    <t>Landing at Gela. 3 bodies recovered. Three others remain missing (Oct 7, 2009)</t>
  </si>
  <si>
    <t>Event at Gela on Oct 06, 2009</t>
  </si>
  <si>
    <t>http://fortresseurope.blogspot.com/2009/10/abbandonati-in-mare-sei-morti-gela.html</t>
  </si>
  <si>
    <t>2009-01-30T00:00:00Z</t>
  </si>
  <si>
    <t>2009 -- 1</t>
  </si>
  <si>
    <t>body found by Moroccan navy in boat sailing near the coasts of Al Hoceima (MA) (Jan 30, 2009)</t>
  </si>
  <si>
    <t>Event at Hoceima on Jan 30, 2009</t>
  </si>
  <si>
    <t>Can7/MUGAK</t>
  </si>
  <si>
    <t>2009-01-28T00:00:00Z</t>
  </si>
  <si>
    <t>drowned, shipwreck due to storm waters in Tunisi s Bay (TN) (Jan 28, 2009)</t>
  </si>
  <si>
    <t>Event at Tunis on Jan 28, 2009</t>
  </si>
  <si>
    <t>2009-01-27T00:00:00Z</t>
  </si>
  <si>
    <t>bodies washed ashore on the coasts near the town of Bodrum (TR) (Jan 27, 2009). From Del Grande's data set (translated): Found the bodies of five migrants in the waters of Bodrum (Jan 29, 2009)</t>
  </si>
  <si>
    <t>Event at Bodrum on Jan 27, 2009</t>
  </si>
  <si>
    <t>AFP/REU/NOB</t>
  </si>
  <si>
    <t>http://www.ekathimerini.com/4dcgi/_w_articles_world_2_29/01/2009_104219</t>
  </si>
  <si>
    <t>2009-01-24T00:00:00Z</t>
  </si>
  <si>
    <t>Departing from Arzew to Spain, on the night of January 3, 12 Algerian boys between 20 and 30 years are reported missing at sea (Jan 25, 2009)</t>
  </si>
  <si>
    <t>Event at Arzew on Jan 24, 2009</t>
  </si>
  <si>
    <t>Quotidien dOran</t>
  </si>
  <si>
    <t>http://www.lequotidien-oran.com/index.php?news=5114512</t>
  </si>
  <si>
    <t>2009-01-21T00:00:00Z</t>
  </si>
  <si>
    <t>died of burns and exposure after sailing by boat from Africa to Lampedusa (I) (Jan 21, 2009)</t>
  </si>
  <si>
    <t>Event at Lampedusa on Jan 21, 2009</t>
  </si>
  <si>
    <t>LR/ASCA</t>
  </si>
  <si>
    <t>2009-01-20T00:00:00Z</t>
  </si>
  <si>
    <t>reportedly frozen to death on the sailing from Libya to Lampedusa (I)  (Jan 20, 2009)</t>
  </si>
  <si>
    <t>Event at Lampedusa on Jan 20, 2009</t>
  </si>
  <si>
    <t>LR/CDS</t>
  </si>
  <si>
    <t>body found in the boat with 53 survivors on Cala Pisana s beach, Lampedusa (I) (Jan 20, 2009)</t>
  </si>
  <si>
    <t>LR/MP/AdnK/ANSA/NOB</t>
  </si>
  <si>
    <t>Landed on Lampedusa, on the beach of Cala Pisa 53 migrants. A dead aboard boat (Jan 21, 2009)</t>
  </si>
  <si>
    <t>http://www.itnews.it/news/2009/0121102401412/immigrati-sbarcati-53-clandestini-a-terra-a-lampedusa-uno-e-morto.html</t>
  </si>
  <si>
    <t>2009-01-18T00:00:00Z</t>
  </si>
  <si>
    <t>missing, after boat of 35 capsized off the coast of Tunisia on way to Italy (Jan 18, 2009). From Del Grande's data set (translated): Wreck in front of a beach in La Marsa, near Tunis. 26 lost at sea (Jan 19, 2009)</t>
  </si>
  <si>
    <t>Event at Tunis on Jan 18, 2009</t>
  </si>
  <si>
    <t>LR/FE/LPC/PICUM/APDHA/CDS/AEDH/LIDU</t>
  </si>
  <si>
    <t>http://www.repubblica.it/2009/01/sezioni/cronaca/immigrati-3/naufragio-tunisini/naufragio-tunisini.html</t>
  </si>
  <si>
    <t>frozen to death, body found under the Vittorio Emanuele Gallery in Messina (I) (Jan 18, 2009)</t>
  </si>
  <si>
    <t>messina, italy</t>
  </si>
  <si>
    <t>Event at Messina, Italy on Jan 18, 2009</t>
  </si>
  <si>
    <t>2009-01-13T00:00:00Z</t>
  </si>
  <si>
    <t>reportedly missing after the boat capsized for motor problems after leaving Kristel (DZ) (Jan 13, 2009). From Del Grande's data set (translated): Boat capsizes at sea just off the coast of Gdyel, near Oran, where she had left a little earlier. 4 missing at sea (Jan 15, 2009)</t>
  </si>
  <si>
    <t>Event at Oran on Jan 13, 2009</t>
  </si>
  <si>
    <t>QUOTI/FE</t>
  </si>
  <si>
    <t>http://www.lequotidien-oran.com/index.php?news=5113964</t>
  </si>
  <si>
    <t>2009-01-12T00:00:00Z</t>
  </si>
  <si>
    <t>drowned off Syros Island (GR), after boat carrying 19 migrants capsized  (Jan 12, 2009). From Del Grande's data set (translated): Boat capsizes at sea off the island of Syros. A child dies 18 months (Jan 13, 2009)</t>
  </si>
  <si>
    <t>syros</t>
  </si>
  <si>
    <t>Event at Syros on Jan 12, 2009</t>
  </si>
  <si>
    <t>FE/KI/NOB</t>
  </si>
  <si>
    <t>http://www.ekathimerini.com/4dcgi/_w_articles_politics_2_14/01/2009_103779</t>
  </si>
  <si>
    <t>2009-01-11T00:00:00Z</t>
  </si>
  <si>
    <t>drowned, found off Alexandroupoli (GR) when boat shipwrecked  (Jan 11, 2009)</t>
  </si>
  <si>
    <t>Event at Alexandroupoli on Jan 11, 2009</t>
  </si>
  <si>
    <t>KI</t>
  </si>
  <si>
    <t>2009-01-10T00:00:00Z</t>
  </si>
  <si>
    <t>stowaway, suffocated, found in the back of a lorry entering the Channel Tunnel (F) to GB (Jan 10, 2009)</t>
  </si>
  <si>
    <t>Event at Calais on Jan 10, 2009</t>
  </si>
  <si>
    <t>FE/Mail Online/IRR</t>
  </si>
  <si>
    <t>swine flu, died whilst staying in asylum centre in Norway, no medical care was given (Jan 10, 2009)</t>
  </si>
  <si>
    <t>Norway</t>
  </si>
  <si>
    <t>Event at Norway on Jan 10, 2009</t>
  </si>
  <si>
    <t>UNHCR/IRR</t>
  </si>
  <si>
    <t>2009-01-09T00:00:00Z</t>
  </si>
  <si>
    <t>Spills at sea off the coast of Dakar, a dugout full of migrants. 4 drown women (Jan 10, 2009)</t>
  </si>
  <si>
    <t>dakar</t>
  </si>
  <si>
    <t>Event at Dakar on Jan 09, 2009</t>
  </si>
  <si>
    <t>Iht</t>
  </si>
  <si>
    <t>http://www.iht.com/articles/ap/2009/01/10/africa/AF-Senegal-Migrants.php</t>
  </si>
  <si>
    <t>2009-01-07T00:00:00Z</t>
  </si>
  <si>
    <t>Landing the island of Alboran, in Andalusia, a dead man among the passengers (Jan 8, 2009)</t>
  </si>
  <si>
    <t>Event at Alboran, Spain on Jan 07, 2009</t>
  </si>
  <si>
    <t>http://www.elmundo.es/elmundo/2009/06/29/espana/1246265936.html</t>
  </si>
  <si>
    <t>2009-01-06T00:00:00Z</t>
  </si>
  <si>
    <t>drowned, body found 42 miles south of Cabo de Gata in Almeria (E) by Liberian ship (Jan 6, 2009)</t>
  </si>
  <si>
    <t>Event at Gata on Jan 06, 2009</t>
  </si>
  <si>
    <t>2009-01-05T00:00:00Z</t>
  </si>
  <si>
    <t>suicide after his asylum claim was rejected in asylum seeker accomodation Varmland (S) (Jan 5, 2009)</t>
  </si>
  <si>
    <t>Varmland, sweden</t>
  </si>
  <si>
    <t>Event at Varmland, Sweden on Jan 05, 2009</t>
  </si>
  <si>
    <t>2009-01-03T00:00:00Z</t>
  </si>
  <si>
    <t>drowned, reportedly 3 boats capsized on way from Libya to presumely Italy (Jan 3, 2009)</t>
  </si>
  <si>
    <t>Event at Libya on Jan 03, 2009</t>
  </si>
  <si>
    <t>VK/Zeit/MET</t>
  </si>
  <si>
    <t>2009-01-02T00:00:00Z</t>
  </si>
  <si>
    <t>died giving birth with 13 more in Oran s desert (AR) after got lost ran out of fuel and water (Jan 2, 2009)</t>
  </si>
  <si>
    <t>Event at Oran on Jan 02, 2009</t>
  </si>
  <si>
    <t>FE/NAN/NT/ODILI</t>
  </si>
  <si>
    <t>2009-01-01T00:00:00Z</t>
  </si>
  <si>
    <t>body found in boat drifting for 2 days near the coast of Motril (E) with 34 survivors (Jan 1, 2009)</t>
  </si>
  <si>
    <t>Motril, spain</t>
  </si>
  <si>
    <t>Event at Motril, Spain on Jan 01, 2009</t>
  </si>
  <si>
    <t>AFP/MAG</t>
  </si>
  <si>
    <t>2008-09-30T00:00:00Z</t>
  </si>
  <si>
    <t>3Q2008</t>
  </si>
  <si>
    <t>2008 -- 9</t>
  </si>
  <si>
    <t>murdered, swam in search of help but captain of the boat threw him overboard (I) (Sep 30, 2008)</t>
  </si>
  <si>
    <t>Africa to Italy</t>
  </si>
  <si>
    <t>Event at Africa To Italy on Sep 30, 2008</t>
  </si>
  <si>
    <t>LR/NOB</t>
  </si>
  <si>
    <t>2008-09-28T00:00:00Z</t>
  </si>
  <si>
    <t>It sinks off the coast of Latakia a boat load of migrants probably headed to Cyprus. 5 bodies recovered, at least 23 missing (Sep 29, 2008)</t>
  </si>
  <si>
    <t>Event at Latakia on Sep 28, 2008</t>
  </si>
  <si>
    <t>Kuna</t>
  </si>
  <si>
    <t>http://www.kuna.net.kw/NewsAgenciesPublicSite/ArticleDetails.aspx?id=1941134&amp;Language=en</t>
  </si>
  <si>
    <t>blown in minefield</t>
  </si>
  <si>
    <t>2008-09-26T00:00:00Z</t>
  </si>
  <si>
    <t>accidentally entered a minefield in Kastanea near Evros (GR), on the way to GR from Turkey (Sep 26, 2008)</t>
  </si>
  <si>
    <t>Event at Evros on Sep 26, 2008</t>
  </si>
  <si>
    <t>NOB/KI</t>
  </si>
  <si>
    <t>2008-09-25T00:00:00Z</t>
  </si>
  <si>
    <t>4 migrants killed by landmines in a minefield along the border with Turkey, Kastanjes, in the region of Evros (Sep 26, 2008)</t>
  </si>
  <si>
    <t>Event at Evros on Sep 25, 2008</t>
  </si>
  <si>
    <t>http://www.ekathimerini.com/4dcgi/_w_articles_politics_2_27/09/2008_100834</t>
  </si>
  <si>
    <t>2008-09-23T00:00:00Z</t>
  </si>
  <si>
    <t>21 Eritrean and Somali refugees drown in the river Atbara trying to reach the capital Khartoum (Sep 24, 2008)</t>
  </si>
  <si>
    <t>mali</t>
  </si>
  <si>
    <t>Event at Mali on Sep 23, 2008</t>
  </si>
  <si>
    <t>http://africa.reuters.com/country/ER/news/usnLO251986.html</t>
  </si>
  <si>
    <t>Wreck 30 miles south of Malta. 35 victims. Six bodies recovered (Sep 24, 2008)</t>
  </si>
  <si>
    <t>Event at Malta on Sep 23, 2008</t>
  </si>
  <si>
    <t>http://www.repubblica.it/2008/06/sezioni/cronaca/sbarchi-immigrati-1/immigrazione-malta-naufragio/immigrazione-malta-naufragio.html</t>
  </si>
  <si>
    <t>2008-09-22T00:00:00Z</t>
  </si>
  <si>
    <t>Scattered off the coast of Egypt a direct boat of 83 migrants live in Greece. She left three days ago from Damietta (Sep 23, 2008)</t>
  </si>
  <si>
    <t>Event at Egypt on Sep 22, 2008</t>
  </si>
  <si>
    <t>http://www.worldbulletin.net/news_detail.php?id=28563</t>
  </si>
  <si>
    <t>2008-09-21T00:00:00Z</t>
  </si>
  <si>
    <t>The 80 passengers of a vessel in Italian direct Egyptian launch a phone alarm, the ship is dispersed in the Mediterranean (Sep 22, 2008)</t>
  </si>
  <si>
    <t>Event at Egypt on Sep 21, 2008</t>
  </si>
  <si>
    <t>Nahda Masr</t>
  </si>
  <si>
    <t>http://docs.google.com/viewer?url=http://fortresseurope.googlegroups.com/web/RAPPORTO+EGITTO.doc?hl=it&amp;gda=O--8QEUAAAA6xOJURI9ZxmuVTIzrKY9J_Zx6o1h2tKyLtBcVaK1ONLQTHst6Yf70JwK7A7mmMStbNl8wi2yIucJk5oIH-yH0Gu1iLHeqhw4ZZRj3RjJ_-A&amp;gsc=a0gpAwsAAAD3Bhi2pdY5Nle2vhiJN4Vh</t>
  </si>
  <si>
    <t>2008-09-18T00:00:00Z</t>
  </si>
  <si>
    <t>Truckload of immigrants jumping on a mine, 40 km north of Madama, on the border with Libya. The explosion ago 4 deaths (Sep 19, 2008)</t>
  </si>
  <si>
    <t>madama</t>
  </si>
  <si>
    <t>Event at Madama on Sep 18, 2008</t>
  </si>
  <si>
    <t>Irin</t>
  </si>
  <si>
    <t>http://www.irinnews.org/report.aspx?ReportId=80835</t>
  </si>
  <si>
    <t>2008-09-11T00:00:00Z</t>
  </si>
  <si>
    <t>An Afghan boy aged 16 was found dead in a truck on the ship Ionian Quuen came this morning from the airport in Brindisi to Igoumenitsa greek (Sep 12, 2008)</t>
  </si>
  <si>
    <t>Event at Brindisi on Sep 11, 2008</t>
  </si>
  <si>
    <t>http://www.ansa.it/site/notizie/awnplus/italia/news/2008-09-12_112272053.html</t>
  </si>
  <si>
    <t>Landing in Portobalo, Syracuse, after 10 days spent adrift. The migrants said: death and thrown into the sea 13 people (Sep 12, 2008)</t>
  </si>
  <si>
    <t>portobalo</t>
  </si>
  <si>
    <t>Event at Portobalo on Sep 11, 2008</t>
  </si>
  <si>
    <t>Rai News 24</t>
  </si>
  <si>
    <t>http://www.rainews24.it/notizia.asp?newsid=85800</t>
  </si>
  <si>
    <t>2008-09-09T00:00:00Z</t>
  </si>
  <si>
    <t>Intercepted 7 miles from Falmouth Harbor with a boat of 12 meters on board the skeletons of 8 African migrants ended up drifting on the route to the Canary Islands. Unspecified number of the missing. On board a Malian passport (Sep 10, 2008)</t>
  </si>
  <si>
    <t>Event at Canary on Sep 09, 2008</t>
  </si>
  <si>
    <t>http://news.aol.com/story/_a/antigua-police-find-8-bodies-on-drifting/n20080910215609990001</t>
  </si>
  <si>
    <t>2008-09-08T00:00:00Z</t>
  </si>
  <si>
    <t>Egyptian police opened fire on a group of migrants along the Israeli border. Two deaths. At least 22 victims from the start of 2008 (Sep 9, 2008)</t>
  </si>
  <si>
    <t>Event at Sinai, Egypt on Sep 08, 2008</t>
  </si>
  <si>
    <t>http://africa.reuters.com/country/ER/news/usnL9360462.html</t>
  </si>
  <si>
    <t>He died during transport by helicopter to the hospital Mater Dei in Valletta rescued a woman on a boat 60 miles south of Malta (Sep 9, 2008)</t>
  </si>
  <si>
    <t>valletta</t>
  </si>
  <si>
    <t>Event at Valletta on Sep 08, 2008</t>
  </si>
  <si>
    <t>http://www.timesofmalta.com/articles/view/20080909/local/infants-in-critical-condition-after-migrants-boat-capsizes/</t>
  </si>
  <si>
    <t>2008-09-07T00:00:00Z</t>
  </si>
  <si>
    <t>He died at the hospital of Nuestra Seora de Guadalupe, on the Canary island of La Gomera, one of the 118 migrants landed two days ago (Sep 8, 2008)</t>
  </si>
  <si>
    <t>gomera</t>
  </si>
  <si>
    <t>Event at Gomera on Sep 07, 2008</t>
  </si>
  <si>
    <t>http://www.elpais.com/articulo/espana/inmigrante/llego/sabado/Gomera/fallece/hospital/elpepiesp/20080908elpepinac_8/Tes</t>
  </si>
  <si>
    <t>2008-09-06T00:00:00Z</t>
  </si>
  <si>
    <t>Found in the middle of the desert on the border between Western Sahara and Mauritania 16 migrants deported from Morocco. They are the survivors of a shipwreck which killed 33 people. Two people died in the desert. Other 21 were untraceable (Sep 7, 2008)</t>
  </si>
  <si>
    <t>sahara</t>
  </si>
  <si>
    <t>Event at Sahara on Sep 06, 2008</t>
  </si>
  <si>
    <t>http://www.elpais.com/articulo/espana/Estan/perdidos/medio/desierto/zona/minada/elpepuesp/20080908elpepunac_13/Tes</t>
  </si>
  <si>
    <t>2008-09-04T00:00:00Z</t>
  </si>
  <si>
    <t>Found a dead body on the beach in Saboun Oued, near Skikda, drowned on routes to Sardinia (Sep 5, 2008)</t>
  </si>
  <si>
    <t>saboun</t>
  </si>
  <si>
    <t>Event at Saboun on Sep 04, 2008</t>
  </si>
  <si>
    <t>http://www.lequotidien-oran.com/index.php?news=5108865</t>
  </si>
  <si>
    <t>Spills at sea, off the coast of Alexandria, a boat bound for Italy, drowning 3 people (Sep 5, 2008)</t>
  </si>
  <si>
    <t>Event at Alexandria on Sep 04, 2008</t>
  </si>
  <si>
    <t>Al-Massa'iya</t>
  </si>
  <si>
    <t>2008-09-03T00:00:00Z</t>
  </si>
  <si>
    <t>Rescue shipwrecked sailors adrift, five miles off the coast of Arguineguin, in the Canary Islands. On board the boat the bodies of 13 men died of starvation. Another body recovered at sea. They left 12 days ago from Mauritania (Sep 4, 2008)</t>
  </si>
  <si>
    <t>arguineguin</t>
  </si>
  <si>
    <t>Event at Arguineguin on Sep 03, 2008</t>
  </si>
  <si>
    <t>http://www.elpais.com/articulo/espana/cayuco/inmigrantes/muertos/llega/Canarias/dias/deriva/elpepiesp/20080904elpepinac_1/Tes</t>
  </si>
  <si>
    <t>5 missing off the coast of Malta. The support 85 castaways rescued by the tanker Johan Shulte, 97 miles south of the island (Sep 4, 2008)</t>
  </si>
  <si>
    <t>Event at Malta on Sep 03, 2008</t>
  </si>
  <si>
    <t>http://www.timesofmalta.com/articles/view/20080903/local/85-migrants-rescued-off-dinghy/</t>
  </si>
  <si>
    <t>2008-08-31T00:00:00Z</t>
  </si>
  <si>
    <t>2008 -- 8</t>
  </si>
  <si>
    <t>The sinking of a boat off the coast of Egypt game for Italy with 170 passengers on board. According to the story of one of the survivors of Minufiyah, the dead would have been 48 (Sep 1, 2008)</t>
  </si>
  <si>
    <t>minufiyah</t>
  </si>
  <si>
    <t>Event at Minufiyah on Aug 31, 2008</t>
  </si>
  <si>
    <t>Al-Karama</t>
  </si>
  <si>
    <t>2008-08-29T00:00:00Z</t>
  </si>
  <si>
    <t>reportedly drowned, boat capsized in stormy waters between Algeria and Sardinia (I) (Aug 29, 2008). From Del Grande's data set (translated): Sinks en route to Sardinia, off the coast of Annaba, a boat full of migrants. 14 lost at sea (Aug 30, 2008)</t>
  </si>
  <si>
    <t>Event at Annaba on Aug 29, 2008</t>
  </si>
  <si>
    <t>http://64.233.183.104/search?q=cache:pHZpBarIbBcJ:www.elkhabar.com/quotidienFrEn/%3Fida%3D121007%26idc%3D126+originated+from+Skikda+and+Annaba+provinces</t>
  </si>
  <si>
    <t>2008-08-27T00:00:00Z</t>
  </si>
  <si>
    <t>Intercepted off the coast of Dakhla boat with 51 migrants on board. Among them, the bodies of six men died of starvation during the journey (Aug 28, 2008)</t>
  </si>
  <si>
    <t>dakhla</t>
  </si>
  <si>
    <t>Event at Dakhla on Aug 27, 2008</t>
  </si>
  <si>
    <t>reportedly drowned, boat sank near Zembra off Sidi Daud (TN), on way to Italy (Aug 27, 2008). From Del Grande's data set (translated): Shipwreck in the waters of the island of Zembra, off Sidi Da'ud. 5 dead guys (Aug 28, 2008)</t>
  </si>
  <si>
    <t>zembra</t>
  </si>
  <si>
    <t>Event at Zembra on Aug 27, 2008</t>
  </si>
  <si>
    <t>NOB</t>
  </si>
  <si>
    <t>http://tunisiawatch.rsfblog.org/archive/2008/08/29/disparition-de-cinq-jeunes-tunisiens-noyes-dans-une-tentativ.html</t>
  </si>
  <si>
    <t>2008-08-25T00:00:00Z</t>
  </si>
  <si>
    <t>at least 20 bodies thrown overboard to prevent boar from sinking on the way from MA to E (Aug 25, 2008). From Del Grande's data set (translated): Semiaffondata rescued boat adrift off the island of Alborn, near Almera. According to the story of the survivors, 35 migrants, including three children, died during the crossing. Their bodies were abandoned at sea (Aug 26, 2008)</t>
  </si>
  <si>
    <t>almera</t>
  </si>
  <si>
    <t>Event at Almera on Aug 25, 2008</t>
  </si>
  <si>
    <t>SP/JW</t>
  </si>
  <si>
    <t>http://www.msnbc.msn.com/id/26406235/</t>
  </si>
  <si>
    <t>2008-08-24T00:00:00Z</t>
  </si>
  <si>
    <t>drowned, the dinghy capsized near Malta s coasts on way from Libya (Aug 24, 2008)</t>
  </si>
  <si>
    <t>Event at Malta on Aug 24, 2008</t>
  </si>
  <si>
    <t>Telegraph/MaltaIndependent/Ia/PICUM/MNS/LR/NOB/WB/jW</t>
  </si>
  <si>
    <t>2008-08-23T00:00:00Z</t>
  </si>
  <si>
    <t>The Danish merchant Stadt Goslar rescued 77 shipwrecked off the coast of Malta. One of them claims that two days before 27 people have drowned after the overthrow of a boat off Libya (Aug 24, 2008)</t>
  </si>
  <si>
    <t>Event at Malta on Aug 23, 2008</t>
  </si>
  <si>
    <t>http://www.ansa.it/site/notizie/awnplus/mondo/news/2008-08-24_124234126.html</t>
  </si>
  <si>
    <t>caught on boat in Algiers (DZ), was pushed and fell 15m onto bunker, died from injuries (Aug 23, 2008)</t>
  </si>
  <si>
    <t>Event at Algiers on Aug 23, 2008</t>
  </si>
  <si>
    <t>FE/SoirInfo</t>
  </si>
  <si>
    <t>2008-08-22T00:00:00Z</t>
  </si>
  <si>
    <t>died of dehydration in the Sahara Desert after 10 days of journey ran out of water and fuel  (Aug 22, 2008). From Del Grande's data set (translated): Found in the Algerian desert the bodies of 56 dead migrants dehydrated after losing the orientation on the slopes of Gao, Mali, and Reggane, Algeria (Aug 23, 2008)</t>
  </si>
  <si>
    <t>Event at Sahara on Aug 22, 2008</t>
  </si>
  <si>
    <t>CMG</t>
  </si>
  <si>
    <t>http://fortresseurope.googlegroups.com/web/newsalgeriadesert.jpg?gda=GapKHEcAAAA6xOJURI9ZxmuVTIzrKY9Jm4BWiZxJN7fkv58Gsqg7mH-hMh-oV9zHTTJmpzn73DjiNflBnS90ecEO3zvz3dEqeV4duv6pDMGhhhZdjQlNAw</t>
  </si>
  <si>
    <t>2008-08-20T00:00:00Z</t>
  </si>
  <si>
    <t>Thirty Afghan refugees killed and 83 injured in a road accident with a truck carrying 125 people in the southern province of Fars, in Khiareh (Aug 21, 2008)</t>
  </si>
  <si>
    <t>Fars, Iran</t>
  </si>
  <si>
    <t>Event at Fars, Iran on Aug 20, 2008</t>
  </si>
  <si>
    <t>http://www.arabtimesonline.com/client/pagesdetails.asp?nid=21218&amp;ccid=18</t>
  </si>
  <si>
    <t>died of starvation, 25 survivors, boat found after living from Moroccan Coast to Almeria (E) (Aug 20, 2008)</t>
  </si>
  <si>
    <t>Event at Almeria on Aug 20, 2008</t>
  </si>
  <si>
    <t>BBC/NYtimes/GuardianUn/PICUM/MSN/NOB</t>
  </si>
  <si>
    <t>2008-08-18T00:00:00Z</t>
  </si>
  <si>
    <t>Sudanese killed 27 years under the Egyptian police firing at the border with Israel. 20 dead so far this year (Aug 19, 2008)</t>
  </si>
  <si>
    <t>Event at Sinai, Egypt on Aug 18, 2008</t>
  </si>
  <si>
    <t>http://africa.reuters.com/country/ER/news/usnLJ537335.html</t>
  </si>
  <si>
    <t>2008-08-17T00:00:00Z</t>
  </si>
  <si>
    <t>drowned, boat capsized off Didim town (TR), 31 other Somalian rescued by TR guardcoast (Aug 17, 2008). From Del Grande's data set (translated): Boat capsizes at sea off the coast of Didimi. A dead (Aug 19, 2008)</t>
  </si>
  <si>
    <t>didim</t>
  </si>
  <si>
    <t>Event at Didim on Aug 17, 2008</t>
  </si>
  <si>
    <t>HURRIYET/NOB</t>
  </si>
  <si>
    <t>http://www.ekathimerini.com/4dcgi/_w_articles_world_2_19/08/2008_99623</t>
  </si>
  <si>
    <t>2008-08-11T00:00:00Z</t>
  </si>
  <si>
    <t>According to the story of 28 Somalis landed in Ognina, near Syracuse, in the crossing would be dead a man and a woman. Their bodies were thrown into the sea (Aug 12, 2008)</t>
  </si>
  <si>
    <t>Event at Mali on Aug 11, 2008</t>
  </si>
  <si>
    <t>http://www.stranieriinitalia.it/ansa-immigrazione_altri_sbarchi_e_racconti_di_morti_in_mare_5334.html</t>
  </si>
  <si>
    <t>2008-08-08T00:00:00Z</t>
  </si>
  <si>
    <t>missing in the mined Sahara-Mauritanian border after been abandoned by Moroccan authority (Aug 8, 2008)</t>
  </si>
  <si>
    <t>Event at Sahara on Aug 08, 2008</t>
  </si>
  <si>
    <t>PICUM/EP</t>
  </si>
  <si>
    <t>died on the way to Canary Isl. (E), survivors were found by Moroccan sea patrol (Aug 8, 2008)</t>
  </si>
  <si>
    <t>Event at Canary on Aug 08, 2008</t>
  </si>
  <si>
    <t>PICUM/EP/NOB</t>
  </si>
  <si>
    <t>died because of dangerous undeclared work</t>
  </si>
  <si>
    <t>2008-08-05T00:00:00Z</t>
  </si>
  <si>
    <t>An undocumented worker was hired by a local businessman. He died because of the lack of security on the building he was working on. The businessman was sentenced to two years in prison.</t>
  </si>
  <si>
    <t>Molenbeek-Saint-Jean</t>
  </si>
  <si>
    <t>Death of an undocumented worker in Bruxelles on 5 August 2008</t>
  </si>
  <si>
    <t>La Capitale</t>
  </si>
  <si>
    <t>2008-08-04T00:00:00Z</t>
  </si>
  <si>
    <t>Found the lifeless body of an immigrant in the Aguad, in Melilla (Aug 5, 2008)</t>
  </si>
  <si>
    <t>Event at Melilla on Aug 04, 2008</t>
  </si>
  <si>
    <t>http://www.diariosur.es/20080805/melilla/salvamento-maritimo-halla-zona-20080805.html</t>
  </si>
  <si>
    <t>2008-08-03T00:00:00Z</t>
  </si>
  <si>
    <t>missing, boat sank close to the the island M'Tsamboro off Mayotte (F) (Aug 3, 2008)</t>
  </si>
  <si>
    <t>Event at Mayotte on Aug 03, 2008</t>
  </si>
  <si>
    <t>75 Somalis scattered off the coast of Libya, after the sinking of the two boats they were traveling to Italy (Aug 4, 2008)</t>
  </si>
  <si>
    <t>Event at Mali on Aug 03, 2008</t>
  </si>
  <si>
    <t>Mareeg</t>
  </si>
  <si>
    <t>http://www.mareeg.com/fidsan.php?sid=7187&amp;tirsan=3&amp;PHPSESSID=78933fdfcad58a4f5310dc644b80701a</t>
  </si>
  <si>
    <t>Found the remains of a migrant in the waters of Rincon en las Palmas, Gran Canaria (Aug 4, 2008)</t>
  </si>
  <si>
    <t>canaria</t>
  </si>
  <si>
    <t>Event at Canaria on Aug 03, 2008</t>
  </si>
  <si>
    <t>http://www.europapress.es/islas-canarias/noticia-encuentran-medio-cuerpo-humano-flotando-aguas-rincon-palmas-gran-canaria-20080804180326.html</t>
  </si>
  <si>
    <t>2008-08-01T00:00:00Z</t>
  </si>
  <si>
    <t>Landing in Cuevas del Almanzora, Almeria. A lost at sea (Aug 2, 2008)</t>
  </si>
  <si>
    <t>Event at Almeria on Aug 01, 2008</t>
  </si>
  <si>
    <t>http://www.elpais.com/articulo/andalucia/68/detenidos/desaparecido/costas/Andalucia/Ceuta/elpepiespand/20080802elpand_2/Tes/</t>
  </si>
  <si>
    <t>Found the lifeless body of an immigrant in the waters of Calahonda, Granada (Aug 2, 2008)</t>
  </si>
  <si>
    <t>Event at Granada on Aug 01, 2008</t>
  </si>
  <si>
    <t>Ideal</t>
  </si>
  <si>
    <t>http://www.ideal.es/granada/20080802/local/costa/encuentran-parte-cadaver-nino-200808021754.html</t>
  </si>
  <si>
    <t>2008-07-30T00:00:00Z</t>
  </si>
  <si>
    <t>2008 -- 7</t>
  </si>
  <si>
    <t>drowned, bodies washed ashore during Armed Forces rescue in seas between M and LY  (Jul 30, 2008)</t>
  </si>
  <si>
    <t>Event at Libya on Jul 30, 2008</t>
  </si>
  <si>
    <t>NOB/TimesM</t>
  </si>
  <si>
    <t>Boat rescued 79 miles south of Malta from ships and Vittorin Northumberland. Recovered the bodies of two women, one was pregnant (Jul 31, 2008)</t>
  </si>
  <si>
    <t>Event at Malta on Jul 30, 2008</t>
  </si>
  <si>
    <t>http://www.timesofmalta.com/articles/view/20080731/local/pregnant-migrant-dies-during-rescue/</t>
  </si>
  <si>
    <t>drowned, shipwreck on way to Spanish coasts due to stormy waters  (Jul 30, 2008)</t>
  </si>
  <si>
    <t>Spanish coast</t>
  </si>
  <si>
    <t>Event at Spanish Coast on Jul 30, 2008</t>
  </si>
  <si>
    <t>Ua/Raz/Mugak</t>
  </si>
  <si>
    <t>2008-07-29T00:00:00Z</t>
  </si>
  <si>
    <t>stowaways, suffocated in overcrowded truck, bodies dumped in Istanbul field (TR) (Jul 29, 2008). From Del Grande's data set (translated): Found on the sides of a street in the neighborhood Kckcekmece in Istanbul, the bodies of 13 migrants died of suffocation in the truck where were hidden, with a group of 140 people from the city of Van (Jul 31, 2008)</t>
  </si>
  <si>
    <t>istanbul</t>
  </si>
  <si>
    <t>Event at Istanbul on Jul 29, 2008</t>
  </si>
  <si>
    <t>http://www.turkishdailynews.com.tr/article.php?enewsid=111302</t>
  </si>
  <si>
    <t>2008-07-28T00:00:00Z</t>
  </si>
  <si>
    <t>drowned, after shipwreck near Lampedusa (I) (Jul 28, 2008). From Del Grande's data set (translated): Sinking vessel 150 miles south east of Lampedusa, 7 missing. The survivors rescued by Italian fishing boat Aries and Victoria (Jul 29, 2008)</t>
  </si>
  <si>
    <t>Event at Lampedusa on Jul 28, 2008</t>
  </si>
  <si>
    <t>Picum/LR/NOB</t>
  </si>
  <si>
    <t>http://www.repubblica.it/2008/06/sezioni/cronaca/sbarchi-immigrati-1/naufragio-29lug/naufragio-29lug.html</t>
  </si>
  <si>
    <t>According to the story of the survivors, 38 men would be scattered between Algeria and Sardinia, after the two boats on which they were traveling capsized in stormy sea (Jul 29, 2008)</t>
  </si>
  <si>
    <t>Event at Sardinia on Jul 28, 2008</t>
  </si>
  <si>
    <t>http://fortresseurope.blogspot.com/2006/01/sardegna-38-dispersi-al-largo-delle.html</t>
  </si>
  <si>
    <t>2008-07-24T00:00:00Z</t>
  </si>
  <si>
    <t>manner of death unknown, body found in boat carrying 79 migrants in La Gomera Island (E) (Jul 24, 2008). From Del Grande's data set (translated): A dead among the passengers aboard a cayuco landed in Alajer, to the Canary Islands (Jul 25, 2008)</t>
  </si>
  <si>
    <t>Event at Gomera on Jul 24, 2008</t>
  </si>
  <si>
    <t>NOB/MAC</t>
  </si>
  <si>
    <t>http://www.elpais.com/articulo/espana/muerto/inmigrantes/llegaron/cayuco/Gomera/elpepuesp/20080725elpepunac_4/Tes</t>
  </si>
  <si>
    <t>2008-07-22T00:00:00Z</t>
  </si>
  <si>
    <t>reportedly drowned, 6 dead, 18 missing, boat sank between Mayotte (F) and Comoros Isl.   (Jul 22, 2008). From Del Grande's data set (translated): Shipwreck off the coast of the French island of Mayotte, in the Indian Ocean. At least 6 dead, many missing (Jul 23, 2008)</t>
  </si>
  <si>
    <t>Event at Mayotte on Jul 22, 2008</t>
  </si>
  <si>
    <t>NOB/France24</t>
  </si>
  <si>
    <t>Found on the coast of Algarrobo, near Malaga, the remains of a four year old boy, drowned en route to the Andalusian coast (Jul 23, 2008)</t>
  </si>
  <si>
    <t>Event at Malaga on Jul 22, 2008</t>
  </si>
  <si>
    <t>http://www.elpais.com/articulo/andalucia/Hallado/cadaver/inmigrante/anos/elpepiespand/20080723elpand_4/Tes</t>
  </si>
  <si>
    <t>stabbed, by gang attacking migrant camp in Norrent-Fontes, near Calais (F) (Jul 22, 2008). From Del Grande's data set (translated): Eritrean Direct in England killed at a rest stop dell'A26 Cottes in Saint Hilaire, near Pas de Calais, the victim of a beating of his passeurs (Jul 23, 2008)</t>
  </si>
  <si>
    <t>Event at Calais on Jul 22, 2008</t>
  </si>
  <si>
    <t>Terred errance</t>
  </si>
  <si>
    <t>http://www.nordeclair.fr/journal/NE/2008/07/24/REGION/ART360067.phtml</t>
  </si>
  <si>
    <t>2008-07-21T00:00:00Z</t>
  </si>
  <si>
    <t>found in an advanced state of decomposition on the river Algarrobo, Malaga (E)  (Jul 21, 2008)</t>
  </si>
  <si>
    <t>Event at Malaga on Jul 21, 2008</t>
  </si>
  <si>
    <t>EP/NOB</t>
  </si>
  <si>
    <t>2008-07-19T00:00:00Z</t>
  </si>
  <si>
    <t>Egyptian police kill Sudanese migrant at the border with Israel. Already 17 victims from the start of 2008 (Jul 20, 2008)</t>
  </si>
  <si>
    <t>Event at Sinai, Egypt on Jul 19, 2008</t>
  </si>
  <si>
    <t>http://www.alertnet.org/thenews/newsdesk/L20601975.htm</t>
  </si>
  <si>
    <t>died of starvation, body thrown overboard during the way to Italy   (Jul 19, 2008). From Del Grande's data set (translated): Died during the crossing of the Strait of Sicily two children aged two and four years. The bodies dumped at sea (Jul 27, 2008)</t>
  </si>
  <si>
    <t>Event at Sicily on Jul 19, 2008</t>
  </si>
  <si>
    <t>Reu</t>
  </si>
  <si>
    <t>http://www.corriere.it/cronache/08_luglio_26/clandestini_morti_due_bambini_Lampedusa_sbarchi_67ab1f58-5b36-11dd-95e7-00144f02aabc.shtml</t>
  </si>
  <si>
    <t>2008-07-18T00:00:00Z</t>
  </si>
  <si>
    <t>died of starvation, body thrown overboard during the way to Italy   (Jul 18, 2008). From Del Grande's data set (translated): Died during the crossing of the Strait of Sicily two children aged two and four years. The bodies dumped at sea (Jul 27, 2008)</t>
  </si>
  <si>
    <t>Event at Sicily on Jul 18, 2008</t>
  </si>
  <si>
    <t>Reu/Picum</t>
  </si>
  <si>
    <t>2008-07-17T00:00:00Z</t>
  </si>
  <si>
    <t>manner of death unknown, decomposed body recovered from the sea off Malta (Jul 17, 2008). From Del Grande's data set (translated): Recovered off the coast of the corpse of an immigrant (Jul 18, 2008)</t>
  </si>
  <si>
    <t>Event at Malta on Jul 17, 2008</t>
  </si>
  <si>
    <t>TimesM/NOB</t>
  </si>
  <si>
    <t>http://www.timesofmalta.com/articles/view/20080718/local/migrants-arrested-at-delimara-corpse-found/</t>
  </si>
  <si>
    <t>2008-07-15T00:00:00Z</t>
  </si>
  <si>
    <t>suicide, cut wrists in Nuremburg(D) prison cell, was to be deported/separated from parents (Jul 15, 2008)</t>
  </si>
  <si>
    <t>Event at Nuremburg on Jul 15, 2008</t>
  </si>
  <si>
    <t>2008-07-13T00:00:00Z</t>
  </si>
  <si>
    <t>Ahmed Hamad Al-Nassar and Abdul Mohammed Monsef, two boys in the region of Minufiyah, were lost at sea for the past five years, on the route between Libya and Italy (Jul 14, 2008)</t>
  </si>
  <si>
    <t>Event at Minufiyah on Jul 13, 2008</t>
  </si>
  <si>
    <t>drowned, 3 died, 25 missing, as boat capsized in stormy seas near Lampedusa (I) (Jul 13, 2008). From Del Grande's data set (translated): Three dead and 30 missing, 75 miles southeast of Lampedusa, after the overthrow of an inflatable boat with 76 passengers on board (Jul 14, 2008)</t>
  </si>
  <si>
    <t>Event at Lampedusa on Jul 13, 2008</t>
  </si>
  <si>
    <t>NOB/ItalyMAG/VK</t>
  </si>
  <si>
    <t>http://www.repubblica.it/2008/06/sezioni/cronaca/sbarchi-immigrati-1/gommone-lampedusa/gommone-lampedusa.html</t>
  </si>
  <si>
    <t>road accident, found on highway at Transmarck (F), where stowaways often embark for GB (Jul 13, 2008). From Del Grande's data set (translated): Dead man hit by a truck on the A16, at the height of Transmarck, near Calais, where he was to pass the border illegally with England (Jul 15, 2008)</t>
  </si>
  <si>
    <t>Event at Calais on Jul 13, 2008</t>
  </si>
  <si>
    <t>Libelille</t>
  </si>
  <si>
    <t>http://www.leparisien.fr/home/info/faitsdivers/articles/UN-CLANDESTIN-TUE-PAR-UN-CAMION-SUR-UNE-BRETELLE-DE-L-A16-PRES-DE-CALAIS_298627584</t>
  </si>
  <si>
    <t>starved or died from dehydration</t>
  </si>
  <si>
    <t>2008-07-12T00:00:00Z</t>
  </si>
  <si>
    <t>Deaths rescued two survivors of the dugout on July 11, in the Canary Islands. They were hospitalized in critical condition. According to the statements of the passengers, the bodies of 11 other people were marooned in the sea for several days spent adrift without food or water (Jul 13, 2008)</t>
  </si>
  <si>
    <t>Event at Canary on Jul 12, 2008</t>
  </si>
  <si>
    <t>Gara</t>
  </si>
  <si>
    <t>http://www.gara.net/paperezkoa/20080713/86649/es/Fallecen-otros-dos-inmigrantes-que-llegaron-La-Gomera</t>
  </si>
  <si>
    <t>2008-07-11T00:00:00Z</t>
  </si>
  <si>
    <t>Oweid Ahmed Salim, an Egyptian, who was killed by the gunfire of the border police as he helped a group of 30 migrants to enter illegally into Israel from Sinai (Jul 12, 2008)</t>
  </si>
  <si>
    <t>Event at Sinai, Egypt on Jul 11, 2008</t>
  </si>
  <si>
    <t>http://africa.reuters.com/country/ER/news/usnL12457914.html</t>
  </si>
  <si>
    <t>body found in a boat rescued by the Spanish authorities near Arguineguin, Canary Isl. (E) (Jul 11, 2008)</t>
  </si>
  <si>
    <t>Event at Arguineguin on Jul 11, 2008</t>
  </si>
  <si>
    <t>Publico/NOB</t>
  </si>
  <si>
    <t>2008-07-10T00:00:00Z</t>
  </si>
  <si>
    <t>Rescued boat adrift off the coast of La Gomera, in the Canary Islands. On board found the bodies of four people (Jul 11, 2008)</t>
  </si>
  <si>
    <t>Event at Gomera on Jul 10, 2008</t>
  </si>
  <si>
    <t>http://www.elpais.com/articulo/espana/inmigrantes/muertos/cayuco/llegado/costas/canarias/elpepuesp/20080711elpepunac_11/Tes</t>
  </si>
  <si>
    <t>2008-07-09T00:00:00Z</t>
  </si>
  <si>
    <t>drowned, boat capsized due to stormy waters in Kenitra (MA) (Jul 9, 2008)</t>
  </si>
  <si>
    <t>kenitra</t>
  </si>
  <si>
    <t>Event at Kenitra on Jul 09, 2008</t>
  </si>
  <si>
    <t>MNS/NOB</t>
  </si>
  <si>
    <t>Boat capsizes off the coast of Malta, three women die, one of them pregnant (Jul 10, 2008)</t>
  </si>
  <si>
    <t>Event at Malta on Jul 09, 2008</t>
  </si>
  <si>
    <t>http://www.timesofmalta.com/articles/view/20080711/local/three-dead-three-babies-among-180-immigrants</t>
  </si>
  <si>
    <t>2008-07-08T00:00:00Z</t>
  </si>
  <si>
    <t>heart attack in hospital, he arrived by boat in La Gomera (E) with other 117 migrants (Jul 8, 2008)</t>
  </si>
  <si>
    <t>Event at Gomera on Jul 08, 2008</t>
  </si>
  <si>
    <t>NOB/EP</t>
  </si>
  <si>
    <t>Advised by the Dawn Treader Telefnica Negra, the Civil Guard rescues a boat adrift from 5 days, 27 miles south of Punta Sabinal, west of Almeria. Survivors speak of 14 dead including 9 children, whose bodies were abandoned at sea. Another woman died before arrival at the port. Four people are hospitalized in critical condition (Jul 9, 2008)</t>
  </si>
  <si>
    <t>Event at Punta on Jul 08, 2008</t>
  </si>
  <si>
    <t>http://www.elpais.com/articulo/espana/Desaparecen/papeles/volcar/patera/90/kilometros/Granada/elpepiesp/20080708elpepinac_6/Tes</t>
  </si>
  <si>
    <t>2008-07-06T00:00:00Z</t>
  </si>
  <si>
    <t>drowned after their vessel turned over off the coast of Motril, Granada (E) (Jul 6, 2008). From Del Grande's data set (translated): It overturns a boat with 37 passengers during the rescue operations 50 miles off the coast of Motril, Granada. 14 missing, including four women and a child (Jul 7, 2008)</t>
  </si>
  <si>
    <t>Event at Granada on Jul 06, 2008</t>
  </si>
  <si>
    <t>MNS/EP/PICUM/NOB</t>
  </si>
  <si>
    <t>2008-07-05T00:00:00Z</t>
  </si>
  <si>
    <t>15 Somalis dead dehydrated in the Libyan desert on the border with Sudan, were stuck for ten days after an engine failure the machine (Jul 6, 2008)</t>
  </si>
  <si>
    <t>Event at Libyan on Jul 05, 2008</t>
  </si>
  <si>
    <t>Tripoli Post</t>
  </si>
  <si>
    <t>http://www.tripolipost.com/articledetail.asp?c=1&amp;i=2080&amp;archive=1</t>
  </si>
  <si>
    <t>drowned after boat sunk in the Mediterranean Sea near Tunisia (Jul 5, 2008)</t>
  </si>
  <si>
    <t>Event at Tunis on Jul 05, 2008</t>
  </si>
  <si>
    <t>CDS/Giornale/Stampa/LR/SD/PICUM/NOB/NOB</t>
  </si>
  <si>
    <t>2008-07-03T00:00:00Z</t>
  </si>
  <si>
    <t>drowned, coast guard found 11, 5 still missing in Arzew s coast (DZ) (Jul 3, 2008)</t>
  </si>
  <si>
    <t>Event at Arzew on Jul 03, 2008</t>
  </si>
  <si>
    <t>KH/FE/NOB</t>
  </si>
  <si>
    <t>Found an Iraqi who died in the hold of the ferry greek Icarus parked at the port of Venice. It is the third victim in two weeks in the port (Jul 4, 2008)</t>
  </si>
  <si>
    <t>Event at Venice on Jul 03, 2008</t>
  </si>
  <si>
    <t>http://it.reuters.com/article/topNews/idITROS43813420080704</t>
  </si>
  <si>
    <t>2008-06-29T00:00:00Z</t>
  </si>
  <si>
    <t>2Q2008</t>
  </si>
  <si>
    <t>2008 -- 6</t>
  </si>
  <si>
    <t>Found a body in an advanced state of decomposition off Zonqor Point to the south of the island (Jun 30, 2008)</t>
  </si>
  <si>
    <t>Zonqor Point</t>
  </si>
  <si>
    <t>Event at Zonqor Point on Jun 29, 2008</t>
  </si>
  <si>
    <t>2008-06-28T00:00:00Z</t>
  </si>
  <si>
    <t>no medical care despite his friends called guards for help, died in det. cr. of Caltanisetta (I) (Jun 28, 2008)</t>
  </si>
  <si>
    <t>Caltanisetta</t>
  </si>
  <si>
    <t>Event at Caltanisetta on Jun 28, 2008</t>
  </si>
  <si>
    <t>PICUM/TL</t>
  </si>
  <si>
    <t>2008-06-27T00:00:00Z</t>
  </si>
  <si>
    <t>Egyptian police opened fire on a group of migrants along the Israeli border south of Rafah. Killed two people, including a seven year old girl (Jun 28, 2008)</t>
  </si>
  <si>
    <t>rafah</t>
  </si>
  <si>
    <t>Event at Rafah on Jun 27, 2008</t>
  </si>
  <si>
    <t>http://africa.reuters.com/country/EG/news/usnL28733537.html</t>
  </si>
  <si>
    <t>2008-06-26T00:00:00Z</t>
  </si>
  <si>
    <t>stowaway, suffocated in a cucumber truck, found on ferry in Venice (I) coming from Greece (Jun 26, 2008). From Del Grande's data set (translated): Found the lifeless body of an Iraqi in a truckload of watermelons, on a ferry from Greece and party arrived in Venice (Jun 28, 2008)</t>
  </si>
  <si>
    <t>Event at Venice on Jun 26, 2008</t>
  </si>
  <si>
    <t>NOB/UNSarda</t>
  </si>
  <si>
    <t>http://www.gazzettino.it/VisualizzaArticolo.php3?Luogo=Venezia&amp;Codice=3835394&amp;Data=2008-6-28&amp;Pagina=2</t>
  </si>
  <si>
    <t>2008-06-25T00:00:00Z</t>
  </si>
  <si>
    <t>reportedly drowned, boat shipwrecked 32 miles south off Malta (Jun 25, 2008). From Del Grande's data set (translated): Wreck 32 miles south of Malta. Three dead (Jun 26, 2008)</t>
  </si>
  <si>
    <t>Event at Malta on Jun 25, 2008</t>
  </si>
  <si>
    <t>http://www.skylife.it/videoTg24Single/74198</t>
  </si>
  <si>
    <t>2008-06-21T00:00:00Z</t>
  </si>
  <si>
    <t>Spills at sea, off the coast of Kafr Al-Sheikh, on the delta of the Nile, a boat bound for Italy with nine passengers on board. A drowned (Jun 22, 2008)</t>
  </si>
  <si>
    <t>Event at Kafr on Jun 21, 2008</t>
  </si>
  <si>
    <t>Al-Masry Al-Yawm</t>
  </si>
  <si>
    <t>stowaway, died of starvation in a lorry sailing on a ferry from Patrasso (GR) to Venice (I) (Jun 21, 2008). From Del Grande's data set (translated): Man found dead in a container in the port of Venice from Igoumenitsa in Greece (Jun 22, 2008)</t>
  </si>
  <si>
    <t>Event at Venice on Jun 21, 2008</t>
  </si>
  <si>
    <t>CDS/LR/NOB</t>
  </si>
  <si>
    <t>http://www.repubblica.it/2008/02/sezioni/cronaca/sbarchi-immigrati/trovato-morto/trovato-morto.html</t>
  </si>
  <si>
    <t>2008-06-20T00:00:00Z</t>
  </si>
  <si>
    <t>Found a dead body on the beach in Chateau Vert, in Skikda, Annaba near drowned on routes to Sardinia (Jun 21, 2008)</t>
  </si>
  <si>
    <t>Event at Annaba on Jun 20, 2008</t>
  </si>
  <si>
    <t>http://www.elwatan.com/Skikda-en-bref</t>
  </si>
  <si>
    <t>died of heart attack in Det. Cr. Vincennes (F) after calls for assistance were ignored for 2 h. (Jun 20, 2008)</t>
  </si>
  <si>
    <t>vincennes, france</t>
  </si>
  <si>
    <t>Event at Vincennes, France on Jun 20, 2008</t>
  </si>
  <si>
    <t>Mrap/IRR/BTB/Lib‚àö√†ration</t>
  </si>
  <si>
    <t>2008-06-18T00:00:00Z</t>
  </si>
  <si>
    <t>Egyptian police shot and killed a man along the border with Israel. Since the beginning of 2008 at least 14 people were killed along the border of Sinai (Jun 19, 2008)</t>
  </si>
  <si>
    <t>Event at Sinai, Egypt on Jun 18, 2008</t>
  </si>
  <si>
    <t>http://africa.reuters.com/country/ER/news/usnL19206316.html</t>
  </si>
  <si>
    <t>died of suddent infant death</t>
  </si>
  <si>
    <t>According to Antonio Sardo, the captain of the fishing boat Gamber, one of the rescued women gave birth to a child who died during the crossing (Jun 19, 2008)</t>
  </si>
  <si>
    <t>Event at Malta on Jun 18, 2008</t>
  </si>
  <si>
    <t>Il Tempo</t>
  </si>
  <si>
    <t>http://iltempo.ilsole24ore.com/interni_esteri/2008/06/21/893521-donna_aveva_partorito_neonato_morto.shtml</t>
  </si>
  <si>
    <t>The Italian fishing boat "Shrimp" rescues 25 other castaways 52 miles south of Malta. A dispersed (Jun 19, 2008)</t>
  </si>
  <si>
    <t>http://palermo.repubblica.it/notizie-dal-web/dettaglio/Ancora-un-naufragio-nel-canale-di-Sicilia-Disperso-un-immigrato/19779329</t>
  </si>
  <si>
    <t>2008-06-17T00:00:00Z</t>
  </si>
  <si>
    <t>died in hospital in Tenerife Island (E) the day after their boat arrived, 78 survivors (Jun 17, 2008). From Del Grande's data set (translated): 4 migrants landed three days ago died at the hospital in the Canary Islands and La Candelaria University Hospital of Tenerife where they were hospitalized (Jun 20, 2008)</t>
  </si>
  <si>
    <t>Event at Tenerife on Jun 17, 2008</t>
  </si>
  <si>
    <t>NOB/Diario de Navarra</t>
  </si>
  <si>
    <t>http://www.noticiasdenavarra.com/ediciones/2008/06/20/sociedad/espana-mundo/d20esp16.1283549.php</t>
  </si>
  <si>
    <t>2008-06-16T00:00:00Z</t>
  </si>
  <si>
    <t>Repatriated to Egypt, Mr. Mustafa Hassanin tells of a ship intercepted in the Strait of Sicily by a Tunisian military ship and rejected in Libyan waters. During the crossing, a boy drowned after slipping into the water (Jun 17, 2008)</t>
  </si>
  <si>
    <t>Event at Tunis on Jun 16, 2008</t>
  </si>
  <si>
    <t>Al-Badil</t>
  </si>
  <si>
    <t>Fished out a dead body in an advanced state of decomposition 10 miles off the coast of Ras El Hamra, on the route between Annaba and Sardinia (Jun 17, 2008)</t>
  </si>
  <si>
    <t>Event at Annaba on Jun 16, 2008</t>
  </si>
  <si>
    <t>http://www.elwatan.com/Ras-El-Hamra-Annaba-Le-corps-d-un</t>
  </si>
  <si>
    <t>2008-06-14T00:00:00Z</t>
  </si>
  <si>
    <t>drowned, boat sank 50 km south of Malta, 28 survivors rescued by Italian fishing boat (Jun 14, 2008). From Del Grande's data set (translated): Italian fishing boat rescued by Gambero 28 Somalis cling to cages for the tuna fishing after sinking 55 miles south of Malta. Are you missing including some children (Jun 15, 2008)</t>
  </si>
  <si>
    <t>Event at Malta on Jun 14, 2008</t>
  </si>
  <si>
    <t>http://www.repubblica.it/2008/02/sezioni/cronaca/sbarchi-immigrati/barcone-malta/barcone-malta.html</t>
  </si>
  <si>
    <t>dead at birth due to travel hardships, mother was rescued from shipwreck 50 km from Malta (Jun 14, 2008)</t>
  </si>
  <si>
    <t>NOB/TEMPO</t>
  </si>
  <si>
    <t>2008-06-13T00:00:00Z</t>
  </si>
  <si>
    <t>Found a body in an advanced state of decomposition near Marsaxlokk (Jun 14, 2008)</t>
  </si>
  <si>
    <t>Marsaxlokk, malta</t>
  </si>
  <si>
    <t>Event at Marsaxlokk, Malta on Jun 13, 2008</t>
  </si>
  <si>
    <t>http://www.timesofmalta.com/articles/view/20080614/local/corpse-found-at-sea/</t>
  </si>
  <si>
    <t>2008-06-11T00:00:00Z</t>
  </si>
  <si>
    <t>drowned, dinghy sank trying to cross the sea between TR and Samos Island (GR) (Jun 11, 2008)</t>
  </si>
  <si>
    <t>Event at Samos on Jun 11, 2008</t>
  </si>
  <si>
    <t>EarthT/PICUM/NOB</t>
  </si>
  <si>
    <t>drowned after dinghy sank off Ayvalik (TR), bodies were pulled from the water, 23 survivors (Jun 11, 2008)</t>
  </si>
  <si>
    <t>ayvalik</t>
  </si>
  <si>
    <t>Event at Ayvalik on Jun 11, 2008</t>
  </si>
  <si>
    <t>KI/FE/PICUM/NOB</t>
  </si>
  <si>
    <t>A Somali citizen, named Adam Terry, dies killed by a shot of a firearm during a protest erupted in KIrklareli detention camp near the border with Bulgaria and Greece (Jun 12, 2008)</t>
  </si>
  <si>
    <t>kirklareli</t>
  </si>
  <si>
    <t>Event at Kirklareli on Jun 11, 2008</t>
  </si>
  <si>
    <t>Anatolie</t>
  </si>
  <si>
    <t>http://www.romandie.com/infos/news2/080612135316.m9lks2kc.asp</t>
  </si>
  <si>
    <t>2008-06-10T00:00:00Z</t>
  </si>
  <si>
    <t>Shipwreck off the coast of Egypt, on its way to Greece. Needless to the alarm of one of the passengers, Mohammed Hassan Al-Shaikh. 51 people drown (Jun 11, 2008)</t>
  </si>
  <si>
    <t>Event at Egypt on Jun 10, 2008</t>
  </si>
  <si>
    <t>A body recovered from the Italian Coast Guard patrol boat Fiorillo 54 miles south of the island (Jun 11, 2008)</t>
  </si>
  <si>
    <t>Event at Malta on Jun 10, 2008</t>
  </si>
  <si>
    <t>http://www.stranieriinitalia.it/ansa-immigrazione_recuperato_cadavere_al_largo_di_malta_4336.html</t>
  </si>
  <si>
    <t>2008-06-09T00:00:00Z</t>
  </si>
  <si>
    <t>Is reversed in an accident in Dogubayazit, in eastern Turkey, a truckload of migrants. 2 dead (Jun 10, 2008)</t>
  </si>
  <si>
    <t>dogubayazit</t>
  </si>
  <si>
    <t>Event at Dogubayazit on Jun 09, 2008</t>
  </si>
  <si>
    <t>Haber</t>
  </si>
  <si>
    <t>http://haber.turk.net/haber_detay.asp?ID=2048979&amp;cat=ENG</t>
  </si>
  <si>
    <t>drowned, found between Evros River delta and Alexandroupolis port (GR) by fishing boat (Jun 9, 2008)</t>
  </si>
  <si>
    <t>Event at Evros on Jun 09, 2008</t>
  </si>
  <si>
    <t>2008-06-08T00:00:00Z</t>
  </si>
  <si>
    <t>killed by car bomb in Kirkuk (Iraq) 2 weeks after voluntary repatriation from GB (Jun 8, 2008)</t>
  </si>
  <si>
    <t>kirkuk</t>
  </si>
  <si>
    <t>Event at Kirkuk on Jun 08, 2008</t>
  </si>
  <si>
    <t>2008-06-06T05:00:00Z</t>
  </si>
  <si>
    <t>jumped out of window when asylum-seeker centre set on fire in Klangenfurt, Carinthia (A) (Dec 5, 2008)</t>
  </si>
  <si>
    <t>Klangenfurt, austria</t>
  </si>
  <si>
    <t>Event at Klangenfurt, Austria on Dec 05, 2008</t>
  </si>
  <si>
    <t>Falter</t>
  </si>
  <si>
    <t>2008-06-06T00:00:00Z</t>
  </si>
  <si>
    <t>Shipwreck off Zuwarah. Recovered 40 bodies. At least 100 missing. Only one survivor (Jun 7, 2008)</t>
  </si>
  <si>
    <t>Zuwarah</t>
  </si>
  <si>
    <t>Event at Zuwarah on Jun 06, 2008</t>
  </si>
  <si>
    <t>http://www.repubblica.it/2008/02/sezioni/cronaca/sbarchi-immigrati/nuovi-sbarchi/nuovi-sbarchi.html</t>
  </si>
  <si>
    <t>Recovered a second body on the island of Linosa. Another body was fished out two miles south of Lampedusa (Jun 7, 2008)</t>
  </si>
  <si>
    <t>Event at Lampedusa on Jun 06, 2008</t>
  </si>
  <si>
    <t>2008-06-05T00:00:00Z</t>
  </si>
  <si>
    <t>Shipwreck off the coast of Libya. Recovered 13 bodies. Three of the bodies are in an advanced state of decomposition and may therefore belong to a second shipwreck, but for which you do not have any news (Jun 6, 2008)</t>
  </si>
  <si>
    <t>Event at Libya on Jun 05, 2008</t>
  </si>
  <si>
    <t>http://www.repubblica.it/2008/06/sezioni/cronaca/naufragio-6giu/naufragio-6giu/naufragio-6giu.html</t>
  </si>
  <si>
    <t>Discovered a dead body on the rocks of Linosa, the smallest of the Pelagie Islands (Jun 6, 2008)</t>
  </si>
  <si>
    <t>Event at Linosa on Jun 05, 2008</t>
  </si>
  <si>
    <t>2008-06-03T00:00:00Z</t>
  </si>
  <si>
    <t>drowned, 13 found, 3 missing, vessel sunk after leaving from Mers el Hedjadj beach (DZ)  (Jun 3, 2008)</t>
  </si>
  <si>
    <t>Mers el Hedjadj, algeria</t>
  </si>
  <si>
    <t>Event at Mers El Hedjadj, Algeria on Jun 03, 2008</t>
  </si>
  <si>
    <t>MNS/Picum/FE</t>
  </si>
  <si>
    <t>2008-06-01T00:00:00Z</t>
  </si>
  <si>
    <t>Fished out the body of a woman 36 miles southwest of Agrigento. This is the eighth lifeless body was found in the last three days between Agrigento and Lampedusa (Jun 2, 2008)</t>
  </si>
  <si>
    <t>Event at Lampedusa on Jun 01, 2008</t>
  </si>
  <si>
    <t>Found the lifeless body of a woman on the beach of Cala Maluk, in Lampedusa (Jun 2, 2008)</t>
  </si>
  <si>
    <t>http://www.adnkronos.com/IGN/Cronaca/?id=1.0.2218210842</t>
  </si>
  <si>
    <t>stowaway, hanging on underside of touristic bus was crushed from bus  weels in Spain (Jun 1, 2008)</t>
  </si>
  <si>
    <t>Event at Spain on Jun 01, 2008</t>
  </si>
  <si>
    <t>AP/MUGAK/SUR</t>
  </si>
  <si>
    <t>died in hospital of heart condition as social workers attempted to clarify immigration status (Jun 1, 2008)</t>
  </si>
  <si>
    <t>Event at Great Britain on Jun 01, 2008</t>
  </si>
  <si>
    <t>2008-05-31T00:00:00Z</t>
  </si>
  <si>
    <t>2008 -- 5</t>
  </si>
  <si>
    <t>A corpse fished out 300 meters from Punta Sottile, in Lampedusa. The lifeless body of another castaway, in an advanced state of decomposition, was located 14 miles from the coast, while in the late evening of Friday, another body was recovered off the coast of Lampedusa (Jun 1, 2008)</t>
  </si>
  <si>
    <t>Event at Punta on May 31, 2008</t>
  </si>
  <si>
    <t>http://www.adnkronos.com/IGN/Cronaca/?id=1.0.2216752396</t>
  </si>
  <si>
    <t>2008-05-30T00:00:00Z</t>
  </si>
  <si>
    <t>A corpse recovered a mile east of Lampedusa, after reporting to a boater (May 31, 2008)</t>
  </si>
  <si>
    <t>Event at Lampedusa on May 30, 2008</t>
  </si>
  <si>
    <t>http://www.agenziami.it/ultime/3762/Immigrazione+cadavere+recuperato+im+mare/</t>
  </si>
  <si>
    <t>2008-05-28T00:00:00Z</t>
  </si>
  <si>
    <t>The body of a man, in an advanced state of decomposition, was found in Castelvetrano (Trapani) on the beach of the nature reserve at the mouth of the river Belice (May 29, 2008)</t>
  </si>
  <si>
    <t>trapani</t>
  </si>
  <si>
    <t>Event at Trapani on May 28, 2008</t>
  </si>
  <si>
    <t>http://www.siciliainformazioni.com/giornale/cronaca/sicilia/19452/trovato-cadavere-spiaggia-trapanese-forse-immigrato.htm?a=comment</t>
  </si>
  <si>
    <t>2008-05-27T00:00:00Z</t>
  </si>
  <si>
    <t>A man dies trying to get invested in the Greek island, at Larnaca (May 28, 2008)</t>
  </si>
  <si>
    <t>Larnaca</t>
  </si>
  <si>
    <t>Event at Larnaca on May 27, 2008</t>
  </si>
  <si>
    <t>Turkish Daily News</t>
  </si>
  <si>
    <t>http://www.turkishdailynews.com.tr/article.php?enewsid=105733</t>
  </si>
  <si>
    <t>2008-05-25T00:00:00Z</t>
  </si>
  <si>
    <t>Intercepted a boat one mile from San Bartolome de Tirajana (Gran Canaria}. Aboard two deaths. A third person hospitalized in serious condition at the Hospital Insular, dies soon after (May 26, 2008)</t>
  </si>
  <si>
    <t>tirajana</t>
  </si>
  <si>
    <t>Event at Tirajana on May 25, 2008</t>
  </si>
  <si>
    <t>http://www.abc.es/20080526/nacional-sucesos/tres-muertos-cuando-intentaban_200805260259.html</t>
  </si>
  <si>
    <t>stowaways, died of suffocation while traveling by boat from the port of Sfax (TN) (May 25, 2008). From Del Grande's data set (translated): Hidden on the Russian cargo ship Pascal, sailed 12 days ago with a cargo of phosphates from Sfax, Tunisia, two men are found dead in the port of Ayr (May 28, 2008)</t>
  </si>
  <si>
    <t>sfax</t>
  </si>
  <si>
    <t>Event at Sfax on May 25, 2008</t>
  </si>
  <si>
    <t>Sh/NOB/IRR</t>
  </si>
  <si>
    <t>http://www.guardian.co.uk/uk/2008/may/27/scotland</t>
  </si>
  <si>
    <t>reportedly drowned, boat capsized in rough seas 85 miles south east of Malta, 13 survivors  (May 25, 2008)</t>
  </si>
  <si>
    <t>Event at Malta on May 25, 2008</t>
  </si>
  <si>
    <t>The Italian fishing boat rescued at sea Pegasus 13 castaways. 5 others are reported missing (May 26, 2008)</t>
  </si>
  <si>
    <t>http://www.timesofmalta.com/articles/view/20080526/local/13-migrants-rescued-five-believed-drowned/</t>
  </si>
  <si>
    <t>2008-05-24T00:00:00Z</t>
  </si>
  <si>
    <t>died of dehydration 1mile off Grand Canaria (E), 2 died in boat, 1 in hospital (E), 65 survived  (May 24, 2008)</t>
  </si>
  <si>
    <t>Event at Canaria on May 24, 2008</t>
  </si>
  <si>
    <t>NOB/FE/ABC</t>
  </si>
  <si>
    <t>2008-05-23T00:00:00Z</t>
  </si>
  <si>
    <t>After three days of searching, it is dispersed 70 miles south of Malta boat with 28 migrants on board (May 24, 2008)</t>
  </si>
  <si>
    <t>Event at Malta on May 23, 2008</t>
  </si>
  <si>
    <t>http://www.timesofmalta.com/articles/view/20080523/local/more-illegal-immigrants-arrive/</t>
  </si>
  <si>
    <t>no medical care, died of pneumonia not cured by doctors of detention centre Brunelleschi (I) (May 23, 2008)</t>
  </si>
  <si>
    <t>Brunelleschi</t>
  </si>
  <si>
    <t>Event at Brunelleschi on May 23, 2008</t>
  </si>
  <si>
    <t>LR/MP</t>
  </si>
  <si>
    <t>2008-05-22T00:00:00Z</t>
  </si>
  <si>
    <t>drowned, body found by Italian Coast Guard off Pozzalo near Ragusa, Sicily (I) (May 22, 2008). From Del Grande's data set (translated): Retrieved a body off the coast of Pozzallo, Ragusa in (May 23, 2008)</t>
  </si>
  <si>
    <t>ragusa</t>
  </si>
  <si>
    <t>Event at Ragusa on May 22, 2008</t>
  </si>
  <si>
    <t>NOB/AdnK</t>
  </si>
  <si>
    <t>http://www.adnkronos.com/IGN/Regioni/Sicilia.php?id=1.0.2189795361</t>
  </si>
  <si>
    <t>2008-05-21T00:00:00Z</t>
  </si>
  <si>
    <t>reportedly drowned, body found in the sea 50 miles from Malta (May 21, 2008). From Del Grande's data set (translated): Recovered six bodies in recent days at 50 miles from the island (May 22, 2008)</t>
  </si>
  <si>
    <t>Event at Malta on May 21, 2008</t>
  </si>
  <si>
    <t>http://www.timesofmalta.com/articles/view/20080522/local/sixth-corpse-found-at-sea/</t>
  </si>
  <si>
    <t>drowned whilst attempting to reach Spain, bodies found in sea close to Cherchell (DZ)  (May 21, 2008). From Del Grande's data set (translated): Fished along the coasts of Cherchell, between Algiers and Oran, the bodies of two migrants who are victims of a shipwreck (May 22, 2008)</t>
  </si>
  <si>
    <t>Cherchell</t>
  </si>
  <si>
    <t>Event at Cherchell on May 21, 2008</t>
  </si>
  <si>
    <t>http://www.lequotidien-oran.com/index.php?news=5104022</t>
  </si>
  <si>
    <t>2008-05-19T00:00:00Z</t>
  </si>
  <si>
    <t>reportedly drowned, 2 found, 10 missing off Malta s sea  (May 19, 2008)</t>
  </si>
  <si>
    <t>Event at Malta on May 19, 2008</t>
  </si>
  <si>
    <t>Recovered a dead body in the waters of Samos (May 20, 2008)</t>
  </si>
  <si>
    <t>Event at Samos on May 19, 2008</t>
  </si>
  <si>
    <t>Yen</t>
  </si>
  <si>
    <t>http://www.yen.gr/wide/yen.chtm?prnbr=32714</t>
  </si>
  <si>
    <t>2008-05-15T00:00:00Z</t>
  </si>
  <si>
    <t>Missing the 21 passengers of a boat at sea by the Coast Guard rejected Samos. According to the only passenger managed to reach the island by swimming, they would all be drowned after the sinking of the boat, pierced in several places by the Greek authorities (May 16, 2008)</t>
  </si>
  <si>
    <t>Event at Samos on May 15, 2008</t>
  </si>
  <si>
    <t>http://fortresseurope.blogspot.com/2006/01/grecia-guardia-costiera-affonda-zodiac.html</t>
  </si>
  <si>
    <t>2008-05-10T00:00:00Z</t>
  </si>
  <si>
    <t>found by boat in advanced state of decomposition in Mediterranean Sea, off Birzebbugia (M) (May 10, 2008)</t>
  </si>
  <si>
    <t>Birzebbugia</t>
  </si>
  <si>
    <t>Event at Birzebbugia on May 10, 2008</t>
  </si>
  <si>
    <t>2008-05-09T00:00:00Z</t>
  </si>
  <si>
    <t>stowaway, body found by Civil Guard in Melilla, was hiding in car compartment to enter Spain (May 9, 2008)</t>
  </si>
  <si>
    <t>Event at Melilla on May 09, 2008</t>
  </si>
  <si>
    <t>NOB/Verdad</t>
  </si>
  <si>
    <t>Shipwreck off the coast of Teboulba, 3 bodies recovered and 47 missing at sea. The 16 survivors hospitalized in Monastir (May 10, 2008)</t>
  </si>
  <si>
    <t>Event at Monastir on May 09, 2008</t>
  </si>
  <si>
    <t>http://africa.reuters.com/country/TN/news/usnAMA244250.html</t>
  </si>
  <si>
    <t>stowaway, struck by car after falling off the truck he was hidden under on highway A381 (E) (May 9, 2008)</t>
  </si>
  <si>
    <t>Event at Marocco To Spain on May 09, 2008</t>
  </si>
  <si>
    <t>stowaways, died from asphyxiation in a track from Istanbul (TR) to GR after traffic accident (May 9, 2008)</t>
  </si>
  <si>
    <t>Event at Istanbul on May 09, 2008</t>
  </si>
  <si>
    <t>Picum/Nt7/TodZam/NOB</t>
  </si>
  <si>
    <t>drowned, bodies found between Evros River delta and Alexandroupolis port (GR) (May 9, 2008)</t>
  </si>
  <si>
    <t>Event at Evros on May 09, 2008</t>
  </si>
  <si>
    <t>2008-05-08T00:00:00Z</t>
  </si>
  <si>
    <t>reportedly drowned on way to I, body found at Oued Saboun beach near Skikda (DZ) (May 8, 2008)</t>
  </si>
  <si>
    <t>Event at Saboun on May 08, 2008</t>
  </si>
  <si>
    <t>2008-05-07T00:00:00Z</t>
  </si>
  <si>
    <t>manner of death unknown, body found on the coast of Aguadu of Melilla (E) in North Africa (May 7, 2008)</t>
  </si>
  <si>
    <t>Event at Melilla on May 07, 2008</t>
  </si>
  <si>
    <t>NOB/DiarioSur</t>
  </si>
  <si>
    <t>Recovered three bodies near the beach in Delimara, victims of a shipwreck (May 8, 2008)</t>
  </si>
  <si>
    <t>delimara</t>
  </si>
  <si>
    <t>Event at Delimara on May 07, 2008</t>
  </si>
  <si>
    <t>http://www.timesofmalta.com/articles/view/20080508/local/third-corpse-found-in-the-sea/</t>
  </si>
  <si>
    <t>suicide, found hanged in GB after being asked to leave his home provided by the NASS (May 7, 2008)</t>
  </si>
  <si>
    <t>Event at Great Britain on May 07, 2008</t>
  </si>
  <si>
    <t>2008-05-05T00:00:00Z</t>
  </si>
  <si>
    <t>drowned after boat sank at 50 km off Libyan coasts, due to stormy waters (May 5, 2008)</t>
  </si>
  <si>
    <t>Event at Libyan on May 05, 2008</t>
  </si>
  <si>
    <t>CDS/SP/NOB</t>
  </si>
  <si>
    <t>7 of the 42 survivors of the shipwreck of Hoceima on April 28, died of starvation once deported and abandoned to the Algerian border in the province of Oujda (May 6, 2008)</t>
  </si>
  <si>
    <t>Event at Hoceima on May 05, 2008</t>
  </si>
  <si>
    <t>http://fortresseurope.blogspot.com/2006/01/aprile-2008.html</t>
  </si>
  <si>
    <t>Found in the waters of Cap Carbon, near Arzew, the corpse of a drowned man on the route to Spain (May 6, 2008)</t>
  </si>
  <si>
    <t>Event at Arzew on May 05, 2008</t>
  </si>
  <si>
    <t>http://elharraga.wordpress.com/2008/05/06/un-cadavre-rejete-par-la-mer-a-cap-carbon/</t>
  </si>
  <si>
    <t>drowned, jumped into the Rhine while fleeing police close to Basel (CH) (May 5, 2008)</t>
  </si>
  <si>
    <t>basel, switzerland</t>
  </si>
  <si>
    <t>Event at Basel, Switzerland on May 05, 2008</t>
  </si>
  <si>
    <t>SSF</t>
  </si>
  <si>
    <t>2008-05-04T00:00:00Z</t>
  </si>
  <si>
    <t>stowaway, car he was transported in crashed after being chased by police in Xanthi (GR) (May 4, 2008)</t>
  </si>
  <si>
    <t>Xanthi, greece</t>
  </si>
  <si>
    <t>Event at Xanthi, Greece on May 04, 2008</t>
  </si>
  <si>
    <t>2008-05-02T00:00:00Z</t>
  </si>
  <si>
    <t>unknown death s reasons, found 2 bodies on boat carrying 59 travellers in Canary Isl. (E) (May 2, 2008)</t>
  </si>
  <si>
    <t>Event at Canary on May 02, 2008</t>
  </si>
  <si>
    <t>TySp/NOB/MPG/JA/NOB</t>
  </si>
  <si>
    <t>2008-05-01T00:00:00Z</t>
  </si>
  <si>
    <t>crushed in Ceuta (E) by the wheels of a tour bus under he was hiding to cross Gibraltar (May 1, 2008)</t>
  </si>
  <si>
    <t>Event at Ceuta on May 01, 2008</t>
  </si>
  <si>
    <t>2008-04-30T00:00:00Z</t>
  </si>
  <si>
    <t>2008 -- 4</t>
  </si>
  <si>
    <t>Ebenizer Folefack Sontsa, Cameroon, 32 years old, took his own life in the detention center for immigrants in Merksplas. He was in solitary confinement after an attempt to return on a scheduled flight, failed to protests from some passengers (May 1, 2008)</t>
  </si>
  <si>
    <t>merksplas</t>
  </si>
  <si>
    <t>Event at Merksplas on Apr 30, 2008</t>
  </si>
  <si>
    <t>Le Soir</t>
  </si>
  <si>
    <t>http://www.lesoir.be/actualite/belgique/suicide-au-centre-ferme-de-2008-05-01-595575.shtml</t>
  </si>
  <si>
    <t>2008-04-27T00:00:00Z</t>
  </si>
  <si>
    <t>drowned, Morocco s border guards broke with a knife the rubber dinghy (MA) (Apr 27, 2008)</t>
  </si>
  <si>
    <t>Event at Morocco on Apr 27, 2008</t>
  </si>
  <si>
    <t>FE/Welt/ST/MNS/Picum/Reu/APDHA/MB/BBC/NOB</t>
  </si>
  <si>
    <t>During expulsion in Iraq, the Turkish police throws 18 men in a river along the border to Habur, in the province of Sirnak. 4 die in drowning (Apr 28, 2008)</t>
  </si>
  <si>
    <t>Event at Iraq on Apr 27, 2008</t>
  </si>
  <si>
    <t>http://www.turkishdailynews.com.tr/article.php?enewsid=102961</t>
  </si>
  <si>
    <t>2008-04-24T00:00:00Z</t>
  </si>
  <si>
    <t>Two men into the sea during the rescue operation of a ship, 80 miles south of Lampedusa. Despite the relief, one of the two drowned (Apr 25, 2008)</t>
  </si>
  <si>
    <t>Event at Lampedusa on Apr 24, 2008</t>
  </si>
  <si>
    <t>http://www.stranieriinitalia.it/ansa-immigrazione500_soccorsi_in_24_ore_in_siciliaun_morto_3561.html</t>
  </si>
  <si>
    <t>2008-04-23T00:00:00Z</t>
  </si>
  <si>
    <t>Shipwreck off Chebba on routes to Lampedusa. 3 dead and 20 missing (Apr 24, 2008)</t>
  </si>
  <si>
    <t>Event at Lampedusa on Apr 23, 2008</t>
  </si>
  <si>
    <t>http://africa.reuters.com/country/TN/news/usnAMA440733.html</t>
  </si>
  <si>
    <t>2008-04-22T00:00:00Z</t>
  </si>
  <si>
    <t>drowned, forced by Turkish police to swim across the river that separates TR and Iraq (Apr 22, 2008)</t>
  </si>
  <si>
    <t>Event at Iraq on Apr 22, 2008</t>
  </si>
  <si>
    <t>Unhcr</t>
  </si>
  <si>
    <t>2008-04-21T00:00:00Z</t>
  </si>
  <si>
    <t>missing, unknown reason of death while trying to reach Europe from Aouled al-Mabrouk (TN) (Apr 21, 2008)</t>
  </si>
  <si>
    <t>mabrouk</t>
  </si>
  <si>
    <t>Event at Mabrouk on Apr 21, 2008</t>
  </si>
  <si>
    <t>Ftcr/HNS/CPD</t>
  </si>
  <si>
    <t>missing, trying to cross the sea to Europe from Aouled al-Mabrouk (TN) (Apr 21, 2008)</t>
  </si>
  <si>
    <t>Ftcr/CPD/HNS</t>
  </si>
  <si>
    <t>drowned, body washed ashore; trying to reach Europe from Aouled al-Mabrouk (TN)  (Apr 21, 2008)</t>
  </si>
  <si>
    <t>drowned, body washed ashore, found in Aouled al-Mabrouk (TN)  (Apr 21, 2008)</t>
  </si>
  <si>
    <t>14 missing, 3 bodies found on board a boat from Aouled al-Mabrouk (TN) (Apr 21, 2008)</t>
  </si>
  <si>
    <t>Ftcr/CPD/HNS/NOB</t>
  </si>
  <si>
    <t>found in wood near Zella-Mehlis det. centre (D) after staff gave him false deportation threat (Apr 21, 2008)</t>
  </si>
  <si>
    <t>Zella-Mehlis, germany</t>
  </si>
  <si>
    <t>Event at Zella-Mehlis, Germany on Apr 21, 2008</t>
  </si>
  <si>
    <t>jW/Karawane</t>
  </si>
  <si>
    <t>2008-04-20T00:00:00Z</t>
  </si>
  <si>
    <t>stowaways, found on British container ship from Ivory Coast to Vigo port (E), 11 survivors  (Apr 20, 2008). From Del Grande's data set (translated): Found on board the cargo ship "Rosa Delmas" landed in the port of Fuerteventura, in the Canary Islands, the bodies of two men who were hidden in the hold along with other 11 people, 4 of which were hospitalized in serious health conditions (Apr 21, 2008)</t>
  </si>
  <si>
    <t>fuerteventura</t>
  </si>
  <si>
    <t>Event at Fuerteventura on Apr 20, 2008</t>
  </si>
  <si>
    <t>NOB/EarthT</t>
  </si>
  <si>
    <t>http://www.laprovincia.es/secciones/noticia.jsp?pRef=2008042200_14_145635__Fuerteventura-polizones-entraron-timon-para-esconderse-barco</t>
  </si>
  <si>
    <t>2008-04-16T00:00:00Z</t>
  </si>
  <si>
    <t>Eritrean refugee killed by Border Police gunfire along the border with Israel (Apr 17, 2008)</t>
  </si>
  <si>
    <t>Event at Sinai, Egypt on Apr 16, 2008</t>
  </si>
  <si>
    <t>http://africa.reuters.com/country/ER/news/usnL20735292.html</t>
  </si>
  <si>
    <t>2008-04-14T00:00:00Z</t>
  </si>
  <si>
    <t>depression, not given work permit, developed alcoholism whilst waiting for asylum decision (Apr 14, 2008)</t>
  </si>
  <si>
    <t>Germany</t>
  </si>
  <si>
    <t>Event at Germany on Apr 14, 2008</t>
  </si>
  <si>
    <t>2008-04-09T00:00:00Z</t>
  </si>
  <si>
    <t>decomposing bodies found by Rescue Guard along coast between Estepona and Casares (E) (Apr 9, 2008)</t>
  </si>
  <si>
    <t>Event at Estepona on Apr 09, 2008</t>
  </si>
  <si>
    <t>NOB/Sur</t>
  </si>
  <si>
    <t>2008-04-08T00:00:00Z</t>
  </si>
  <si>
    <t>Shipwreck on routes to Spain off Bthioua, near Oran. 13 bodies recovered near the port and Mers El Hadjadj, 3 missing in sea (Apr 9, 2008)</t>
  </si>
  <si>
    <t>Event at Oran on Apr 08, 2008</t>
  </si>
  <si>
    <t>Algeria Watch</t>
  </si>
  <si>
    <t>http://www.algeria-watch.org/fr/article/pol/migration/ruee_mort.htm</t>
  </si>
  <si>
    <t>2008-04-07T00:00:00Z</t>
  </si>
  <si>
    <t>Fished in the sea, two miles from Cap Carbon, in the province of Arzew, the bodies of eight men drowned en route to Spain (Apr 8, 2008)</t>
  </si>
  <si>
    <t>Event at Arzew on Apr 07, 2008</t>
  </si>
  <si>
    <t>El Khabar</t>
  </si>
  <si>
    <t>http://www.elkhabar.com/quotidienFrEn/lire.php?idc=122&amp;ida=104653&amp;key=2&amp;cahed=1</t>
  </si>
  <si>
    <t>2008-04-06T00:00:00Z</t>
  </si>
  <si>
    <t>stowaway, found on a Greek ferry in the port of Venice (I) under truck where he was hidden (Apr 6, 2008)</t>
  </si>
  <si>
    <t>Event at Venice on Apr 06, 2008</t>
  </si>
  <si>
    <t>Reu./Picum/NOB</t>
  </si>
  <si>
    <t>2008-04-04T00:00:00Z</t>
  </si>
  <si>
    <t>suicide, took 40 antidepressant pills in Birkenfeld (D) as latest asylum claim was rejected  (Apr 4, 2008)</t>
  </si>
  <si>
    <t>Birkenfeld, germany</t>
  </si>
  <si>
    <t>Event at Birkenfeld, Germany on Apr 04, 2008</t>
  </si>
  <si>
    <t>2008-04-03T00:00:00Z</t>
  </si>
  <si>
    <t>died of heart attack after jumping into river Marne in Paris (F) to avoid a police identy check (Apr 3, 2008)</t>
  </si>
  <si>
    <t>Event at Paris on Apr 03, 2008</t>
  </si>
  <si>
    <t>IRR/20Mf</t>
  </si>
  <si>
    <t>2008-03-31T00:00:00Z</t>
  </si>
  <si>
    <t>1Q2008</t>
  </si>
  <si>
    <t>2008 -- 3</t>
  </si>
  <si>
    <t>drowned, bodies found floating near the coasts of Barbate (E) (Mar 31, 2008)</t>
  </si>
  <si>
    <t>Event at Barbate on Mar 31, 2008</t>
  </si>
  <si>
    <t>Verdad/MUGAK/EP</t>
  </si>
  <si>
    <t>2008-03-29T00:00:00Z</t>
  </si>
  <si>
    <t>Fished out a dead body on the beaches of Melilla. Another body was found March 22 in Melilla on the beach of Goods Enzar (Mar 30, 2008)</t>
  </si>
  <si>
    <t>Event at Melilla on Mar 29, 2008</t>
  </si>
  <si>
    <t>http://www.diariosur.es/20080330/melilla/guardia-civil-halla-cerca-20080330.html</t>
  </si>
  <si>
    <t>Started three weeks ago from Mostaganem for Spain, 3 men Tiaret are lost at sea. The bodies of two other victims, Tiaret and Rahouia, were repatriated from Spain (Mar 30, 2008)</t>
  </si>
  <si>
    <t>Event at Mostaganem on Mar 29, 2008</t>
  </si>
  <si>
    <t>http://www.lequotidien-oran.com/index.php?news=5101353</t>
  </si>
  <si>
    <t>suicide, found hanged at Pentonville prison (GB), sentenced for having a fake passport (Mar 29, 2008)</t>
  </si>
  <si>
    <t>Pentonville, uk</t>
  </si>
  <si>
    <t>Event at Pentonville, Uk on Mar 29, 2008</t>
  </si>
  <si>
    <t>IRR/BBC/OBS</t>
  </si>
  <si>
    <t>2008-03-28T00:00:00Z</t>
  </si>
  <si>
    <t>body found in a fishing platform in Melilla (E) reportedly after swiming from Beni Enzar (MA) (Mar 28, 2008)</t>
  </si>
  <si>
    <t>Event at Melilla on Mar 28, 2008</t>
  </si>
  <si>
    <t>MUGAK/Sur/EFE</t>
  </si>
  <si>
    <t>suicide, jumped from 19th floor of building in Berlin (D) after asylum claim rejected (Mar 28, 2008)</t>
  </si>
  <si>
    <t>berlin</t>
  </si>
  <si>
    <t>Event at Berlin on Mar 28, 2008</t>
  </si>
  <si>
    <t>2008-03-26T00:00:00Z</t>
  </si>
  <si>
    <t>Fished in the sea off the coast of Dakhla the bodies of three men and a woman drowned on the routes to the Canary Islands. I could be missing tens (Mar 27, 2008)</t>
  </si>
  <si>
    <t>Event at Dakhla on Mar 26, 2008</t>
  </si>
  <si>
    <t>Assabah</t>
  </si>
  <si>
    <t>http://canarias24horas.com/index.php/2008032747171/inmigracion/rescatados-los-cadaveres-de-cuatro-inmigrantes-en-el-sahara-de-un-posible-cayuco-naufragado.html</t>
  </si>
  <si>
    <t>Two Ivorians killed in the fire of the Egyptian police while trying to cross the border into Israel along the Sinai (Mar 27, 2008)</t>
  </si>
  <si>
    <t>Event at Sinai, Egypt on Mar 26, 2008</t>
  </si>
  <si>
    <t>http://africa.reuters.com/country/ER/news/usnL27787267.html</t>
  </si>
  <si>
    <t>2008-03-22T00:00:00Z</t>
  </si>
  <si>
    <t>6 recovered corpses, including that of a Somali woman, Ayse Abdurrahman, off Tekagac, near Didim, in the province of Aydin, victims of a shipwreck that could have made more victims (Mar 23, 2008)</t>
  </si>
  <si>
    <t>Event at Didim on Mar 22, 2008</t>
  </si>
  <si>
    <t>Xinhua</t>
  </si>
  <si>
    <t>http://news.xinhuanet.com/english/2008-03/23/content_7843221.htm</t>
  </si>
  <si>
    <t>no medical care, he got high dosages of cortisone in detention centre FG II in Zurich (CH) (Mar 22, 2008)</t>
  </si>
  <si>
    <t>Event at Zurich on Mar 22, 2008</t>
  </si>
  <si>
    <t>NR/AugenAufCH</t>
  </si>
  <si>
    <t>2008-03-18T00:00:00Z</t>
  </si>
  <si>
    <t>at least 40 drowned, overloaded boat sank near Zawia s coast (LY) on way to Lampedusa (I)  (Mar 18, 2008)</t>
  </si>
  <si>
    <t>Event at Lampedusa on Mar 18, 2008</t>
  </si>
  <si>
    <t>FE/CDS</t>
  </si>
  <si>
    <t>died in Ghana of cancer after being removed from hospital (GB) because visa expired  (Mar 18, 2008)</t>
  </si>
  <si>
    <t>ghana</t>
  </si>
  <si>
    <t>Event at Ghana on Mar 18, 2008</t>
  </si>
  <si>
    <t>BBC/WIK/Independent/Times/IRR</t>
  </si>
  <si>
    <t>2008-03-17T00:00:00Z</t>
  </si>
  <si>
    <t>Egyptian police fired on a group of migrants attempting to cross the Israeli border. An Eritrean woman murdered 25 years dies. It is the eighth victim so far this year (Mar 18, 2008)</t>
  </si>
  <si>
    <t>Event at Sinai, Egypt on Mar 17, 2008</t>
  </si>
  <si>
    <t>http://africa.reuters.com/country/EG/news/usnL18667569.html</t>
  </si>
  <si>
    <t>2008-03-13T00:00:00Z</t>
  </si>
  <si>
    <t>drowned, shipwreck near Iskenderun s Kale village (TR) due to strong wind, 3 survivors (Mar 13, 2008)</t>
  </si>
  <si>
    <t>Iskenderun kale, turkey</t>
  </si>
  <si>
    <t>Event at Iskenderun Kale, Turkey on Mar 13, 2008</t>
  </si>
  <si>
    <t>TP/NOB</t>
  </si>
  <si>
    <t>2008-03-07T00:00:00Z</t>
  </si>
  <si>
    <t>died of cancer after medical neglect from the staff of Lindholme removal centre (GB) (Mar 7, 2008)</t>
  </si>
  <si>
    <t>lindholme, uk</t>
  </si>
  <si>
    <t>Event at Lindholme, Uk on Mar 07, 2008</t>
  </si>
  <si>
    <t>2008-03-04T00:00:00Z</t>
  </si>
  <si>
    <t>Two found dead on board a pirogue landed in the Canary Islands, the port of Los Cristianos, Tenerife (Mar 5, 2008)</t>
  </si>
  <si>
    <t>Event at Tenerife on Mar 04, 2008</t>
  </si>
  <si>
    <t>http://www.jeuneafrique.com/jeune_afrique/article_depeche.asp?art_cle=AFP33038deuxiseiran0</t>
  </si>
  <si>
    <t>2008-03-02T00:00:00Z</t>
  </si>
  <si>
    <t>Fished out a dead body along the coasts of Bthioua, near Oran (Mar 3, 2008)</t>
  </si>
  <si>
    <t>Event at Oran on Mar 02, 2008</t>
  </si>
  <si>
    <t>Le Quotidien dOran</t>
  </si>
  <si>
    <t>http://www.lequotidien-oran.com/index.php?news=5100130</t>
  </si>
  <si>
    <t>2008-03-01T00:00:00Z</t>
  </si>
  <si>
    <t>no medical care, died in detention of heart failure, treated with wrong medicine (NL)  (Mar 1, 2008)</t>
  </si>
  <si>
    <t>Event at Netherland on Mar 01, 2008</t>
  </si>
  <si>
    <t>Statewatch/VG/SCH/Dag</t>
  </si>
  <si>
    <t>2008-02-29T00:00:00Z</t>
  </si>
  <si>
    <t>2008 -- 2</t>
  </si>
  <si>
    <t>Fished out the body of a woman drowned in front of the coast of Canos de Meca, Barbate, Cdiz close (Mar 1, 2008)</t>
  </si>
  <si>
    <t>Event at Barbate on Feb 29, 2008</t>
  </si>
  <si>
    <t>http://www.abc.es/20080301/nacional-sucesos/inmigrante-muere-ahogada-cadiz_200803010252.html</t>
  </si>
  <si>
    <t>2008-02-24T00:00:00Z</t>
  </si>
  <si>
    <t>Another Eritrean woman killed in the shooting of Egyptian border police along the border with Israel (Feb 25, 2008)</t>
  </si>
  <si>
    <t>Event at Sinai, Egypt on Feb 24, 2008</t>
  </si>
  <si>
    <t>http://africa.reuters.com/country/ER/news/usnL25673152.html</t>
  </si>
  <si>
    <t>2008-02-18T00:00:00Z</t>
  </si>
  <si>
    <t>Egyptian police kill a Sudanese Ermeniry Khasheef, on the border with Israel by shooting him in the back while trying to overcome the barrier of barbed wire near Rafah (Feb 19, 2008)</t>
  </si>
  <si>
    <t>Event at Rafah on Feb 18, 2008</t>
  </si>
  <si>
    <t>Amnesty</t>
  </si>
  <si>
    <t>http://www.amnesty.org.uk/news_details.asp?NewsID=17673</t>
  </si>
  <si>
    <t>2008-02-17T00:00:00Z</t>
  </si>
  <si>
    <t>suicide, set himself on fire in Nelson (GB), depression after his asylum claim was refused (Feb 17, 2008)</t>
  </si>
  <si>
    <t>nelson, uk</t>
  </si>
  <si>
    <t>Event at Nelson, Uk on Feb 17, 2008</t>
  </si>
  <si>
    <t>2008-02-15T00:00:00Z</t>
  </si>
  <si>
    <t>Egyptian police kill Eritrean woman, Mervat Mer Hatover, on the border with Israel by shooting as he tried to jump the barbed wire fence in the region of El Kuntilla in the south of the Sinai peninsula (Feb 16, 2008)</t>
  </si>
  <si>
    <t>El Kuntilla, Egypt</t>
  </si>
  <si>
    <t>Event at El Kuntilla, Egypt on Feb 15, 2008</t>
  </si>
  <si>
    <t>2008-02-14T00:00:00Z</t>
  </si>
  <si>
    <t>suicide, after failed asylum claim in Meudon, a western suburb of Paris (F) (Feb 14, 2008)</t>
  </si>
  <si>
    <t>Event at Paris on Feb 14, 2008</t>
  </si>
  <si>
    <t>MNS/IRR</t>
  </si>
  <si>
    <t>2008-02-12T00:00:00Z</t>
  </si>
  <si>
    <t>Shipwreck in the waters of Tarfaya on the route to the Canary Islands, 24 missing (Feb 13, 2008)</t>
  </si>
  <si>
    <t>tarfaya</t>
  </si>
  <si>
    <t>Event at Tarfaya on Feb 12, 2008</t>
  </si>
  <si>
    <t>http://www.abc.es/20080214/nacional-sucesos/desaparecen-subsaharianos-iban-hacia_200802140249.html</t>
  </si>
  <si>
    <t>2008-02-11T00:00:00Z</t>
  </si>
  <si>
    <t>suicide, father was repratiated, hanged himself with bathrobe belt in Madrid care centre (E) (Feb 11, 2008)</t>
  </si>
  <si>
    <t>madrid</t>
  </si>
  <si>
    <t>Event at Madrid on Feb 11, 2008</t>
  </si>
  <si>
    <t>AOL/Publico/Terra/ABC/adn/EPress/Kaoenlared/ASSI/Diagonal/DiarioRJ/MadD/20ME</t>
  </si>
  <si>
    <t>stowaway, died from hypothermia in the back of a lorry traveling from France to GB (Feb 11, 2008)</t>
  </si>
  <si>
    <t>france</t>
  </si>
  <si>
    <t>Event at France on Feb 11, 2008</t>
  </si>
  <si>
    <t>2008-02-10T00:00:00Z</t>
  </si>
  <si>
    <t>body found in an advanced state of decomposition in Mediterranean Sea, off Delimara (M) (Feb 10, 2008)</t>
  </si>
  <si>
    <t>Event at Delimara on Feb 10, 2008</t>
  </si>
  <si>
    <t>died from lung cancer after being denied treatment although he was living legally in GB  (Feb 10, 2008)</t>
  </si>
  <si>
    <t>Event at Great Britain on Feb 10, 2008</t>
  </si>
  <si>
    <t>2008-02-09T00:00:00Z</t>
  </si>
  <si>
    <t>drowned, body found by fishermen pulling in the nets near the shore of Alexandroupolis (GR) (Feb 9, 2008)</t>
  </si>
  <si>
    <t>Event at Alexandroupolis on Feb 09, 2008</t>
  </si>
  <si>
    <t>2008-02-08T00:00:00Z</t>
  </si>
  <si>
    <t>died after falling from third floor of a tower block raided by police and immigration officials (Feb 8, 2008)</t>
  </si>
  <si>
    <t>Event at Great Britain on Feb 08, 2008</t>
  </si>
  <si>
    <t>Guardian Un./IRR/INDgb/4wardUK/JCWI</t>
  </si>
  <si>
    <t>2008-02-07T00:00:00Z</t>
  </si>
  <si>
    <t>drowned, part of his body found in sea near Motril (E), likely to be travelling from Maghreb (Feb 7, 2008)</t>
  </si>
  <si>
    <t>Event at Motril, Spain on Feb 07, 2008</t>
  </si>
  <si>
    <t>NOB/Ideal</t>
  </si>
  <si>
    <t>2008-02-05T00:00:00Z</t>
  </si>
  <si>
    <t>In Ceuta, a man dies crushed under the wheels of the bus tour in which he was hiding to embark towards Algeciras (Feb 6, 2008)</t>
  </si>
  <si>
    <t>algeciras</t>
  </si>
  <si>
    <t>Event at Algeciras on Feb 05, 2008</t>
  </si>
  <si>
    <t>http://www.elpais.com/articulo/espana/inmigrante/muere/caer/bus/fugaba/elpepiesp/20080206elpepinac_21/Tes</t>
  </si>
  <si>
    <t>2008-02-02T00:00:00Z</t>
  </si>
  <si>
    <t>Fished out the bodies of two migrants drowned, one on the beach of La Barrosa, Chiclana (Cadiz) and the other in front of Isleta in Tarifa (Feb 3, 2008)</t>
  </si>
  <si>
    <t>Event at Tarifa on Feb 02, 2008</t>
  </si>
  <si>
    <t>http://www.elpais.com/articulo/andalucia/Hallados/cadaveres/identificar/aguas/Cadiz/elpepiespand/20080203elpand_1/Tes</t>
  </si>
  <si>
    <t>2008-02-01T00:00:00Z</t>
  </si>
  <si>
    <t>drowned, body found on the coast of Barranco Hondo in Tarifa (E) (Feb 1, 2008)</t>
  </si>
  <si>
    <t>Event at Tarifa on Feb 01, 2008</t>
  </si>
  <si>
    <t>TySp/NOB</t>
  </si>
  <si>
    <t>2008-12-31T00:00:00Z</t>
  </si>
  <si>
    <t>4Q2008</t>
  </si>
  <si>
    <t>2008 -- 12</t>
  </si>
  <si>
    <t>died on way to hospital in Nador (MA) after being shot by border guards in Farhana (E/MA) (Dec 31, 2008). From Del Grande's data set (translated): He died at the hospital in Nador El Hassani an immigrant Moroccan police wounded by gunfire while trying to cross the frontier of the Spanish enclave of Melilla (Jan 1, 2009)</t>
  </si>
  <si>
    <t>Event at Melilla on Dec 31, 2008</t>
  </si>
  <si>
    <t>AI/Diversity/MUGAK/Connect/EP/Tribuna/ELM/LV/ELC/SUR/VDG/Provincias/PICUM/BBC/FMLN/NOB</t>
  </si>
  <si>
    <t>http://www.elpais.com/articulo/espana/policia/marroqui/mata/tiros/subsahariano/asalto/Melilla/elpepiesp/20090102elpepinac_9/Tes</t>
  </si>
  <si>
    <t>reportedly missing, left Arzew s coast (DZ) on 2 January in bad weather conditions (Dec 31, 2008)</t>
  </si>
  <si>
    <t>Event at Arzew on Dec 31, 2008</t>
  </si>
  <si>
    <t>heart attack from stress, soon after his release from 1 year's det in Busmantsi centre (BG) (Dec 31, 2008)</t>
  </si>
  <si>
    <t>Event at Busmantsi on Dec 31, 2008</t>
  </si>
  <si>
    <t>GloDP/IRR</t>
  </si>
  <si>
    <t>2008-12-23T00:00:00Z</t>
  </si>
  <si>
    <t>body found in an advanced state of decomposition by a fisherman near off Melilla s coast (E)  (Dec 23, 2008)</t>
  </si>
  <si>
    <t>Event at Melilla on Dec 23, 2008</t>
  </si>
  <si>
    <t>MUGAK/Publico/SUR/NOB</t>
  </si>
  <si>
    <t>2008-12-17T00:00:00Z</t>
  </si>
  <si>
    <t>drowned, 3 found, 4 missing, dinghy sank due to bad weather in Aegean Sea on way to GR (Dec 17, 2008). From Del Grande's data set (translated): Shipwreck in the waters of Ayvacik, on the route to Mytilini. Found 3 dead, 4 missing (Dec 21, 2008)</t>
  </si>
  <si>
    <t>ayvacik</t>
  </si>
  <si>
    <t>Event at Ayvacik on Dec 17, 2008</t>
  </si>
  <si>
    <t>PICUM/AFP/ANSA/NOB</t>
  </si>
  <si>
    <t>http://www.ekathimerini.com/4dcgi/_w_articles_world_2_22/12/2008_103228</t>
  </si>
  <si>
    <t>2008-12-10T00:00:00Z</t>
  </si>
  <si>
    <t>found by Algerian authorities in an advanced state of decomposition in Ardrar (S.E. Sahara) (Dec 10, 2008)</t>
  </si>
  <si>
    <t>Event at Sahara on Dec 10, 2008</t>
  </si>
  <si>
    <t>PICUM/MNS/AlgerieMonde</t>
  </si>
  <si>
    <t>2008-12-09T00:00:00Z</t>
  </si>
  <si>
    <t>A 13 year old Afghan boy dies crushed under the truck which had hung to enter Italy. The truck had just landed at the port of Venice from a ship departed from Greece (Dec 10, 2008)</t>
  </si>
  <si>
    <t>Event at Venice on Dec 09, 2008</t>
  </si>
  <si>
    <t>Corriere</t>
  </si>
  <si>
    <t>http://www.corriere.it/cronache/08_dicembre_12/kabul_mestre_appeso_tir_ragazzino_serra_988b6a60-c819-11dd-a869-00144f02aabc.shtml</t>
  </si>
  <si>
    <t>suicide in the Vottem det. cr. (B) after hearing his asylum claim had been rejected (Dec 9, 2008)</t>
  </si>
  <si>
    <t>Event at Vottem on Dec 09, 2008</t>
  </si>
  <si>
    <t>IRR/MNS/GRAPPE/CRACPE/VRF</t>
  </si>
  <si>
    <t>2008-12-08T00:00:00Z</t>
  </si>
  <si>
    <t>died of thirst, found in advanced state of decomposition by Algerian apolice in Sahara (DZ) (Dec 8, 2008)</t>
  </si>
  <si>
    <t>Event at Sahara on Dec 08, 2008</t>
  </si>
  <si>
    <t>2008-12-07T00:00:00Z</t>
  </si>
  <si>
    <t>Shipwreck off the coast of Ayvalik, 4 drowned, including a woman (Dec 8, 2008)</t>
  </si>
  <si>
    <t>Event at Ayvalik on Dec 07, 2008</t>
  </si>
  <si>
    <t>http://www.ekathimerini.com/4dcgi/_w_articles_world_2_08/12/2008_102832</t>
  </si>
  <si>
    <t>2008-12-06T00:00:00Z</t>
  </si>
  <si>
    <t>Intercepted a boat in the south of Gran Canaria. A corpse on board (Dec 7, 2008)</t>
  </si>
  <si>
    <t>Event at Canaria on Dec 06, 2008</t>
  </si>
  <si>
    <t>http://www.publico.es/agencias/efe/181151/llegan/gran/canaria/inmigrantes/rescatados/cayuco</t>
  </si>
  <si>
    <t>2008-12-05T00:00:00Z</t>
  </si>
  <si>
    <t>Sinking a boat load of migrants off the island of Samos. Drowned a 4 year old girl (Dec 6, 2008)</t>
  </si>
  <si>
    <t>Event at Samos on Dec 05, 2008</t>
  </si>
  <si>
    <t>Earth Times</t>
  </si>
  <si>
    <t>http://www.earthtimes.org/articles/show/244958</t>
  </si>
  <si>
    <t>shot dead in detention centre in Kirklareli (TR) during a riot against detention conditions (Dec 5, 2008)</t>
  </si>
  <si>
    <t>Event at Kirklareli on Dec 05, 2008</t>
  </si>
  <si>
    <t>NOB/HURRIYET</t>
  </si>
  <si>
    <t>2008-11-30T00:00:00Z</t>
  </si>
  <si>
    <t>2008 -- 11</t>
  </si>
  <si>
    <t>starvation, boat with 3 dead bodies arrived in Canary Island (E), carrying 88 migrants  (Nov 30, 2008)</t>
  </si>
  <si>
    <t>Event at Canary on Nov 30, 2008</t>
  </si>
  <si>
    <t>EP/MFS/PICUM/NOB</t>
  </si>
  <si>
    <t>2008-11-27T00:00:00Z</t>
  </si>
  <si>
    <t>Rescued two ships with 650 migrants on board, in a stormy sea off Lampedusa. Passengers speak of 4 missing at sea (Nov 28, 2008)</t>
  </si>
  <si>
    <t>Event at Lampedusa on Nov 27, 2008</t>
  </si>
  <si>
    <t>http://www.repubblica.it/2008/11/sezioni/cronaca/clandestini/clandestini/clandestini.html</t>
  </si>
  <si>
    <t>Two immigrants found dead abandoned along a coastal road in southern Greece (Nov 28, 2008)</t>
  </si>
  <si>
    <t>Event at Greece on Nov 27, 2008</t>
  </si>
  <si>
    <t>http://www.iht.com/articles/ap/2008/11/28/europe/EU-Greece-Migrant-Smugglers.php</t>
  </si>
  <si>
    <t>2008-11-24T00:00:00Z</t>
  </si>
  <si>
    <t>bodies found in a refrigerator truck with other 30 hidden people in a southern GR coastline (Nov 24, 2008)</t>
  </si>
  <si>
    <t>Greece to Greece</t>
  </si>
  <si>
    <t>Event at Greece To Greece on Nov 24, 2008</t>
  </si>
  <si>
    <t>FE/IntHeraldTribune/NOB</t>
  </si>
  <si>
    <t>2008-11-20T00:00:00Z</t>
  </si>
  <si>
    <t>drowned, after shipwreck near the French island of Mayotte (Nov 20, 2008). From Del Grande's data set (translated): Shipwreck Mayotte, in the Indian Ocean. 4 dead, 17 missing (Nov 21, 2008)</t>
  </si>
  <si>
    <t>Event at Mayotte on Nov 20, 2008</t>
  </si>
  <si>
    <t>N24/AFP/NOB</t>
  </si>
  <si>
    <t>http://www.blogger.com/%20http://www.news24.com/News24/Africa/News/0</t>
  </si>
  <si>
    <t>2008-11-19T00:00:00Z</t>
  </si>
  <si>
    <t>Found the remains of 6 migrants in the Algerian desert to the border with Mali, in Tanezrouft, including Regane and Bordj Badji Mokhtar. In September, more victims were found in the same region (Nov 20, 2008)</t>
  </si>
  <si>
    <t>Event at Algeria on Nov 19, 2008</t>
  </si>
  <si>
    <t>Algerie Monde</t>
  </si>
  <si>
    <t>http://www.algerie-monde.com/actualite/article4796.html</t>
  </si>
  <si>
    <t>2008-11-18T00:00:00Z</t>
  </si>
  <si>
    <t>died of heart attack in hospital after boat was intercepted near to Canary coast (E)  (Nov 18, 2008). From Del Grande's data set (translated): He died at the hospital Candelaria in Tenerife a landed immigrant November 18 in critical condition, after 12 days of travel from Guinea Conakry on a boat with 136 passengers (Nov 20, 2008)</t>
  </si>
  <si>
    <t>Event at Tenerife on Nov 18, 2008</t>
  </si>
  <si>
    <t>ABC/AFP</t>
  </si>
  <si>
    <t>http://www.abc.es/20081120/canarias-canarias/fallece-inmigrantes-llegaron-cayuco-20081120.html</t>
  </si>
  <si>
    <t>2008-11-12T00:00:00Z</t>
  </si>
  <si>
    <t>missing, fell into the sea during rescue operation 9 miles south Lampedusa (I) (Nov 12, 2008). From Del Grande's data set (translated): Migrant falls into the sea during a rescue 9 miles from Lampedusa. Missing (Nov 13, 2008)</t>
  </si>
  <si>
    <t>Event at Lampedusa on Nov 12, 2008</t>
  </si>
  <si>
    <t>FE/AdnK/UnSarda/LS/NOB</t>
  </si>
  <si>
    <t>http://www.lasiciliaweb.it/index.php?id=13214&amp;template=lasiciliaweb%20</t>
  </si>
  <si>
    <t>2008-11-10T00:00:00Z</t>
  </si>
  <si>
    <t>1 died on the boat, 1 when arrived to El Hierro coast (E) and 1 in the hospital one week later (Nov 10, 2008). From Del Grande's data set (translated): Landing at El Hierro, Canary Islands. Two dead on board immigration. A third boy, a minor, died after a hospital in critical condition (Nov 10, 2008)</t>
  </si>
  <si>
    <t>Event at Hierro on Nov 10, 2008</t>
  </si>
  <si>
    <t>ElDia/Top News/ABC/FE/PICUM/Mugak/EFE/gara.net/DiarioVasco/Deia/Diario de Navarra/DNG/AVUI/Verdad/VDG/Provincias/Can7/ELM/NOB</t>
  </si>
  <si>
    <t>http://www.eldia.es/2008-11-12/canarias/canarias4.htm</t>
  </si>
  <si>
    <t>He died at the university hospital a migrant landed on the Canary Island of Tenerife last week (Nov 11, 2008)</t>
  </si>
  <si>
    <t>Event at Tenerife on Nov 10, 2008</t>
  </si>
  <si>
    <t>El Dia</t>
  </si>
  <si>
    <t>2008-11-08T00:00:00Z</t>
  </si>
  <si>
    <t>Rises to 5 the number of bodies found south of the island in the last two weeks, victims of a shipwreck that you do not have any news (Nov 9, 2008)</t>
  </si>
  <si>
    <t>Event at Malta on Nov 08, 2008</t>
  </si>
  <si>
    <t>http://www.timesofmalta.com/articles/view/20081109/local/corpses-recovered-at-sea-remain-unidentified</t>
  </si>
  <si>
    <t>bodies thrown overboard during the travel from Libya s coast to Portopalo, Sicily (I) (Nov 8, 2008)</t>
  </si>
  <si>
    <t>portopalo</t>
  </si>
  <si>
    <t>Event at Portopalo on Nov 08, 2008</t>
  </si>
  <si>
    <t>RAI/FE/NOB</t>
  </si>
  <si>
    <t>2008-11-06T00:00:00Z</t>
  </si>
  <si>
    <t>died of dehydration and hypothermia, bodies found on a boat that landed in La Gomera (E) (Nov 6, 2008)</t>
  </si>
  <si>
    <t>Event at Gomera on Nov 06, 2008</t>
  </si>
  <si>
    <t>IntHeraldTribune/NOB/VK/MUGAK</t>
  </si>
  <si>
    <t>bodies thrown overboard on the way to La Gomera (E) (Nov 6, 2008)</t>
  </si>
  <si>
    <t>GARA/FE</t>
  </si>
  <si>
    <t>2008-10-28T00:00:00Z</t>
  </si>
  <si>
    <t>2008 -- 10</t>
  </si>
  <si>
    <t>2 found in boat at La Gomera s coast (E), 1 died of hypothermia later in hospital  (Oct 28, 2008)</t>
  </si>
  <si>
    <t>Event at Gomera on Oct 28, 2008</t>
  </si>
  <si>
    <t>Landing in the Canary Islands, La Gomera. Two deaths on board, one of which minors. A third man died after being admitted to hospital (Oct 29, 2008)</t>
  </si>
  <si>
    <t>http://www.elpais.com/articulo/espana/subsaharianos/muertos/cayuco/Gomera/elpepiesp/20081030elpepinac_18/Tes</t>
  </si>
  <si>
    <t>drowned, recovered by Greek border police in eastern Aegean facing the Turkish coast (Oct 28, 2008). From Del Grande's data set (translated): Two victims in the eastern Aegean, off the coast of Turkey (Oct 29, 2008)</t>
  </si>
  <si>
    <t>aegean</t>
  </si>
  <si>
    <t>Event at Aegean on Oct 28, 2008</t>
  </si>
  <si>
    <t>http://www.ekathimerini.com/4dcgi/_w_articles_politics_2_30/10/2008_101707</t>
  </si>
  <si>
    <t>2008-10-26T00:00:00Z</t>
  </si>
  <si>
    <t>Disappears in the Mediterranean a boat loaded with 200 migrants from Egypt and live in Italy. The last signal was received a request for help by telephone by the Egyptian authorities a certain Ahmed, who reported the sinking boat off Rashid (Oct 27, 2008)</t>
  </si>
  <si>
    <t>Event at Egypt on Oct 26, 2008</t>
  </si>
  <si>
    <t>2008-10-25T00:00:00Z</t>
  </si>
  <si>
    <t>injured in police violence, in asylum seekers queue outside Aliens  directorate in Athens (GR) (Oct 25, 2008)</t>
  </si>
  <si>
    <t>Event at Athens on Oct 25, 2008</t>
  </si>
  <si>
    <t>ECRE/ST/Vluchteling/IRR/MNS</t>
  </si>
  <si>
    <t>2008-10-23T00:00:00Z</t>
  </si>
  <si>
    <t>Found the body of seventeen missing last Sunday in the lagoon at the border with Greece, near Xarre (Oct 24, 2008)</t>
  </si>
  <si>
    <t>xarre</t>
  </si>
  <si>
    <t>Event at Xarre on Oct 23, 2008</t>
  </si>
  <si>
    <t>http://www.javno.com/en/world/clanak.php?id=195953</t>
  </si>
  <si>
    <t>2008-10-22T00:00:00Z</t>
  </si>
  <si>
    <t>found by boat in advanced state of decomposition in Mediterranean Sea between M and LY (Oct 22, 2008)</t>
  </si>
  <si>
    <t>Event at Libya on Oct 22, 2008</t>
  </si>
  <si>
    <t>drowned in a southern Albanian lagoon close to Greece after overloaded boat capsized (Oct 22, 2008)</t>
  </si>
  <si>
    <t>albania</t>
  </si>
  <si>
    <t>Event at Albania on Oct 22, 2008</t>
  </si>
  <si>
    <t>FE/Javno/NOB</t>
  </si>
  <si>
    <t>2008-10-21T00:00:00Z</t>
  </si>
  <si>
    <t>Egyptian police killed a Sudanese refugee shots of gunfire along the Israeli border in Sinai (Oct 22, 2008)</t>
  </si>
  <si>
    <t>Event at Sinai, Egypt on Oct 21, 2008</t>
  </si>
  <si>
    <t>http://www.alertnet.org/thenews/newsdesk/LM722297.htm</t>
  </si>
  <si>
    <t>2008-10-19T00:00:00Z</t>
  </si>
  <si>
    <t>killed, shot by Libyan civilian as his migrant boat left Libya for Europe  (Oct 19, 2008)</t>
  </si>
  <si>
    <t>Event at Libyan on Oct 19, 2008</t>
  </si>
  <si>
    <t>HRW</t>
  </si>
  <si>
    <t>manner of death unknown, body found on boat with 92 survivors arriving in Gran Canaria (E) (Oct 19, 2008)</t>
  </si>
  <si>
    <t>Event at Canaria on Oct 19, 2008</t>
  </si>
  <si>
    <t>NOB/TySp</t>
  </si>
  <si>
    <t>drowned in a lagoon in Southern AL after boat capsized trying to avoid police checkpoint (Oct 19, 2008)</t>
  </si>
  <si>
    <t>Albania to Greece</t>
  </si>
  <si>
    <t>Event at Albania To Greece on Oct 19, 2008</t>
  </si>
  <si>
    <t>Reu/Picum/Javno/NOB</t>
  </si>
  <si>
    <t>2008-10-18T00:00:00Z</t>
  </si>
  <si>
    <t>Migrant boat sinks in a lagoon in the south of the country, near the border village of Xarre. Found 4 dead bodies, including a woman with her daughter three months. A 17 year old boy is reported missing (Oct 19, 2008)</t>
  </si>
  <si>
    <t>Xarre</t>
  </si>
  <si>
    <t>Event at Xarre on Oct 18, 2008</t>
  </si>
  <si>
    <t>http://www.iht.com/articles/ap/2008/10/19/europe/EU-Albania-Boat-Sinks.php</t>
  </si>
  <si>
    <t>suicide, set herself on fire to protest against the deportation of her Armenian partner  (Oct 18, 2008)</t>
  </si>
  <si>
    <t>France</t>
  </si>
  <si>
    <t>Event at France on Oct 18, 2008</t>
  </si>
  <si>
    <t>2008-10-17T00:00:00Z</t>
  </si>
  <si>
    <t>One dead and 5 injured aboard a boat intercepted eight miles south of the island of Gran Canaria (Oct 18, 2008)</t>
  </si>
  <si>
    <t>Event at Canaria on Oct 17, 2008</t>
  </si>
  <si>
    <t>http://www.abc.es/hemeroteca/historico-19-10-2008/abc/Canarias/un-muerto-y-cinco-heridos-en-un-cayuco-que-llega-al-sur-de-gran-canaria_91681837446.html</t>
  </si>
  <si>
    <t>body found in an advanced state of decomposition in Mediterranean Sea, off Delimara (M) (Oct 17, 2008)</t>
  </si>
  <si>
    <t>Event at Delimara on Oct 17, 2008</t>
  </si>
  <si>
    <t>2008-10-15T00:00:00Z</t>
  </si>
  <si>
    <t>He died at the hospital in Candelaria one of the immigrants who landed yesterday on the Canary Island of Tenerife (Oct 16, 2008)</t>
  </si>
  <si>
    <t>Event at Tenerife on Oct 15, 2008</t>
  </si>
  <si>
    <t>http://www.abc.es/20081017/canarias-canarias/fallece-hospital-inmigrantes-llegaron-20081017.html</t>
  </si>
  <si>
    <t>2008-10-14T00:00:00Z</t>
  </si>
  <si>
    <t>A man drowned in a canal in Saint-Omer (Pas-de-Calais) trying to hide in a truck ready to embark for England. Dead also a French national who had dived into the water to save (Oct 15, 2008)</t>
  </si>
  <si>
    <t>Event at Calais on Oct 14, 2008</t>
  </si>
  <si>
    <t>http://quotidiensanspapiers.free.fr/w/spip.php?article1593</t>
  </si>
  <si>
    <t>2008-10-13T00:00:00Z</t>
  </si>
  <si>
    <t>Egyptian police fired on a group of migrants along the border with Israel. A dead. Already 24 victims from the start of 2008 (Oct 14, 2008)</t>
  </si>
  <si>
    <t>Event at Sinai, Egypt on Oct 13, 2008</t>
  </si>
  <si>
    <t>http://africa.reuters.com/country/ER/news/usnLE64900.html</t>
  </si>
  <si>
    <t>2008-10-11T00:00:00Z</t>
  </si>
  <si>
    <t>was run over by the wheels of the lorry while clinching to it in Mestre, Venice (I)  (Oct 11, 2008)</t>
  </si>
  <si>
    <t>Event at Venice on Oct 11, 2008</t>
  </si>
  <si>
    <t>CDS/ST/EpolisR/NOB</t>
  </si>
  <si>
    <t>2008-10-10T00:00:00Z</t>
  </si>
  <si>
    <t>died in La Candelaria s hospital, in Tenerife (E), 5 days after his boat was intercepted    (Oct 10, 2008)</t>
  </si>
  <si>
    <t>Event at Tenerife on Oct 10, 2008</t>
  </si>
  <si>
    <t>ElDia/Top News/ABC/FE</t>
  </si>
  <si>
    <t>2008-10-09T00:00:00Z</t>
  </si>
  <si>
    <t>drowned, boat sank on way from Anjouan to Mayotte (F), 3 bodies found and 20 missing (Oct 9, 2008)</t>
  </si>
  <si>
    <t>Event at Mayotte on Oct 09, 2008</t>
  </si>
  <si>
    <t>2008-10-08T00:00:00Z</t>
  </si>
  <si>
    <t>It sinks into the waters of Kenitra boat with 50 migrants on board, direct to Spain. Found a corpse and only one survivor, on the beach of Sidi Boughaba. Missing the other 48 passengers (Oct 9, 2008)</t>
  </si>
  <si>
    <t>Event at Kenitra on Oct 08, 2008</t>
  </si>
  <si>
    <t>http://www.elpais.com/articulo/espana/papeles/naufragan/nada/partir/Espana/elpepiesp/20081009elpepinac_15/Tes</t>
  </si>
  <si>
    <t>2008-10-07T00:00:00Z</t>
  </si>
  <si>
    <t>suicide, shot himself in his home in Sulaimania, Kurdistan days after being deported from GB (Oct 7, 2008)</t>
  </si>
  <si>
    <t>Sulaimania, iraq</t>
  </si>
  <si>
    <t>Event at Sulaimania, Iraq on Oct 07, 2008</t>
  </si>
  <si>
    <t>2008-10-06T00:00:00Z</t>
  </si>
  <si>
    <t>drowned, after their boat capsized off coast of Malta (Oct 6, 2008)</t>
  </si>
  <si>
    <t>Event at Malta on Oct 06, 2008</t>
  </si>
  <si>
    <t>Picum/FE/TOM/NOB</t>
  </si>
  <si>
    <t>reportedly died of starvation, bodies found in Almeria (E)  (Oct 6, 2008)</t>
  </si>
  <si>
    <t>Event at Almeria on Oct 06, 2008</t>
  </si>
  <si>
    <t>18 corpses found along 25 miles of coastline between Alexandroupolis (Greece) and Saros Bay (Turkey), victims of a single shipwreck (Oct 7, 2008)</t>
  </si>
  <si>
    <t>Event at Alexandroupolis on Oct 06, 2008</t>
  </si>
  <si>
    <t>Usa Today</t>
  </si>
  <si>
    <t>http://www.usatoday.com/news/world/2008-10-07-greece-bodies_N.htm</t>
  </si>
  <si>
    <t>2008-10-05T00:00:00Z</t>
  </si>
  <si>
    <t>drowned, boat capsized due to bad rescue operation by Italian Coastguard 56 miles off Malta (Oct 5, 2008)</t>
  </si>
  <si>
    <t>Event at Malta on Oct 05, 2008</t>
  </si>
  <si>
    <t>NOB/LR/EB/GuidaS/ANSA</t>
  </si>
  <si>
    <t>died in accident, when bus carrying stowaways overturned in Dogubayazit (TR), 18 survivors (Oct 5, 2008)</t>
  </si>
  <si>
    <t>Event at Dogubayazit on Oct 05, 2008</t>
  </si>
  <si>
    <t>NOB/HaberT</t>
  </si>
  <si>
    <t>Truck load of migrants capsizes in a car accident in Malkara, near the greek border: 18 dead and 23 wounded (Oct 6, 2008)</t>
  </si>
  <si>
    <t>Malkara, turkey</t>
  </si>
  <si>
    <t>Event at Malkara, Turkey on Oct 05, 2008</t>
  </si>
  <si>
    <t>http://www.turkishdailynews.com.tr/article.php?enewsid=116777</t>
  </si>
  <si>
    <t>It falls under the truck which was traveling from Morocco hidden hit by a car and dies, at km 64 of the A-381 Jerez-Los Barrios (Oct 6, 2008)</t>
  </si>
  <si>
    <t>barrios</t>
  </si>
  <si>
    <t>Event at Barrios on Oct 05, 2008</t>
  </si>
  <si>
    <t>http://www.elpais.com/articulo/andalucia/Muere/inmigrante/atropellado/A-381/elpepiespand/20081006elpand_5/Tes</t>
  </si>
  <si>
    <t>2008-10-04T00:00:00Z</t>
  </si>
  <si>
    <t>died of starvation and cold after the engine of their boat broke down (TN) (Oct 4, 2008)</t>
  </si>
  <si>
    <t>Event at Lybia To Italy on Oct 04, 2008</t>
  </si>
  <si>
    <t>Reu/Ftcr/EP/NOB</t>
  </si>
  <si>
    <t>Melilla found the body of a migrant who traveled hidden in the false bottom of a car, go to the Moroccan border (Oct 5, 2008)</t>
  </si>
  <si>
    <t>Event at Melilla on Oct 04, 2008</t>
  </si>
  <si>
    <t>http://www.laverdad.es/murcia/20081005/espana/hallan-cadaver-salpicadero-20081005.html</t>
  </si>
  <si>
    <t>Two dead bodies on the coast of Malaga. The first was spotted in the sea during a regatta in the waters of Estepona. The second was found not far away, on the beaches of Marina de Casares (Oct 5, 2008)</t>
  </si>
  <si>
    <t>Event at Estepona on Oct 04, 2008</t>
  </si>
  <si>
    <t>http://www.diariosur.es/20081005/malaga/hallan-cadaveres-hombres-deriva-20081005.html</t>
  </si>
  <si>
    <t>2008-01-31T00:00:00Z</t>
  </si>
  <si>
    <t>2008 -- 1</t>
  </si>
  <si>
    <t>Shipwreck off Vintage, on routes to Sardinia, at least 6 missing (Feb 1, 2008)</t>
  </si>
  <si>
    <t>Event at Sardinia on Jan 31, 2008</t>
  </si>
  <si>
    <t>http://www.lequotidien-oran.com/index.php?news=5098330</t>
  </si>
  <si>
    <t>2008-01-29T00:00:00Z</t>
  </si>
  <si>
    <t>Egyptian police kill two migrants at Israeli border gunfire from fire. The victims are a 22 year old guy and a girl of 18. Another migrant was killed in early January (Jan 30, 2008)</t>
  </si>
  <si>
    <t>Event at Sinai, Egypt on Jan 29, 2008</t>
  </si>
  <si>
    <t>http://www.blogger.com/%20http://africa.reuters.com/country/ER/news/usnL30819646.html</t>
  </si>
  <si>
    <t>2008-01-28T00:00:00Z</t>
  </si>
  <si>
    <t>drowned, body found in la Luz Coast (E) after shipwreck off Conil de la Frontera (E) (Jan 28, 2008)</t>
  </si>
  <si>
    <t>la luz, spain</t>
  </si>
  <si>
    <t>Event at La Luz, Spain on Jan 28, 2008</t>
  </si>
  <si>
    <t>stowaway, decomposing body found in ship served Patras-Igoumenitsa-Venice route (Jan 28, 2008). From Del Grande's data set (translated): Found a dead body on the ferry from Patras to Venice, where he was hiding in the hold to reach Italy (Jan 30, 2008)</t>
  </si>
  <si>
    <t>Event at Venice on Jan 28, 2008</t>
  </si>
  <si>
    <t>KI/NOB</t>
  </si>
  <si>
    <t>http://www.ekathimerini.com/4dcgi/news/content.asp?aid=92737</t>
  </si>
  <si>
    <t>2008-01-22T00:00:00Z</t>
  </si>
  <si>
    <t>drowned, 2 found, 15 missing, after boat sank one meter off the shore of Conil (E) (Jan 22, 2008)</t>
  </si>
  <si>
    <t>conil, spain</t>
  </si>
  <si>
    <t>Event at Conil, Spain on Jan 22, 2008</t>
  </si>
  <si>
    <t>EP/MUGAK/Diario de Navarra/ELM/APDHA/Sur/EFE</t>
  </si>
  <si>
    <t>manner of death unknown, body found on the beach of La Marsa (TR)  (Jan 22, 2008). From Del Grande's data set (translated): A corpse fished out of La Marsa, in the district of Ben Azzouz, in Skikda (Jan 26, 2008)</t>
  </si>
  <si>
    <t>Event at Skikda on Jan 22, 2008</t>
  </si>
  <si>
    <t>QUOTI/NOB</t>
  </si>
  <si>
    <t>http://www.lequotidien-oran.com/index.php?news=5097927</t>
  </si>
  <si>
    <t>2008-01-21T00:00:00Z</t>
  </si>
  <si>
    <t>Landing in Torre del Puerco, in Conil (Cadiz). The boat capsizes in only a meter from the beach, two men die drowned (Jan 22, 2008)</t>
  </si>
  <si>
    <t>Event at Torre on Jan 21, 2008</t>
  </si>
  <si>
    <t>http://www.elpais.com/articulo/espana/Mueren/papeles/volcar/patera/playa/Conil/elpepiesp/20080123elpepinac_15/Tes</t>
  </si>
  <si>
    <t>drowned, 2 found, 6 missing, vessel carrying 32 migrants capsized off Luz s coast (E) (Jan 21, 2008)</t>
  </si>
  <si>
    <t>luz, spain</t>
  </si>
  <si>
    <t>Event at Luz, Spain on Jan 21, 2008</t>
  </si>
  <si>
    <t>Picum/NOB</t>
  </si>
  <si>
    <t>Afghan 14 year old dies flayed from the asphalt, while traveling hidden under a truck bound party from Greece and landed in Ancona. The body was found in Bertinoro, in the province of Forl-Cesena (Jan 22, 2008)</t>
  </si>
  <si>
    <t>Event at Ancona on Jan 21, 2008</t>
  </si>
  <si>
    <t>Romagna Oggi</t>
  </si>
  <si>
    <t>http://www.romagnaoggi.it/showarticle.php?articleID=288620&amp;posizione=24_ore_romagna&amp;storico=tutti</t>
  </si>
  <si>
    <t>stowaway, crushed to death in Panighina (I), hanging on underside of lorry from Greece (Jan 21, 2008)</t>
  </si>
  <si>
    <t>Panighina, italy</t>
  </si>
  <si>
    <t>Event at Panighina, Italy on Jan 21, 2008</t>
  </si>
  <si>
    <t>romagnaoggi/NOB/FE</t>
  </si>
  <si>
    <t>2008-01-14T00:00:00Z</t>
  </si>
  <si>
    <t>drowned, fell into the frozen waters of Evros River (GR) after small boat sank (Jan 14, 2008). From Del Grande's data set (translated): Boat capsizes while trying to cross the Evros River, which separates Turkey from Greece. A woman dies drowned in the icy waters (Jan 15, 2008)</t>
  </si>
  <si>
    <t>Event at Evros on Jan 14, 2008</t>
  </si>
  <si>
    <t>KI/ANA/PICUM/HR</t>
  </si>
  <si>
    <t>http://www.ana.gr/anaweb/user/showplain?maindoc=6047653&amp;maindocimg=1546521&amp;service=96</t>
  </si>
  <si>
    <t>2008-01-13T00:00:00Z</t>
  </si>
  <si>
    <t>Repatriated from Turkey 20 Egyptians. They are the survivors of a shipwreck on the way to Greece, claimed the lives of 8 young people of the city of Bisat Karim Ad-din (Jan 14, 2008)</t>
  </si>
  <si>
    <t>Event at Egypt on Jan 13, 2008</t>
  </si>
  <si>
    <t>Al-Dustur</t>
  </si>
  <si>
    <t>2008-01-12T00:00:00Z</t>
  </si>
  <si>
    <t>Boat rescued 90 miles south of the island of Gran Canaria. On board 3 dead (Jan 13, 2008)</t>
  </si>
  <si>
    <t>Event at Canaria on Jan 12, 2008</t>
  </si>
  <si>
    <t>http://www.elpais.com/articulo/espana/Rescatados/88/inmigrantes/muertos/aguas/Canarias/elpepiesp/20080113elpepinac_16/Tes</t>
  </si>
  <si>
    <t>2008-01-10T00:00:00Z</t>
  </si>
  <si>
    <t>A man dives into the sea from a boat drifting 50 miles south of Lampedusa, to swim to a nearby fishing boat and ask for help. But once on board are discarded by the commander Mariano Ruggiero after a scuffle and drowned (Jan 11, 2008)</t>
  </si>
  <si>
    <t>Event at Lampedusa on Jan 10, 2008</t>
  </si>
  <si>
    <t>http://www.repubblica.it/2007/11/sezioni/cronaca/immigrati-3/omicidio-peschereccio/omicidio-peschereccio.html</t>
  </si>
  <si>
    <t>body found in an advanced state of decomposition in Mediterranean Sea, off Delimara (M) (Jan 10, 2008)</t>
  </si>
  <si>
    <t>Event at Delimara on Jan 10, 2008</t>
  </si>
  <si>
    <t>2008-01-09T00:00:00Z</t>
  </si>
  <si>
    <t>Found a seventh corpse in Barbate (Jan 10, 2008)</t>
  </si>
  <si>
    <t>Event at Barbate on Jan 09, 2008</t>
  </si>
  <si>
    <t>http://www.abc.es/20080110/nacional-sucesos/septimo-cadaver-seis-dias_200801100248.html</t>
  </si>
  <si>
    <t>drowned, body discovered by GR and TR authorities in north of Aegean sea (Jan 9, 2008)</t>
  </si>
  <si>
    <t>Event at Aegean on Jan 09, 2008</t>
  </si>
  <si>
    <t>PICUM/NOB</t>
  </si>
  <si>
    <t>drowned, bodies discovered by GR and TR authorities in north of Aegean sea (Jan 9, 2008)</t>
  </si>
  <si>
    <t>suicide, hanged himself in detention centre in Bautzen (D) as he feared deportation (Jan 9, 2008)</t>
  </si>
  <si>
    <t>bautzen, germany</t>
  </si>
  <si>
    <t>Event at Bautzen, Germany on Jan 09, 2008</t>
  </si>
  <si>
    <t>IRR/ARI</t>
  </si>
  <si>
    <t>2008-01-08T00:00:00Z</t>
  </si>
  <si>
    <t>13 bodies found in the boat, 1 later in Arguineguin (E) after 12 days of trip from Mauritania (Jan 8, 2008)</t>
  </si>
  <si>
    <t>Event at Arguineguin on Jan 08, 2008</t>
  </si>
  <si>
    <t>ABC/MUGAK/PrensaLibre/ElDia/NOB/jW/VK</t>
  </si>
  <si>
    <t>bodies found in state of decomposition near the coast of Vega Baja de Alicante (E) (Jan 8, 2008)</t>
  </si>
  <si>
    <t>vega</t>
  </si>
  <si>
    <t>Event at Vega on Jan 08, 2008</t>
  </si>
  <si>
    <t>MNS/Picum</t>
  </si>
  <si>
    <t>drowned, shipwreck due to stormy waters , bodies found in Valletta (Malta) (Jan 8, 2008)</t>
  </si>
  <si>
    <t>Event at Valletta on Jan 08, 2008</t>
  </si>
  <si>
    <t>ANSA, Jw/NOB</t>
  </si>
  <si>
    <t>drowned, thrown still alive into sea near Sicilian coasts (I) (Jan 8, 2008)</t>
  </si>
  <si>
    <t>Event at Sicily on Jan 08, 2008</t>
  </si>
  <si>
    <t>AFP/Picum/jW</t>
  </si>
  <si>
    <t>died from tuberculosis after medical neglect from staff of Colnbrook removal centre (GB) (Jan 8, 2008)</t>
  </si>
  <si>
    <t>Event at Colnbrook on Jan 08, 2008</t>
  </si>
  <si>
    <t>crashed by truck in Trent Vale (GB) hiding under truck s wheel   (Jan 8, 2008)</t>
  </si>
  <si>
    <t>trent vale, uk</t>
  </si>
  <si>
    <t>Event at Trent Vale, Uk on Jan 08, 2008</t>
  </si>
  <si>
    <t>Ndtv/IRR</t>
  </si>
  <si>
    <t>2008-01-07T00:00:00Z</t>
  </si>
  <si>
    <t>shot by militia in Calgoo, Sudan, where he returned when asylum claim was refused in GB  (Jan 7, 2008)</t>
  </si>
  <si>
    <t>sudan</t>
  </si>
  <si>
    <t>Event at Sudan on Jan 07, 2008</t>
  </si>
  <si>
    <t>MNS/Independent/WP/Spits/Telegraph</t>
  </si>
  <si>
    <t>missing, reportedly drowned on the way from Libya to Italy on two boats had faulty engines (Jan 7, 2008)</t>
  </si>
  <si>
    <t>Event at Libya on Jan 07, 2008</t>
  </si>
  <si>
    <t>died of starvation, they were thrown overboard by their father in the Mediterranean sea (I) (Jan 7, 2008)</t>
  </si>
  <si>
    <t>Event at Lybia To Italy on Jan 07, 2008</t>
  </si>
  <si>
    <t>Ua</t>
  </si>
  <si>
    <t>2008-01-06T00:00:00Z</t>
  </si>
  <si>
    <t>drowned, wrecked boat and bodies found on seafront off Libreville, Gabon on way to Europe (Jan 6, 2008)</t>
  </si>
  <si>
    <t>Libreville, gabon</t>
  </si>
  <si>
    <t>Event at Libreville, Gabon on Jan 06, 2008</t>
  </si>
  <si>
    <t>stowaways, died from asphyxiation in a track from Istanbul (TR) to GR after traffic accident (Jan 6, 2008)</t>
  </si>
  <si>
    <t>Event at Istanbul on Jan 06, 2008</t>
  </si>
  <si>
    <t>TodZam</t>
  </si>
  <si>
    <t>2008-01-05T00:00:00Z</t>
  </si>
  <si>
    <t>A group of families of the regions of Minufiyah Daqliyah and denounce the disappearance at sea of __51 young Egyptians. Had embarked for Greece (Jan 6, 2008)</t>
  </si>
  <si>
    <t>Event at Minufiyah on Jan 05, 2008</t>
  </si>
  <si>
    <t>Al Wafd</t>
  </si>
  <si>
    <t>drowned after boat sunk due to stormy waters near Malta (Jan 5, 2008)</t>
  </si>
  <si>
    <t>Event at Malta on Jan 05, 2008</t>
  </si>
  <si>
    <t>LR/SD</t>
  </si>
  <si>
    <t>Discovered in Los Canos, Barbate, the bodies of six migrants drowned (Jan 6, 2008)</t>
  </si>
  <si>
    <t>Event at Barbate on Jan 05, 2008</t>
  </si>
  <si>
    <t>http://www.elpais.com/articulo/espana/Recuperados/cadaveres/papeles/playas/Cadiz/elpepiesp/20080107elpepinac_12/Tes/</t>
  </si>
  <si>
    <t>drowned after their boat sank when Italian fishing ship tried to rescue them off Italian coasts (Jan 5, 2008)</t>
  </si>
  <si>
    <t>Event at Italian Coast on Jan 05, 2008</t>
  </si>
  <si>
    <t>HNS</t>
  </si>
  <si>
    <t>2008-01-04T00:00:00Z</t>
  </si>
  <si>
    <t>Sinking a boat heading to Italy, only one survivor. 45 the drowned (Jan 5, 2008)</t>
  </si>
  <si>
    <t>Event at Libya on Jan 04, 2008</t>
  </si>
  <si>
    <t>Al Badil</t>
  </si>
  <si>
    <t>hit by a car in Nicosia s motorway (CY) when he was running to escape an inmigration swoop (Jan 4, 2008)</t>
  </si>
  <si>
    <t>Event at Nicosia on Jan 04, 2008</t>
  </si>
  <si>
    <t>IRR/AFP/NOB</t>
  </si>
  <si>
    <t>suicide, hanged himself in sanitary room of det. cr.  Merksplas (B) in fear of deportation (Jan 4, 2008)</t>
  </si>
  <si>
    <t>Event at Merksplas on Jan 04, 2008</t>
  </si>
  <si>
    <t>Hln/IRR/Afrik/MNS/Indymedia/NOB</t>
  </si>
  <si>
    <t>suicide, starved herself to death in asylum seekers  house (GB) after being denied asylum  (Jan 4, 2008)</t>
  </si>
  <si>
    <t>Event at Great Britain on Jan 04, 2008</t>
  </si>
  <si>
    <t>2008-01-03T00:00:00Z</t>
  </si>
  <si>
    <t>Rescued by a fishing boat, the remains of migrants drowned 4, 270 km south of Dakhla, off Cap Barbars (Jan 4, 2008)</t>
  </si>
  <si>
    <t>Event at Dakhla on Jan 03, 2008</t>
  </si>
  <si>
    <t>Panapress</t>
  </si>
  <si>
    <t>http://www.afriquenligne.fr/actualites/societe/maroc:-les-corps-de-4-subsahariens-repeches-au-large-du-sahara-occidental-2008010414472/</t>
  </si>
  <si>
    <t>died after deportation in Oujda s (MA) camp due to inhuman conditions  (Jan 3, 2008)</t>
  </si>
  <si>
    <t>oujda</t>
  </si>
  <si>
    <t>Event at Oujda on Jan 03, 2008</t>
  </si>
  <si>
    <t>suicide, set himself on fire  in detention center of Luxembourg (Jan 3, 2008)</t>
  </si>
  <si>
    <t>luxemburg</t>
  </si>
  <si>
    <t>Event at Luxemburg on Jan 03, 2008</t>
  </si>
  <si>
    <t>ASTI</t>
  </si>
  <si>
    <t>2008-01-02T00:00:00Z</t>
  </si>
  <si>
    <t>drowned, left from Algeria to reach Spain, he was from Tiaret city (DZ) (Jan 2, 2008)</t>
  </si>
  <si>
    <t>tiaret</t>
  </si>
  <si>
    <t>Event at Tiaret on Jan 02, 2008</t>
  </si>
  <si>
    <t>FE/QUOTI</t>
  </si>
  <si>
    <t>drowned, his body found and repatriated from Spain, he was from Rahouia city (DZ) (Jan 2, 2008)</t>
  </si>
  <si>
    <t>rahouia</t>
  </si>
  <si>
    <t>Event at Rahouia on Jan 02, 2008</t>
  </si>
  <si>
    <t>missing, trying to cross the sea to Spain, came from Bethioua s village (DZ) (Jan 2, 2008)</t>
  </si>
  <si>
    <t>bethioua</t>
  </si>
  <si>
    <t>Event at Bethioua on Jan 02, 2008</t>
  </si>
  <si>
    <t>drowned, found in harbor of Bethioua (DZ), trying to reach Europe by boat (Jan 2, 2008)</t>
  </si>
  <si>
    <t>missing, left from Mostaganem (DZ) to reach Spain, all from Tiaret city (DZ) (Jan 2, 2008)</t>
  </si>
  <si>
    <t>Event at Mostaganem on Jan 02, 2008</t>
  </si>
  <si>
    <t>missing, disappeared trying to reach Europe crossing Mediterranean sea (Jan 2, 2008)</t>
  </si>
  <si>
    <t>Event at Algeria To Spain on Jan 02, 2008</t>
  </si>
  <si>
    <t>drowned, after boat capsized off Turkish coast near Didim town trying to reach Europe (Jan 2, 2008)</t>
  </si>
  <si>
    <t>Event at Didim on Jan 02, 2008</t>
  </si>
  <si>
    <t>Xi/NOB</t>
  </si>
  <si>
    <t>no medical care, died lacking adequate health treatment in det. boat Rotterdam (NL) (Jan 2, 2008)</t>
  </si>
  <si>
    <t>rotterdam</t>
  </si>
  <si>
    <t>Event at Rotterdam on Jan 02, 2008</t>
  </si>
  <si>
    <t>Statewatch/IN/IKN</t>
  </si>
  <si>
    <t>2008-01-01T00:00:00Z</t>
  </si>
  <si>
    <t>Event at Oder/Neisse border in 2008</t>
  </si>
  <si>
    <t>2007-09-30T00:00:00Z</t>
  </si>
  <si>
    <t>3Q2007</t>
  </si>
  <si>
    <t>2007 -- 9</t>
  </si>
  <si>
    <t>Spotted a corpse 105 miles southwest of Malta (Oct 1, 2007)</t>
  </si>
  <si>
    <t>Event at Malta on Sep 30, 2007</t>
  </si>
  <si>
    <t>http://www.adnkronos.com/IGN/Cronaca/?id=1.0.1372302542</t>
  </si>
  <si>
    <t>Shipwreck in the province of Balikesir, 16 missing in sea (Oct 1, 2007)</t>
  </si>
  <si>
    <t>balikesir</t>
  </si>
  <si>
    <t>Event at Balikesir on Sep 30, 2007</t>
  </si>
  <si>
    <t>http://www.kuna.net.kw/NewsAgenciesPublicSite/ArticleDetails.aspx?id=1845324&amp;Language=en</t>
  </si>
  <si>
    <t>2007-09-25T00:00:00Z</t>
  </si>
  <si>
    <t>died of exhaustion,  after being rescued trying to swim from Morocco to Ceuta (E) (Sep 25, 2007)</t>
  </si>
  <si>
    <t>Event at Ceuta on Sep 25, 2007</t>
  </si>
  <si>
    <t>EPress</t>
  </si>
  <si>
    <t>Young drowned trying to reach Ceuta swimming (Sep 26, 2007)</t>
  </si>
  <si>
    <t>http://www.europapress.es/noticiasocial.aspx?cod=20070926165043&amp;ch=329</t>
  </si>
  <si>
    <t>manslaughter, Spanish Guard brought him back to MA cutting his inflatable mattress (Sep 25, 2007)</t>
  </si>
  <si>
    <t>Event at Marocco To Spain on Sep 25, 2007</t>
  </si>
  <si>
    <t>Guardian Un./ST/Telegraph/Picum/ELM/MUGAK/EP/Publico/MNS/Can7/ABC/LV/OSF</t>
  </si>
  <si>
    <t>2007-09-24T00:00:00Z</t>
  </si>
  <si>
    <t>reportedly drowned, decomposing bodies found by Ghazaouet coast (DZ), likely on way to E (Sep 24, 2007). From Del Grande's data set (translated): Fished in Ghazaouet bodies in an advanced state of decomposition of 3 young drowned en route to Spain (Sep 25, 2007)</t>
  </si>
  <si>
    <t>ghazaouet</t>
  </si>
  <si>
    <t>Event at Ghazaouet on Sep 24, 2007</t>
  </si>
  <si>
    <t>http://www.toutsurlalgerie.com/contenu.php?id=1157</t>
  </si>
  <si>
    <t>2007-09-23T00:00:00Z</t>
  </si>
  <si>
    <t>drowned, bodies pulled out of the sea near Samos (GR) after wooden boat capsized (Sep 23, 2007). From Del Grande's data set (translated): Recovered the bodies of four migrants drowned off the islands of Samos and Lesvos, including a child (Sep 24, 2007)</t>
  </si>
  <si>
    <t>Event at Samos on Sep 23, 2007</t>
  </si>
  <si>
    <t>http://www.ekathimerini.com/4dcgi/news/content.asp?aid=88185</t>
  </si>
  <si>
    <t>drowned, bodies pulled out of the sea near Chios (GR) after boat capsized (Sep 23, 2007). From Del Grande's data set (translated): Shipwreck off the coast of Kusadasi, on the route to Samos, 5 missing (Sep 24, 2007)</t>
  </si>
  <si>
    <t>sada</t>
  </si>
  <si>
    <t>Event at Sada on Sep 23, 2007</t>
  </si>
  <si>
    <t>http://www.ekathimerini.com/4dcgi/news/content.asp?aid=88172</t>
  </si>
  <si>
    <t>2007-09-22T00:00:00Z</t>
  </si>
  <si>
    <t>body found on board a boat that reached Los Cristianos  harbour, Canary Islands (E)  (Sep 22, 2007)</t>
  </si>
  <si>
    <t>Event at Canary on Sep 22, 2007</t>
  </si>
  <si>
    <t>ElDia/EFE/EP/Can7/ELM</t>
  </si>
  <si>
    <t>2007-09-20T00:00:00Z</t>
  </si>
  <si>
    <t>Driver dies in a car crash in Thessaloniki to escape the police: 9 carrying undocumented migrants to Athens (Sep 21, 2007)</t>
  </si>
  <si>
    <t>Event at Athens on Sep 20, 2007</t>
  </si>
  <si>
    <t>http://www.ekathimerini.com/4dcgi/news/content.asp?aid=88061</t>
  </si>
  <si>
    <t>2007-09-19T00:00:00Z</t>
  </si>
  <si>
    <t>left in a coma after throwing herself out of a window to avoid a police raid in Paris (F) (Sep 19, 2007)</t>
  </si>
  <si>
    <t>Event at Paris on Sep 19, 2007</t>
  </si>
  <si>
    <t>MNS/PICUM/IRR</t>
  </si>
  <si>
    <t>2007-09-18T00:00:00Z</t>
  </si>
  <si>
    <t>suicide, put on fire on Castellon (E) after denial of help for voluntary repatriatiation (Sep 18, 2007)</t>
  </si>
  <si>
    <t>Castellon, spain</t>
  </si>
  <si>
    <t>Event at Castellon, Spain on Sep 18, 2007</t>
  </si>
  <si>
    <t>2007-09-17T00:00:00Z</t>
  </si>
  <si>
    <t>Boat capsizes a mile from Cabo de Gata, Andalusia. Recovered a dead body in Nijar, Almeria, 5 missing (Sep 18, 2007)</t>
  </si>
  <si>
    <t>Event at Gata on Sep 17, 2007</t>
  </si>
  <si>
    <t>http://www.elpais.com/articulo/espana/Hallado/Almeria/cuerpo/inmigrantes/naufragaron/patera/elpepuesp/20070918elpepinac_17/Tes</t>
  </si>
  <si>
    <t>2007-09-16T00:00:00Z</t>
  </si>
  <si>
    <t>Egyptian police shot an Eritrean man as he tried to cross the border with Israel in the central area of __the Sinai peninsula, and kills him (Sep 17, 2007)</t>
  </si>
  <si>
    <t>Event at Sinai, Egypt on Sep 16, 2007</t>
  </si>
  <si>
    <t>http://www.alertnet.org/thenews/newsdesk/L17896530.htm</t>
  </si>
  <si>
    <t>2007-09-15T00:00:00Z</t>
  </si>
  <si>
    <t>missing after boat sank near Cabo de Gata, Almeria (E) (Sep 15, 2007)</t>
  </si>
  <si>
    <t>Event at Gata on Sep 15, 2007</t>
  </si>
  <si>
    <t>EP/ELM/EFE</t>
  </si>
  <si>
    <t>drowned, body found by Civil Guard off Nijar beach (E), likely from Cabo de Gata shipwreck (Sep 15, 2007)</t>
  </si>
  <si>
    <t>2007-09-14T00:00:00Z</t>
  </si>
  <si>
    <t>Spills in Egyptian waters of Edko, near Alexandria, a vessel with 83 passengers directly in Italy, 8 dead (Sep 15, 2007)</t>
  </si>
  <si>
    <t>Event at Alexandria on Sep 14, 2007</t>
  </si>
  <si>
    <t>http://www.iht.com/articles/ap/2007/09/15/africa/ME-GEN-Egypt-Human-Trafficking.php</t>
  </si>
  <si>
    <t>2007-09-13T00:00:00Z</t>
  </si>
  <si>
    <t>drowned, thrown overboard by traffickers near the Pantelleria Isl. (I), sailing from LY (Sep 13, 2007). From Del Grande's data set (translated): Pantelleria, saved 9 men marooned in the sea. Recovered the body of a drowned man (Sep 14, 2007)</t>
  </si>
  <si>
    <t>Event at Pantelleria on Sep 13, 2007</t>
  </si>
  <si>
    <t>http://www.repubblica.it/2007/09/sezioni/cronaca/immigrati-2/immigrati-2/immigrati-2.html</t>
  </si>
  <si>
    <t>2007-09-12T00:00:00Z</t>
  </si>
  <si>
    <t>drowned, after ship capsized off the coast of Edko (Egypt), trying to reach Italy (Sep 12, 2007)</t>
  </si>
  <si>
    <t>edko</t>
  </si>
  <si>
    <t>Event at Edko on Sep 12, 2007</t>
  </si>
  <si>
    <t>IntHeraldTribune</t>
  </si>
  <si>
    <t>died of exhaustion and exposure at Polish border fleeing from Chechnia conflict (Sep 12, 2007). From Del Grande's data set (translated): Three little girls of 6, 10 and 13, froze to die trying to cross on foot, with his mother, the mountains on the border between Ukraine and Poland (Sep 14, 2007)</t>
  </si>
  <si>
    <t>poland</t>
  </si>
  <si>
    <t>Event at Poland on Sep 12, 2007</t>
  </si>
  <si>
    <t>MNS/VK</t>
  </si>
  <si>
    <t>http://www.lorientlejour.com/page.aspx?page=article&amp;id=352421</t>
  </si>
  <si>
    <t>2007-09-11T00:00:00Z</t>
  </si>
  <si>
    <t>Shipwreck off the island of Anjouan, Comoros, a kwassa-kwassa direct the French island of Mayotte: 4 dead, 15 missing (Sep 12, 2007)</t>
  </si>
  <si>
    <t>Event at Mayotte on Sep 11, 2007</t>
  </si>
  <si>
    <t>Jeune Afrique</t>
  </si>
  <si>
    <t>http://www.jeuneafrique.com/jeune_afrique/article_depeche.asp?art_cle=AFP84207desclsuraps0</t>
  </si>
  <si>
    <t>6 found, 44 missing, shipwreck off Dakhla (MA), on way from Mauritania to Canary Isl. (E) (Sep 11, 2007)</t>
  </si>
  <si>
    <t>Event at Dakhla on Sep 11, 2007</t>
  </si>
  <si>
    <t>EP/FE/NOB</t>
  </si>
  <si>
    <t>body found on board a boat that arrived in EL Hierro (E) (Sep 11, 2007)</t>
  </si>
  <si>
    <t>Event at Hierro on Sep 11, 2007</t>
  </si>
  <si>
    <t>2007-09-10T00:00:00Z</t>
  </si>
  <si>
    <t>drowned, after boat was engulfed with fire on way from Banjul (Gambia) to Spain (Sep 10, 2007)</t>
  </si>
  <si>
    <t>gambia</t>
  </si>
  <si>
    <t>Event at Gambia on Sep 10, 2007</t>
  </si>
  <si>
    <t>Afrol/APDA/MUGAK/ELM/Diario de Noticias/LV/Canarias7</t>
  </si>
  <si>
    <t>died in the hospital of Nuadibu (Mauritania), part of group with 49 thrown overboard (Sep 10, 2007)</t>
  </si>
  <si>
    <t>Event at Nuadibu on Sep 10, 2007</t>
  </si>
  <si>
    <t>2007-09-08T00:00:00Z</t>
  </si>
  <si>
    <t>Fished out the body of a man in Sacratif, near Motril (Sep 9, 2007)</t>
  </si>
  <si>
    <t>Event at Sacratif on Sep 08, 2007</t>
  </si>
  <si>
    <t>http://www.abc.es/hemeroteca/historico-09-09-2007/sevilla/Andalucia/hallan-en-un-acantilado-un-cadaver-que-podria-ser-de-un-inmigrante-huido-de-la-patera-de-carchuna_164733150275.html</t>
  </si>
  <si>
    <t>died due to lack insuline 4 weeks after deportation to Mostar (BH) being ill during trip  (Sep 8, 2007)</t>
  </si>
  <si>
    <t>mostar, bosnia and herzegovina</t>
  </si>
  <si>
    <t>Event at Mostar, Bosnia And Herzegovina on Sep 08, 2007</t>
  </si>
  <si>
    <t>2007-09-07T00:00:00Z</t>
  </si>
  <si>
    <t>1 drowned, 1 missing, boat heading to Lesvos (GR) sank off Ayvalik (TR) (Sep 7, 2007)</t>
  </si>
  <si>
    <t>Event at Lesvos on Sep 07, 2007</t>
  </si>
  <si>
    <t>MNS/KI</t>
  </si>
  <si>
    <t>2007-09-06T00:00:00Z</t>
  </si>
  <si>
    <t>Boat gets stuck on a rock about twenty meters from the coast of Agimes on the island of Gran Canaria. The water is two meters deep. Passengers plunge believing touching, but 10 drowned (Sep 7, 2007)</t>
  </si>
  <si>
    <t>Event at Canaria on Sep 06, 2007</t>
  </si>
  <si>
    <t>http://www.elpais.com/articulo/espana/inmigrantes/mueren/ahogados/metros/costa/canaria/naufragar/patera/elpepuesp/20070908elpepinac_1/Tes</t>
  </si>
  <si>
    <t>2007-09-05T00:00:00Z</t>
  </si>
  <si>
    <t>suffocated by gag policemen put in his mouth during deportation from Spain to Nigeria (Sep 5, 2007)</t>
  </si>
  <si>
    <t>niger</t>
  </si>
  <si>
    <t>Event at Niger on Sep 05, 2007</t>
  </si>
  <si>
    <t>EP/ELM/APDHA/ProAsyl/IRR/AN/NBF/SUR/Provincias/MUGAK/EFE</t>
  </si>
  <si>
    <t>drowned trying to reach Greece from Turkey, bodies foud next to Samos (GR) (Sep 5, 2007)</t>
  </si>
  <si>
    <t>Event at Samos on Sep 05, 2007</t>
  </si>
  <si>
    <t>KI/FE/MNS</t>
  </si>
  <si>
    <t>2007-09-02T00:00:00Z</t>
  </si>
  <si>
    <t>Capsizes off the coast of Dakhla, boat departed from Mauritania and live in the Canary Islands. 4 bodies recovered, at least 28 missing (Sep 3, 2007)</t>
  </si>
  <si>
    <t>Event at Dakhla on Sep 02, 2007</t>
  </si>
  <si>
    <t>Bbc</t>
  </si>
  <si>
    <t>http://news.bbc.co.uk/1/hi/world/africa/6975811.stm</t>
  </si>
  <si>
    <t>2007-08-31T00:00:00Z</t>
  </si>
  <si>
    <t>2007 -- 8</t>
  </si>
  <si>
    <t>Boat capsizes 15 miles off the island of Currents, in Pachino (Syracuse), 1 dead and 3 missing (Sep 1, 2007)</t>
  </si>
  <si>
    <t>Syracuse</t>
  </si>
  <si>
    <t>Event at Syracuse on Aug 31, 2007</t>
  </si>
  <si>
    <t>http://www.repubblica.it/2007/07/sezioni/cronaca/immigrati/capopassero/capopassero.html</t>
  </si>
  <si>
    <t>2007-08-29T00:00:00Z</t>
  </si>
  <si>
    <t>drowned, boat capsized while approaching by a Greek tug boat in Malta waters (Aug 29, 2007). From Del Grande's data set (translated): Tug greek rescued migrants 72 miles south of Malta, but their boat capsizes: 25 lost at sea, including 4 women (Aug 30, 2007)</t>
  </si>
  <si>
    <t>Event at Malta on Aug 29, 2007</t>
  </si>
  <si>
    <t>MP/Reu/Gara.net/LV</t>
  </si>
  <si>
    <t>http://it.notizie.yahoo.com/rtrs/20070830/tts-clandestini-malta-ca02f96_2.html</t>
  </si>
  <si>
    <t>Fished out a dead body off the island of Samos (Aug 30, 2007)</t>
  </si>
  <si>
    <t>Event at Samos on Aug 29, 2007</t>
  </si>
  <si>
    <t>http://www.ekathimerini.com/4dcgi/news/content.asp?aid=87254</t>
  </si>
  <si>
    <t>2007-08-28T00:00:00Z</t>
  </si>
  <si>
    <t>suicide, overdose of pills, suffered of depression in asylum seekers  hostel in Rostock (D) (Aug 28, 2007)</t>
  </si>
  <si>
    <t>rostock, germany</t>
  </si>
  <si>
    <t>Event at Rostock, Germany on Aug 28, 2007</t>
  </si>
  <si>
    <t>2007-08-27T00:00:00Z</t>
  </si>
  <si>
    <t>pregnant women died of starvation during the journey from Libya to Italy (Aug 27, 2007). From Del Grande's data set (translated): Rescued off Lampedusa boat adrift for 4 days. In crossing two pregnant women died, their bodies abandoned at sea (Aug 29, 2007)</t>
  </si>
  <si>
    <t>Event at Lampedusa on Aug 27, 2007</t>
  </si>
  <si>
    <t>FE/ilMess/KI</t>
  </si>
  <si>
    <t>http://www.ilmessaggero.it/articolo.php?id=7897&amp;sez=HOME_INITALIA</t>
  </si>
  <si>
    <t>2007-08-24T00:00:00Z</t>
  </si>
  <si>
    <t>reportedly drowned, boat disappear after motor broke down on way to Sicily (I) (Aug 24, 2007). From Del Grande's data set (translated): Boat migrants save man at sea wearing a life jacket, 50 miles off Lampedusa, the only survivor of a boat with 45 people on board, who the night before had capsized after breaking the engine. All missing passengers (Aug 28, 2007)</t>
  </si>
  <si>
    <t>Event at Lampedusa on Aug 24, 2007</t>
  </si>
  <si>
    <t>GARA/VK</t>
  </si>
  <si>
    <t>http://fortresseurope.blogspot.com/2007/09/immigrazione-barcone-clandestini.html</t>
  </si>
  <si>
    <t>Landing in Lampedusa Cala Pisa. Passengers speak of 6 died of starvation in eight days adrift (Aug 25, 2007)</t>
  </si>
  <si>
    <t>http://www.infinitoedizioni.it/index.php?id=121&amp;tx_ttnews%5Btt_news%5D=532&amp;tx_ttnews%5BbackPid%5D=3&amp;cHash=98de22ce18</t>
  </si>
  <si>
    <t>fell passing one balcony to an other attempting to avoid police control Geneva (CH) (Aug 24, 2007)</t>
  </si>
  <si>
    <t>geneva</t>
  </si>
  <si>
    <t>Event at Geneva on Aug 24, 2007</t>
  </si>
  <si>
    <t>MNS/Vivre/TribuneGeneve/LeCourrier</t>
  </si>
  <si>
    <t>2007-08-23T00:00:00Z</t>
  </si>
  <si>
    <t>reportedly drowned, vessel capsized near the town of Cesme (TR) on way to GR (Aug 23, 2007)</t>
  </si>
  <si>
    <t>cesme</t>
  </si>
  <si>
    <t>Event at Cesme on Aug 23, 2007</t>
  </si>
  <si>
    <t>2007-08-22T00:00:00Z</t>
  </si>
  <si>
    <t>Fished a corpse in Mers El Hadjadj, Arzew (Aug 23, 2007)</t>
  </si>
  <si>
    <t>Event at Arzew on Aug 22, 2007</t>
  </si>
  <si>
    <t>http://www.lequotidien-oran.com/index.php?news=504439</t>
  </si>
  <si>
    <t>drowned, disappeared after their boat from Turkey sank off the coast of Chios (GR) (Aug 22, 2007). From Del Grande's data set (translated): Man rescue at sea off the island of Hios, the only survivor of a shipwreck which killed 14 people (Aug 23, 2007)</t>
  </si>
  <si>
    <t>Event at Chios on Aug 22, 2007</t>
  </si>
  <si>
    <t>http://www.ekathimerini.com/4dcgi/news/content.asp?aid=87075</t>
  </si>
  <si>
    <t>The vessel Ophelia, of Mazzara del Vallo, rescues a man at sea, 70 miles south of Lampedusa, the only survivor of a shipwreck which killed 45 people, including a woman (Aug 23, 2007)</t>
  </si>
  <si>
    <t>Event at Vallo on Aug 22, 2007</t>
  </si>
  <si>
    <t>http://www.adnkronos.com/IGN/Cronaca/?id=1.0.1227431464</t>
  </si>
  <si>
    <t>2007-08-20T00:00:00Z</t>
  </si>
  <si>
    <t>starvation and hypothermia, thrown overboard, boat went adrift for 7 days on the way to E (Aug 20, 2007). From Del Grande's data set (translated): 13 people, including 2 minors, died in the crossing to the Canary Islands, after six days adrift, 80 miles south of Gran Canaria. They had departed from the Western Sahara. 11 bodies thrown overboard by his companions travel (Aug 19, 2007)</t>
  </si>
  <si>
    <t>Event at Canary on Aug 20, 2007</t>
  </si>
  <si>
    <t>MUGAK/Diario de Navarra/LV/PerCat/ABC/SUR/Provincias/ElDia/Vasco/ELM</t>
  </si>
  <si>
    <t>http://www.elpais.com/articulo/espana/inmigrantes/patera/naufragada/Fuerteventura/aseguran/arrojaron/mar/cadaveres/elpepuesp/20070820elpepunac_2/Tes</t>
  </si>
  <si>
    <t>hypothermia, died in the hospital in Gran Canaria (E) after boat went adrift for 7 days (Aug 20, 2007)</t>
  </si>
  <si>
    <t>Event at Canaria on Aug 20, 2007</t>
  </si>
  <si>
    <t>died of dehydration and hypothermia during trip from Sahara Occ to Canary Isl (E) (Aug 20, 2007)</t>
  </si>
  <si>
    <t>EP/ELM/Deia</t>
  </si>
  <si>
    <t>starvation, bodies thrown overboard found by military pilots 60 miles to Lampedusa (I) (Aug 20, 2007). From Del Grande's data set (translated): The ship Sibyl Navy recovers 5 of the 6 bodies sighted in the sea from the Atlantic patrol vessel, 60 miles south of the island of Lampedusa (Aug 22, 2007)</t>
  </si>
  <si>
    <t>Event at Lampedusa on Aug 20, 2007</t>
  </si>
  <si>
    <t>ANSA/FE/LR/INF/MAG/CDS</t>
  </si>
  <si>
    <t>http://www.corriere.it/Primo_Piano/Cronache/2007/08_Agosto/21/immigrati_cadaveri_lampedusa.shtml</t>
  </si>
  <si>
    <t>starvation and hypothermia, body found on boat that went adrift for 7 days on the way to E (Aug 20, 2007)</t>
  </si>
  <si>
    <t>Event at Spanish Coast on Aug 20, 2007</t>
  </si>
  <si>
    <t>Festus Okey, a Nigerian migrant, was shot while in a police station.</t>
  </si>
  <si>
    <t>Beyoƒülu police station, istanbul</t>
  </si>
  <si>
    <t>Festus Okey shot in Istanbul in August 2007</t>
  </si>
  <si>
    <t>Radikal</t>
  </si>
  <si>
    <t>2007-08-19T00:00:00Z</t>
  </si>
  <si>
    <t>illegal worker jumped from building trying to avoid police arrest, Thessaloniki (GR) (Aug 19, 2007)</t>
  </si>
  <si>
    <t>thessaloniki</t>
  </si>
  <si>
    <t>Event at Thessaloniki on Aug 19, 2007</t>
  </si>
  <si>
    <t>MNS/EarthT</t>
  </si>
  <si>
    <t>2007-08-18T00:00:00Z</t>
  </si>
  <si>
    <t>died of hypothermia and dehydration, found on boat that landed in Gran Canaria (E) (Aug 18, 2007)</t>
  </si>
  <si>
    <t>Event at Canaria on Aug 18, 2007</t>
  </si>
  <si>
    <t>ELM/Verdad/EP/LV/ElDia</t>
  </si>
  <si>
    <t>died of starvation, dehydratation and hypotermia on a boat going to Fuerteventura (E) (Aug 18, 2007)</t>
  </si>
  <si>
    <t>Event at Fuerteventura on Aug 18, 2007</t>
  </si>
  <si>
    <t>EP/MNS</t>
  </si>
  <si>
    <t>2007-08-16T00:00:00Z</t>
  </si>
  <si>
    <t>6 drowned, 5 missing, boat capsized near Izmir (TR) trying to reach Greece (Aug 16, 2007). From Del Grande's data set (translated): Shipwreck a few hundred meters from the coast of Izmir, on the routes to the Greek island of Hios. 6 dead and 5 missing (Aug 17, 2007)</t>
  </si>
  <si>
    <t>Event at Izmir on Aug 16, 2007</t>
  </si>
  <si>
    <t>http://www.ekathimerini.com/4dcgi/news/content.asp?aid=86879</t>
  </si>
  <si>
    <t>2007-08-13T00:00:00Z</t>
  </si>
  <si>
    <t>bodies found by military pilots floating in sea near Lampedusa (I), wearing life jackets    (Aug 13, 2007)</t>
  </si>
  <si>
    <t>Event at Lampedusa on Aug 13, 2007</t>
  </si>
  <si>
    <t>MAG/CDS</t>
  </si>
  <si>
    <t>at least 15 people died, recovered from the sea near the island of Lampedusa (I) (Aug 13, 2007). From Del Grande's data set (translated): 14 corpses sighted in the sea, 55 miles south of Lampedusa, off the plane in Atlantic patrol service (Aug 15, 2007)</t>
  </si>
  <si>
    <t>http://www.corriere.it/Primo_Piano/Cronache/2007/08_Agosto/14/clandestini_lampedusa_morti.shtml</t>
  </si>
  <si>
    <t>stowaways, died after truck carrying 34 migrants capsized near Yukari Bakracli (TR)  (Aug 13, 2007). From Del Grande's data set (translated): Car accident Yukari Bakracli in the eastern province of Van. Truck spills load of migrants, 2 dead and 32 injured (Aug 14, 2007)</t>
  </si>
  <si>
    <t>yukari</t>
  </si>
  <si>
    <t>Event at Yukari on Aug 13, 2007</t>
  </si>
  <si>
    <t>Anatolian</t>
  </si>
  <si>
    <t>http://www.thenewanatolian.com/tna-28252.html</t>
  </si>
  <si>
    <t>2007-08-12T00:00:00Z</t>
  </si>
  <si>
    <t>missing, boat sank off Mayotte Island (F) in Indian Ocean from Comoros Islands (Aug 12, 2007)</t>
  </si>
  <si>
    <t>Event at Mayotte on Aug 12, 2007</t>
  </si>
  <si>
    <t>LeMonde</t>
  </si>
  <si>
    <t>drowned, boat sank off Mayotte Island (F) in Indian Ocean from Comoros Islands (Aug 12, 2007). From Del Grande's data set (translated): Sinking boat coming from the Comoros Islands and directed the French island of Mayotte, in the Indian Ocean. Recovered 17 bodies, including those of 8 children, 19 are still missing (Aug 13, 2007)</t>
  </si>
  <si>
    <t>http://www.lemonde.fr/web/article/0</t>
  </si>
  <si>
    <t>2007-08-11T00:00:00Z</t>
  </si>
  <si>
    <t>found in advanced state of decomposition on board of boat in Dakar on way to E (Aug 11, 2007)</t>
  </si>
  <si>
    <t>Event at Dakar on Aug 11, 2007</t>
  </si>
  <si>
    <t>SudQ</t>
  </si>
  <si>
    <t>Recovered south of Lampedusa the body of a man drowned (Aug 12, 2007)</t>
  </si>
  <si>
    <t>Event at Lampedusa on Aug 11, 2007</t>
  </si>
  <si>
    <t>http://www.adnkronos.com/IGN/Cronaca/?id=1.0.1200295430</t>
  </si>
  <si>
    <t>reportedly drowned, found in advanced state of decomposition, wearing life jacket  (Aug 11, 2007)</t>
  </si>
  <si>
    <t>Algeria to Algeria</t>
  </si>
  <si>
    <t>Event at Algeria To Algeria on Aug 11, 2007</t>
  </si>
  <si>
    <t>QUOTI</t>
  </si>
  <si>
    <t>51 found, 35 missing, drowned off Seferihisar (TR) after their overloaded boat sank  (Aug 11, 2007)</t>
  </si>
  <si>
    <t>seferihisar</t>
  </si>
  <si>
    <t>Event at Seferihisar on Aug 11, 2007</t>
  </si>
  <si>
    <t>ICARE/BBC/GuardianUN/SP/TheGlobe/DPS/IntHeraldTribune/PrensaLibre/Mugak/PrensaGrafica/TDN/AP/CNN/UNHCR/MNS/NOB</t>
  </si>
  <si>
    <t>2007-08-10T00:00:00Z</t>
  </si>
  <si>
    <t>Recovered a dead body in the sea during the rescue operation of a boat carrying more than 250 passengers, 28 miles south of Lampedusa (Aug 11, 2007)</t>
  </si>
  <si>
    <t>Event at Lampedusa on Aug 10, 2007</t>
  </si>
  <si>
    <t>http://www.ansa.it/site/notizie/awnplus/italia/news/2007-08-11_111114408.html</t>
  </si>
  <si>
    <t>A boat capsizes at sea, 60 miles south of the island. Spanish rescued cruise ship Jules Verne, 11 are missing at sea (Aug 11, 2007)</t>
  </si>
  <si>
    <t>Event at Malta on Aug 10, 2007</t>
  </si>
  <si>
    <t>http://www.timesofmalta.com/core/article.php?id=270989</t>
  </si>
  <si>
    <t>A Russian cargo ship rescues boat adrift 50 miles south of the island. According to the survivors, a man died during the crossing (Aug 11, 2007)</t>
  </si>
  <si>
    <t>shot and killed by border guard trying to cross into northwestern Greece (Aug 10, 2007)</t>
  </si>
  <si>
    <t>Event at Greece on Aug 10, 2007</t>
  </si>
  <si>
    <t>Reu./PICUM</t>
  </si>
  <si>
    <t>Gjon Kusani, 28, Albanian, dies of a heart attack while walking across the Trieste Karst, to pass the border illegally Slovenia-Italy (Aug 11, 2007)</t>
  </si>
  <si>
    <t>Event at Albania on Aug 10, 2007</t>
  </si>
  <si>
    <t>Il Piccolo</t>
  </si>
  <si>
    <t>http://espresso.repubblica.it/dettaglio-local//1718827</t>
  </si>
  <si>
    <t>2007-08-09T00:00:00Z</t>
  </si>
  <si>
    <t>drowned,3 missing, coast guard found boat with 117 illegal migrants near Zakynthos Isl. (GR) (Aug 9, 2007)</t>
  </si>
  <si>
    <t>Zakynthos, greece</t>
  </si>
  <si>
    <t>Event at Zakynthos, Greece on Aug 09, 2007</t>
  </si>
  <si>
    <t>Shipwreck off the coast of Ayvalik, in Balikesir province, on the routes to the island of Lesvos. One dead and one missing (Aug 10, 2007)</t>
  </si>
  <si>
    <t>Event at Lesvos on Aug 09, 2007</t>
  </si>
  <si>
    <t>http://www.ekathimerini.com/4dcgi/news/content.asp?aid=86664</t>
  </si>
  <si>
    <t>2007-08-08T00:00:00Z</t>
  </si>
  <si>
    <t>body found in the coast of Motril (E), reportedly came from a boat intercepted days before (Aug 8, 2007)</t>
  </si>
  <si>
    <t>Event at Motril, Spain on Aug 08, 2007</t>
  </si>
  <si>
    <t>Boat capsizes 35 miles south of Capo Passero, Syracuse. A drowned (Aug 9, 2007)</t>
  </si>
  <si>
    <t>Event at Capo on Aug 08, 2007</t>
  </si>
  <si>
    <t>http://www.adnkronos.com/IGN/Cronaca/?id=1.0.1193458648</t>
  </si>
  <si>
    <t>2007-08-06T00:00:00Z</t>
  </si>
  <si>
    <t>drowned, body found from the Armed Forces of Malta in Maltese waters  (Aug 6, 2007)</t>
  </si>
  <si>
    <t>Event at Malta on Aug 06, 2007</t>
  </si>
  <si>
    <t>Port of Algeciras: a man clinging under a truck to land secretly in Spain, loses his grip and dies crushed by the wheels of the vehicle (Aug 7, 2007)</t>
  </si>
  <si>
    <t>Event at Algeciras on Aug 06, 2007</t>
  </si>
  <si>
    <t>http://www.elpais.com/articulo/espana/Muere/inmigrante/Algeciras/caer/bajos/camion/viajaba/oculto/ser/atropellado/elpepuesp/20070808elpepunac_5/Tes</t>
  </si>
  <si>
    <t>2007-08-03T00:00:00Z</t>
  </si>
  <si>
    <t>Two men reach to Pantelleria swimming after the overthrow of the boat. Lost at sea 3 companions (Aug 4, 2007)</t>
  </si>
  <si>
    <t>Event at Pantelleria on Aug 03, 2007</t>
  </si>
  <si>
    <t>http://www.adnkronos.com/IGN/Regioni/Sicilia.php?id=1.0.1177773888</t>
  </si>
  <si>
    <t>2007-08-02T00:00:00Z</t>
  </si>
  <si>
    <t>found on boat near Tenerife (E) on way from Mauritania (Aug 2, 2007)</t>
  </si>
  <si>
    <t>Event at Tenerife on Aug 02, 2007</t>
  </si>
  <si>
    <t>EP/FE/Reu/EITB24</t>
  </si>
  <si>
    <t>2007-08-01T00:00:00Z</t>
  </si>
  <si>
    <t>Sinking boat off the coast of Samos, dies drowned a woman of 27 years (Aug 2, 2007)</t>
  </si>
  <si>
    <t>Event at Samos on Aug 01, 2007</t>
  </si>
  <si>
    <t>http://www.ekathimerini.com/4dcgi/news/content.asp?aid=86467</t>
  </si>
  <si>
    <t>2007-07-30T00:00:00Z</t>
  </si>
  <si>
    <t>2007 -- 7</t>
  </si>
  <si>
    <t>The Moroccan border police opened fire on a group of 37 people at the time of embarkation to the Canary Islands, on the coast of El 'Ayun and kills 2 people. Two injured in hospital of El 'Ayun. The others are arrested (Jul 31, 2007)</t>
  </si>
  <si>
    <t>ayun</t>
  </si>
  <si>
    <t>Event at 'Ayun on Jul 30, 2007</t>
  </si>
  <si>
    <t>Afrik</t>
  </si>
  <si>
    <t>http://www.afrik.com/article12221.html</t>
  </si>
  <si>
    <t>2007-07-29T00:00:00Z</t>
  </si>
  <si>
    <t>reportedly drowned, boat sank between island Mayotte (F) and Comoros Islands  (Jul 29, 2007)</t>
  </si>
  <si>
    <t>Event at Mayotte on Jul 29, 2007</t>
  </si>
  <si>
    <t>died in Mayotte hospital (F) after boat sank between Mayotte (F) and Comoros Islands (Jul 29, 2007)</t>
  </si>
  <si>
    <t>2007-07-27T00:00:00Z</t>
  </si>
  <si>
    <t>1 found, at least 7 missing; 21 migrants found on tuna pen near Libya  (Jul 27, 2007)</t>
  </si>
  <si>
    <t>Event at Libya on Jul 27, 2007</t>
  </si>
  <si>
    <t>Lost track of a vessel with 25 passengers on board, probably sank in stormy seas between Libya and Malta, after having sounded the alarm (Jul 28, 2007)</t>
  </si>
  <si>
    <t>Event at Malta on Jul 27, 2007</t>
  </si>
  <si>
    <t>http://www.timesofmalta.com/core/article.php?id=269443</t>
  </si>
  <si>
    <t>2007-07-26T00:00:00Z</t>
  </si>
  <si>
    <t>A dead on a boat drifting for 10 days on routes to Sardinia, rescued off Tabarqa (Jul 27, 2007)</t>
  </si>
  <si>
    <t>Event at Sardinia on Jul 26, 2007</t>
  </si>
  <si>
    <t>http://www.algerfree.com/news/un-mort-et-sept-survivants-algeriens-au-large-de-la-Tunisie.html</t>
  </si>
  <si>
    <t>2007-07-25T00:00:00Z</t>
  </si>
  <si>
    <t>Fished out a dead body on the coast of Arzew, near Oran (Jul 26, 2007)</t>
  </si>
  <si>
    <t>Event at Oran on Jul 25, 2007</t>
  </si>
  <si>
    <t>http://www.lequotidien-oran.com/index.php?news=503381</t>
  </si>
  <si>
    <t>2007-07-24T00:00:00Z</t>
  </si>
  <si>
    <t>unknown death's reason, 3 among 46 persons on board died on the way from LY to  I (Jul 24, 2007)</t>
  </si>
  <si>
    <t>Event at Libya on Jul 24, 2007</t>
  </si>
  <si>
    <t>drowned, at least 9 died after two vessels from Libya sank off the coast of Sicily (I) (Jul 24, 2007). From Del Grande's data set (translated): Nine missing after the overthrow of a boat at the boundary between the Italian and Maltese waters (Jul 25, 2007)</t>
  </si>
  <si>
    <t>Event at Sicily on Jul 24, 2007</t>
  </si>
  <si>
    <t>Recovered a body near the small boat overturned, 18 miles south of Capo Passero, Syracuse. No trace of the other passengers, perhaps drowned (Jul 25, 2007)</t>
  </si>
  <si>
    <t>Event at Capo on Jul 24, 2007</t>
  </si>
  <si>
    <t>La Sicilia</t>
  </si>
  <si>
    <t>http://www.lasicilia.it/articoli.nsf/%28ArchivioLaSiciliait%29/67DB96764E171BFEC1257323003BD1C2?OpenDocument</t>
  </si>
  <si>
    <t>2007-07-22T00:00:00Z</t>
  </si>
  <si>
    <t>2 died, 27 missing, boat sank off Mayotte Island (F) in Indian Ocean from Comoros Islands (Jul 22, 2007). From Del Grande's data set (translated): Sinking boat coming from the Comoros Islands and directed the French island of Mayotte, in the Indian Ocean. Two dead and 27 missing (Jul 21, 2007)</t>
  </si>
  <si>
    <t>Event at Mayotte on Jul 22, 2007</t>
  </si>
  <si>
    <t>Capsizes 80 miles off the Libyan coast, fishing boat rescued from Mazara "Savior Cristina", 2 dead (Jul 23, 2007)</t>
  </si>
  <si>
    <t>Event at Mazara on Jul 22, 2007</t>
  </si>
  <si>
    <t>http://www.repubblica.it/2007/07/sezioni/cronaca/immigrati/immigrati/immigrati.html</t>
  </si>
  <si>
    <t>Egyptian police opened fire on a group of 26 migrants along the Israeli border, 15 km south of Rafah. A Sudanese woman killed dies (Jul 23, 2007)</t>
  </si>
  <si>
    <t>Event at Rafah on Jul 22, 2007</t>
  </si>
  <si>
    <t>http://platform.blogs.com/passionofthepresent/2007/07/sudanese-man-sh.html</t>
  </si>
  <si>
    <t>drowned, 2 found, 1 missing near the coasts of Malta (Jul 22, 2007)</t>
  </si>
  <si>
    <t>Event at Malta on Jul 22, 2007</t>
  </si>
  <si>
    <t>2007-07-21T00:00:00Z</t>
  </si>
  <si>
    <t>Shipwreck in the waters of Naa'ila, 150 km north of El 'Ayun, on routes to the Canary Islands. 2 bodies fished out, at least 40 missing, all Saharawi (Jul 22, 2007)</t>
  </si>
  <si>
    <t>Event at 'Ayun on Jul 21, 2007</t>
  </si>
  <si>
    <t>Alter Forum</t>
  </si>
  <si>
    <t>http://fortresseurope.blogspot.com/2007/07/sahara-occidentale-2-morti-e-40.html</t>
  </si>
  <si>
    <t>drowned, 80 km from Libyan coast after their boat collided with a fisher boat (Jul 21, 2007)</t>
  </si>
  <si>
    <t>Event at Libyan on Jul 21, 2007</t>
  </si>
  <si>
    <t>Tips, 30 miles south of Malta, Maltese vessel rescued by the Navy. Two dead, one missing (Jul 22, 2007)</t>
  </si>
  <si>
    <t>Event at Malta on Jul 21, 2007</t>
  </si>
  <si>
    <t>http://www.timesofmalta.com/core/article.php?id=269156&amp;hilite=migrant</t>
  </si>
  <si>
    <t>2007-07-18T00:00:00Z</t>
  </si>
  <si>
    <t>drowned, 150 miles south Tenerife (E) in rough sea while Spanish boat tried to rescue them (Jul 18, 2007). From Del Grande's data set (translated): Canoe capsizes at sea during the rescue operation, 90 miles south of the Canary Island of Tenerife. At least 88 victims, all scattered at sea (Jul 18, 2007)</t>
  </si>
  <si>
    <t>Event at Tenerife on Jul 18, 2007</t>
  </si>
  <si>
    <t>Guardian Un./BBC/DS/AP/FR/VK/LR/MNS/EP/Raz/Mugak/SP/NOB/Berliner Zitg/EP</t>
  </si>
  <si>
    <t>http://www.diariosur.es/20070906/espana/archivan-querella-contra-salvamento-20070906.html</t>
  </si>
  <si>
    <t>3 bodies recovered 90 miles south of Tenerife, in the area of __the sinking (Jul 19, 2007)</t>
  </si>
  <si>
    <t>http://www.elpais.com/articulo/espana/dispositivo/busqueda/desplegado/ha/recuperado/cuerpos/inmigrantes/naufragados/elpepuesp/20070719elpepunac_2/Tes</t>
  </si>
  <si>
    <t>2007-07-17T00:00:00Z</t>
  </si>
  <si>
    <t>drowned, 4 died, 12 missing when boat sank 40 miles south of Lampedusa (I) (Jul 17, 2007). From Del Grande's data set (translated): Shipwreck 187 miles south of Lampedusa. The Italian fishing boat Monastir, gets shipwrecked and a corpse. 11 missing (Jul 18, 2007)</t>
  </si>
  <si>
    <t>Event at Lampedusa on Jul 17, 2007</t>
  </si>
  <si>
    <t>MNS/Reu/LR</t>
  </si>
  <si>
    <t>http://www.repubblica.it/2007/07/sezioni/cronaca/peschereccio-allarme/peschereccio-allarme/peschereccio-allarme.html</t>
  </si>
  <si>
    <t>Tips vessel 40 miles south of Lampedusa. Sphinx recovered from the ship of the Navy, the bodies of 4 drowned, including that of a child (Jul 18, 2007)</t>
  </si>
  <si>
    <t>2007-07-16T00:00:00Z</t>
  </si>
  <si>
    <t>drowned 1 found, 11 missing trying to embark on Italian fishing boat near Libya (Jul 16, 2007)</t>
  </si>
  <si>
    <t>Event at Libya on Jul 16, 2007</t>
  </si>
  <si>
    <t>HNS/Migreurop/MSN</t>
  </si>
  <si>
    <t>body found in a boat sailing for 10 days from Mauritania to Tenerife (E) (Jul 16, 2007). From Del Grande's data set (translated): Landing in the Canary Islands, Los Cristianos. A dead aboard the pirogue (Jul 17, 2007)</t>
  </si>
  <si>
    <t>Event at Tenerife on Jul 16, 2007</t>
  </si>
  <si>
    <t>EP/EPress</t>
  </si>
  <si>
    <t>http://www.elpais.com/articulo/sociedad/Llega/Tenerife/cayuco/56/inmigrantes/muerto/elpepusoc/20070717elpepusoc_5/Tes</t>
  </si>
  <si>
    <t>2007-07-15T00:00:00Z</t>
  </si>
  <si>
    <t>Landed in Lampedusa, a witness said he counted 34 dead bodies in the desert between Madama and the Libyan border to Toumou, a month earlier. Deaths dehydrated, it is unclear whether the journey to Libya as if following the expulsion from Libya. No trace of the car they were traveling on board the (Jul 16, 2007)</t>
  </si>
  <si>
    <t>Event at Lampedusa on Jul 15, 2007</t>
  </si>
  <si>
    <t>http://fortresseurope.blogspot.com/2006/01/luglio-2006.html</t>
  </si>
  <si>
    <t>2007-07-13T00:00:00Z</t>
  </si>
  <si>
    <t>stowaways froze to death, found near Mestre (Italy) hidden in truck going to Germany (Jul 13, 2007). From Del Grande's data set (translated): Found in Mestre, the bodies of three young people died of asphyxiation in the cell of a refrigerator truck and started from Greece to Germany (Jul 14, 2007)</t>
  </si>
  <si>
    <t>Mestre, italy</t>
  </si>
  <si>
    <t>Event at Mestre, Italy on Jul 13, 2007</t>
  </si>
  <si>
    <t>LR/Unita/CDS/Tgcom/AP/MNS</t>
  </si>
  <si>
    <t>http://www.repubblica.it/2007/07/sezioni/cronaca/mestre-clandestini-morti/mestre-clandestini-morti/mestre-clandestini-morti.html</t>
  </si>
  <si>
    <t>2007-07-11T00:00:00Z</t>
  </si>
  <si>
    <t>body found on boat that landed on Crete (GR), the vessel disembarked from Egypt (Jul 11, 2007)</t>
  </si>
  <si>
    <t>Event at Crete on Jul 11, 2007</t>
  </si>
  <si>
    <t>AthensNewsAgency/NOB</t>
  </si>
  <si>
    <t>suicide, asylum seeker set himself on fire in the Town Hall of Haren (NL) (Jul 11, 2007)</t>
  </si>
  <si>
    <t>Haren, netherland</t>
  </si>
  <si>
    <t>Event at Haren, Netherland on Jul 11, 2007</t>
  </si>
  <si>
    <t>NRC/Nopoliceraid/AD</t>
  </si>
  <si>
    <t>2007-07-10T00:00:00Z</t>
  </si>
  <si>
    <t>died of starvation and dehydration, boat motor broke down on way from Senegal to E (Jul 10, 2007)</t>
  </si>
  <si>
    <t>Event at Senegal on Jul 10, 2007</t>
  </si>
  <si>
    <t>ELM/DiarioVasco/Diario de Navarra/MNS/Diario de Noticias/ABC/PUB/ELC/MUGAK/APDHA/PICUM/Vivre</t>
  </si>
  <si>
    <t>2007-07-08T00:00:00Z</t>
  </si>
  <si>
    <t>at least 10 people drowned after their boat capsized off the island of Gran Canaria (E) (Jul 8, 2007)</t>
  </si>
  <si>
    <t>Event at Canaria on Jul 08, 2007</t>
  </si>
  <si>
    <t>MNS/BBC</t>
  </si>
  <si>
    <t>2007-07-07T00:00:00Z</t>
  </si>
  <si>
    <t>stowaway, crushed to death under the weels of a lorry leaving the port of Algeciras (E) (Jul 7, 2007)</t>
  </si>
  <si>
    <t>Event at Algeciras on Jul 07, 2007</t>
  </si>
  <si>
    <t>2007-07-06T00:00:00Z</t>
  </si>
  <si>
    <t>drowned, body found in advanced state of decomposition near Marsascala (M) (Jul 6, 2007). From Del Grande's data set (translated): Fished in the sea the bodies of two drowned men, one 110 miles off the island, the other in the bay of Marsascala (Jul 8, 2007)</t>
  </si>
  <si>
    <t>marsascala</t>
  </si>
  <si>
    <t>Event at Marsascala on Jul 06, 2007</t>
  </si>
  <si>
    <t>http://www.maltamedia.com/artman2/publish/law_order/article_2601.shtml</t>
  </si>
  <si>
    <t>car accident fleeing from the police, trying to cross the border from (F) to (GB)  (Jul 6, 2007). From Del Grande's data set (translated): Twenties live in England, died hit by a car fleeing from police in Calais (Jul 8, 2007)</t>
  </si>
  <si>
    <t>Event at Calais on Jul 06, 2007</t>
  </si>
  <si>
    <t>Salam</t>
  </si>
  <si>
    <t>http://associationsalam.org/infos/index.php?2007/07/08/364-elle-aurait-eu-20-ans-dans-3-mois</t>
  </si>
  <si>
    <t>2007-07-05T00:00:00Z</t>
  </si>
  <si>
    <t>died of malaria after being deported from Germany to Luanda (Angola) (Jul 5, 2007)</t>
  </si>
  <si>
    <t>angola</t>
  </si>
  <si>
    <t>Event at Angola on Jul 05, 2007</t>
  </si>
  <si>
    <t>2007-07-04T00:00:00Z</t>
  </si>
  <si>
    <t>died in hospital in E after being rescued in the sea next to Gibraltar by a British ship (Jul 4, 2007)</t>
  </si>
  <si>
    <t>Event at Gibraltar on Jul 04, 2007</t>
  </si>
  <si>
    <t>IRR/TheHerald/SC</t>
  </si>
  <si>
    <t>died of starvation, found on a dinghy next to Palermo coast (I)  (Jul 4, 2007)</t>
  </si>
  <si>
    <t>palermo</t>
  </si>
  <si>
    <t>Event at Palermo on Jul 04, 2007</t>
  </si>
  <si>
    <t>ANSA/LR/Unita/MP/Alicenews</t>
  </si>
  <si>
    <t>2007-07-03T00:00:00Z</t>
  </si>
  <si>
    <t>Landing in the Canary Islands, Tenerife. Two dead aboard boat (Jul 4, 2007)</t>
  </si>
  <si>
    <t>Event at Tenerife on Jul 03, 2007</t>
  </si>
  <si>
    <t>http://www.elpais.com/articulo/internacional/muertos/patera/llegada/noche/costas/canarias/elpepuesp/20070704elpepuint_13/Tes</t>
  </si>
  <si>
    <t>The Tunisian coast guard fished 20 dead bodies off of Ben Guerdane, on the border with Libya, victims of a shipwreck on the routes to Sicily (Jul 4, 2007)</t>
  </si>
  <si>
    <t>Event at Tunis on Jul 03, 2007</t>
  </si>
  <si>
    <t>2007-07-02T00:00:00Z</t>
  </si>
  <si>
    <t>Boat rescued off the coast of Arzew, on routes to Spain, 4 missing at sea (Jul 3, 2007)</t>
  </si>
  <si>
    <t>Event at Arzew on Jul 02, 2007</t>
  </si>
  <si>
    <t>http://www.lequotidien-oran.com/index.php?news=502488</t>
  </si>
  <si>
    <t>2007-06-29T00:00:00Z</t>
  </si>
  <si>
    <t>2Q2007</t>
  </si>
  <si>
    <t>2007 -- 6</t>
  </si>
  <si>
    <t>drowned in waters between Libya and Malta after the boat sank (Jun 29, 2007)</t>
  </si>
  <si>
    <t>Event at Malta on Jun 29, 2007</t>
  </si>
  <si>
    <t>taz/MNS</t>
  </si>
  <si>
    <t>2007-06-28T00:00:00Z</t>
  </si>
  <si>
    <t>27 castaways rescued in Libyan waters from Icelandic fishing Eyborg. Recovered the body of a drowned woman, 7 missing (Jun 29, 2007)</t>
  </si>
  <si>
    <t>Event at Libyan on Jun 28, 2007</t>
  </si>
  <si>
    <t>http://www.timesofmalta.com/core/article.php?id=266590&amp;hilite=migrant</t>
  </si>
  <si>
    <t>Recovered the body of a drowned man, 10 miles south of Lampedusa (Jun 29, 2007)</t>
  </si>
  <si>
    <t>Event at Lampedusa on Jun 28, 2007</t>
  </si>
  <si>
    <t>http://newscontrol.repubblica.it/item/333913/clandestini-cadavere-recuperato-al-largo-di-lampedusa</t>
  </si>
  <si>
    <t>The 23 castaways rescued yesterday, 60 miles south of Lampedusa, talk about 4 missing at sea: a man, two women and a child. Yesterday, a Maltese tug had recovered the body of a woman (Jun 29, 2007)</t>
  </si>
  <si>
    <t>http://it.notizie.yahoo.com/adnkxml/20070628/tit-immigrati-clandestini-soccorsi-a-lar-afde0ec_1.html</t>
  </si>
  <si>
    <t>suicide, after asylum claim rejected, left alone to face her desperate life without status  (Jun 28, 2007)</t>
  </si>
  <si>
    <t>Event at Netherland on Jun 28, 2007</t>
  </si>
  <si>
    <t>SVZV</t>
  </si>
  <si>
    <t>2007-06-27T00:00:00Z</t>
  </si>
  <si>
    <t>Fished, 8 miles off the coast of Dingli, a corpse of a drowned man, in an advanced state of decomposition (Jun 28, 2007)</t>
  </si>
  <si>
    <t>Dingli</t>
  </si>
  <si>
    <t>Event at Dingli on Jun 27, 2007</t>
  </si>
  <si>
    <t>http://www.timesofmalta.com/core/article.php?id=266424&amp;hilite=migrant</t>
  </si>
  <si>
    <t>Tug Malta rescues 23 castaways clinging to tuna cages. A woman dies (Jun 28, 2007)</t>
  </si>
  <si>
    <t>Event at Malta on Jun 27, 2007</t>
  </si>
  <si>
    <t>http://www.ansa.it/site/notizie/regioni/sicilia/news/2007-06-28_12879108.html</t>
  </si>
  <si>
    <t>died of starvation and dehydration, bodies thrown overboard on the way to Italy  (Jun 27, 2007). From Del Grande's data set (translated): Landing in Pozzallo, Ragusa. Passengers speak of 3 died during the crossing. Their bodies were abandoned at sea (Jun 29, 2007)</t>
  </si>
  <si>
    <t>Event at Ragusa on Jun 27, 2007</t>
  </si>
  <si>
    <t>2007-06-26T00:00:00Z</t>
  </si>
  <si>
    <t>found death in a boat at 400 m. from Gran Canaria (E) with other 62 survivors (Jun 26, 2007). From Del Grande's data set (translated): Landing in Gran Canaria, one died on board the pirogue (Jun 27, 2007)</t>
  </si>
  <si>
    <t>Event at Canaria on Jun 26, 2007</t>
  </si>
  <si>
    <t>ELM/EFE</t>
  </si>
  <si>
    <t>http://www.elmundo.es/elmundo/2007/06/27/espana/1182926761.html</t>
  </si>
  <si>
    <t>hanged himself in deportation custody in Frankfurt (D) after knowing he should be deported  (Jun 26, 2007)</t>
  </si>
  <si>
    <t>frankfurt</t>
  </si>
  <si>
    <t>Event at Frankfurt on Jun 26, 2007</t>
  </si>
  <si>
    <t>FL/jW/IRR</t>
  </si>
  <si>
    <t>2007-06-25T00:00:00Z</t>
  </si>
  <si>
    <t>Landing in Malta, passengers say they have abandoned at sea the bodies of two men who died of starvation during a voyage of seven days (Jun 26, 2007)</t>
  </si>
  <si>
    <t>Event at Malta on Jun 25, 2007</t>
  </si>
  <si>
    <t>http://www.timesofmalta.com/core/article.php?id=266201&amp;hilite=migrant</t>
  </si>
  <si>
    <t>Recovered at sea the body of a drowned woman, about a mile from the port of Mgarr, Island of Gozo (Jun 26, 2007)</t>
  </si>
  <si>
    <t>Island of Gozo</t>
  </si>
  <si>
    <t>Event at Island Of Gozo on Jun 25, 2007</t>
  </si>
  <si>
    <t>Landing in Sicily, Capo Passero, Syracuse. Passengers said they had thrown overboard the bodies of a child, a man and a woman, died of starvation during a voyage lasted 12 days (Jun 26, 2007)</t>
  </si>
  <si>
    <t>Event at Capo on Jun 25, 2007</t>
  </si>
  <si>
    <t>http://www.repubblica.it/2007/05/sezioni/cronaca/sbarchi-immigrati/morti-in-mare/morti-in-mare.html</t>
  </si>
  <si>
    <t>2007-06-21T00:00:00Z</t>
  </si>
  <si>
    <t>reportedly drowned, missing after boat capsized near Lampedusa (I)  (Jun 21, 2007). From Del Grande's data set (translated): The Italian Valeria fishing boat rescues man clinging to a capsized boat, 80 miles south of Malta. At sea for three days, the man speaks of the other 24 passengers drowned (Jun 21, 2007)</t>
  </si>
  <si>
    <t>Event at Lampedusa on Jun 21, 2007</t>
  </si>
  <si>
    <t>http://www.repubblica.it/2007/05/sezioni/cronaca/sbarchi-immigrati/nuovi-sbarchi/nuovi-sbarchi.html</t>
  </si>
  <si>
    <t>2007-06-20T00:00:00Z</t>
  </si>
  <si>
    <t>Fished out the bodies of drowned 4, 55 miles south of the island, perhaps victims of the sinking of the first day (Jun 21, 2007)</t>
  </si>
  <si>
    <t>Event at Malta on Jun 20, 2007</t>
  </si>
  <si>
    <t>http://www.timesofmalta.com/core/article.php?id=265741&amp;hilite=migrant</t>
  </si>
  <si>
    <t>2007-06-19T00:00:00Z</t>
  </si>
  <si>
    <t>reportedly drowned, vessel capsized 100 km south the Island of Malta (Jun 19, 2007). From Del Grande's data set (translated): Wreck 76 miles south of the island. The 4 survivors are saved by clinging to tuna cages of the tug Budafel. Recovered a corpse, 21 missing in sea (Jun 20, 2007)</t>
  </si>
  <si>
    <t>Event at Malta on Jun 19, 2007</t>
  </si>
  <si>
    <t>http://www.timesofmalta.com/core/article.php?id=265626&amp;hilite=migrant</t>
  </si>
  <si>
    <t>2007-06-17T00:00:00Z</t>
  </si>
  <si>
    <t>at least 8 migrants drowned after vessel capsized near the coast of southern Sicily (I) (Jun 17, 2007). From Del Grande's data set (translated): Fished 60 miles south of Lampedusa, the bodies of 11 men drowned, the other 3 are missing (Jun 17, 2007)</t>
  </si>
  <si>
    <t>Event at Lampedusa on Jun 17, 2007</t>
  </si>
  <si>
    <t>http://www.repubblica.it/2007/05/sezioni/cronaca/sbarchi-immigrati/cadaveri-lampedusa/cadaveri-lampedusa.html</t>
  </si>
  <si>
    <t>2007-06-15T00:00:00Z</t>
  </si>
  <si>
    <t>died in the course of rescue operation, survivors saved from fishing vessel near Libya (Jun 15, 2007). From Del Grande's data set (translated): A fisherman recovered the remains of two shipwrecks along the coast of Zarzis, near the Libyan border (Jun 15, 2007)</t>
  </si>
  <si>
    <t>zarzis</t>
  </si>
  <si>
    <t>Event at Zarzis on Jun 15, 2007</t>
  </si>
  <si>
    <t>http://www.eng.fsu.edu/%7Eabichou/Ocean/index.htm</t>
  </si>
  <si>
    <t>drowned in Sicily Channel waters (I), 11 bodies found, 3 still missing (Jun 15, 2007)</t>
  </si>
  <si>
    <t>Event at Sicily on Jun 15, 2007</t>
  </si>
  <si>
    <t>LR/MNS</t>
  </si>
  <si>
    <t>2007-06-14T00:00:00Z</t>
  </si>
  <si>
    <t>The Spanish fishing vessel "Nuestra Madre de Loreto" takes on board 25 castaways adrift 90 miles off the coast of Libya, the more the body of an eighteen year old who died during the crossing (Jun 15, 2007)</t>
  </si>
  <si>
    <t>Event at Libya on Jun 14, 2007</t>
  </si>
  <si>
    <t>http://www.eldia.es/2007-06-15/vivir/vivir13.htm</t>
  </si>
  <si>
    <t>2007-06-13T00:00:00Z</t>
  </si>
  <si>
    <t>Rescued boat. A man is lost at sea, lost overboard during the voyage of 10 days (Jun 14, 2007)</t>
  </si>
  <si>
    <t>Event at Malta on Jun 13, 2007</t>
  </si>
  <si>
    <t>http://www.timesofmalta.com/core/article.php?id=264871</t>
  </si>
  <si>
    <t>stowaway, asphyxiated on board a Formula1 powerboat from GR to Devon (GB) (Jun 13, 2007)</t>
  </si>
  <si>
    <t>Greece to Great Britain</t>
  </si>
  <si>
    <t>Event at Greece To Great Britain on Jun 13, 2007</t>
  </si>
  <si>
    <t>BBC/IRR</t>
  </si>
  <si>
    <t>2007-06-12T00:00:00Z</t>
  </si>
  <si>
    <t>stowaway, manner of death unclear, found in truck on way from I to F with 3 migrants (Jun 12, 2007). From Del Grande's data set (translated): Discovered in Saint Michel de Maurienne, in Savoy, near the Italian border, 4 guys hidden in the hold of a boat transported by a truck coming from Italy. One of them died of suffocation (Jun 13, 2007)</t>
  </si>
  <si>
    <t>saint michel de maurienne</t>
  </si>
  <si>
    <t>Event at Saint Michel De Maurienne on Jun 12, 2007</t>
  </si>
  <si>
    <t>Nouvel Obs</t>
  </si>
  <si>
    <t>http://tempsreel.nouvelobs.com/actualites/societe/20070613.OBS1729/un_clandestin_retrouvemort_dans_un_camion.html</t>
  </si>
  <si>
    <t>2007-06-10T00:00:00Z</t>
  </si>
  <si>
    <t>Twenty-three died during a scuffle with the Spanish police line on the plane which was to be deported to Nigeria (Jun 11, 2007)</t>
  </si>
  <si>
    <t>Event at Niger on Jun 10, 2007</t>
  </si>
  <si>
    <t>http://www.elpais.com/articulo/espana/nigeriano/papeles/fallece/avion/era/deportado/custodia/policial/elpepunac/20070611elpepinac_18/Tes</t>
  </si>
  <si>
    <t>Lost at sea a boat with 25 passengers on board. Locked in a stormy sea 47 miles off the Libyan coast, on Thursday raised the alarm. Malta had asked Libya to intervene, but Tripoli had sent a reconnaissance plane in only two days later. An Iranian cargo ship 20 miles away from the castaways had wanted them not help fearing they were armed (Jun 11, 2007)</t>
  </si>
  <si>
    <t>Event at Tripoli on Jun 10, 2007</t>
  </si>
  <si>
    <t>http://www.timesofmalta.com/core/article.php?id=264586</t>
  </si>
  <si>
    <t>Fished in the waters of the island of Samos the bodies of drowned migrants 2 (Jun 11, 2007)</t>
  </si>
  <si>
    <t>Event at Samos on Jun 10, 2007</t>
  </si>
  <si>
    <t>http://www.ekathimerini.com/4dcgi/news/content.asp?aid=84368</t>
  </si>
  <si>
    <t>2007-06-08T00:00:00Z</t>
  </si>
  <si>
    <t>killed by a roadside bomb in Kirkuk (Iraq), rejected asylum seeker, was deported from GB (Jun 8, 2007)</t>
  </si>
  <si>
    <t>Kirkuk, iraq</t>
  </si>
  <si>
    <t>Event at Kirkuk, Iraq on Jun 08, 2007</t>
  </si>
  <si>
    <t>2007-06-04T00:00:00Z</t>
  </si>
  <si>
    <t>Landing in Gran Canaria, 2 dead aboard boat (Jun 5, 2007)</t>
  </si>
  <si>
    <t>Event at Canaria on Jun 04, 2007</t>
  </si>
  <si>
    <t>http://www.elpais.com/articulo/espana/Llega/patera/Gran/Canaria/46/subsaharianos/bordo/muertos/elpepuesp/20070605elpepunac_15/Tes</t>
  </si>
  <si>
    <t>Sinks along the Algerian coast, on the border with Tunisia, boat to Sardinia. 8 bodies recovered and 20 missing (Jun 5, 2007)</t>
  </si>
  <si>
    <t>Event at Tunis on Jun 04, 2007</t>
  </si>
  <si>
    <t>http://africa.reuters.com/country/DZ/news/usnBAN539517.html</t>
  </si>
  <si>
    <t>2007-05-31T00:00:00Z</t>
  </si>
  <si>
    <t>2007 -- 5</t>
  </si>
  <si>
    <t>The French naval vessel "La Motte Picquet" retrieves 120 miles south of Malta, the bodies of 21 men drowned (Jun 1, 2007)</t>
  </si>
  <si>
    <t>Event at Malta on May 31, 2007</t>
  </si>
  <si>
    <t>http://www.repubblica.it/2007/05/sezioni/cronaca/barcone-scomparso/recuperati-cadaveri/recuperati-cadaveri.html</t>
  </si>
  <si>
    <t>2007-05-30T00:00:00Z</t>
  </si>
  <si>
    <t>Lost at sea for the past three weeks, 8 young Moroccans Azilal sail south of the Canary Islands Boujdour (May 31, 2007)</t>
  </si>
  <si>
    <t>boujdour</t>
  </si>
  <si>
    <t>Event at Boujdour on May 30, 2007</t>
  </si>
  <si>
    <t>http://fortresseurope.blogspot.com/</t>
  </si>
  <si>
    <t>2007-05-28T00:00:00Z</t>
  </si>
  <si>
    <t>died of hypothermia in hospital (TN), found in a boat drifting 15 miles off Tunisian Coast (May 28, 2007)</t>
  </si>
  <si>
    <t>Event at Tunis on May 28, 2007</t>
  </si>
  <si>
    <t>2007-05-21T00:00:00Z</t>
  </si>
  <si>
    <t>died bodies found aboard a boat adrift off Lompoul (Senegal) in direction to Spain  (May 21, 2007)</t>
  </si>
  <si>
    <t>Event at Senegal on May 21, 2007</t>
  </si>
  <si>
    <t>FE/TySp/Aps</t>
  </si>
  <si>
    <t>Lompoul rescued in a canoe adrift. On board 3 deaths and only 2 survivors. Unspecified number of missing, probably tens (May 22, 2007)</t>
  </si>
  <si>
    <t>Senegal</t>
  </si>
  <si>
    <t>Aps</t>
  </si>
  <si>
    <t>http://www.aps.sn/articles.php?id_article=31086</t>
  </si>
  <si>
    <t>reportedly missing after a boat sank next to Malta coast (May 21, 2007). From Del Grande's data set (translated): Capsizes boat rescued 75 miles south of Malta, 1 missing (May 21, 2007)</t>
  </si>
  <si>
    <t>Event at Malta on May 21, 2007</t>
  </si>
  <si>
    <t>ANSA/LS</t>
  </si>
  <si>
    <t>2007-05-20T00:00:00Z</t>
  </si>
  <si>
    <t>drowned between M and LY, Malta authorities alerted by a plane sent aid too late (May 20, 2007). From Del Grande's data set (translated): Boat intercepted 88 miles south of Malta. But at the back of the plane - in Valletta to load the fuel - the boat sank. 57 lost at sea, including 6 children (May 22, 2007)</t>
  </si>
  <si>
    <t>Event at Valletta on May 20, 2007</t>
  </si>
  <si>
    <t>FE/LR/BBC/EB/Reu./LS/ANSA/MNS/Indipendent/MM/UNHCR</t>
  </si>
  <si>
    <t>http://www.repubblica.it/2005/b/rubriche/glialtrinoi/miracolo/miracolo.html</t>
  </si>
  <si>
    <t>2007-05-19T00:00:00Z</t>
  </si>
  <si>
    <t>Boat rescued 45 miles off Lampedusa, the survivors speak of 2 dead abandoned at sea (May 20, 2007)</t>
  </si>
  <si>
    <t>Event at Lampedusa on May 19, 2007</t>
  </si>
  <si>
    <t>http://www.tgcom.mediaset.it/cronaca/articoli/articolo362662.shtml</t>
  </si>
  <si>
    <t>2007-05-18T00:00:00Z</t>
  </si>
  <si>
    <t>suicide, failed asylum seeker set himself on fire in James Brindley Close (GB) (May 18, 2007)</t>
  </si>
  <si>
    <t>James Brindley Close, uk</t>
  </si>
  <si>
    <t>Event at James Brindley Close, Uk on May 18, 2007</t>
  </si>
  <si>
    <t>Se/IRR</t>
  </si>
  <si>
    <t>2007-05-17T00:00:00Z</t>
  </si>
  <si>
    <t>28 people are missing after their boat sank next to Malta coast sailing from LY to I (May 17, 2007). From Del Grande's data set (translated): Boat capsizes 75 miles off the coast of Malta, 28 missing, including 3 children (May 18, 2007)</t>
  </si>
  <si>
    <t>Event at Malta on May 17, 2007</t>
  </si>
  <si>
    <t>Reu./FE/TimesM/ANSA/MNS</t>
  </si>
  <si>
    <t>http://www.timesofmalta.com/core/article.php?id=262033</t>
  </si>
  <si>
    <t>2007-05-10T00:00:00Z</t>
  </si>
  <si>
    <t>Sinking a boat party from Nador and direct in Andalusia, Spain, 13 dead (May 11, 2007)</t>
  </si>
  <si>
    <t>Event at Andalusia on May 10, 2007</t>
  </si>
  <si>
    <t>Le Journal</t>
  </si>
  <si>
    <t>http://www.bladi.net/12711-maroc-immigration-clandestine.html</t>
  </si>
  <si>
    <t>2007-05-06T00:00:00Z</t>
  </si>
  <si>
    <t>drowned, motor of the boat broke and sank off Ben Guerdne (LY) on way to Lampedusa (I) (May 6, 2007)</t>
  </si>
  <si>
    <t>Event at Lampedusa on May 06, 2007</t>
  </si>
  <si>
    <t>Rescue off the coast of Palermo, raft drifting for ten days. Died of dehydration one of 4 passengers (May 7, 2007)</t>
  </si>
  <si>
    <t>Event at Palermo on May 06, 2007</t>
  </si>
  <si>
    <t>Italpress</t>
  </si>
  <si>
    <t>http://www.meltingpot.org/articolo10455.html</t>
  </si>
  <si>
    <t>2007-05-05T00:00:00Z</t>
  </si>
  <si>
    <t>bodies found among passengers on a boat near to Mogan harbour in Canary Island (E) (May 5, 2007)</t>
  </si>
  <si>
    <t>Event at Canary on May 05, 2007</t>
  </si>
  <si>
    <t>FE/MUGAK/Diario de Noticias/Can7/EP</t>
  </si>
  <si>
    <t>drowned, 8 found, 20 missing between Tunisa and Algeria trying to reach Sardinia (I)  (May 5, 2007)</t>
  </si>
  <si>
    <t>Event at Tunis on May 05, 2007</t>
  </si>
  <si>
    <t>Reu./FE/Diario de Noticias</t>
  </si>
  <si>
    <t>2007-04-29T00:00:00Z</t>
  </si>
  <si>
    <t>2007 -- 4</t>
  </si>
  <si>
    <t>died of hypothermia and dehydratation after journey from Africa to Gran Canaria (E) (Apr 29, 2007). From Del Grande's data set (translated): One of the migrants rescued the day before, 60 miles off the coast of Gran Canaria, Las Palmas Insular dies in the hospital, where he was hospitalized in critical condition with hypothermia and dehydration to 8 traveling companions (Apr 30, 2007)</t>
  </si>
  <si>
    <t>Event at Canaria on Apr 29, 2007</t>
  </si>
  <si>
    <t>ELM/EP</t>
  </si>
  <si>
    <t>http://www.elpais.com/articulo/espana/Fallece/inmigrantes/evacuados/patera/Gran/Canaria/elpepuesp/20070430elpepunac_3/Tes</t>
  </si>
  <si>
    <t>2007-04-27T00:00:00Z</t>
  </si>
  <si>
    <t>found dead on board a boat that sailed from Mauritania to Gran Canaria (E) (Apr 27, 2007). From Del Grande's data set (translated): Landing in the Canary Islands, Gran Canaria, 3 deaths on board (Apr 28, 2007)</t>
  </si>
  <si>
    <t>Event at Canary on Apr 27, 2007</t>
  </si>
  <si>
    <t>EP/FE/CadSER</t>
  </si>
  <si>
    <t>http://www.elpais.com/articulo/espana/nino/ano/medio/logra/sobrevivir/tragica/travesia/cayuco/elpepuesp/20070429elpepinac_15/Tes</t>
  </si>
  <si>
    <t>2007-04-26T00:00:00Z</t>
  </si>
  <si>
    <t>1 drowned, 2 missing after smugglers throw them in sea next to Leros (GR) (Apr 26, 2007). From Del Grande's data set (translated): Forced by the guides to jump into the sea near the coast of the island of Leros. Drown a 15 year old girl. Missing a man and a child of a year and a half (Apr 27, 2007)</t>
  </si>
  <si>
    <t>Event at Leros on Apr 26, 2007</t>
  </si>
  <si>
    <t>KI/FE</t>
  </si>
  <si>
    <t>http://www.ekathimerini.com/4dcgi/news/content.asp?aid=82895</t>
  </si>
  <si>
    <t>2007-04-24T00:00:00Z</t>
  </si>
  <si>
    <t>found dead on a boat that reached Tenerife  (Apr 24, 2007). From Del Grande's data set (translated): Landing in the Canary Islands, Tenerife, 2 dead on board (Apr 26, 2007)</t>
  </si>
  <si>
    <t>Event at Tenerife on Apr 24, 2007</t>
  </si>
  <si>
    <t>ELM/EP/EXP</t>
  </si>
  <si>
    <t>http://www.elpais.com/articulo/espana/inmigrantes/subsaharianos/mueren/cayuco/llegar/Tenerife/elpepuesp/20070426elpepunac_2/Tes</t>
  </si>
  <si>
    <t>died in Archile s beach in Tenerife (E) after the travel from sub-saharan Africa  (Apr 24, 2007)</t>
  </si>
  <si>
    <t>2007-04-22T00:00:00Z</t>
  </si>
  <si>
    <t>drowned, shipwreck off Morocco coasts, they were all from the Kolda area (Senegal) (Apr 22, 2007)</t>
  </si>
  <si>
    <t>kolda</t>
  </si>
  <si>
    <t>Event at Kolda on Apr 22, 2007</t>
  </si>
  <si>
    <t>book:LosInvisiblesDeKolda/Mugak/ELM/FE</t>
  </si>
  <si>
    <t>drowned, shipwreck off Morocco coasts, he was from the Kolda area (Senegal) (Apr 22, 2007)</t>
  </si>
  <si>
    <t>reportedly 11 bodies thrown at sea, 1 found on boat rescued next to Mauritanian coast (Apr 22, 2007). From Del Grande's data set (translated): Rescued canoe adrift off the coast of Nouadhibou, 2 dead and 11 missing on board, the other 13 passengers hospitalized in Dakar, 6 in very serious condition (Apr 23, 2007)</t>
  </si>
  <si>
    <t>Nouadhibou, Mauritania</t>
  </si>
  <si>
    <t>Event at Nouadhibou, Mauritania on Apr 22, 2007</t>
  </si>
  <si>
    <t>EXP/EP/jW</t>
  </si>
  <si>
    <t>http://www.elpais.com/articulo/espana/Senegal/acepta/desembarco/89/inmigrantes/rescatados/frente/Mauritania/elpepuesp/20070425elpepunac_1/Tes</t>
  </si>
  <si>
    <t>died after rescue operations in Mauritanian sea on board a boat from Africa to Spain (Apr 22, 2007)</t>
  </si>
  <si>
    <t>mauritania</t>
  </si>
  <si>
    <t>Event at Mauritania on Apr 22, 2007</t>
  </si>
  <si>
    <t>EP/EXP/jW/ELM</t>
  </si>
  <si>
    <t>2007-04-21T00:00:00Z</t>
  </si>
  <si>
    <t>2 found, 1 missing; boat capsized during rescue operation of Armed Forces of Malta (Apr 21, 2007)</t>
  </si>
  <si>
    <t>Event at Malta on Apr 21, 2007</t>
  </si>
  <si>
    <t>2007-04-20T00:00:00Z</t>
  </si>
  <si>
    <t>drowned before their boat was rescued off Annaba (Algeria) on the way to Sardinia (I) (Apr 20, 2007). From Del Grande's data set (translated): Found boat drifting along the routes to Sardinia, off the coast of Annaba. 2 of missing passengers drowned before the arrival of the rescue (Apr 21, 2007)</t>
  </si>
  <si>
    <t>Event at Annaba on Apr 20, 2007</t>
  </si>
  <si>
    <t>FE/LaN/ElW</t>
  </si>
  <si>
    <t>http://www.elwatan.com/spip.php?page=article&amp;id_article=66494</t>
  </si>
  <si>
    <t>2007-04-15T00:00:00Z</t>
  </si>
  <si>
    <t>died of sudden infant death syndrome during an inmigration swoop in Aubervilliers, Paris (F) (Apr 15, 2007)</t>
  </si>
  <si>
    <t>Event at Paris on Apr 15, 2007</t>
  </si>
  <si>
    <t>IRR/REF/Lib‚àö√†ration</t>
  </si>
  <si>
    <t>2007-04-11T00:00:00Z</t>
  </si>
  <si>
    <t>drowned, 2 found, 8 missing, boat collided with French police ship near Mayotte Isl. (F) (Apr 11, 2007)</t>
  </si>
  <si>
    <t>Event at Mayotte on Apr 11, 2007</t>
  </si>
  <si>
    <t>Le Monde/NOB</t>
  </si>
  <si>
    <t>found on board of vessel that landed on Los Cristianos de Tenerife (E) with 51 survivors (Apr 11, 2007)</t>
  </si>
  <si>
    <t>Event at Tenerife on Apr 11, 2007</t>
  </si>
  <si>
    <t>MUGAK/EP/NOB</t>
  </si>
  <si>
    <t>body found on vessel that landed on Los Cristianos de Tenerife (E) with 37 survivors (Apr 11, 2007)</t>
  </si>
  <si>
    <t>MUGAK/EP/ABC/Diario de Noticias/NOB</t>
  </si>
  <si>
    <t>2007-04-09T00:00:00Z</t>
  </si>
  <si>
    <t>fell from the 7th floor running away from Police check in Amsterdam (NL) (Apr 9, 2007)</t>
  </si>
  <si>
    <t>Event at Amsterdam on Apr 09, 2007</t>
  </si>
  <si>
    <t>Karawane</t>
  </si>
  <si>
    <t>2007-04-08T00:00:00Z</t>
  </si>
  <si>
    <t>4 drowned, 15 missing, shipwreck near l Ile d Anjouan, trying to reach Mayotte Isl. (F) (Apr 8, 2007)</t>
  </si>
  <si>
    <t>Event at Mayotte on Apr 08, 2007</t>
  </si>
  <si>
    <t>JA</t>
  </si>
  <si>
    <t>2007-04-07T00:00:00Z</t>
  </si>
  <si>
    <t>drowned, boat carrying other 12 immigrants capsized near Samos Island (GR) (Apr 7, 2007)</t>
  </si>
  <si>
    <t>Event at Samos on Apr 07, 2007</t>
  </si>
  <si>
    <t>NOB/PressTv</t>
  </si>
  <si>
    <t>2007-04-06T00:00:00Z</t>
  </si>
  <si>
    <t>bodies found on a boat that reached Cristianos harbour, Canary Islands (E)  (Apr 6, 2007)</t>
  </si>
  <si>
    <t>Event at Canary on Apr 06, 2007</t>
  </si>
  <si>
    <t>EP/EFE</t>
  </si>
  <si>
    <t>2007-04-04T00:00:00Z</t>
  </si>
  <si>
    <t>Rescued in Laayoune boat adrift, abandoned at sea the bodies of two passengers killed during eight days of sailing from Nouadhibou (Apr 5, 2007)</t>
  </si>
  <si>
    <t>laayoun</t>
  </si>
  <si>
    <t>Event at Laayoun on Apr 04, 2007</t>
  </si>
  <si>
    <t>2007-04-03T00:00:00Z</t>
  </si>
  <si>
    <t>Four young people fall into the water from a boat during rescue operations in Malaga, 1 dead and 1 missing (Apr 4, 2007)</t>
  </si>
  <si>
    <t>Event at Malaga on Apr 03, 2007</t>
  </si>
  <si>
    <t>http://www.elpais.com/articulo/espana/Fallece/inmigrante/ser/rescatado/Salvamento/Maritimo/elpepuesp/20070404elpepunac_7/Tes</t>
  </si>
  <si>
    <t>2007-03-26T00:00:00Z</t>
  </si>
  <si>
    <t>1Q2007</t>
  </si>
  <si>
    <t>2007 -- 3</t>
  </si>
  <si>
    <t>frozen to death after sneaking across Turkish-Iranian border trying to reach Europe (Mar 26, 2007). From Del Grande's data set (translated): Found the bodies of seven young people dead frozen to death trying to walk across the mountains of the province of Van, bordering Iran (Mar 28, 2007)</t>
  </si>
  <si>
    <t>iran</t>
  </si>
  <si>
    <t>Event at Iran on Mar 26, 2007</t>
  </si>
  <si>
    <t>TDN/FE/TodZam</t>
  </si>
  <si>
    <t>http://www.turkishdailynews.com.tr/article.php?enewsid=69266</t>
  </si>
  <si>
    <t>2007-03-25T00:00:00Z</t>
  </si>
  <si>
    <t>Lampedusa, a small boat crashed into a rock wall at old, a dispersed (Mar 26, 2007)</t>
  </si>
  <si>
    <t>Event at Lampedusa on Mar 25, 2007</t>
  </si>
  <si>
    <t>LUnit</t>
  </si>
  <si>
    <t>http://www.unita.it/view.asp?idContent=64660</t>
  </si>
  <si>
    <t>2007-03-17T00:00:00Z</t>
  </si>
  <si>
    <t>suicide, put himself alight in fear of deportation from Glasgow (GB) (Mar 17, 2007)</t>
  </si>
  <si>
    <t>Event at Glasgow on Mar 17, 2007</t>
  </si>
  <si>
    <t>BBC/icS/EveningTimes/INDgb/Independent/TheHerald/SC/HimalayanTimes/IRR</t>
  </si>
  <si>
    <t>2007-03-16T00:00:00Z</t>
  </si>
  <si>
    <t>7 people washed ashore, 4 missing, bodies found in Samos (GR) they left from Turkey (Mar 16, 2007). From Del Grande's data set (translated): Sinking a boat heading to the island of Samos, recovered seven bodies, including that of a child, 4 missing (Mar 17, 2007)</t>
  </si>
  <si>
    <t>Event at Samos on Mar 16, 2007</t>
  </si>
  <si>
    <t>FE/KI/DPA</t>
  </si>
  <si>
    <t>http://www.ekathimerini.com/4dcgi/_w_articles_politics_100012_19/03/2007_81374</t>
  </si>
  <si>
    <t>suicide, hanged in Bucarest airport (RO) after his deportation from Germany (Mar 16, 2007)</t>
  </si>
  <si>
    <t>Bucarest airport</t>
  </si>
  <si>
    <t>Event at Bucarest Airport on Mar 16, 2007</t>
  </si>
  <si>
    <t>WSWS/DPA/IRR</t>
  </si>
  <si>
    <t>2007-03-11T00:00:00Z</t>
  </si>
  <si>
    <t>drowned, 9 found, 1missing, boat collided with Dutch cargoship during rescue operation (I) (Mar 11, 2007)</t>
  </si>
  <si>
    <t>Event at Algeria To Spain on Mar 11, 2007</t>
  </si>
  <si>
    <t>MNS/VK/NOB</t>
  </si>
  <si>
    <t>2007-03-07T00:00:00Z</t>
  </si>
  <si>
    <t>Rescued a boat off the coast of Tenerife, in the Canary Islands. On board the bodies of three men who died after a week of sailing. Another man died during the journey, the body was thrown into the sea (Mar 8, 2007)</t>
  </si>
  <si>
    <t>Event at Tenerife on Mar 07, 2007</t>
  </si>
  <si>
    <t>http://www.elpais.com/articulo/espana/Chalecos/suerte/elpepuesp/20070310elpepinac_23/Tes</t>
  </si>
  <si>
    <t>2007-03-03T00:00:00Z</t>
  </si>
  <si>
    <t>one missing, one death by hypothermia in hospital after found in boat near to Malaga (E) (Mar 3, 2007)</t>
  </si>
  <si>
    <t>Event at Malaga on Mar 03, 2007</t>
  </si>
  <si>
    <t>died of kidney failure</t>
  </si>
  <si>
    <t>2007-02-20T00:00:00Z</t>
  </si>
  <si>
    <t>2007 -- 2</t>
  </si>
  <si>
    <t>He died of kidney failure a man deported in the city of Oujda, on the border with Algeria (Feb 21, 2007)</t>
  </si>
  <si>
    <t>Event at Oujda on Feb 20, 2007</t>
  </si>
  <si>
    <t>Mountada Rihab</t>
  </si>
  <si>
    <t>http://www2.blogger.com/</t>
  </si>
  <si>
    <t>reportedly missing, thrown over dinghy from LY to Sicily (I), death cause unclear   (Feb 20, 2007). From Del Grande's data set (translated): Rescue boat adrift off the coast of Lampedusa drifting to 5 days. 19 of the passengers died of starvation during the journey and their bodies thrown into the sea (Feb 21, 2007)</t>
  </si>
  <si>
    <t>Event at Lampedusa on Feb 20, 2007</t>
  </si>
  <si>
    <t>NYtimes/QNE/deleteTB/PICUM</t>
  </si>
  <si>
    <t>http://www.lernesto.it/index.aspx?m=77&amp;f=2&amp;IDArticolo=14303</t>
  </si>
  <si>
    <t>2007-02-15T00:00:00Z</t>
  </si>
  <si>
    <t>drowned, 4 found, 20 missing, boat sank near Samos Islands (GR), way from TR to GR (Feb 15, 2007). From Del Grande's data set (translated): Shipwreck off the coast of the island of Samos. Recovered the bodies of drowned 5, including 2 women. At least 20 missing (Feb 17, 2007)</t>
  </si>
  <si>
    <t>Event at Samos on Feb 15, 2007</t>
  </si>
  <si>
    <t>Khaleej/PR/IntHeraldTribune/MNS/PR/IntHeraldTribune/AOL/PICUM/MNS</t>
  </si>
  <si>
    <t>http://www.ekathimerini.com/4dcgi/_w_articles_politics_100019_20/02/2007_80289</t>
  </si>
  <si>
    <t>2007-02-12T00:00:00Z</t>
  </si>
  <si>
    <t>Boujdour rescued off a boat in distress game from Nouadhibou and live in the Canary Islands. 1 dead on board (Feb 13, 2007)</t>
  </si>
  <si>
    <t>nouadhibou</t>
  </si>
  <si>
    <t>Event at Nouadhibou on Feb 12, 2007</t>
  </si>
  <si>
    <t>News 24</t>
  </si>
  <si>
    <t>http://www.news24.com/News24/Africa/News/0</t>
  </si>
  <si>
    <t>2007-02-11T00:00:00Z</t>
  </si>
  <si>
    <t>died of hunger and thirst, bodies thrown overboard on way from Senegal to Europe (Feb 11, 2007)</t>
  </si>
  <si>
    <t>Event at Senegal on Feb 11, 2007</t>
  </si>
  <si>
    <t>2007-02-10T00:00:00Z</t>
  </si>
  <si>
    <t>Fished out a dead body on the beach of Sidi Yacoub, near Ghazaouet (Feb 11, 2007)</t>
  </si>
  <si>
    <t>Event at Ghazaouet on Feb 10, 2007</t>
  </si>
  <si>
    <t>http://www.lequotidien-oran.com/index.php?news=2319</t>
  </si>
  <si>
    <t>2007-02-06T00:00:00Z</t>
  </si>
  <si>
    <t>reportedly drowned, missing after boat sank near the coast of Azwen (DZ), 5 survived (Feb 6, 2007)</t>
  </si>
  <si>
    <t>Azwen, algeria</t>
  </si>
  <si>
    <t>Event at Azwen, Algeria on Feb 06, 2007</t>
  </si>
  <si>
    <t>2007-02-02T00:00:00Z</t>
  </si>
  <si>
    <t>suicide, overdose of sleeping pills after being forced to return to Bangladesh with his wife (Feb 2, 2007)</t>
  </si>
  <si>
    <t>bangladesh</t>
  </si>
  <si>
    <t>Event at Bangladesh on Feb 02, 2007</t>
  </si>
  <si>
    <t>2007-02-01T00:00:00Z</t>
  </si>
  <si>
    <t>drowned, 7 found, 10 missing after boat from Turkey sank off the island Samos (GR)  (Feb 1, 2007). From Del Grande's data set (translated): 7 bodies recovered and 12 missing after a shipwreck at a mile from the island of Samos (Feb 5, 2007)</t>
  </si>
  <si>
    <t>Event at Samos on Feb 01, 2007</t>
  </si>
  <si>
    <t>KI/AthensNewsAgency/Khaleej/NOB/MNS/PICUM</t>
  </si>
  <si>
    <t>http://www.ekathimerini.com/4dcgi/news/content.asp?aid=79771</t>
  </si>
  <si>
    <t>2007-12-31T00:00:00Z</t>
  </si>
  <si>
    <t>4Q2007</t>
  </si>
  <si>
    <t>2007 -- 12</t>
  </si>
  <si>
    <t>drowned, after boat capsized near the beach of Cadiz (E) (Dec 31, 2007)</t>
  </si>
  <si>
    <t>Event at Cadiz on Dec 31, 2007</t>
  </si>
  <si>
    <t>EP/MUGAK/APDHA/PICUM/NOB</t>
  </si>
  <si>
    <t>drowned, bodies found near Los Barrios (E), relatives identified 3 bodies (Dec 31, 2007)</t>
  </si>
  <si>
    <t>Event at Barrios on Dec 31, 2007</t>
  </si>
  <si>
    <t>suicide on detention centre Berlin Grunau (D) after asylum claim was rejected (Dec 31, 2007)</t>
  </si>
  <si>
    <t>Event at Berlin on Dec 31, 2007</t>
  </si>
  <si>
    <t>MNS/IN/jW/IRR</t>
  </si>
  <si>
    <t>2007-12-29T00:00:00Z</t>
  </si>
  <si>
    <t>rejected asylum seeker hanged himself with his shoes laces in Berlin K√∂penick (D) det. cr. (Dec 29, 2007)</t>
  </si>
  <si>
    <t>Event at Berlin on Dec 29, 2007</t>
  </si>
  <si>
    <t>2007-12-27T00:00:00Z</t>
  </si>
  <si>
    <t>Fished out the body of a boy in the port of Ceuta, drowned while trying to reach a liner Live in Spain (Dec 28, 2007)</t>
  </si>
  <si>
    <t>Event at Ceuta on Dec 27, 2007</t>
  </si>
  <si>
    <t>http://www.abc.es/20071228/nacional-sucesos/fallece-ceuta-inimigrante-marroqui_200712280302.html</t>
  </si>
  <si>
    <t>drowned, after ship capsized near Evros (GR), 20 survivors, 7 swam to the TR side (Dec 27, 2007). From Del Grande's data set (translated): Two boats spilling into the river Evros on the border between Turkey and Greece, causing one death and drowned some missing (Dec 28, 2007)</t>
  </si>
  <si>
    <t>Event at Evros on Dec 27, 2007</t>
  </si>
  <si>
    <t>IntHeraldTribune/NOB</t>
  </si>
  <si>
    <t>http://www.iht.com/articles/ap/2007/12/28/europe/EU-GEN-Turkey-Illegal-Migrants.php</t>
  </si>
  <si>
    <t>2007-12-25T00:00:00Z</t>
  </si>
  <si>
    <t>2 dead, 3 missing after a shipwreck off the coast of Sfax (Dec 26, 2007)</t>
  </si>
  <si>
    <t>Event at Sfax on Dec 25, 2007</t>
  </si>
  <si>
    <t>As-Sabah</t>
  </si>
  <si>
    <t>http://it.notizie.yahoo.com/asca/20080107/twl-immigrati-morti-al-largo-di-tunisia-b689c2c_1.html</t>
  </si>
  <si>
    <t>bodies found on board a boat intercepted near E from yachts participating to regatta (Dec 25, 2007)</t>
  </si>
  <si>
    <t>Event at Spanish Coast on Dec 25, 2007</t>
  </si>
  <si>
    <t>2007-12-24T00:00:00Z</t>
  </si>
  <si>
    <t>suicide, asylum seeker facing deportation, hanged himself in prison cell in Chelmsford (GB) (Dec 24, 2007)</t>
  </si>
  <si>
    <t>chelmsford, uk</t>
  </si>
  <si>
    <t>Event at Chelmsford, Uk on Dec 24, 2007</t>
  </si>
  <si>
    <t>Inquest/IRR</t>
  </si>
  <si>
    <t>2007-12-22T00:00:00Z</t>
  </si>
  <si>
    <t>reason of death unknown, a fisherman found a body near Lesvos (GR) (Dec 22, 2007). From Del Grande's data set (translated): Fisherman finds a corpse off the island of Lesvos and soccore a castaway who speaks of 31 men ended up in the sea and missing data (Dec 24, 2007)</t>
  </si>
  <si>
    <t>Event at Lesvos on Dec 22, 2007</t>
  </si>
  <si>
    <t>TDN/NOB</t>
  </si>
  <si>
    <t>http://www.ekathimerini.com/4dcgi/news/content.asp?aid=91465</t>
  </si>
  <si>
    <t>2007-12-18T00:00:00Z</t>
  </si>
  <si>
    <t>Found the body of the eighth victim of the wreck yesterday in Bodrum (Dec 19, 2007)</t>
  </si>
  <si>
    <t>Event at Bodrum on Dec 18, 2007</t>
  </si>
  <si>
    <t>http://www.ekathimerini.com/4dcgi/news/content.asp?aid=91322</t>
  </si>
  <si>
    <t>2007-12-16T00:00:00Z</t>
  </si>
  <si>
    <t>drowned, overloaded boat sank in the Aegean Sea off Bodrum (TR) on way to Kos (GR) (Dec 16, 2007). From Del Grande's data set (translated): Live at the Greek island of Kos, boat capsizes at sea off the coast of Bodrum, 7 dead and 1 missing (Dec 18, 2007)</t>
  </si>
  <si>
    <t>Event at Bodrum on Dec 16, 2007</t>
  </si>
  <si>
    <t>TDN/KI/Ya.D/NOB</t>
  </si>
  <si>
    <t>http://www.turkishdailynews.com.tr/article.php?enewsid=91602</t>
  </si>
  <si>
    <t>2007-12-12T00:00:00Z</t>
  </si>
  <si>
    <t>stowaway, reportedly fell from wheel bay of plane found in garden in Val d Oise (F) (Dec 12, 2007)</t>
  </si>
  <si>
    <t>val d'oise, france</t>
  </si>
  <si>
    <t>Event at Val D'Oise, France on Dec 12, 2007</t>
  </si>
  <si>
    <t>2007-12-11T00:00:00Z</t>
  </si>
  <si>
    <t>drowned, 3 found, 4 missing, 19 rescued by a gas carrier 30 ml off Cap Falcon (DZ) (Dec 11, 2007). From Del Grande's data set (translated): Inflatable drifting rescued by Algerian LNG ship "Abbane Ramdane", 30 miles off Cap Falcon, en route to Spain. The 3 bodies found (Dec 12, 2007)</t>
  </si>
  <si>
    <t>Event at Algeria on Dec 11, 2007</t>
  </si>
  <si>
    <t>NOB/FE/QUOTI</t>
  </si>
  <si>
    <t>http://www.lequotidien-oran.com/index.php?news=5095728</t>
  </si>
  <si>
    <t>2007-12-09T00:00:00Z</t>
  </si>
  <si>
    <t>Match the island of Djogu, in Casamance, and directed to the Canary Islands, a pirogue with 130 passengers returns to Tonghor Yoff, Dakar, after 12 days adrift. A dead man on board, 39 other corpses abandoned at sea (Dec 10, 2007)</t>
  </si>
  <si>
    <t>Tonghor Yoff, Dakar</t>
  </si>
  <si>
    <t>Event at Tonghor Yoff, Dakar on Dec 09, 2007</t>
  </si>
  <si>
    <t>Walfadjri</t>
  </si>
  <si>
    <t>http://www.seneweb.com/news/article/13669.php</t>
  </si>
  <si>
    <t>Shipwreck off the coast of Dakhla, on the route to the Canary Islands. There were no survivors among the 50 passengers. Only 6 bodies recovered (Dec 10, 2007)</t>
  </si>
  <si>
    <t>Event at Dakhla on Dec 09, 2007</t>
  </si>
  <si>
    <t>http://www.elpais.com/articulo/internacional/patera/inmigrantes/naufraga/aguas/marroquies/elpepuint/20071210elpepiint_10/Tes</t>
  </si>
  <si>
    <t>Fished in the waters of Bouzedjar the corpse of a drowned man on routes to Spain (Dec 10, 2007)</t>
  </si>
  <si>
    <t>Bouzedjar, algeria</t>
  </si>
  <si>
    <t>Event at Bouzedjar, Algeria on Dec 09, 2007</t>
  </si>
  <si>
    <t>Le Quotidien d'Oran</t>
  </si>
  <si>
    <t>http://www.lequotidien-oran.com/index.php?news=5095595</t>
  </si>
  <si>
    <t>Shipwreck in Izmir on the route to the Greek island of Hios. 50 bodies recovered, 29 missing in sea (Dec 10, 2007)</t>
  </si>
  <si>
    <t>Event at Izmir on Dec 09, 2007</t>
  </si>
  <si>
    <t>http://www.turkishdailynews.com.tr/article.php?enewsid=91336</t>
  </si>
  <si>
    <t>2007-12-08T00:00:00Z</t>
  </si>
  <si>
    <t>A dead on board a pirogue arrived on the island of El Hierro in the Canary Islands (Dec 9, 2007)</t>
  </si>
  <si>
    <t>Event at Hierro on Dec 08, 2007</t>
  </si>
  <si>
    <t>http://www.elpais.com/articulo/espana/Llega/Hierro/cayuco/inmigrantes/muerto/elpepuesp/20071209elpepunac_5/Tes</t>
  </si>
  <si>
    <t>2007-12-05T00:00:00Z</t>
  </si>
  <si>
    <t>Cargo load of migrants landed on the island of Crete in Kato Zakros, Lasithi. On board one of the passengers is found dead (Dec 6, 2007)</t>
  </si>
  <si>
    <t>Event at Crete on Dec 05, 2007</t>
  </si>
  <si>
    <t>In</t>
  </si>
  <si>
    <t>http://www.in.gr/news/article.asp?lngEntityID=855303</t>
  </si>
  <si>
    <t>2007-12-04T00:00:00Z</t>
  </si>
  <si>
    <t>3 deaths on board the last two boats arrived in Tenerife, in the Canary Islands (Dec 5, 2007)</t>
  </si>
  <si>
    <t>Event at Tenerife on Dec 04, 2007</t>
  </si>
  <si>
    <t>http://www.elpais.com/articulo/espana/inmigrantes/llegan/muertos/Tenerife/cayucos/otras/85/personas/elpepuesp/20071205elpepunac_1/Tes</t>
  </si>
  <si>
    <t>bodies thrown at sea, dead during the route from Tripoli (LY) to Lampedusa (I) (Dec 4, 2007)</t>
  </si>
  <si>
    <t>Event at Lampedusa on Dec 04, 2007</t>
  </si>
  <si>
    <t>FE/Tgcom/LS</t>
  </si>
  <si>
    <t>2007-12-03T00:00:00Z</t>
  </si>
  <si>
    <t>French police ramming patrol boat of migrants from the Comoros Islands, off the coast of the French island of Mayotte, 2 dead and 8 missing at sea (Dec 4, 2007)</t>
  </si>
  <si>
    <t>Event at Mayotte on Dec 03, 2007</t>
  </si>
  <si>
    <t>http://www.lemonde.fr/web/recherche_breve/1</t>
  </si>
  <si>
    <t>Rescued by the Dutch ship Fairepartner boat drifting over on route to Spain, 76 miles north of Mostaganem. Fished a corpse, 11 missing in sea (Dec 4, 2007)</t>
  </si>
  <si>
    <t>Event at Mostaganem on Dec 03, 2007</t>
  </si>
  <si>
    <t>http://www.lequotidien-oran.com/index.php?news=509455</t>
  </si>
  <si>
    <t>2007-11-30T00:00:00Z</t>
  </si>
  <si>
    <t>2007 -- 11</t>
  </si>
  <si>
    <t>Boat rescued off the coast of Las Palmas, in the Canary Islands, 2 dead on board (Dec 1, 2007)</t>
  </si>
  <si>
    <t>Event at Canary on Nov 30, 2007</t>
  </si>
  <si>
    <t>http://www.elpais.com/articulo/espana/Rescatado/cayuco/48/africanos/cadaveres/rumbo/mar/elpepunac/20071201elpepinac_15/Tes</t>
  </si>
  <si>
    <t>2007-11-28T00:00:00Z</t>
  </si>
  <si>
    <t>bodies found by Galican fishing boat which rescued 48 people from a boat near El Hierro (E)  (Nov 28, 2007)</t>
  </si>
  <si>
    <t>Event at Hierro on Nov 28, 2007</t>
  </si>
  <si>
    <t>reportedly drowned, found in advanced state of decomposition near Marsa sea (M) (Nov 28, 2007). From Del Grande's data set (translated): Found a dead body on the beaches of Marsa, 30 km west of Tns (Nov 29, 2007)</t>
  </si>
  <si>
    <t>Event at Marsa on Nov 28, 2007</t>
  </si>
  <si>
    <t>http://www.lequotidien-oran.com/index.php?news=509298</t>
  </si>
  <si>
    <t>2007-11-16T00:00:00Z</t>
  </si>
  <si>
    <t>suicide, found dead in prison, 7 months sentence for false passport, was due to be deported (Nov 16, 2007)</t>
  </si>
  <si>
    <t>Event at Great Britain on Nov 16, 2007</t>
  </si>
  <si>
    <t>2007-11-15T00:00:00Z</t>
  </si>
  <si>
    <t>shot to death in the stomach during a police check for illegal migrants in Pyla, Cyprus (CY)  (Nov 15, 2007)</t>
  </si>
  <si>
    <t>Event at Cyprus on Nov 15, 2007</t>
  </si>
  <si>
    <t>TDN/IRR/MNS/NOB</t>
  </si>
  <si>
    <t>A police officer shoots a migrant to a checkpoint and kills him (Nov 16, 2007)</t>
  </si>
  <si>
    <t>Cyprus</t>
  </si>
  <si>
    <t>http://www.turkishdailynews.com.tr/article.php?enewsid=88880</t>
  </si>
  <si>
    <t>2007-11-13T00:00:00Z</t>
  </si>
  <si>
    <t>drowned, 30 missing, 6 found in shore of Sidi Ifni (MA), ship sank on way from MA to E (Nov 13, 2007). From Del Grande's data set (translated): Shipwreck in Sidi Ifni, 100 km south of Agadir. 6 bodies recovered, 30 missing (Nov 14, 2007)</t>
  </si>
  <si>
    <t>ifni</t>
  </si>
  <si>
    <t>Event at Ifni on Nov 13, 2007</t>
  </si>
  <si>
    <t>Can7/NOB</t>
  </si>
  <si>
    <t>http://www.canarias7.es/articulo.cfm?Id=72488</t>
  </si>
  <si>
    <t>Fished on the beach Draouch, to Ghazaouet, the body of a drowned man on routes to Spain (Nov 14, 2007)</t>
  </si>
  <si>
    <t>Event at Ghazaouet on Nov 13, 2007</t>
  </si>
  <si>
    <t>http://www.lequotidien-oran.com/index.php?news=508280</t>
  </si>
  <si>
    <t>2007-11-12T00:00:00Z</t>
  </si>
  <si>
    <t>Shipwreck 1700 km south of the Canaries. 8 bodies recovered, 50 missing in sea (Nov 13, 2007)</t>
  </si>
  <si>
    <t>canaries</t>
  </si>
  <si>
    <t>Event at Canaries on Nov 12, 2007</t>
  </si>
  <si>
    <t>Afrol News</t>
  </si>
  <si>
    <t>http://www.afrol.com/articles/27202</t>
  </si>
  <si>
    <t>2007-11-11T00:00:00Z</t>
  </si>
  <si>
    <t>died after setting himself on fire in Amberg (D) (Nov 11, 2007)</t>
  </si>
  <si>
    <t>amberg, germany</t>
  </si>
  <si>
    <t>Event at Amberg, Germany on Nov 11, 2007</t>
  </si>
  <si>
    <t>2007-11-09T00:00:00Z</t>
  </si>
  <si>
    <t>5 Dead survivors of La Guera. They were hospitalized in Nouadhibou (Nov 10, 2007)</t>
  </si>
  <si>
    <t>Event at Nouadhibou on Nov 09, 2007</t>
  </si>
  <si>
    <t>http://medios.mugak.eu/noticias/noticia/120309</t>
  </si>
  <si>
    <t>Recovered in the Alboran, near El Ejido, Andalusia, the bodies of two men and a woman. Already 9 bodies fished out from early October on the coast of Almeria (Nov 10, 2007)</t>
  </si>
  <si>
    <t>Event at Almeria on Nov 09, 2007</t>
  </si>
  <si>
    <t>2007-11-08T00:00:00Z</t>
  </si>
  <si>
    <t>Police fire on two migrants illegally entered walk to the Albanian border, near Florina. A dead (Nov 9, 2007)</t>
  </si>
  <si>
    <t>Event at Albania on Nov 08, 2007</t>
  </si>
  <si>
    <t>http://www.ekathimerini.com/4dcgi/news/content.asp?aid=89879</t>
  </si>
  <si>
    <t>2007-11-05T00:00:00Z</t>
  </si>
  <si>
    <t>Rescued in La Guera, on the border with Western Sahara, a canoe adrift for three weeks after an engine failure en route to the Canary Islands. On board 101 survivors. Thrown overboard the bodies of 56 migrants died of starvation during the journey. They had started from Ziguinchor, Senegal (Nov 6, 2007)</t>
  </si>
  <si>
    <t>Event at Canary on Nov 05, 2007</t>
  </si>
  <si>
    <t>http://medios.mugak.eu/noticias/noticia/119539</t>
  </si>
  <si>
    <t>Fished out a dead body in the Citadel of Maccheri, in the district of San Lorenzo, in the province of Syracuse. This brings to 16 the number of bodies found in the shipwreck of Vendicari (Nov 6, 2007)</t>
  </si>
  <si>
    <t>vendicari</t>
  </si>
  <si>
    <t>Event at Vendicari on Nov 05, 2007</t>
  </si>
  <si>
    <t>http://it.notizie.yahoo.com/adnkxml/20071106/tit-immigrati-ripescato-altro-cadavere-n-afde0ec_1.html</t>
  </si>
  <si>
    <t>suicide, hanged himself in Remand Centre in Bordeaux (F), was under expulsion order (Nov 5, 2007)</t>
  </si>
  <si>
    <t>bordeaux, france</t>
  </si>
  <si>
    <t>Event at Bordeaux, France on Nov 05, 2007</t>
  </si>
  <si>
    <t>MNS/METROF/IRR</t>
  </si>
  <si>
    <t>2007-11-03T00:00:00Z</t>
  </si>
  <si>
    <t>killed himself in a refugee camp in Lotte, North Rhine-Westphalia (D) (Nov 3, 2007)</t>
  </si>
  <si>
    <t>lotte, germany</t>
  </si>
  <si>
    <t>Event at Lotte, Germany on Nov 03, 2007</t>
  </si>
  <si>
    <t>2007-10-28T00:00:00Z</t>
  </si>
  <si>
    <t>2007 -- 10</t>
  </si>
  <si>
    <t>drowned, 9 found, 8 missing after shipwreck near Catania (I) (Oct 28, 2007). From Del Grande's data set (translated): Sinking boat in rough seas in the waters of Syracuse, Sicily. 9 bodies recovered in Vendicari, 8 missing (Oct 28, 2007)</t>
  </si>
  <si>
    <t>Event at Vendicari on Oct 28, 2007</t>
  </si>
  <si>
    <t>MUGAK/AFVIC</t>
  </si>
  <si>
    <t>http://www.repubblica.it/2007/09/sezioni/cronaca/immigrati-2/roccella/roccella.html</t>
  </si>
  <si>
    <t>2007-10-27T00:00:00Z</t>
  </si>
  <si>
    <t>drowned, found off Roccella Jonica coast, Calabria (I) when boat capsized on way from Egypt (Oct 27, 2007). From Del Grande's data set (translated): Ship of 20 meters is broken into three colliding with a dry 200 meters from the coast of Roccella Ionica, Calabria. The 150 passengers into the sea. 7 bodies recovered (Oct 28, 2007)</t>
  </si>
  <si>
    <t>Event at Calabria on Oct 27, 2007</t>
  </si>
  <si>
    <t>MNS/PICUM/LESP/jW/LR/MUGAK/AVUI</t>
  </si>
  <si>
    <t>2007-10-23T00:00:00Z</t>
  </si>
  <si>
    <t>discovered boat with 7 bodies, 50 still missing, tried to reach Spain from Cape Verde (Oct 23, 2007). From Del Grande's data set (translated): The vessel "Tiburn III" rescues boat adrift off the coast of Cape Verde, 300 miles from Senegal. On board the only survivor and seven corpses, at least 50 missing (Oct 25, 2007)</t>
  </si>
  <si>
    <t>Event at Senegal on Oct 23, 2007</t>
  </si>
  <si>
    <t>Icare/EFE/EP/EPress/Le Soleil/AFVIC/MUGAK/Taz</t>
  </si>
  <si>
    <t>http://www.elpais.com/articulo/espana/Rescatados/superviviente/cadaveres/naufragio/cayuco/dirigia/Canarias/elpepuesp/20071025elpepunac_6/Tes</t>
  </si>
  <si>
    <t>2007-10-21T00:00:00Z</t>
  </si>
  <si>
    <t>Sinking canoe live in the Canary Islands, broken under the weight of 160 passengers from the waves of a stormy sea. The news the families of 150 missing, last Friday celebrated the funeral in Kolda collective (Oct 22, 2007)</t>
  </si>
  <si>
    <t>Event at Kolda on Oct 21, 2007</t>
  </si>
  <si>
    <t>Seneweb</t>
  </si>
  <si>
    <t>http://www.seneweb.com/news/article/12796.php</t>
  </si>
  <si>
    <t>Boat capsizes in stormy seas off the coast of Samos, 17 missing (Oct 22, 2007)</t>
  </si>
  <si>
    <t>Event at Samos on Oct 21, 2007</t>
  </si>
  <si>
    <t>http://www.ekathimerini.com/4dcgi/_w_articles_politics_100012_23/10/2007_89256</t>
  </si>
  <si>
    <t>2007-10-17T00:00:00Z</t>
  </si>
  <si>
    <t>suicide, jumped into sea in desperation after vessel drifting, way from Mauritania to E (Oct 17, 2007)</t>
  </si>
  <si>
    <t>Event at Mauritania on Oct 17, 2007</t>
  </si>
  <si>
    <t>MNS/PICUM/Le Courrier</t>
  </si>
  <si>
    <t>2007-10-16T00:00:00Z</t>
  </si>
  <si>
    <t>suicide, hanged himself in the garden of detention centre for migrants in Modena (I)  (Oct 16, 2007)</t>
  </si>
  <si>
    <t>modena</t>
  </si>
  <si>
    <t>Event at Modena on Oct 16, 2007</t>
  </si>
  <si>
    <t>INDi/ASGI/GLOPRO</t>
  </si>
  <si>
    <t>2007-10-15T00:00:00Z</t>
  </si>
  <si>
    <t>manner of death unknown, bodies thrown overboard on the way from Mauritania to Spain (Oct 15, 2007)</t>
  </si>
  <si>
    <t>Event at Mauritania on Oct 15, 2007</t>
  </si>
  <si>
    <t>Three bodies fished off the coast of Sejnane in the north east of the country (Oct 16, 2007)</t>
  </si>
  <si>
    <t>Sejnane, algeria</t>
  </si>
  <si>
    <t>Event at Sejnane, Algeria on Oct 15, 2007</t>
  </si>
  <si>
    <t>http://www.lequotidien-oran.com/index.php?news=506754</t>
  </si>
  <si>
    <t>Fourth body recovered from the nets of the fishing vessel "La Pastora", in Cabo de Gata, Almeria (Oct 16, 2007)</t>
  </si>
  <si>
    <t>Event at Gata on Oct 15, 2007</t>
  </si>
  <si>
    <t>http://www.elmundo.es/elmundo/2007/10/16/espana/1192519427.html</t>
  </si>
  <si>
    <t>2007-10-14T00:00:00Z</t>
  </si>
  <si>
    <t>died of dehydration in hospital in Tenerife (E) after 12 days sailing from Gambia  (Oct 14, 2007). From Del Grande's data set (translated): He died of dehydration at the hospital of "La Candelaria" one of the 90 passengers of a canoe rescued October 14, 14 miles south of Tenerife, in the Canary Islands (Oct 15, 2007)</t>
  </si>
  <si>
    <t>Event at Tenerife on Oct 14, 2007</t>
  </si>
  <si>
    <t>MNS/PICUM/Can7/EFE/MUGAK</t>
  </si>
  <si>
    <t>http://www.elpais.com/articulo/espana/Fallece/deshidratacion/inmigrante/rescatado/cayuco/elpepuesp/20071016elpepinac_18/Tes</t>
  </si>
  <si>
    <t>suicide, hanged himself in his cell in Modena (I) detention centre (Oct 14, 2007)</t>
  </si>
  <si>
    <t>Event at Modena on Oct 14, 2007</t>
  </si>
  <si>
    <t>MP/INDi/ASGI/GLOPRO</t>
  </si>
  <si>
    <t>2007-10-13T00:00:00Z</t>
  </si>
  <si>
    <t>Egyptian police shooting at a Sudanese refugee along the border with Israel and kills him (Oct 14, 2007)</t>
  </si>
  <si>
    <t>Event at Sinai, Egypt on Oct 13, 2007</t>
  </si>
  <si>
    <t>Ahn</t>
  </si>
  <si>
    <t>http://www.allheadlinenews.com/articles/7008833394</t>
  </si>
  <si>
    <t>2007-10-10T00:00:00Z</t>
  </si>
  <si>
    <t>Recovered a dead body five miles south of Lampedusa (Oct 11, 2007)</t>
  </si>
  <si>
    <t>Event at Lampedusa on Oct 10, 2007</t>
  </si>
  <si>
    <t>http://www.elmundo.es/elmundo/2007/10/09/espana/1191915684.html</t>
  </si>
  <si>
    <t>bodies found at Alboran on Andalusian coast (E) (Oct 10, 2007)</t>
  </si>
  <si>
    <t>Event at Alboran, Spain on Oct 10, 2007</t>
  </si>
  <si>
    <t>ABC/MUGAK/NOB</t>
  </si>
  <si>
    <t>2007-10-09T00:00:00Z</t>
  </si>
  <si>
    <t>suicide, after asylum claim rejected, he hanged himself at his flat in Birkby (GB) (Oct 9, 2007)</t>
  </si>
  <si>
    <t>Birkby, uk</t>
  </si>
  <si>
    <t>Event at Birkby, Uk on Oct 09, 2007</t>
  </si>
  <si>
    <t>HEXAM/IRR</t>
  </si>
  <si>
    <t>2007-10-08T00:00:00Z</t>
  </si>
  <si>
    <t>Recovered a dead body in an advanced state of decomposition between the networks of the vessel "La Pastora", Nijar, Almera close. It is the third body fished out in a week (Oct 9, 2007)</t>
  </si>
  <si>
    <t>Event at Almera on Oct 08, 2007</t>
  </si>
  <si>
    <t>2007-01-29T00:00:00Z</t>
  </si>
  <si>
    <t>2007 -- 1</t>
  </si>
  <si>
    <t>suicide, found hanged in his cell in Berne prison of Witzwil (CH) in fear of deportation (Jan 29, 2007)</t>
  </si>
  <si>
    <t>Witzwil, switzerland</t>
  </si>
  <si>
    <t>Event at Witzwil, Switzerland on Jan 29, 2007</t>
  </si>
  <si>
    <t>Vivre/Polbe</t>
  </si>
  <si>
    <t>2007-01-28T00:00:00Z</t>
  </si>
  <si>
    <t>suicide, found hanged in his cell at Preston prison (GB), accused of using false documents (Jan 28, 2007)</t>
  </si>
  <si>
    <t>preston, uk</t>
  </si>
  <si>
    <t>Event at Preston, Uk on Jan 28, 2007</t>
  </si>
  <si>
    <t>2007-01-21T00:00:00Z</t>
  </si>
  <si>
    <t>stowaways, found hidden under a coffin been trasported from in Kypoi (GR) (Jan 21, 2007)</t>
  </si>
  <si>
    <t>Kypoi, greece</t>
  </si>
  <si>
    <t>Event at Kypoi, Greece on Jan 21, 2007</t>
  </si>
  <si>
    <t>MNS/TP</t>
  </si>
  <si>
    <t>stowaway, body found in plane s wheel bay in Los Angeles (US), trying to reach London (UK) (Jan 21, 2007)</t>
  </si>
  <si>
    <t>Event at London on Jan 21, 2007</t>
  </si>
  <si>
    <t>NOB/IRR</t>
  </si>
  <si>
    <t>2007-01-17T00:00:00Z</t>
  </si>
  <si>
    <t>Shipwreck off the coast of Annaba, along the new routes to Sardinia, retrieved 33 corpses (Jan 18, 2007)</t>
  </si>
  <si>
    <t>Event at Annaba on Jan 17, 2007</t>
  </si>
  <si>
    <t>La Nuova Sardegna</t>
  </si>
  <si>
    <t>http://www.lanuovasardegna.quotidianiespresso.it/giornalilocali/index.jsp?s=nuovasardegna&amp;l=articoli-dettaglio&amp;id=1481607</t>
  </si>
  <si>
    <t>2007-01-16T00:00:00Z</t>
  </si>
  <si>
    <t>drowned, 2 found, 5 missing boat from Turkey sank off the Samos island (GR) (Jan 16, 2007). From Del Grande's data set (translated): Sink a small boat off the island of Samos, 2 dead and 5 missing (Jan 18, 2007)</t>
  </si>
  <si>
    <t>Event at Samos on Jan 16, 2007</t>
  </si>
  <si>
    <t>http://www.ekathimerini.com/4dcgi/news/content.asp?aid=79018</t>
  </si>
  <si>
    <t>2007-01-14T00:00:00Z</t>
  </si>
  <si>
    <t>stowaway, frozen in undercarriage of airplane from Gambia to Bruxelles (B) (Jan 14, 2007). From Del Grande's data set (translated): Brussels Zaventem Airport. Found a boy died of cold in the undercarriage of a plane of Brussels Airlines started from Gambia (Jan 17, 2007)</t>
  </si>
  <si>
    <t>brussels</t>
  </si>
  <si>
    <t>Event at Brussels on Jan 14, 2007</t>
  </si>
  <si>
    <t>AngolaPress/MNS/PICUM/Vivre</t>
  </si>
  <si>
    <t>http://www.angolapress-angop.ao/noticia-f.asp?ID=502256</t>
  </si>
  <si>
    <t>2007-01-13T00:00:00Z</t>
  </si>
  <si>
    <t>denied medical treatment, Remscheider refugee centre (D) refused to call ambulance (Jan 13, 2007)</t>
  </si>
  <si>
    <t>Remscheider, germany</t>
  </si>
  <si>
    <t>Event at Remscheider, Germany on Jan 13, 2007</t>
  </si>
  <si>
    <t>2007-01-11T00:00:00Z</t>
  </si>
  <si>
    <t>drowned, 6 found, 44 missing, boat capsized on way from Mauritania to Canary Isl. (E) (Jan 11, 2007)</t>
  </si>
  <si>
    <t>Event at Canary on Jan 11, 2007</t>
  </si>
  <si>
    <t>DPA/MNS/EP</t>
  </si>
  <si>
    <t>2007-01-10T00:00:00Z</t>
  </si>
  <si>
    <t>drowned after shipwreck on way from Egypt to Italy, familiars identified the body (Jan 10, 2007)</t>
  </si>
  <si>
    <t>Event at Egypt on Jan 10, 2007</t>
  </si>
  <si>
    <t>LAT</t>
  </si>
  <si>
    <t>drowned after shipwreck on way from Alexandria (Egypt) to Italy (Jan 10, 2007)</t>
  </si>
  <si>
    <t>Event at Alexandria on Jan 10, 2007</t>
  </si>
  <si>
    <t>inanimate body washed ashore near Ghazaouet (DZ) (Jan 10, 2007)</t>
  </si>
  <si>
    <t>Event at Ghazaouet on Jan 10, 2007</t>
  </si>
  <si>
    <t>2007-01-09T00:00:00Z</t>
  </si>
  <si>
    <t>drowned, bodies pulled out of the sea near the Sejname coast (TN) (Jan 9, 2007)</t>
  </si>
  <si>
    <t>Sejname, tunisia</t>
  </si>
  <si>
    <t>Event at Sejname, Tunisia on Jan 09, 2007</t>
  </si>
  <si>
    <t>drowned, shipwreck near Balikesir (TR) crossing the border from TR to GR, 11 survivors (Jan 9, 2007)</t>
  </si>
  <si>
    <t>Event at Balikesir on Jan 09, 2007</t>
  </si>
  <si>
    <t>suicide under a train after asylum claim refused (GB), he lost his job, had a lot of debt (Jan 9, 2007)</t>
  </si>
  <si>
    <t>Event at Great Britain on Jan 09, 2007</t>
  </si>
  <si>
    <t>TheNews</t>
  </si>
  <si>
    <t>2007-01-08T00:00:00Z</t>
  </si>
  <si>
    <t>drowned after their boat sank in the Mediterranean Sea on their way to Europe (Jan 8, 2007)</t>
  </si>
  <si>
    <t>Mediterranean Sea</t>
  </si>
  <si>
    <t>Event at Mediterranean Sea on Jan 08, 2007</t>
  </si>
  <si>
    <t>1 drowned, 3missing after boat from Libya sank next to Portopalo (I)  (Jan 8, 2007)</t>
  </si>
  <si>
    <t>Event at Portopalo on Jan 08, 2007</t>
  </si>
  <si>
    <t>LR/CDS/Unita/RAI/ANSA/IlMess</t>
  </si>
  <si>
    <t>2007-01-07T00:00:00Z</t>
  </si>
  <si>
    <t>Sinking boat coming from the Comoros Islands and directed the French island of Mayotte, in the Indian Ocean. Two dead and 19 missing (Jan 8, 2007)</t>
  </si>
  <si>
    <t>Event at Mayotte on Jan 07, 2007</t>
  </si>
  <si>
    <t>shot by Moroccan police while trying to reach Canary Isl. (E), other 37 were detained (Jan 7, 2007)</t>
  </si>
  <si>
    <t>Event at Canary on Jan 07, 2007</t>
  </si>
  <si>
    <t>reportedly drowned, boat capsized near Lampedusa (I) on the way from Libya, 1 survivor (Jan 7, 2007)</t>
  </si>
  <si>
    <t>Event at Lampedusa on Jan 07, 2007</t>
  </si>
  <si>
    <t>ANSA/GazzettaSud/AdnK/FE/HNS/Migreurop</t>
  </si>
  <si>
    <t>2007-01-06T00:00:00Z</t>
  </si>
  <si>
    <t>drowned, dinghy collided with Italian fishing boat 80 miles from LY on way to I (Jan 6, 2007)</t>
  </si>
  <si>
    <t>Event at Libya on Jan 06, 2007</t>
  </si>
  <si>
    <t>drowned, 1 found 11 missing, dinghy collided with fishing boatway from LY to I  (Jan 6, 2007)</t>
  </si>
  <si>
    <t>Fished out a dead body along the coasts of Bizerte (Jan 7, 2007)</t>
  </si>
  <si>
    <t>bizerte, tunisia</t>
  </si>
  <si>
    <t>Event at Bizerte, Tunisia on Jan 06, 2007</t>
  </si>
  <si>
    <t>http://www.lequotidien-oran.com/index.php?news=47028</t>
  </si>
  <si>
    <t>2007-01-05T00:00:00Z</t>
  </si>
  <si>
    <t>body found from Coast Guard in advanced state of decomposition near Lampedusa (I) (Jan 5, 2007)</t>
  </si>
  <si>
    <t>Event at Lampedusa on Jan 05, 2007</t>
  </si>
  <si>
    <t>drowned between Malta and Libya, bodies picked up by a French ship (Jan 5, 2007)</t>
  </si>
  <si>
    <t>Event at Malta on Jan 05, 2007</t>
  </si>
  <si>
    <t>FE/TI/Malta Independent/MP/LR/CDS/SP/ProAsyl/Reu/jW/MNS</t>
  </si>
  <si>
    <t>2007-01-03T00:00:00Z</t>
  </si>
  <si>
    <t>died on board of a small vessel during the crossing to Canary Islands (E) (Jan 3, 2007)</t>
  </si>
  <si>
    <t>Event at Canary on Jan 03, 2007</t>
  </si>
  <si>
    <t>Bladi</t>
  </si>
  <si>
    <t>drowned after their dinghy sank off Nador (MA), sailing towards Spain  (Jan 3, 2007)</t>
  </si>
  <si>
    <t>Nador, morocco</t>
  </si>
  <si>
    <t>Event at Nador, Morocco on Jan 03, 2007</t>
  </si>
  <si>
    <t>FE/Bladi</t>
  </si>
  <si>
    <t>2007-01-02T00:00:00Z</t>
  </si>
  <si>
    <t>died on a boat trying to reach Tenerife (E) from Mauritania, body thrown overboard (Jan 2, 2007)</t>
  </si>
  <si>
    <t>Event at Tenerife on Jan 02, 2007</t>
  </si>
  <si>
    <t>FE/EP</t>
  </si>
  <si>
    <t>2007-01-01T00:00:00Z</t>
  </si>
  <si>
    <t>found aboard a vessel drifting off the coast of Western Sahara on way to Canay Isl. (E) (Jan 1, 2007)</t>
  </si>
  <si>
    <t>Event at Sahara on Jan 01, 2007</t>
  </si>
  <si>
    <t>News24/NOB</t>
  </si>
  <si>
    <t>2006-09-26T00:00:00Z</t>
  </si>
  <si>
    <t>3Q2006</t>
  </si>
  <si>
    <t>2006 -- 9</t>
  </si>
  <si>
    <t>He died of a heart attack at the hospital Candelaria, Tenerife, one of the 106 migrants landed on Monday in the Canary Islands (Sep 27, 2006)</t>
  </si>
  <si>
    <t>Event at Tenerife on Sep 26, 2006</t>
  </si>
  <si>
    <t>Noticias de Alava</t>
  </si>
  <si>
    <t>http://www.noticiasdealava.com/ediciones/2006/09/28/sociedad/espana-mundo/d28esp19.449240.php</t>
  </si>
  <si>
    <t>2006-09-25T00:00:00Z</t>
  </si>
  <si>
    <t>drowned, 6 found, 3 missing, reportedly thrown into Turkish sea by Greek coastguard (Sep 25, 2006). From Del Grande's data set (translated): 6 dead, 2 missing off the coast of Izmir, but the survivors accuse the Greek Coast Guard, which would have forsaken them in Turkish waters after which the day before had landed on the Greek island of Chios (Sep 26, 2006)</t>
  </si>
  <si>
    <t>Event at Izmir on Sep 25, 2006</t>
  </si>
  <si>
    <t>SC/TP/FE/TDN/MNS/FR-BB/NOB/PICUM/PR/jW</t>
  </si>
  <si>
    <t>http://www.turkishpress.com/news.asp?id=143841</t>
  </si>
  <si>
    <t>2006-09-23T00:00:00Z</t>
  </si>
  <si>
    <t>drowned, shipwreck caused by overcrouding 40 miles off Lampedusa (I)  (Sep 23, 2006). From Del Grande's data set (translated): Lampedusa, a boat capsizes, drowning a woman and her baby (Sep 24, 2006)</t>
  </si>
  <si>
    <t>Event at Lampedusa on Sep 23, 2006</t>
  </si>
  <si>
    <t>LR/FE/IntHeraldTribune/NOB/PICUM/Unipa</t>
  </si>
  <si>
    <t>http://www.repubblica.it/2006/08/sezioni/cronaca/clandestini/sbarchi-24</t>
  </si>
  <si>
    <t>2006-09-22T00:00:00Z</t>
  </si>
  <si>
    <t>drowned, after their boat sank near Kenitra (MA) on way to Spain (Sep 22, 2006). From Del Grande's data set (translated): Tips not far from the coast boat game for Spain by Moulay Bousselham, in Kenitra. At least 25 dead (Sep 27, 2006)</t>
  </si>
  <si>
    <t>Event at Kenitra on Sep 22, 2006</t>
  </si>
  <si>
    <t>APDHA</t>
  </si>
  <si>
    <t>http://www.fferine.org/noticias/NOTI-1159700418.html</t>
  </si>
  <si>
    <t>2006-09-21T00:00:00Z</t>
  </si>
  <si>
    <t>Recovered on the beach in El Ejido, Almeria, the corpse of a drowned man (Sep 22, 2006)</t>
  </si>
  <si>
    <t>Event at Almeria on Sep 21, 2006</t>
  </si>
  <si>
    <t>Hoy</t>
  </si>
  <si>
    <t>http://www.hoy.es/prensa/20060922/nacional/llegan-otros-indocumentados-hallan_20060922.html</t>
  </si>
  <si>
    <t>2006-09-20T00:00:00Z</t>
  </si>
  <si>
    <t>Sinking boat coming from the Comoros Islands and directed the French island of Mayotte, in the Indian Ocean. One dead and 10 missing (Sep 21, 2006)</t>
  </si>
  <si>
    <t>Event at Mayotte on Sep 20, 2006</t>
  </si>
  <si>
    <t>1 found, 1 missing, body floating near Tarifa (E), set off with jet ski from Morocco   (Sep 20, 2006)</t>
  </si>
  <si>
    <t>Event at Tarifa on Sep 20, 2006</t>
  </si>
  <si>
    <t>NOB/APDHA</t>
  </si>
  <si>
    <t>2006-09-16T00:00:00Z</t>
  </si>
  <si>
    <t>died of lack of medical care in police custody after his boat landed in Los Cristianos (E) (Sep 16, 2006). From Del Grande's data set (translated): He died in police custody a day before the emigrant landed in the Canaries. In vain had repeatedly asked for a doctor to agents (Sep 17, 2006)</t>
  </si>
  <si>
    <t>Event at Canaries on Sep 16, 2006</t>
  </si>
  <si>
    <t>ELM/FE/NOB/EITB24/PICUM/Kaosenlared/NODO50/APDHA</t>
  </si>
  <si>
    <t>http://www.elmundo.es/elmundo/2006/09/17/espana/1158511492.html</t>
  </si>
  <si>
    <t>drowned, 1 found, 12 missing after shipwreck 115 miles South West Malta way Italy (Sep 16, 2006). From Del Grande's data set (translated): Wreck between Tunisia and Lampedusa, 1 dead and 12 missing (Sep 17, 2006)</t>
  </si>
  <si>
    <t>Event at Lampedusa on Sep 16, 2006</t>
  </si>
  <si>
    <t>FE/LR/MM/NOB/Unipa</t>
  </si>
  <si>
    <t>http://www.repubblica.it/2006/08/sezioni/cronaca/clandestini/nuovo-naufragio/nuovo-naufragio.html</t>
  </si>
  <si>
    <t>2006-09-15T00:00:00Z</t>
  </si>
  <si>
    <t>body found in a boat with 56 survivors landed on Los Cristianos, Canary Islands (E) (Sep 15, 2006). From Del Grande's data set (translated): Landing in the Canary Islands, 1 died on board (Sep 16, 2006)</t>
  </si>
  <si>
    <t>Event at Canary on Sep 15, 2006</t>
  </si>
  <si>
    <t>ELM/FE/NOB/EITB24/APDHA</t>
  </si>
  <si>
    <t>http://www.elmundo.es/elmundo/2006/09/16/espana/1158397376.html</t>
  </si>
  <si>
    <t>2006-09-11T00:00:00Z</t>
  </si>
  <si>
    <t>suicide on Detention Centre in Lamezia (I) waiting for deportation (Sep 11, 2006)</t>
  </si>
  <si>
    <t>lamezia</t>
  </si>
  <si>
    <t>Event at Lamezia on Sep 11, 2006</t>
  </si>
  <si>
    <t>2 dead in Evros minefields along the border with Turkey (Sep 12, 2006)</t>
  </si>
  <si>
    <t>Event at Evros on Sep 11, 2006</t>
  </si>
  <si>
    <t>http://www.ekathimerini.com/4dcgi/news/content.asp?aid=74101</t>
  </si>
  <si>
    <t>2006-09-08T00:00:00Z</t>
  </si>
  <si>
    <t>died of starvation, thrown overboard drifting ship on the way from Libya to Italy  (Sep 8, 2006). From Del Grande's data set (translated): Adrift from 15 days, they die during the crossing of the Strait of Sicily 17 people, including 5 women and 3 children (Sep 7, 2006)</t>
  </si>
  <si>
    <t>Event at Sicily on Sep 08, 2006</t>
  </si>
  <si>
    <t>FE/agrigentoweb</t>
  </si>
  <si>
    <t>http://www.agrigentoweb.it/teleacras/dettaglionews.asp?titolo=Altri+400+immigrati+a+Lampedusa%3A+17+morti+durante+la+traversata</t>
  </si>
  <si>
    <t>2006-09-07T00:00:00Z</t>
  </si>
  <si>
    <t>Recovered a corpse 40km off the coast of Lampedusa (Sep 8, 2006)</t>
  </si>
  <si>
    <t>Event at Lampedusa on Sep 07, 2006</t>
  </si>
  <si>
    <t>http://www.kataweb.it/news/item/214056/clandestini-2-barconi-a-sud-lampedusa-recuperato-cadavere</t>
  </si>
  <si>
    <t>2006-09-06T00:00:00Z</t>
  </si>
  <si>
    <t>Police intercept 47 who have entered illegally in Turkey, in Ercis, near Van, one of the migrant dies in hospital (Sep 7, 2006)</t>
  </si>
  <si>
    <t>Ercis, turkey</t>
  </si>
  <si>
    <t>Event at Ercis, Turkey on Sep 06, 2006</t>
  </si>
  <si>
    <t>Turkish Press</t>
  </si>
  <si>
    <t>http://archive.turkishpress.com/news.asp?id=69274</t>
  </si>
  <si>
    <t>2006-09-05T00:00:00Z</t>
  </si>
  <si>
    <t>drowned, 3 found, 8 missing; shipwreck caused by overcrouding near Malta (M) coasts (Sep 5, 2006)</t>
  </si>
  <si>
    <t>Event at Malta on Sep 05, 2006</t>
  </si>
  <si>
    <t>LR/Le Monde/GuidaS/MNS/Statewatch/Reu/FE/NOB/Unipa/IntHeraldTribune</t>
  </si>
  <si>
    <t>2006-09-04T00:00:00Z</t>
  </si>
  <si>
    <t>Two bodies found among the rocks near Mazara del Vallo, Sicily (Sep 5, 2006)</t>
  </si>
  <si>
    <t>Event at Vallo on Sep 04, 2006</t>
  </si>
  <si>
    <t>http://www.kataweb.it/news/item/212420/clandestini-cadavere-recuperato-a-imboccatura-porto-lampedusa</t>
  </si>
  <si>
    <t>2006-09-02T00:00:00Z</t>
  </si>
  <si>
    <t>Found the body of a drowned man next to an abandoned boat on the beach in Teguise, Lanzarote, Canary Islands (Sep 3, 2006)</t>
  </si>
  <si>
    <t>Event at Lanzarote on Sep 02, 2006</t>
  </si>
  <si>
    <t>Lanzarote digital</t>
  </si>
  <si>
    <t>http://www.lanzarotedigital.com/espanol/lanzarote/actualidad/noticias/2006/ln20060903193545.html</t>
  </si>
  <si>
    <t>A ship runs aground near the coast of Hania, Crete, one of the passengers died (Sep 3, 2006)</t>
  </si>
  <si>
    <t>Event at Crete on Sep 02, 2006</t>
  </si>
  <si>
    <t>http://www.ekathimerini.com/4dcgi/_w_articles_politics_100022_02/09/2006_73757</t>
  </si>
  <si>
    <t>Recovered another body off Lampedusa (Sep 3, 2006)</t>
  </si>
  <si>
    <t>Event at Lampedusa on Sep 02, 2006</t>
  </si>
  <si>
    <t>http://dea.ansa.it/</t>
  </si>
  <si>
    <t>He died at the hospital Trigona Noto one of 19 immigrants who landed the day before in Syracuse (Sep 3, 2006)</t>
  </si>
  <si>
    <t>Event at Syracuse on Sep 02, 2006</t>
  </si>
  <si>
    <t>http://www.iltempo.it/approfondimenti/index.aspx?id=1028530</t>
  </si>
  <si>
    <t>suicide, under train in London (GB) fearing deportation after refusal of his asylum claim  (Sep 2, 2006)</t>
  </si>
  <si>
    <t>Event at London on Sep 02, 2006</t>
  </si>
  <si>
    <t>IRR/Streathamguardian</t>
  </si>
  <si>
    <t>2006-09-01T00:00:00Z</t>
  </si>
  <si>
    <t>Rescued a boat off the coast of Syracuse. According to the 19 survivors, 8 people died on the journey and their bodies thrown into the sea (Sep 2, 2006)</t>
  </si>
  <si>
    <t>Event at Syracuse on Sep 01, 2006</t>
  </si>
  <si>
    <t>http://www.repubblica.it/2006/08/sezioni/cronaca/sbarchi-lampedusa3/otto-morti/otto-morti.html</t>
  </si>
  <si>
    <t>2006-08-31T00:00:00Z</t>
  </si>
  <si>
    <t>2006 -- 8</t>
  </si>
  <si>
    <t>Landing in the Canary Islands, 3 of the passengers on board died (Sep 1, 2006)</t>
  </si>
  <si>
    <t>Event at Canary on Aug 31, 2006</t>
  </si>
  <si>
    <t>http://www.elmundo.es/elmundo/2006/09/01/espana/1157096113.html</t>
  </si>
  <si>
    <t>Crete: a boat slamming against the rocks and sinks. 7 missing (Sep 1, 2006)</t>
  </si>
  <si>
    <t>Event at Crete on Aug 31, 2006</t>
  </si>
  <si>
    <t>2 bodies recovered at sea 5km from the island of Lampedusa (Sep 1, 2006)</t>
  </si>
  <si>
    <t>Event at Lampedusa on Aug 31, 2006</t>
  </si>
  <si>
    <t>One dead and six injured in a brawl between the port of Calais migrants trying to sneak to climb onto trucks bound for Britain (Sep 1, 2006)</t>
  </si>
  <si>
    <t>Event at Calais on Aug 31, 2006</t>
  </si>
  <si>
    <t>Liberation</t>
  </si>
  <si>
    <t>http://www.liberation.fr/actualite/reuters/reuters_france/201754.FR.php</t>
  </si>
  <si>
    <t>2006-08-29T00:00:00Z</t>
  </si>
  <si>
    <t>died in boat with 13 survivors, bodies thrown overboard during journey to reach Italy (Aug 29, 2006). From Del Grande's data set (translated): Boat rescued off Lampedusa. According to the 13 survivors, 10 people died on the journey and their bodies thrown into the sea (Aug 30, 2006)</t>
  </si>
  <si>
    <t>Event at Lampedusa on Aug 29, 2006</t>
  </si>
  <si>
    <t>http://oknotizie.alice.it/go.php?us=2880024805dab05d</t>
  </si>
  <si>
    <t>2006-08-28T00:00:00Z</t>
  </si>
  <si>
    <t>drowned, 84 found, 48 missing, shipwreck near Mauritanian coast of  Nouakchott  (Aug 28, 2006). From Del Grande's data set (translated): Rises to 84 the number of bodies recovered on the coast of Mauritania after the wreck last week. On August 27, 15 bodies had been found. Another 50 people could be missing (Aug 30, 2006)</t>
  </si>
  <si>
    <t>nouakchott</t>
  </si>
  <si>
    <t>Event at Nouakchott on Aug 28, 2006</t>
  </si>
  <si>
    <t>EP/FE/NOB/News24/MNS/GuardianUn/daz/FR-BB/APDHA</t>
  </si>
  <si>
    <t>http://www.elpais.es/articulo/espana/Mauritania/recupera/84/cadaveres/cayuco/naufrago/pasado/fin/semana/elpporesp/20060830elpepunac_3/Tes/</t>
  </si>
  <si>
    <t>2006-08-27T00:00:00Z</t>
  </si>
  <si>
    <t>died of dehydration after been abandoned in Sahara desert by Moroccan authorities  (Aug 27, 2006). From Del Grande's data set (translated): A man has died after more than 50 migrants were expelled by the Moroccan authorities in the desert, in a no man's land between the Western Sahara and Mauritania (Aug 29, 2006)</t>
  </si>
  <si>
    <t>Event at Sahara on Aug 27, 2006</t>
  </si>
  <si>
    <t>MNS/Reu/FE/BBC/NOB</t>
  </si>
  <si>
    <t>http://www.alertnet.org/thenews/newsdesk/L28866170.htm</t>
  </si>
  <si>
    <t>2006-08-26T00:00:00Z</t>
  </si>
  <si>
    <t>15 found, 5 missing on Mauritanian coast, thrown overboard after died of dehydration  (Aug 26, 2006). From Del Grande's data set (translated): Recovered 15 bodies on a beach near Nouakchott. Parties from Senegal aboard two boats, later intercepted by police in Mauritania, died dehydrated and then thrown into the water by the companions (Aug 27, 2006)</t>
  </si>
  <si>
    <t>Event at Nouakchott on Aug 26, 2006</t>
  </si>
  <si>
    <t>MNS/FE/EP/BBC/ELM/MAG/PICUM/CRIDEM/APDHA</t>
  </si>
  <si>
    <t>http://www.elpais.es/articulo/sociedad/Hallados/Mauritania/cadaveres/inmigrantes/dirigian/Canarias/elpporsoc/20060827elpepusoc_1/Tes/</t>
  </si>
  <si>
    <t>died of dehydration, found on boat sailing from Mauritania to Canary Islands (E) (Aug 26, 2006)</t>
  </si>
  <si>
    <t>Event at Canary on Aug 26, 2006</t>
  </si>
  <si>
    <t>2006-08-25T00:00:00Z</t>
  </si>
  <si>
    <t>bodies found on ship on way from Senegal to Canary Islands (E) (Aug 25, 2006). From Del Grande's data set (translated): Game boat rescued from Senegal, on board 8 deaths (Aug 26, 2006)</t>
  </si>
  <si>
    <t>Event at Canary on Aug 25, 2006</t>
  </si>
  <si>
    <t>http://www.elmundo.es/elmundo/2006/08/27/espana/1156680373.html</t>
  </si>
  <si>
    <t>body found on a vessel intercepted near the coasts of Malta  (Aug 25, 2006)</t>
  </si>
  <si>
    <t>Event at Malta on Aug 25, 2006</t>
  </si>
  <si>
    <t>MNS/Unipa</t>
  </si>
  <si>
    <t>2006-08-24T00:00:00Z</t>
  </si>
  <si>
    <t>Landing in Lampedusa. A couple of parents said that the journey is dead 18 month old daughter and two other children. The bodies were thrown into the sea (Aug 25, 2006)</t>
  </si>
  <si>
    <t>Event at Lampedusa on Aug 24, 2006</t>
  </si>
  <si>
    <t>http://www.repubblica.it/2006/08/sezioni/cronaca/clandestini-lampedusa/sbarchi-25-08/sbarchi-25-08.html</t>
  </si>
  <si>
    <t>died of starvation during crossing, found in boat landed at Portopalo di Capopassero (I) (Aug 24, 2006). From Del Grande's data set (translated): Landing in Portobalo Capopassero, Syracuse. On board the boat a dead man (Aug 25, 2006)</t>
  </si>
  <si>
    <t>capopassero</t>
  </si>
  <si>
    <t>Event at Capopassero on Aug 24, 2006</t>
  </si>
  <si>
    <t>ANSA/FE/LR</t>
  </si>
  <si>
    <t>2006-08-23T00:00:00Z</t>
  </si>
  <si>
    <t>Two men found dead along a road in Essex. According to the police would have died because of the excessive heat traveling hidden in a truck, after entering through a port in Great Britain (Aug 24, 2006)</t>
  </si>
  <si>
    <t>essex</t>
  </si>
  <si>
    <t>Event at Essex on Aug 23, 2006</t>
  </si>
  <si>
    <t>India eNews</t>
  </si>
  <si>
    <t>http://indiaenews.com/2006-08/19652-illegal-migrants-indian-subcontinent.htm</t>
  </si>
  <si>
    <t>2006-08-22T00:00:00Z</t>
  </si>
  <si>
    <t>He died at the hospital Comarcal of Motril one of the survivors of the boat rescue August 12 in Motril (Aug 23, 2006)</t>
  </si>
  <si>
    <t>Event at Motril, Spain on Aug 22, 2006</t>
  </si>
  <si>
    <t>Motril digital</t>
  </si>
  <si>
    <t>http://motrildigital.blogspot.com/2006_08_01_motrildigital_archive.html</t>
  </si>
  <si>
    <t>2006-08-21T00:00:00Z</t>
  </si>
  <si>
    <t>Found a dead body at the bottom of a canoe 48 hours after landing in the Canary Islands (Aug 22, 2006)</t>
  </si>
  <si>
    <t>Event at Canary on Aug 21, 2006</t>
  </si>
  <si>
    <t>http://www.abc.es/hemeroteca/historico-22-08-2006/Nacional/lo-encontraron-entre-las-moscas-y-por-el-hedor-del-cayuco_1422967435475.html</t>
  </si>
  <si>
    <t>2006-08-19T00:00:00Z</t>
  </si>
  <si>
    <t>reportedly devoured by a shark after dinghy capsized near Lampedusa (I)  (Aug 19, 2006)</t>
  </si>
  <si>
    <t>Event at Lampedusa on Aug 19, 2006</t>
  </si>
  <si>
    <t>IM/LR</t>
  </si>
  <si>
    <t>drowned, 6 found, 22 missing; dinghy capsized near the coasts of Lampedusa (I) (Aug 19, 2006). From Del Grande's data set (translated): Shipwreck at 70km from Lampedusa: 10 bodies recovered, 19 people are still missing (Aug 20, 2006)</t>
  </si>
  <si>
    <t>CDS/IM/MET/LR/FIEI/Statewatch/NOB/Newsaust</t>
  </si>
  <si>
    <t>http://www.repubblica.it/2006/08/sezioni/cronaca/clandestini-lampedusa/clandestini-20-08/clandestini-20-08.html</t>
  </si>
  <si>
    <t>died after falling into the sea attempting to cross the Sicilian Channel (Aug 19, 2006). From Del Grande's data set (translated): A man falls into the water during the crossing of the Strait of Sicily and drowned (Aug 20, 2006)</t>
  </si>
  <si>
    <t>Event at Sicily on Aug 19, 2006</t>
  </si>
  <si>
    <t>Statewatch/FE/Unipa</t>
  </si>
  <si>
    <t>2006-08-18T00:00:00Z</t>
  </si>
  <si>
    <t>drowned, bodies missing, boat sank off the coast of Lampedusa Island (I) (Aug 18, 2006)</t>
  </si>
  <si>
    <t>Event at Lampedusa on Aug 18, 2006</t>
  </si>
  <si>
    <t>PICUM/AFVIC</t>
  </si>
  <si>
    <t>drowned, 12 found, 38 missing, boat collided with Navy ship near Lampedusa (I) (Aug 18, 2006). From Del Grande's data set (translated): It sinks off Lampedusa boat rammed into a wrong maneuver from the ship "Minerva" Navy came to the rescue. 10 bodies recovered, 40 missing, including 10 children (Aug 19, 2006)</t>
  </si>
  <si>
    <t>ANSA/CDS/BBC/IM/Reu/GuardianUn/MNS/FE/LR/Statewatch/PICUM/AFVIC/IPL/NOB/FR-BB/Unipa/DS/ORF</t>
  </si>
  <si>
    <t>http://www.repubblica.it/2006/08/sezioni/cronaca/clandestini-lampedusa/clandestini-lampedusa/clandestini-lampedusa.html</t>
  </si>
  <si>
    <t>2006-08-17T00:00:00Z</t>
  </si>
  <si>
    <t>Recovered 24 bodies from the Libyan waters after a shipwreck (Aug 18, 2006)</t>
  </si>
  <si>
    <t>Event at Libyan on Aug 17, 2006</t>
  </si>
  <si>
    <t>Angola Press</t>
  </si>
  <si>
    <t>http://www.libya-watanona.com/news/n2006/sep/0906nwsc.htm</t>
  </si>
  <si>
    <t>2006-08-16T00:00:00Z</t>
  </si>
  <si>
    <t>found on a boat with 81 survivors rescued off Canary Islands (E) (Aug 16, 2006). From Del Grande's data set (translated): Boat rescued off the Canary Islands, on board 2 dead (Aug 17, 2006)</t>
  </si>
  <si>
    <t>Event at Canary on Aug 16, 2006</t>
  </si>
  <si>
    <t>Statewatch/FE/NOB/APDHA</t>
  </si>
  <si>
    <t>suicide, jumped from her 11th floor flat in Knightswood (GB), in fear of deportation (Aug 16, 2006)</t>
  </si>
  <si>
    <t>Knightswood, uk</t>
  </si>
  <si>
    <t>Event at Knightswood, Uk on Aug 16, 2006</t>
  </si>
  <si>
    <t>TheHerald/IRR</t>
  </si>
  <si>
    <t>2006-08-13T00:00:00Z</t>
  </si>
  <si>
    <t>died of starvation in Mauritania hospital after rescue operation on boat on way to Spain (Aug 13, 2006)</t>
  </si>
  <si>
    <t>Event at Mauritania on Aug 13, 2006</t>
  </si>
  <si>
    <t>died of hunger and thirst on way from Senegal to Canary Islands (E) (Aug 13, 2006). From Del Grande's data set (translated): 28 people die of starvation off the coast of Mauritania. Sailing in the open sea without water or food for days after the ship, which started from Senegal, off the Canary Islands had been forced by the Coast Guard in the Spanish reverse course (Aug 12, 2006)</t>
  </si>
  <si>
    <t>Event at Canary on Aug 13, 2006</t>
  </si>
  <si>
    <t>NOB/APDHA/jW</t>
  </si>
  <si>
    <t>http://www.elmundo.es/elmundo/2006/08/12/espana/1155400365.html</t>
  </si>
  <si>
    <t>2006-08-11T00:00:00Z</t>
  </si>
  <si>
    <t>A rescue boat off the coast of Motril. Survivors speak of the dead 2 for two weeks adrift without an engine. 2 other guys would have drowned after he jumped into the sea from despair (Aug 12, 2006)</t>
  </si>
  <si>
    <t>Event at Motril, Spain on Aug 11, 2006</t>
  </si>
  <si>
    <t>2006-08-10T00:00:00Z</t>
  </si>
  <si>
    <t>Exploding a gas cylinder on board a ship bound for the Canary Islands: 16 dead. After 15 days adrift come to the rescue: are recovered two of the bodies and the injured were hospitalized, but the other 3 people die in the hospital Nuadib (Aug 11, 2006)</t>
  </si>
  <si>
    <t>Event at Canary on Aug 10, 2006</t>
  </si>
  <si>
    <t>http://www.elmundo.es/elmundo/2006/08/11/espana/1155297536.html</t>
  </si>
  <si>
    <t>2006-08-09T00:00:00Z</t>
  </si>
  <si>
    <t>stowaway, asylum seeker fell from a lorry in carriageway near Folkestone, Kent (GB) (Aug 9, 2006)</t>
  </si>
  <si>
    <t>Folkestone, uk</t>
  </si>
  <si>
    <t>Event at Folkestone, Uk on Aug 09, 2006</t>
  </si>
  <si>
    <t>Mirror/BBC/IRR</t>
  </si>
  <si>
    <t>2006-08-04T00:00:00Z</t>
  </si>
  <si>
    <t>suicide, hung herself in fear of deportation in a detention centre in Neuss (Germany) (Aug 4, 2006)</t>
  </si>
  <si>
    <t>Neuss, germany</t>
  </si>
  <si>
    <t>Event at Neuss, Germany on Aug 04, 2006</t>
  </si>
  <si>
    <t>ProAsyl/PICUM/Hiergeb</t>
  </si>
  <si>
    <t>2006-08-03T00:00:00Z</t>
  </si>
  <si>
    <t>He died a man in a boat rescued off the Canary Islands (Aug 4, 2006)</t>
  </si>
  <si>
    <t>Event at Canary on Aug 03, 2006</t>
  </si>
  <si>
    <t>http://www.elmundo.es/elmundo/2006/08/04/espana/1154681596.html</t>
  </si>
  <si>
    <t>2006-08-01T00:00:00Z</t>
  </si>
  <si>
    <t>They go out of your way to get away to a police station because no papers to enter Germany. In the incident, near Koenigs Wusterhausen (Brandenburg) die 6 of 8 passengers (Aug 2, 2006)</t>
  </si>
  <si>
    <t>Koenigs Wusterhausen, germany</t>
  </si>
  <si>
    <t>Event at Koenigs Wusterhausen, Germany on Aug 01, 2006</t>
  </si>
  <si>
    <t>http://www.ansa.it/main/notizie/awnplus/topnews/news/2006-08-02_1029541.html</t>
  </si>
  <si>
    <t>2006-07-31T00:00:00Z</t>
  </si>
  <si>
    <t>2006 -- 7</t>
  </si>
  <si>
    <t>28 corpses discovered on the coast of Blibilat, 40 km north of El-Aaiun, drowned while trying to reach the Canary Islands (Aug 1, 2006)</t>
  </si>
  <si>
    <t>aiun</t>
  </si>
  <si>
    <t>Event at Aiun on Jul 31, 2006</t>
  </si>
  <si>
    <t>http://www.elmundo.es/elmundo/2006/08/01/espana/1154464419.html</t>
  </si>
  <si>
    <t>2006-07-29T00:00:00Z</t>
  </si>
  <si>
    <t>reportedly died of sunstroke, bodies found on boat arrived in Los Cristianos (E)  (Jul 29, 2006)</t>
  </si>
  <si>
    <t>Los Cristianos, spain</t>
  </si>
  <si>
    <t>Event at Los Cristianos, Spain on Jul 29, 2006</t>
  </si>
  <si>
    <t>NOB/TS</t>
  </si>
  <si>
    <t>died of starvation after been hospitalized in Palermo (I) after shipwreck in Lampedusa  (Jul 29, 2006). From Del Grande's data set (translated): He died at the hospital in Palermo, where he was hospitalized in a coma, one of the survivors of the tragedy of July 29 off the coast of Lampedusa (Jul 30, 2006)</t>
  </si>
  <si>
    <t>Event at Lampedusa on Jul 29, 2006</t>
  </si>
  <si>
    <t>IPL/LR/FE/Statewatch/NOB</t>
  </si>
  <si>
    <t>http://www.repubblica.it/2006/07/sezioni/cronaca/sbarchi-lampedusa2/malta-dispersi/malta-dispersi.html</t>
  </si>
  <si>
    <t>2006-07-28T00:00:00Z</t>
  </si>
  <si>
    <t>reportedly died of starvation on a boat with 14 survivors drifting off Lampedusa (I)  (Jul 28, 2006). From Del Grande's data set (translated): Boat rescued 130 miles off Lampedusa, the result of 20 days. According to survivors 13 people died during the crossing, their dead bodies were thrown overboard by his companions travel (Jul 29, 2006)</t>
  </si>
  <si>
    <t>Event at Lampedusa on Jul 28, 2006</t>
  </si>
  <si>
    <t>BBC/IPL/FE/LR/Statewatch/MNS/NOB/Unipa</t>
  </si>
  <si>
    <t>http://www.repubblica.it/2006/07/sezioni/cronaca/sbarchi-lampedusa2/clandestini-sbarchi-lampedusa/clandestini-sbarchi-lampedusa.html</t>
  </si>
  <si>
    <t>drowned after shipwreck near the coasts of Malta, Italian vassel rescued 12 survivors (Jul 28, 2006). From Del Grande's data set (translated): Rescued a ship off the coast of Malta, drifting from 6 days. According to survivors 17 people died in the crossing, including 8 children and 1 infant, their bodies were thrown overboard by his companions travel (Jul 29, 2006)</t>
  </si>
  <si>
    <t>vassel</t>
  </si>
  <si>
    <t>Event at Vassel on Jul 28, 2006</t>
  </si>
  <si>
    <t>MNS/LR/FE/IPL/Statewatch/NOB/MM/Unipa</t>
  </si>
  <si>
    <t>2006-07-27T00:00:00Z</t>
  </si>
  <si>
    <t>drowned:12 found, 22 missing shipwreck on Senegalesian waters on way to Spain  (Jul 27, 2006). From Del Grande's data set (translated): Shipwreck off Khoudos Daros, 12 dead and 22 missing (Aug 2, 2006)</t>
  </si>
  <si>
    <t>Event at Senegal on Jul 27, 2006</t>
  </si>
  <si>
    <t>http://listes.rezo.net/archives/migreurop/2006-08/msg00009.html</t>
  </si>
  <si>
    <t>drowned during rescue operation, boat was intercepted near Tenerife (E)  (Jul 27, 2006). From Del Grande's data set (translated): Intercepted a boat off the Canary Islands: during rescue 2 people drown, 2 more die on the ship rescue (Jul 28, 2006)</t>
  </si>
  <si>
    <t>Event at Tenerife on Jul 27, 2006</t>
  </si>
  <si>
    <t>MNS/ELM/FE/Statewatch/NOB/Pravda/APDHA/taz/jW</t>
  </si>
  <si>
    <t>http://www.elmundo.es/elmundo/2006/07/28/espana/1154071470.html</t>
  </si>
  <si>
    <t>died on rescue ship, boat was intercepted near Tenerife (E)  (Jul 27, 2006)</t>
  </si>
  <si>
    <t>MNS/ELM/FE/Pravda/NOB/APDHA/taz/jW</t>
  </si>
  <si>
    <t>2006-07-26T00:00:00Z</t>
  </si>
  <si>
    <t>died of starvation, found on boat arrived in Canary Isl. (E) carrying 111 survivors (Jul 26, 2006). From Del Grande's data set (translated): Landing in the Canary Islands: a dead man in the boat they were traveling 100 other people (Jul 27, 2006)</t>
  </si>
  <si>
    <t>Event at Canary on Jul 26, 2006</t>
  </si>
  <si>
    <t>Statewatch/APDHA</t>
  </si>
  <si>
    <t>http://www.elmundo.es/elmundo/2006/07/26/espana/1153947356.html</t>
  </si>
  <si>
    <t>2006-07-25T00:00:00Z</t>
  </si>
  <si>
    <t>reportedly drowned,  all bodies missing, boat from Libya to Italy sank off Mahdia (TN) (Jul 25, 2006). From Del Grande's data set (translated): A boat sailed from Libya and live in Italy is shipwrecked off the coast of Mahdia. According to the 8 survivors of the victims are 17, all dispersed (Jul 26, 2006)</t>
  </si>
  <si>
    <t>mahdia</t>
  </si>
  <si>
    <t>Event at Mahdia on Jul 25, 2006</t>
  </si>
  <si>
    <t>Statewatch/ELM/FE/Reu/IPL</t>
  </si>
  <si>
    <t>http://www.elmundo.es/elmundo/2006/07/26/internacional/1153927040.html</t>
  </si>
  <si>
    <t>died without medical care in asylum centre Sweikhuizen, Geeuwenburg (NL) (Jul 25, 2006)</t>
  </si>
  <si>
    <t>Geeuwenburg, netherlands</t>
  </si>
  <si>
    <t>Event at Geeuwenburg, Netherlands on Jul 25, 2006</t>
  </si>
  <si>
    <t>2006-07-24T00:00:00Z</t>
  </si>
  <si>
    <t>died after explosion in minefield in Evros (GR) trying to cross Turkish-Greek border (Jul 24, 2006)</t>
  </si>
  <si>
    <t>Event at Evros on Jul 24, 2006</t>
  </si>
  <si>
    <t>PICUM/KI/MNS/NOB</t>
  </si>
  <si>
    <t>2006-07-23T00:00:00Z</t>
  </si>
  <si>
    <t>found dead of hypothermia in boat with 48 survivors arrived Islands Gran Canaria (E) (Jul 23, 2006). From Del Grande's data set (translated): Landing in the Canary Islands: 2 dead on board the vessel, a third person is in very serious condition (Jul 25, 2006)</t>
  </si>
  <si>
    <t>Event at Canary on Jul 23, 2006</t>
  </si>
  <si>
    <t>MNS/ELM/FE/Statewatch/BBC/PICUM/NOB/APDHA/taz</t>
  </si>
  <si>
    <t>http://www.elmundo.es/elmundo/2006/07/24/espana/1153723887.html</t>
  </si>
  <si>
    <t>reportedly drowned, bodies found by coast guards on a beach in Gela (I) (Jul 23, 2006). From Del Grande's data set (translated): Recovered three bodies on the beach at Gela, near the mouth of the river Dile, perhaps drowned during a landing recent (Jul 24, 2006)</t>
  </si>
  <si>
    <t>Event at Gela on Jul 23, 2006</t>
  </si>
  <si>
    <t>Statewatch/FE/CDS/IPL</t>
  </si>
  <si>
    <t>http://www.corriere.it/Primo_Piano/Cronache/2006/07_Luglio/24/gela.shtml</t>
  </si>
  <si>
    <t>2006-07-22T00:00:00Z</t>
  </si>
  <si>
    <t>suicide: abandoned boat during their way to  arrive in Gran Canaria (E) (Jul 22, 2006)</t>
  </si>
  <si>
    <t>Event at Canaria on Jul 22, 2006</t>
  </si>
  <si>
    <t>died of starvation, thrown overboard boat with 48 survivors arrived Gran Canaria (E) (Jul 22, 2006). From Del Grande's data set (translated): Landing in the Canary Islands. Survivors speak of four men who died on the journey and thrown into the sea. Other 2 would have drowned after he jumped into the water from despair after 10 days adrift (Jul 23, 2006)</t>
  </si>
  <si>
    <t>Event at Canary on Jul 22, 2006</t>
  </si>
  <si>
    <t>http://www.diariodeavisos.com/content/112625/</t>
  </si>
  <si>
    <t>2006-07-21T00:00:00Z</t>
  </si>
  <si>
    <t>found on board of a rescued boat on way to Canay Island (E) (Jul 21, 2006). From Del Grande's data set (translated): Boat rescued off the Canary Islands, on board 2 dead (Jul 22, 2006)</t>
  </si>
  <si>
    <t>Event at Canary on Jul 21, 2006</t>
  </si>
  <si>
    <t>Statewatch</t>
  </si>
  <si>
    <t>http://www.elmundo.es/elmundo/2006/07/21/espana/1153495095.html</t>
  </si>
  <si>
    <t>died of starvation in Hospital after had been rescued in ship arrived at Tenerife (E) (Jul 21, 2006). From Del Grande's data set (translated): He died a man hospitalized after wreck two days prior to the Canaries (Jul 23, 2006)</t>
  </si>
  <si>
    <t>Event at Tenerife on Jul 21, 2006</t>
  </si>
  <si>
    <t>Statewatch/FE/ELM/PICUM/APDHA</t>
  </si>
  <si>
    <t>http://www.elmundo.es/elmundo/2006/07/23/espana/1153673114.html</t>
  </si>
  <si>
    <t>2006-07-20T00:00:00Z</t>
  </si>
  <si>
    <t>found on a boat with 43 survivors, arrived at the port Los Cristiano, on Tenerife (E) (Jul 20, 2006)</t>
  </si>
  <si>
    <t>Event at Tenerife on Jul 20, 2006</t>
  </si>
  <si>
    <t>MNS/ELM/FE/PICUM/APDHA</t>
  </si>
  <si>
    <t>2006-07-17T00:00:00Z</t>
  </si>
  <si>
    <t>reportedly died heart failure caused by hypotermia, after arriving Fuerteventura (E) (Jul 17, 2006). From Del Grande's data set (translated): Dead rescue a seven month old baby with mother on a ship off the coast of Fuerteventura (Jul 19, 2006)</t>
  </si>
  <si>
    <t>Event at Fuerteventura on Jul 17, 2006</t>
  </si>
  <si>
    <t>PICUM/ELM/MNS/Statewatch/FE/NOB/APDHA</t>
  </si>
  <si>
    <t>http://www.elmundo.es/elmundo/2006/07/18/espana/1153247478.html</t>
  </si>
  <si>
    <t>2006-07-15T00:00:00Z</t>
  </si>
  <si>
    <t>suicide, asylum seeker detained at Foreigners Registration Crentre, Pabrade (LT) (Jul 15, 2006)</t>
  </si>
  <si>
    <t>Pabrade, lithuania</t>
  </si>
  <si>
    <t>Event at Pabrade, Lithuania on Jul 15, 2006</t>
  </si>
  <si>
    <t>http://redcross.eu/en/upload/documents/pdf/2012/Migration/Lithuania_Study_on_detention%20pdf.pdf</t>
  </si>
  <si>
    <t>2006-07-08T00:00:00Z</t>
  </si>
  <si>
    <t>asylum seeker strangled from policeman in social welfare office in Trondheim (N) (Jul 8, 2006)</t>
  </si>
  <si>
    <t>Trondheim, norway</t>
  </si>
  <si>
    <t>Event at Trondheim, Norway on Jul 08, 2006</t>
  </si>
  <si>
    <t>MNS/NR</t>
  </si>
  <si>
    <t>2006-07-06T00:00:00Z</t>
  </si>
  <si>
    <t>found when boat arrived on Tenerife (E), died by dehydration during crossing  (Jul 6, 2006). From Del Grande's data set (translated): Boat rescued off the Canary Islands, on board 3 dead (Jul 7, 2006)</t>
  </si>
  <si>
    <t>Event at Tenerife on Jul 06, 2006</t>
  </si>
  <si>
    <t>PICUM/MNS/Statewatch/FE/EP/NOB/APDHA/jW</t>
  </si>
  <si>
    <t>http://www.elpais.es/articulo/espana/subsaharianos/mueren/deshidratados/travesia/dias/Tenerife/elpepiesp/20060708elpepinac_8/Tes/</t>
  </si>
  <si>
    <t>bodies found on the coasts of Canary Islands (E) (Jul 6, 2006)</t>
  </si>
  <si>
    <t>Event at Canary on Jul 06, 2006</t>
  </si>
  <si>
    <t>2006-07-02T00:00:00Z</t>
  </si>
  <si>
    <t>drowned, 2 small boats capsised on way to Spain, one crashed with coast guard vessel (Jul 2, 2006)</t>
  </si>
  <si>
    <t>Africa to Spain</t>
  </si>
  <si>
    <t>Event at Africa To Spain on Jul 02, 2006</t>
  </si>
  <si>
    <t>MAG/NRC/IND/Statewatch/FE/ELM/NOB/APDHA/MNS/INDd</t>
  </si>
  <si>
    <t>3 people die in an attempt to climb over the barrier of the border of the Spanish enclave of Melilla (Jul 3, 2006)</t>
  </si>
  <si>
    <t>Event at Melilla on Jul 02, 2006</t>
  </si>
  <si>
    <t>http://www.elmundo.es/elmundo/2006/07/03/espana/1151914440.html</t>
  </si>
  <si>
    <t>stowaways, found dead on a lorry arrived in Bari (I) from Durazzo (AL) (Jul 2, 2006)</t>
  </si>
  <si>
    <t>Event at Bari on Jul 02, 2006</t>
  </si>
  <si>
    <t>Statewatch/LR/FE</t>
  </si>
  <si>
    <t>2006-06-30T00:00:00Z</t>
  </si>
  <si>
    <t>2Q2006</t>
  </si>
  <si>
    <t>2006 -- 6</t>
  </si>
  <si>
    <t>Explodes a rebellion of hundreds of Nigerian migrants detained in al-Fellah prison in Tripoli, awaiting deportation. The police opened fire: 2 dead, both Nigerians (Jul 1, 2006)</t>
  </si>
  <si>
    <t>Event at Tripoli on Jun 30, 2006</t>
  </si>
  <si>
    <t>2006-06-28T00:00:00Z</t>
  </si>
  <si>
    <t>drowned, 3 found, 13 missing after shipwreck 200 km near El Aai√Ä√¥n (MA) way to E (Jun 28, 2006)</t>
  </si>
  <si>
    <t>el ai'n, morocco</t>
  </si>
  <si>
    <t>Event at El Ai'N, Morocco on Jun 28, 2006</t>
  </si>
  <si>
    <t>MNS/APDHA</t>
  </si>
  <si>
    <t>2006-06-26T00:00:00Z</t>
  </si>
  <si>
    <t>It is a boat capsized off the coast of Naila, 200 km from Laayoun, 16 drowned (Jun 27, 2006)</t>
  </si>
  <si>
    <t>Event at Laayoun on Jun 26, 2006</t>
  </si>
  <si>
    <t>http://listes.rezo.net/archives/migreurop/2006-06/msg00150.html</t>
  </si>
  <si>
    <t>Unearthed from the fishermen's nets of Laayoun the remains of three migrants drowned en route to the Canary Islands, including the body of a three year old girl (Jun 27, 2006)</t>
  </si>
  <si>
    <t>http://www.elmundo.es/suplementos/cronica/2006/582/1166914811.html</t>
  </si>
  <si>
    <t>found dead on a fishing boat with 266 survivors near the coasts of Malta on way to I (Jun 26, 2006)</t>
  </si>
  <si>
    <t>Event at Malta on Jun 26, 2006</t>
  </si>
  <si>
    <t>EB/Statewatch/FE</t>
  </si>
  <si>
    <t>Boat rescued off Malta, on board 2 dead (Jun 27, 2006)</t>
  </si>
  <si>
    <t>2006-06-25T00:00:00Z</t>
  </si>
  <si>
    <t>drowned after shipwreck, found by Turkish Coast Guard near Kusadasi (MA)  (Jun 25, 2006). From Del Grande's data set (translated): The Turkish Coast Guard recovers at sea off the coast of Kusadasi corpses of 5 people, including 3 children, drowned in a shipwreck (Jun 26, 2006)</t>
  </si>
  <si>
    <t>Event at Sada on Jun 25, 2006</t>
  </si>
  <si>
    <t>Statewatch/TP/NCAs</t>
  </si>
  <si>
    <t>http://archive.turkishpress.com/news.asp?id=129775</t>
  </si>
  <si>
    <t>2006-06-21T00:00:00Z</t>
  </si>
  <si>
    <t>stowaway, died from heat exhaustion 2 weeks later found in roadside in Essex (GB) (Jun 21, 2006)</t>
  </si>
  <si>
    <t>Event at Essex on Jun 21, 2006</t>
  </si>
  <si>
    <t>BBC/PICUM/NOB/IRR/EADT</t>
  </si>
  <si>
    <t>2006-06-18T00:00:00Z</t>
  </si>
  <si>
    <t>suicide, found hanged in Asylum Centre in Hansthholm (D) after asylum claim rejected (Jun 18, 2006)</t>
  </si>
  <si>
    <t>Hansthholm, germany</t>
  </si>
  <si>
    <t>Event at Hansthholm, Germany on Jun 18, 2006</t>
  </si>
  <si>
    <t>CPH/MNS/NR/UNHCR</t>
  </si>
  <si>
    <t>2006-06-11T00:00:00Z</t>
  </si>
  <si>
    <t>died of dehydration and hypothermia in hospital after boat landed in Arguineguin (E) (Jun 11, 2006)</t>
  </si>
  <si>
    <t>Event at Arguineguin on Jun 11, 2006</t>
  </si>
  <si>
    <t>FE/ELM/MNS/APDHA/NOB/TySp/Gaymengc/TS</t>
  </si>
  <si>
    <t>died of dehydration and hypothermia, found in boat landed in Arguineguin (E)  (Jun 11, 2006)</t>
  </si>
  <si>
    <t>NOB/Gaymengc/FE/ELM/TS/MNS/APDHA</t>
  </si>
  <si>
    <t>2006-06-08T00:00:00Z</t>
  </si>
  <si>
    <t>Shipwreck off Malta: 3 dead, 8 missing (Jun 9, 2006)</t>
  </si>
  <si>
    <t>Event at Malta on Jun 08, 2006</t>
  </si>
  <si>
    <t>http://www.repubblica.it/2006/05/sezioni/cronaca/sbarchi-lampedusa/dispersi-malta/dispersi-malta.html</t>
  </si>
  <si>
    <t>2006-06-07T00:00:00Z</t>
  </si>
  <si>
    <t>reportedly drowned, missing, fell from boat during repatriation leaving NL to Africa  (Jun 7, 2006)</t>
  </si>
  <si>
    <t>Event at Africa on Jun 07, 2006</t>
  </si>
  <si>
    <t>wrong medical treatment, overdose</t>
  </si>
  <si>
    <t>found in Bologna det. cr. (I), overdose by antiepileptic medicine, he wasn t epileptic (Jun 7, 2006)</t>
  </si>
  <si>
    <t>bologna</t>
  </si>
  <si>
    <t>Event at Bologna on Jun 07, 2006</t>
  </si>
  <si>
    <t>MP/ADUC/SAP/AFFIT/GLOPRO/LESP/ILD</t>
  </si>
  <si>
    <t>died in detention centre in Bologna (I) sparking a revolt (Jun 7, 2006)</t>
  </si>
  <si>
    <t>2006-06-06T00:00:00Z</t>
  </si>
  <si>
    <t>drowned,  on way Canary Islands (E), found by fishermen off Cape Bojard (MA) (Jun 6, 2006)</t>
  </si>
  <si>
    <t>Event at Canary on Jun 06, 2006</t>
  </si>
  <si>
    <t>MNS/PICUM/LV/ICARE/APDHA</t>
  </si>
  <si>
    <t>2006-06-05T00:00:00Z</t>
  </si>
  <si>
    <t>drowned, after boat sank 2.5km of Island Samos (GR) sailing with 22  saved by vassel (Jun 5, 2006). From Del Grande's data set (translated): Shipwreck off the island of Samos, a child dies (Jun 7, 2006)</t>
  </si>
  <si>
    <t>Event at Samos on Jun 05, 2006</t>
  </si>
  <si>
    <t>PICUM/KI/NCAs/Statewatch/MNS/FE/NOB/TP</t>
  </si>
  <si>
    <t>http://www.ekathimerini.com/4dcgi/news/content.asp?aid=70623</t>
  </si>
  <si>
    <t>2006-06-04T00:00:00Z</t>
  </si>
  <si>
    <t>He died a young man in a boat game from Morocco after four days adrift off the coast of Almeria (Jun 5, 2006)</t>
  </si>
  <si>
    <t>Event at Almeria on Jun 04, 2006</t>
  </si>
  <si>
    <t>http://www.elpais.com/articulo/espana/Fallece/papeles/dias/deriva/cerca/Almeria/20060605elpepinac_14/Tes/</t>
  </si>
  <si>
    <t>2006-06-03T00:00:00Z</t>
  </si>
  <si>
    <t>Storm off the coast of Malta, a boat turned upside down, 14 missing, only 1 body recovered (Jun 4, 2006)</t>
  </si>
  <si>
    <t>Event at Malta on Jun 03, 2006</t>
  </si>
  <si>
    <t>http://www.timesofmalta.com/core/article.php?id=226245</t>
  </si>
  <si>
    <t>2006-06-02T00:00:00Z</t>
  </si>
  <si>
    <t>Recovered from the waters of the coast of Ragusa, the bodies of four men drowned (Jun 3, 2006)</t>
  </si>
  <si>
    <t>Event at Ragusa on Jun 02, 2006</t>
  </si>
  <si>
    <t>2006-05-29T00:00:00Z</t>
  </si>
  <si>
    <t>2006 -- 5</t>
  </si>
  <si>
    <t>died bodies rempatriated from Spain to Morocco with other 433 migrants (May 29, 2006). From Del Grande's data set (translated): Repatriated from Morocco 433 Senegalese. On board the plane even the bodies of drowned migrants 7 (May 30, 2006)</t>
  </si>
  <si>
    <t>Event at Senegal on May 29, 2006</t>
  </si>
  <si>
    <t>APHDA</t>
  </si>
  <si>
    <t>http://www.lesoleil.sn/article.php3?id_article=12010</t>
  </si>
  <si>
    <t>died in minefield crossing Turkish-Greek border  (May 29, 2006)</t>
  </si>
  <si>
    <t>Turkey to Greece</t>
  </si>
  <si>
    <t>Event at Turkey To Greece on May 29, 2006</t>
  </si>
  <si>
    <t>IMK</t>
  </si>
  <si>
    <t>2006-05-18T00:00:00Z</t>
  </si>
  <si>
    <t>stowaways, small truck crashed into parked trailer on highway near Osmaniye (TR) (May 18, 2006). From Del Grande's data set (translated): A truck with immigrants on board collided with a truck in southern Turkey, near the province of Adana, Osmaniye: 44 dead (May 20, 2006)</t>
  </si>
  <si>
    <t>osmaniye</t>
  </si>
  <si>
    <t>Event at Osmaniye on May 18, 2006</t>
  </si>
  <si>
    <t>FECL/IPL/Ya.N/PICUM/MNS/FE/TDN/NOB/AFP</t>
  </si>
  <si>
    <t>http://www.turkishdailynews.com.tr/article.php?enewsid=44080</t>
  </si>
  <si>
    <t>2006-05-17T00:00:00Z</t>
  </si>
  <si>
    <t>found on boat caught up in storm near Sfax (Tunisia) on way from Libya to Italy (May 17, 2006). From Del Grande's data set (translated): Sailed from Libya to Italy, a vessel reverses course for lack of fuel, but a storm sends it adrift off the coast of Sfax in Tunisia: 7 dead (May 18, 2006)</t>
  </si>
  <si>
    <t>Event at Sfax on May 17, 2006</t>
  </si>
  <si>
    <t>IPL/Statewatch/FE/Unipa</t>
  </si>
  <si>
    <t>http://www.assabah.com.tn/</t>
  </si>
  <si>
    <t>2006-05-14T00:00:00Z</t>
  </si>
  <si>
    <t>no medical treatment, got lower priority for heart transplant than GB citizens (May 14, 2006)</t>
  </si>
  <si>
    <t>Event at Great Britain on May 14, 2006</t>
  </si>
  <si>
    <t>IRR/BBC</t>
  </si>
  <si>
    <t>2006-05-12T00:00:00Z</t>
  </si>
  <si>
    <t>26 missing, 11 found mummified in boat drifting near the Caribbean on way to Spain  (May 12, 2006). From Del Grande's data set (translated): Recovered off the coast of Barbados in the Caribbean, a boat adrift for three months, having left Cape Verde for Spain: 11 bodies on board and 26 people missing documents (May 13, 2006)</t>
  </si>
  <si>
    <t>Barbados</t>
  </si>
  <si>
    <t>Event at Barbados on May 12, 2006</t>
  </si>
  <si>
    <t>MNS/IRR/IPL/Statewatch/FE/EP/NOB/APDHA</t>
  </si>
  <si>
    <t>http://www.elpais.es/articulo/espana/yate/deriva/cadaveres/momificados/elpepiesp/20060513elpepinac_23/Tes/</t>
  </si>
  <si>
    <t>suicide, jumped under train, he lost work permit after refusal of asylum claim (GB) (May 12, 2006)</t>
  </si>
  <si>
    <t>Event at Great Britain on May 12, 2006</t>
  </si>
  <si>
    <t>Thenews/IRR</t>
  </si>
  <si>
    <t>2006-05-09T00:00:00Z</t>
  </si>
  <si>
    <t>drowned after their rubber boat broke up trying to reach Canary Islands (E) (May 9, 2006)</t>
  </si>
  <si>
    <t>Event at Canary on May 09, 2006</t>
  </si>
  <si>
    <t>APDHA/BBC/Guardianun/Aljazeera/PICUM/NOB/MNS/FE/ELM/jW</t>
  </si>
  <si>
    <t>2006-05-08T00:00:00Z</t>
  </si>
  <si>
    <t>drowned, bodies found on the beach of Torretta Granitola near Mazara del Vallo (I) (May 8, 2006)</t>
  </si>
  <si>
    <t>Event at Vallo on May 08, 2006</t>
  </si>
  <si>
    <t>2006-05-07T00:00:00Z</t>
  </si>
  <si>
    <t>found by Local Police officer on beach of the Caleta del Mero (E)  (May 7, 2006)</t>
  </si>
  <si>
    <t>caleta</t>
  </si>
  <si>
    <t>Event at Caleta on May 07, 2006</t>
  </si>
  <si>
    <t>TS/APDHA</t>
  </si>
  <si>
    <t>2006-05-06T00:00:00Z</t>
  </si>
  <si>
    <t>suicide, found hanged at Greenbank Drive Centre (GB) after asylum claim refused (May 6, 2006)</t>
  </si>
  <si>
    <t>Greenbank Drive Centre, uk</t>
  </si>
  <si>
    <t>Event at Greenbank Drive Centre, Uk on May 06, 2006</t>
  </si>
  <si>
    <t>IRR/icliverpool</t>
  </si>
  <si>
    <t>2006-05-05T00:00:00Z</t>
  </si>
  <si>
    <t>body found on board of a boat near Cabo de Gata (E)   (May 5, 2006)</t>
  </si>
  <si>
    <t>Event at Gata on May 05, 2006</t>
  </si>
  <si>
    <t>2006-05-02T00:00:00Z</t>
  </si>
  <si>
    <t>reportedly drowned, shipwreck off M on way to I, fled from Hal Far and Safi det.cr. (May 2, 2006)</t>
  </si>
  <si>
    <t>Event at Safi on May 02, 2006</t>
  </si>
  <si>
    <t>Statewatch/NOB/Unipa</t>
  </si>
  <si>
    <t>drowned, shipwreck off Ahrax Point (M) on way to I, fled from Hal Far and Safi det.cr.  (May 2, 2006)</t>
  </si>
  <si>
    <t>ahrax</t>
  </si>
  <si>
    <t>Event at Ahrax on May 02, 2006</t>
  </si>
  <si>
    <t>Statewatch/NOB</t>
  </si>
  <si>
    <t>It sinks off the coast of Kusadasi small boat direct to the Greek island of Samos, 1 dead and 1 missing (May 3, 2006)</t>
  </si>
  <si>
    <t>Event at Sada on May 02, 2006</t>
  </si>
  <si>
    <t>http://www.ekathimerini.com/4dcgi/news/content.asp?aid=69224</t>
  </si>
  <si>
    <t>2006-04-26T00:00:00Z</t>
  </si>
  <si>
    <t>2006 -- 4</t>
  </si>
  <si>
    <t>died of asthma attack in detention Centre in Trajal, Ceuta (E/MA) awaiting espulsion  (Apr 26, 2006). From Del Grande's data set (translated): Dies of an asthma attack a man imprisoned in a detention center for undocumented immigrants to Tarajal, the Spanish enclave of Ceuta in Morocco. He had crossed the border the day before and was waiting to be expelled (Apr 27, 2006)</t>
  </si>
  <si>
    <t>Event at Ceuta on Apr 26, 2006</t>
  </si>
  <si>
    <t>Statewatch/FE/ELM/NODO50</t>
  </si>
  <si>
    <t>http://www.elmundo.es/elmundo/2006/04/27/sociedad/1146127742.html</t>
  </si>
  <si>
    <t>2006-04-24T00:00:00Z</t>
  </si>
  <si>
    <t>drowned after shipwreck near Kenitra (MA) trying to reach Spain (Apr 24, 2006). From Del Grande's data set (translated): Shipwreck a few hundred meters from the coast of Moulay Bousselham, near Kenitra. 25 migrants lost at sea (Apr 25, 2006)</t>
  </si>
  <si>
    <t>Event at Kenitra on Apr 24, 2006</t>
  </si>
  <si>
    <t>http://www.paterasdelavida.com/novedades/2006/008.html</t>
  </si>
  <si>
    <t>body found on the shore of El Tarajal (E) trying to arrive in Ceuta (E/MA) (Apr 24, 2006). From Del Grande's data set (translated): Recovered on the beach Tarakhal the body of a young man drowned trying to reach the Spanish enclave of Ceuta in swimming (Apr 25, 2006)</t>
  </si>
  <si>
    <t>Event at Ceuta on Apr 24, 2006</t>
  </si>
  <si>
    <t>http://www.diariosur.es/pg060425/prensa/noticias/Ceuta/200604/25/SUR-CEU-098.html</t>
  </si>
  <si>
    <t>2006-04-22T00:00:00Z</t>
  </si>
  <si>
    <t>reportedly stowaway, fell from truck dragged a mile along A14, Cambridegeshire (GB) (Apr 22, 2006)</t>
  </si>
  <si>
    <t>Cambridegeshire, uk</t>
  </si>
  <si>
    <t>Event at Cambridegeshire, Uk on Apr 22, 2006</t>
  </si>
  <si>
    <t>2006-04-13T00:00:00Z</t>
  </si>
  <si>
    <t>murdered, shot by the police during a street riot in Germany (Apr 13, 2006)</t>
  </si>
  <si>
    <t>Event at Germany on Apr 13, 2006</t>
  </si>
  <si>
    <t>Sparta</t>
  </si>
  <si>
    <t>2006-04-11T00:00:00Z</t>
  </si>
  <si>
    <t>drowned, missing, after boat carrying 29 sank off Turkey s West coast, way to Greece (Apr 11, 2006)</t>
  </si>
  <si>
    <t>Event at Turkey To Greece on Apr 11, 2006</t>
  </si>
  <si>
    <t>TDN/FE/PR</t>
  </si>
  <si>
    <t>2006-04-07T00:00:00Z</t>
  </si>
  <si>
    <t>1 thrown overboard, 1 found on boat with 66 survivors intercepted off Tenerife (E) (Apr 7, 2006)</t>
  </si>
  <si>
    <t>Event at Tenerife on Apr 07, 2006</t>
  </si>
  <si>
    <t>TS/ELM/FE/Statewatch/NOB/APDHA</t>
  </si>
  <si>
    <t>2006-04-05T00:00:00Z</t>
  </si>
  <si>
    <t>drowned, 1 found, 14 missing after boat capsized 111 miles off Malta s coasts (Apr 5, 2006)</t>
  </si>
  <si>
    <t>Event at Malta on Apr 05, 2006</t>
  </si>
  <si>
    <t>FE/Statewatch/NOB/Unipa</t>
  </si>
  <si>
    <t>2006-04-03T00:00:00Z</t>
  </si>
  <si>
    <t>drowned in shipwreck on way from Mauritania to Canary Islands (E)  (Apr 3, 2006). From Del Grande's data set (translated): Shipwreck off the coast of the Canary Islands, 32 dead, had left from its shores (Apr 4, 2006)</t>
  </si>
  <si>
    <t>Event at Canary on Apr 03, 2006</t>
  </si>
  <si>
    <t>Statewatch/FE/ELM/NOB/APDHA</t>
  </si>
  <si>
    <t>http://www.elmundo.es/elmundo/2006/04/02/sociedad/1144013316.html</t>
  </si>
  <si>
    <t>2006-04-02T00:00:00Z</t>
  </si>
  <si>
    <t>drowned triying to reach the coasts of Tenerife (E) (Apr 2, 2006)</t>
  </si>
  <si>
    <t>Event at Tenerife on Apr 02, 2006</t>
  </si>
  <si>
    <t>2006-03-31T00:00:00Z</t>
  </si>
  <si>
    <t>1Q2006</t>
  </si>
  <si>
    <t>2006 -- 3</t>
  </si>
  <si>
    <t>drowned while swimming to the island of Lesvos (GR), after boat sank 80m from coast (Mar 31, 2006)</t>
  </si>
  <si>
    <t>Event at Lesvos on Mar 31, 2006</t>
  </si>
  <si>
    <t>NOB/MNS/Statewatch/KI/FE</t>
  </si>
  <si>
    <t>2006-03-28T00:00:00Z</t>
  </si>
  <si>
    <t>Hospitalized in intensive care a man fell from a height of 8 meters trying to scavalcavare the barrier on the border with the Spanish enclave of Ceuta Morocco (Mar 29, 2006)</t>
  </si>
  <si>
    <t>Event at Ceuta on Mar 28, 2006</t>
  </si>
  <si>
    <t>http://www.elmundo.es/elmundo/2006/03/29/sociedad/1143622371.html</t>
  </si>
  <si>
    <t>2006-03-17T00:00:00Z</t>
  </si>
  <si>
    <t>bodies found on the shore of Cabo Blanco (E) (Mar 17, 2006). From Del Grande's data set (translated): Found on the beaches of Cap Blanc, Nouadhibou, the bodies of three castaways (Mar 18, 2006)</t>
  </si>
  <si>
    <t>Event at Nouadhibou on Mar 17, 2006</t>
  </si>
  <si>
    <t>http://www.elpais.com/articulo/espana/mar/escupe/cadaveres/Cabo/Blanco/elpepiesp/20060318elpepinac_6/Tes</t>
  </si>
  <si>
    <t>2006-03-16T00:00:00Z</t>
  </si>
  <si>
    <t>missing, disappeared on way from Laayoune (MA) to Canary Islands (E)   (Mar 16, 2006)</t>
  </si>
  <si>
    <t>Event at Laayoun on Mar 16, 2006</t>
  </si>
  <si>
    <t>Statewatch/AFVIC/APDHA</t>
  </si>
  <si>
    <t>2006-03-15T00:00:00Z</t>
  </si>
  <si>
    <t>found by Guardia Civil near the port of Spanish north African enclave Melilla (E/MA) (Mar 15, 2006)</t>
  </si>
  <si>
    <t>Event at Melilla on Mar 15, 2006</t>
  </si>
  <si>
    <t>2006-03-14T00:00:00Z</t>
  </si>
  <si>
    <t>drowned on way to Spain, bodies retrieved in the waters of Mauritania by Spanish ship (Mar 14, 2006). From Del Grande's data set (translated): The humanitarian ship Esperanza del Mar recovered 25 bodies and 120 km from Nouadhibou, another 50 people could be missing (Mar 18, 2006)</t>
  </si>
  <si>
    <t>Event at Nouadhibou on Mar 14, 2006</t>
  </si>
  <si>
    <t>MAG/Statewatch/FE/ELM/NOB/APDHA/VK</t>
  </si>
  <si>
    <t>http://www.elpais.com/articulo/espana/Esperanza/Mar/desembarca/cuerpos/25/subsaharianos/elpepiesp/20060318elpepinac_4/Tes</t>
  </si>
  <si>
    <t>2006-03-12T00:00:00Z</t>
  </si>
  <si>
    <t>Rescued boat drifting live in the Canary Islands. On board 12 deaths (Mar 13, 2006)</t>
  </si>
  <si>
    <t>Event at Canary on Mar 12, 2006</t>
  </si>
  <si>
    <t>http://www.afrol.com/es/articulos/18402</t>
  </si>
  <si>
    <t>2006-03-11T00:00:00Z</t>
  </si>
  <si>
    <t>shot by Moroccan border guard trying to cross the border fence in Melilla (E/MA) (Mar 11, 2006)</t>
  </si>
  <si>
    <t>Event at Melilla on Mar 11, 2006</t>
  </si>
  <si>
    <t>eltelegramma/APDHA</t>
  </si>
  <si>
    <t>2006-03-08T00:00:00Z</t>
  </si>
  <si>
    <t>stowaway, fell in a field in Vivantes (F) from the wheelbay of a plane from North Africa  (Mar 8, 2006)</t>
  </si>
  <si>
    <t>Event at Africa on Mar 08, 2006</t>
  </si>
  <si>
    <t>found near Los Ancones (E), body thrown overboard by boat landed in Lanzarote (E) (Mar 8, 2006)</t>
  </si>
  <si>
    <t>Event at Lanzarote on Mar 08, 2006</t>
  </si>
  <si>
    <t>suicide, hanged under bridge, asylum claim refused (GB); known also as Paul Kiese (Mar 8, 2006)</t>
  </si>
  <si>
    <t>Event at Great Britain on Mar 08, 2006</t>
  </si>
  <si>
    <t>RochdaleObs/IRR</t>
  </si>
  <si>
    <t>2006-03-07T00:00:00Z</t>
  </si>
  <si>
    <t>Rescued 350 km south of Dakhla vessel in distress directly to the Canary Islands, a dead man on board (Mar 8, 2006)</t>
  </si>
  <si>
    <t>Event at Dakhla on Mar 07, 2006</t>
  </si>
  <si>
    <t>http://www.elpais.com/articulo/espana/Muere/inmigrante/viajaba/patera/28/personas/direccion/Canarias/elpepuesp/20060308elpepunac_13/Tes</t>
  </si>
  <si>
    <t>2006-03-06T00:00:00Z</t>
  </si>
  <si>
    <t>drowned, 26 found, 4 missing, shipwreck near El-Ayun (MA), way of Canary Isl. (E) (Mar 6, 2006)</t>
  </si>
  <si>
    <t>Event at Ayun on Mar 06, 2006</t>
  </si>
  <si>
    <t>Vita/MNS/Picum/Statewatch/FE/ELM/IPL/NOB/AFVIC/APDHA/NYtimes/VK</t>
  </si>
  <si>
    <t>died climbing border fence in Melilla (E/MA), reportedly one shot by border guards (Mar 6, 2006)</t>
  </si>
  <si>
    <t>Event at Melilla on Mar 06, 2006</t>
  </si>
  <si>
    <t>Statewatch/FE/ELM/ICARE/VITA/PICUM/IPL/MP/NOB/AI/AFVIC/APDHA/jW/NYtimes</t>
  </si>
  <si>
    <t>3 found dead in a truck ferried to Bari from Durres (Albania), in which were hidden (Mar 7, 2006)</t>
  </si>
  <si>
    <t>Event at Bari on Mar 06, 2006</t>
  </si>
  <si>
    <t>http://www.repubblica.it/2006/c/sezioni/cronaca/immibari/immibari/immibari.htm</t>
  </si>
  <si>
    <t>2006-03-05T00:00:00Z</t>
  </si>
  <si>
    <t>45 people drowned in two shipwrecks off the coast of Mauritania, were directed to the Canaries (Mar 6, 2006)</t>
  </si>
  <si>
    <t>Event at Canaries on Mar 05, 2006</t>
  </si>
  <si>
    <t>http://www.elmundo.es/elmundo/2006/03/06/sociedad/1141664041.html</t>
  </si>
  <si>
    <t>drowned, bodies found off the coast of Ragusa (I) (Mar 5, 2006)</t>
  </si>
  <si>
    <t>Event at Ragusa on Mar 05, 2006</t>
  </si>
  <si>
    <t>Statewatch/FE/NOB</t>
  </si>
  <si>
    <t>2006-03-04T00:00:00Z</t>
  </si>
  <si>
    <t>Boat sinks off Ahrax Point, 1 dead and 9 missing. Escaped from the detention center in Hal Far and Safi were to Sicily (Mar 5, 2006)</t>
  </si>
  <si>
    <t>Event at Ahrax on Mar 04, 2006</t>
  </si>
  <si>
    <t>http://www.timesofmalta.com/core/article.php?id=216721</t>
  </si>
  <si>
    <t>2006-03-03T00:00:00Z</t>
  </si>
  <si>
    <t>Young falls into the water and drowned a hundred meters from the beach of Tenerife in the Canary Islands (Mar 4, 2006)</t>
  </si>
  <si>
    <t>Event at Tenerife on Mar 03, 2006</t>
  </si>
  <si>
    <t>http://www.elpais.com/articulo/espana/joven/inmigrante/muere/ahogado/metros/costa/Tenerife/elpepiesp/20060305elpepinac_24/Tes</t>
  </si>
  <si>
    <t>2006-02-26T00:00:00Z</t>
  </si>
  <si>
    <t>2006 -- 2</t>
  </si>
  <si>
    <t>Shipwreck off the coast of Cabo de Gata, Almeria. At least 28 missing (Feb 27, 2006)</t>
  </si>
  <si>
    <t>Event at Gata on Feb 26, 2006</t>
  </si>
  <si>
    <t>Afvic</t>
  </si>
  <si>
    <t>http://www.migcom.org/index.php?page=Encore+un+drame+%3A+28+clandestins+port%C3%A9s+disparus+pr%C3%A8s+d%C2%B9Almeria&amp;toc=797</t>
  </si>
  <si>
    <t>2006-02-21T00:00:00Z</t>
  </si>
  <si>
    <t>stowaways, died of asphyxia, found on a ship arrived in Canary Isl. from Ivory Coast (Feb 21, 2006). From Del Grande's data set (translated): Found 4 crew died of asphyxiation in the hold of the Panamanian freighter C-Akabey party from the Ivory Coast and directed in Libya. The bodies were left to the authorities to Porto in Las Palmas, Canary Islands (Feb 22, 2006)</t>
  </si>
  <si>
    <t>Event at Canary on Feb 21, 2006</t>
  </si>
  <si>
    <t>Statewatch/MNS/APDHA</t>
  </si>
  <si>
    <t>found on a boat, died of hypothermia, starvation and epileptic crises on way to Spain (Feb 21, 2006)</t>
  </si>
  <si>
    <t>Event at Marocco To Spain on Feb 21, 2006</t>
  </si>
  <si>
    <t>AFVIC</t>
  </si>
  <si>
    <t>2006-02-20T00:00:00Z</t>
  </si>
  <si>
    <t>Two shipwrecks in Mayotte, 7 recovered corpses, including those of 6 matches pregnant women to give birth on the French island, and 6 missing (Feb 21, 2006)</t>
  </si>
  <si>
    <t>Event at Mayotte on Feb 20, 2006</t>
  </si>
  <si>
    <t>Mayotte sans frontires</t>
  </si>
  <si>
    <t>http://mayottesansfrontieres.blogspot.com/2006/02/deux-affaires-de-kwassa-kwassa-7-morts.html</t>
  </si>
  <si>
    <t>2006-02-19T00:00:00Z</t>
  </si>
  <si>
    <t>Sinking a boat 30 meters from the coast of Oinousses, near Chios, 1 dead (Feb 20, 2006)</t>
  </si>
  <si>
    <t>Event at Chios on Feb 19, 2006</t>
  </si>
  <si>
    <t>http://www.ekathimerini.com/4dcgi/news/content.asp?aid=66612</t>
  </si>
  <si>
    <t>baby of asylum family died of dehydration in Fairfield Hospital (GB), no medical aid  (Feb 19, 2006)</t>
  </si>
  <si>
    <t>Fairfield Hospital, uk</t>
  </si>
  <si>
    <t>Event at Fairfield Hospital, Uk on Feb 19, 2006</t>
  </si>
  <si>
    <t>Manchester</t>
  </si>
  <si>
    <t>2006-02-18T00:00:00Z</t>
  </si>
  <si>
    <t>Shipwreck near the island of Alboran, 2 drowned (Feb 19, 2006)</t>
  </si>
  <si>
    <t>Alboran</t>
  </si>
  <si>
    <t>Event at Alboran on Feb 18, 2006</t>
  </si>
  <si>
    <t>http://www.elmundo.es/elmundo/2006/02/19/sociedad/1140372778.html</t>
  </si>
  <si>
    <t>drowned, pantera with 24 passengers capsized off Island of Alboran/Almeria (E) (Feb 18, 2006)</t>
  </si>
  <si>
    <t>Event at Almeria on Feb 18, 2006</t>
  </si>
  <si>
    <t>MNS/Statewatch/APDHA/NOB</t>
  </si>
  <si>
    <t>drowned, after boat of 32 left from Jbel Boudinar (MA) and capsised off Almeria (E) (Feb 18, 2006)</t>
  </si>
  <si>
    <t>drowned, dinghy carrying 6 Afghans sank off Chios (GR) on way from Turkey (Feb 18, 2006)</t>
  </si>
  <si>
    <t>Event at Chios on Feb 18, 2006</t>
  </si>
  <si>
    <t>Statewatch/FE/KI</t>
  </si>
  <si>
    <t>2006-02-17T00:00:00Z</t>
  </si>
  <si>
    <t>reportedly drowned, after shipwreck off the Libyan coast on way to Italy (Feb 17, 2006). From Del Grande's data set (translated): Shipwreck off the coast of Libya in a boat heading to Italy, 9 dead (Feb 18, 2006)</t>
  </si>
  <si>
    <t>Event at Libyan on Feb 17, 2006</t>
  </si>
  <si>
    <t>2006-02-14T00:00:00Z</t>
  </si>
  <si>
    <t>frozen, died while crossing the Bulgarian-Greek border on mount Falakon (Feb 14, 2006)</t>
  </si>
  <si>
    <t>bulgaria</t>
  </si>
  <si>
    <t>Event at Bulgaria on Feb 14, 2006</t>
  </si>
  <si>
    <t>Statewatch/MNS</t>
  </si>
  <si>
    <t>died of a shock</t>
  </si>
  <si>
    <t>2006-02-12T00:00:00Z</t>
  </si>
  <si>
    <t>died of a shock after his cousin was beaten up by border guards in Patras port (GR) (Feb 12, 2006)</t>
  </si>
  <si>
    <t>Event at Patras on Feb 12, 2006</t>
  </si>
  <si>
    <t>2006-02-11T00:00:00Z</t>
  </si>
  <si>
    <t>drowned, shipwreck near Dakar sea due to stormy waters, they left from Senegal (Feb 11, 2006)</t>
  </si>
  <si>
    <t>Event at Dakar on Feb 11, 2006</t>
  </si>
  <si>
    <t>PR</t>
  </si>
  <si>
    <t>died of dehydration and hypothermia in hospital after boat landed in Tenerife (E) (Feb 11, 2006)</t>
  </si>
  <si>
    <t>Event at Tenerife on Feb 11, 2006</t>
  </si>
  <si>
    <t>2006-02-08T00:00:00Z</t>
  </si>
  <si>
    <t>died of hunger and thirst, bodies thrown overboard during journey to reach Italy (Feb 8, 2006)</t>
  </si>
  <si>
    <t>Event at Africa To Italy on Feb 08, 2006</t>
  </si>
  <si>
    <t>LR/FE/MNS/PICUM/Unipa</t>
  </si>
  <si>
    <t>2006-02-07T00:00:00Z</t>
  </si>
  <si>
    <t>died in car accident trying to escape police in Germany after being smuggled from Cz  (Feb 7, 2006)</t>
  </si>
  <si>
    <t>Czech Republic to Germany</t>
  </si>
  <si>
    <t>Event at Czech Republic To Germany on Feb 07, 2006</t>
  </si>
  <si>
    <t>Berliner Ztg/MOZ/Tagesspiegel</t>
  </si>
  <si>
    <t>2006-02-05T00:00:00Z</t>
  </si>
  <si>
    <t>drowned after shipwreck in the Mediterranean sea (Feb 5, 2006)</t>
  </si>
  <si>
    <t>Event on Feb 05, 2006</t>
  </si>
  <si>
    <t>2006-02-04T00:00:00Z</t>
  </si>
  <si>
    <t>drowned, 1 found, 1 missing, shipwreck near Kusadasi (TR) on way to Samos Isl. (GR) (Feb 4, 2006)</t>
  </si>
  <si>
    <t>Event at Sada on Feb 04, 2006</t>
  </si>
  <si>
    <t>Statewatch/IPL/MNS/NOB/Pravda/AFP</t>
  </si>
  <si>
    <t>2006-12-31T00:00:00Z</t>
  </si>
  <si>
    <t>4Q2006</t>
  </si>
  <si>
    <t>2006 -- 12</t>
  </si>
  <si>
    <t>starvation, 2 thrown overboard, 1 body found on a boat docked on Canary Isl. (E) (Dec 31, 2006). From Del Grande's data set (translated): Landing in the Canary Islands, a dead man on board for hypothermia; abandoned at sea the bodies of two other victims (Jan 1, 2007)</t>
  </si>
  <si>
    <t>Event at Canary on Dec 31, 2006</t>
  </si>
  <si>
    <t>FE/ELM/MNS</t>
  </si>
  <si>
    <t>http://www.elmundo.es/elmundo/2007/01/01/espana/1167662988.html</t>
  </si>
  <si>
    <t>died, smugglers forced them overboard to easily escape from Samos Coast Guard (GR) (Dec 31, 2006)</t>
  </si>
  <si>
    <t>Event at Samos on Dec 31, 2006</t>
  </si>
  <si>
    <t>GHM</t>
  </si>
  <si>
    <t>suicide, found hanged at friend s home in Bedford (GB) after being denied a visa extension (Dec 31, 2006)</t>
  </si>
  <si>
    <t>bedford</t>
  </si>
  <si>
    <t>Event at Bedford on Dec 31, 2006</t>
  </si>
  <si>
    <t>2006-12-30T00:00:00Z</t>
  </si>
  <si>
    <t>drowned, shipwreck near Algeria trying to reach Sardinia (I) (Dec 30, 2006)</t>
  </si>
  <si>
    <t>Event at Sardinia on Dec 30, 2006</t>
  </si>
  <si>
    <t>LaN/FE</t>
  </si>
  <si>
    <t>2006-12-29T00:00:00Z</t>
  </si>
  <si>
    <t>drowned, 9 found, 11 missing, 2 boats sank 60 km Sud of Laayoune (MA) way to Spain (Dec 29, 2006). From Del Grande's data set (translated): Shipwreck in Tarfaya, on the route to the Canary Islands, the witnesses speak of 20 dead lost at sea, including 4 children and 4 women (Dec 26, 2006)</t>
  </si>
  <si>
    <t>Event at Laayoun on Dec 29, 2006</t>
  </si>
  <si>
    <t>APDHA/ABC</t>
  </si>
  <si>
    <t>Recovered on the coast of Tarfaya 9 corpses (Dec 30, 2006)</t>
  </si>
  <si>
    <t>Event at Tarfaya on Dec 29, 2006</t>
  </si>
  <si>
    <t>http://www.abc.es/hemeroteca/historico-31-12-2006/Nacional/encuentran-los-cadaveres-de-nueve-inmigrantes-en-las-costas-de-el-aaiun_153694233938.html</t>
  </si>
  <si>
    <t>2006-12-23T00:00:00Z</t>
  </si>
  <si>
    <t>Hit by a bullet of Moroccan auxiliary forces while trying to climb over the double fence of the Spanish border in Melilla, a young man is killed (Dec 24, 2006)</t>
  </si>
  <si>
    <t>Event at Melilla on Dec 23, 2006</t>
  </si>
  <si>
    <t>http://docs.google.com/viewer?url=http://terra.rezo.net/IMG/doc/VALLUY060107.doc</t>
  </si>
  <si>
    <t>2006-12-22T00:00:00Z</t>
  </si>
  <si>
    <t>stabbed by MA police in Rabat, deportation operation to prevent migration to Europe (Dec 22, 2006)</t>
  </si>
  <si>
    <t>rabat</t>
  </si>
  <si>
    <t>Event at Rabat on Dec 22, 2006</t>
  </si>
  <si>
    <t>APDHA/ICARE</t>
  </si>
  <si>
    <t>2006-12-20T00:00:00Z</t>
  </si>
  <si>
    <t>He died of kidney failure a man deported in the city of Oujda on the border with Algeria (Dec 21, 2006)</t>
  </si>
  <si>
    <t>Event at Oujda on Dec 20, 2006</t>
  </si>
  <si>
    <t>2006-12-19T00:00:00Z</t>
  </si>
  <si>
    <t>died of starvation, bodies thrown overboard boat wrecked in Yoff(Mauritania) way to E (Dec 19, 2006)</t>
  </si>
  <si>
    <t>Yoff, Mauritania</t>
  </si>
  <si>
    <t>Event at Yoff, Mauritania on Dec 19, 2006</t>
  </si>
  <si>
    <t>Reu./WSWS</t>
  </si>
  <si>
    <t>2006-12-15T00:00:00Z</t>
  </si>
  <si>
    <t>reportedly drowned, missing, boat capsized on way form Djiffer (Senegal) to Spain   (Dec 15, 2006). From Del Grande's data set (translated): Rescued a canoe off the coast of Saint Louis. Live in the Canary Islands, a storm had sent adrift for two weeks. 102 of the 127 passengers are missing, drowned in two reversals of the vessel, or died from hypothermia and dehydration (Dec 17, 2006)</t>
  </si>
  <si>
    <t>Event at Canary on Dec 15, 2006</t>
  </si>
  <si>
    <t>TimesM/IntHeraldTribune/CNN/NOB/Vita/NA/EP/PR/FE/MNS/APDHA/PICUM/WSWS/Reu/INDgb/jW/DS</t>
  </si>
  <si>
    <t>http://www.elpais.com/articulo/cien/inmigrantes/desaparecidos/mar/trataban/llegar/Canarias/elpepuesp/20061217elpepunac_3/Tes</t>
  </si>
  <si>
    <t>2006-12-13T00:00:00Z</t>
  </si>
  <si>
    <t>died trying to reach Canary Islands (E), boat found near Anfrift (MA) (Dec 13, 2006)</t>
  </si>
  <si>
    <t>Event at Canary on Dec 13, 2006</t>
  </si>
  <si>
    <t>Found decomposing torso, probably a woman, along the beaches of Marsascala (Dec 14, 2006)</t>
  </si>
  <si>
    <t>Event at Marsascala on Dec 13, 2006</t>
  </si>
  <si>
    <t>http://www.timesofmalta.com/core/article.php?id=246120&amp;hilite=migrant</t>
  </si>
  <si>
    <t>2006-12-12T00:00:00Z</t>
  </si>
  <si>
    <t>drowned, boat with 29 survivors wrecked near Dakar (Senegal) way to Canary Isl. (E) (Dec 12, 2006). From Del Grande's data set (translated): Rejected in Moroccan waters by vessels of Frontex, a Senegalese pirogue live in the Canary Islands was forced to reverse course on the Dakar. In the 9-day trip they die because of the cold and dehydration 50 people, thrown into the sea. During the rescue a man drowning in Yoff and 3 others died later in hospital (Dec 13, 2006)</t>
  </si>
  <si>
    <t>Dakar</t>
  </si>
  <si>
    <t>Event at Dakar on Dec 12, 2006</t>
  </si>
  <si>
    <t>TimesM/IntHeraldTribune/PR/FE/APDHA/USAToday/MNS/NOB</t>
  </si>
  <si>
    <t>http://www.20minutos.es/noticia/182226/0/tragedia/canarias/inmigrantes/</t>
  </si>
  <si>
    <t>died in hospital, boat wrecked near Dakar (Senegal) on way to Canary Islands (E) (Dec 12, 2006)</t>
  </si>
  <si>
    <t>TmesM/IntHeraldTribune/PR/FE/USAToday/MNS/APDHA/NOB</t>
  </si>
  <si>
    <t>2006-12-09T00:00:00Z</t>
  </si>
  <si>
    <t>reportedly drowned, 9 missing 1 found advanced state decomposition near Fouka (DZ) (Dec 9, 2006)</t>
  </si>
  <si>
    <t>fouka</t>
  </si>
  <si>
    <t>Event at Fouka on Dec 09, 2006</t>
  </si>
  <si>
    <t>body found in advanced state of decomposition near the coast of Foukat (DZ) (Dec 9, 2006)</t>
  </si>
  <si>
    <t>Tips vessel departed from Restinga Smir, Tetouan, and live in Ceuta, a man drowned (Dec 10, 2006)</t>
  </si>
  <si>
    <t>smir</t>
  </si>
  <si>
    <t>Event at Smir on Dec 09, 2006</t>
  </si>
  <si>
    <t>Europa sur</t>
  </si>
  <si>
    <t>http://www.europasur.com/26193_ESN_HTML.htm</t>
  </si>
  <si>
    <t>2006-12-08T00:00:00Z</t>
  </si>
  <si>
    <t>missing, boat at the mercy of the waves sent SOS signal near Lampedusa (I) (Dec 8, 2006)</t>
  </si>
  <si>
    <t>Event at Lampedusa on Dec 08, 2006</t>
  </si>
  <si>
    <t>ANSA/Unipa</t>
  </si>
  <si>
    <t>Two died on the ferry Zadar-Ancona, killed by the fumes of the load of the truck they were traveling hidden (Dec 9, 2006)</t>
  </si>
  <si>
    <t>Event at Ancona on Dec 08, 2006</t>
  </si>
  <si>
    <t>http://www.repubblica.it/2006/12/sezioni/cronaca/porto-ancona/porto-ancona/porto-ancona.html</t>
  </si>
  <si>
    <t>2006-12-07T00:00:00Z</t>
  </si>
  <si>
    <t>died of starvation in boat instructed to change route by Spanish coastguard (Dec 7, 2006)</t>
  </si>
  <si>
    <t>Event at Africa To Spain on Dec 07, 2006</t>
  </si>
  <si>
    <t>Statewatch/ELM/FE</t>
  </si>
  <si>
    <t>A dead man killed by gunfire during a Moroccan army assault on the grillage of the Spanish border in Melilla (Dec 8, 2006)</t>
  </si>
  <si>
    <t>Event at Melilla on Dec 07, 2006</t>
  </si>
  <si>
    <t>El Telegrama</t>
  </si>
  <si>
    <t>http://www.eltelegrama.com/noticia.asp?ref=39351</t>
  </si>
  <si>
    <t>died of starvation: 4 thrown overboard boat on way from MA to E; 1 died in hospital MA (Dec 7, 2006)</t>
  </si>
  <si>
    <t>Event at Marocco To Spain on Dec 07, 2006</t>
  </si>
  <si>
    <t>suicide, jumped from 5th floor of an induction centre for asylum seekers in Margate (GB) (Dec 7, 2006)</t>
  </si>
  <si>
    <t>Margate, uk</t>
  </si>
  <si>
    <t>Event at Margate, Uk on Dec 07, 2006</t>
  </si>
  <si>
    <t>2006-12-06T00:00:00Z</t>
  </si>
  <si>
    <t>Landing in the Canary Islands, two deaths from hypothermia (Dec 7, 2006)</t>
  </si>
  <si>
    <t>Event at Canary on Dec 06, 2006</t>
  </si>
  <si>
    <t>http://www.elmundo.es/elmundo/2006/12/07/espana/1165475297.html</t>
  </si>
  <si>
    <t>2006-12-05T00:00:00Z</t>
  </si>
  <si>
    <t>stowaway, died from heat exhaustion in back of a truck in a roadside in Essex (GB) (Dec 5, 2006)</t>
  </si>
  <si>
    <t>Event at Essex on Dec 05, 2006</t>
  </si>
  <si>
    <t>BBC/essexchronicle/GuardianUn/PICUM/NOB/IRR/EADT</t>
  </si>
  <si>
    <t>2006-12-02T00:00:00Z</t>
  </si>
  <si>
    <t>found dead on a drifitng boat off Capeverdian islands on way to the Canary Island. (Dec 2, 2006). From Del Grande's data set (translated): Rescued a boat of migrants to 300 nautical miles from the Canary Islands. On board 1 dead. Another 18 people have died on the journey and their bodies thrown overboard by his companions (Nov 30, 2006)</t>
  </si>
  <si>
    <t>Event at Canary on Dec 02, 2006</t>
  </si>
  <si>
    <t>MNS/PUB/APDHA</t>
  </si>
  <si>
    <t>http://www.abc.es/hemeroteca/historico-01-12-2006/Nacional/el-atlantico-engulle-a-18-africanos-que-navegaban-hacia-canarias_153243834949.html</t>
  </si>
  <si>
    <t>He died one of the four migrants admitted to the hospital for hypothermia Candelaria, Tenerife, after landing the day before the Canaries (Dec 3, 2006)</t>
  </si>
  <si>
    <t>Event at Tenerife on Dec 02, 2006</t>
  </si>
  <si>
    <t>El dia</t>
  </si>
  <si>
    <t>http://www.eldia.es/2006-12-03/vivir/vivir24.htm</t>
  </si>
  <si>
    <t>2006-12-01T00:00:00Z</t>
  </si>
  <si>
    <t>It sinks off the coast of the Gulf of Edremit vessel direct to the Greek island of Samos, 3 missing (Dec 2, 2006)</t>
  </si>
  <si>
    <t>Event at Samos on Dec 01, 2006</t>
  </si>
  <si>
    <t>http://www.turkishdailynews.com.tr/article.php?enewsid=60887</t>
  </si>
  <si>
    <t>2006-11-29T00:00:00Z</t>
  </si>
  <si>
    <t>2006 -- 11</t>
  </si>
  <si>
    <t>found on boat with 15 survivors rescued by ARC sailing ship, way from Africa to Spain (Nov 29, 2006). From Del Grande's data set (translated): Boat rescued off the Canary Islands, 1 died on board (Nov 30, 2006)</t>
  </si>
  <si>
    <t>Event at Canary on Nov 29, 2006</t>
  </si>
  <si>
    <t>YatchingWorld/FE/ELM/MNS/APDHA</t>
  </si>
  <si>
    <t>http://www.elmundo.es/elmundo/2006/11/30/espana/1164878103.html</t>
  </si>
  <si>
    <t>2006-11-25T00:00:00Z</t>
  </si>
  <si>
    <t>missing after boat capsized near Laayoune (MA) on the way to Spain (Nov 25, 2006)</t>
  </si>
  <si>
    <t>Event at Laayoun on Nov 25, 2006</t>
  </si>
  <si>
    <t>AFVIC/MP/Reu/ELM/FE/NOB/News24/MNS/APDHA/PICUM/AFVIC/News24/ABC/Raz</t>
  </si>
  <si>
    <t>drowned, young activist for human rights, boat sank near Laayoune (MA) on way to E (Nov 25, 2006)</t>
  </si>
  <si>
    <t>MP/ELM</t>
  </si>
  <si>
    <t>drowned, washed ashore after boat capsized near Laayoune (MA) on the way to Spain  (Nov 25, 2006). From Del Grande's data set (translated): Two shipwrecks along the coast of Laayoun, 14 dead and 17 missing (Nov 28, 2006)</t>
  </si>
  <si>
    <t>AFVIC/MP/Reu/ELM/FE/NOB/News24/CNN/MNS/APDHA/PICUM/AFVIC/News24/ABC/Raz</t>
  </si>
  <si>
    <t>http://www.elmundo.es/elmundo/2006/11/28/espana/1164737131.html</t>
  </si>
  <si>
    <t>2006-11-20T00:00:00Z</t>
  </si>
  <si>
    <t>died in Ceuta (E/MA) hospital, accepted for 2 weeks after boat on way from MA sank (Nov 20, 2006). From Del Grande's data set (translated): He died at the hospital in Ceuta young migrant hospitalized November 9, when it was thrown into the sea from the boat on which he was traveling, in unclear circumstances (Nov 21, 2006)</t>
  </si>
  <si>
    <t>Event at Ceuta on Nov 20, 2006</t>
  </si>
  <si>
    <t>http://www.abc.es/hemeroteca/historico-25-11-2006/Nacional/varon-negro-y-sin-identificar_153143995840.html</t>
  </si>
  <si>
    <t>2006-11-18T00:00:00Z</t>
  </si>
  <si>
    <t>drowned, 1 found, 2 missing, boat capsized off Izmir s (TR) coast on way to Greek  (Nov 18, 2006)</t>
  </si>
  <si>
    <t>Event at Izmir on Nov 18, 2006</t>
  </si>
  <si>
    <t>IntHerald/KI/FE/NOB</t>
  </si>
  <si>
    <t>2006-11-11T00:00:00Z</t>
  </si>
  <si>
    <t>drowned after boat capsized near Seferihisar (TR) trying to reach GR coast (Nov 11, 2006)</t>
  </si>
  <si>
    <t>Event at Seferihisar on Nov 11, 2006</t>
  </si>
  <si>
    <t>TDN/TP/Ya.D</t>
  </si>
  <si>
    <t>2006-11-07T00:00:00Z</t>
  </si>
  <si>
    <t>died of injures bodies thrown overboard, gas bottle explosion on ship from Dakar (SN)  (Nov 7, 2006)</t>
  </si>
  <si>
    <t>Event at Dakar on Nov 07, 2006</t>
  </si>
  <si>
    <t>MNS/Statewatch/FE/ELM/Boston/NOB/APDHA/DS</t>
  </si>
  <si>
    <t>died of injures after gas bottle explosion, found on a ship from Dakar (SN)  (Nov 7, 2006)</t>
  </si>
  <si>
    <t>MNS/Statewatch/FE/ELM/Boston/NOB/APDHA</t>
  </si>
  <si>
    <t>2006-11-04T00:00:00Z</t>
  </si>
  <si>
    <t>reportedly stowaway hidden under vehicle, dead body found on A3 near Clanfield (GB) (Nov 4, 2006)</t>
  </si>
  <si>
    <t>Clanfield, uk</t>
  </si>
  <si>
    <t>Event at Clanfield, Uk on Nov 04, 2006</t>
  </si>
  <si>
    <t>2006-11-01T00:00:00Z</t>
  </si>
  <si>
    <t>Fished out a dead body in the waters of Fouka, at least 10 missing on route from Spain to Ghazaouet (Nov 2, 2006)</t>
  </si>
  <si>
    <t>Event at Ghazaouet on Nov 01, 2006</t>
  </si>
  <si>
    <t>2006-10-31T00:00:00Z</t>
  </si>
  <si>
    <t>2006 -- 10</t>
  </si>
  <si>
    <t>died of heart attacked during police custody in Athens (GR) in fear of deportation (Oct 31, 2006)</t>
  </si>
  <si>
    <t>Event at Athens on Oct 31, 2006</t>
  </si>
  <si>
    <t>2006-10-26T00:00:00Z</t>
  </si>
  <si>
    <t>drowned sailing to Spain from Wahran (Algeria) (Oct 26, 2006)</t>
  </si>
  <si>
    <t>Event at Algeria on Oct 26, 2006</t>
  </si>
  <si>
    <t>NOB/KUNA/FE/APDHA</t>
  </si>
  <si>
    <t>suicide, after waiting for asylum claim for 8 years in NL, having psychological trauma (Oct 26, 2006)</t>
  </si>
  <si>
    <t>Event at Netherland on Oct 26, 2006</t>
  </si>
  <si>
    <t>Voorvlucht/Oz</t>
  </si>
  <si>
    <t>2006-10-25T00:00:00Z</t>
  </si>
  <si>
    <t>Tips direct boat in Spain, 8 km off the coast of Bousfer, Oran: 6 dead, 6 missing (Oct 26, 2006)</t>
  </si>
  <si>
    <t>Event at Oran on Oct 25, 2006</t>
  </si>
  <si>
    <t>http://www.algerie-dz.com/article6859.html</t>
  </si>
  <si>
    <t>2006-10-24T00:00:00Z</t>
  </si>
  <si>
    <t>Recovered at sea the decomposed bodies of drowned migrants 3 (Oct 25, 2006)</t>
  </si>
  <si>
    <t>Event at Malta on Oct 24, 2006</t>
  </si>
  <si>
    <t>http://www.timesofmalta.com/core/article.php?id=241004&amp;hilite=migrants</t>
  </si>
  <si>
    <t>Recovered the body of the third victim of the sinking of yesterday (Oct 25, 2006)</t>
  </si>
  <si>
    <t>2006-10-23T00:00:00Z</t>
  </si>
  <si>
    <t>drowned, 3 found, 1 missing shipwreck 8 miles from Malta on way from Libya to Italy (Oct 23, 2006). From Del Grande's data set (translated): Shipwreck off the island, 4 missing (Oct 26, 2006)</t>
  </si>
  <si>
    <t>Event at Malta on Oct 23, 2006</t>
  </si>
  <si>
    <t>MP/MM/FE/Unipa/TimesM</t>
  </si>
  <si>
    <t>http://www.timesofmalta.com/core/article.php?id=241102&amp;hilite=migrants</t>
  </si>
  <si>
    <t>Boat capsizes, die a man and a woman pregnant (Oct 24, 2006)</t>
  </si>
  <si>
    <t>2006-10-11T00:00:00Z</t>
  </si>
  <si>
    <t>drowned, after shipwreck near Restinga Smir (MA) trying to reach Ceuta (E/MA) (Oct 11, 2006)</t>
  </si>
  <si>
    <t>Event at Smir on Oct 11, 2006</t>
  </si>
  <si>
    <t>2006-10-09T00:00:00Z</t>
  </si>
  <si>
    <t>reportedly drowned, missing after boat sank near Kithira Island (GR) (Oct 9, 2006). From Del Grande's data set (translated): Shipwreck near the coast of Antikythera, 40 people missing at sea (Oct 11, 2006)</t>
  </si>
  <si>
    <t>Kithira Island, greece</t>
  </si>
  <si>
    <t>Event at Kithira Island, Greece on Oct 09, 2006</t>
  </si>
  <si>
    <t>KI/MP/PICUM/ABC/FE</t>
  </si>
  <si>
    <t>http://www.ekathimerini.com/4dcgi/news/content.asp?aid=75259</t>
  </si>
  <si>
    <t>2006-10-08T00:00:00Z</t>
  </si>
  <si>
    <t>died in minefield after entered in Vyssas area, in Evros (Greek/Turkish border) (Oct 8, 2006)</t>
  </si>
  <si>
    <t>Event at Evros on Oct 08, 2006</t>
  </si>
  <si>
    <t>KI/FE/MNS/FR-BB</t>
  </si>
  <si>
    <t>2006-10-05T00:00:00Z</t>
  </si>
  <si>
    <t>suicide, reportedly selfharm, kept in HMP Rye Hill (GB) under Imm.Act pending depor. (Oct 5, 2006)</t>
  </si>
  <si>
    <t>Rye Hill, uk</t>
  </si>
  <si>
    <t>Event at Rye Hill, Uk on Oct 05, 2006</t>
  </si>
  <si>
    <t>NCADC/UNHCR/IRR</t>
  </si>
  <si>
    <t>2006-10-04T00:00:00Z</t>
  </si>
  <si>
    <t>A sinking boat off the Canary Islands, 20 missing</t>
  </si>
  <si>
    <t>Event at Canary on Oct 04, 2006</t>
  </si>
  <si>
    <t>http://www.elmundo.es/elmundo/2006/10/05/espana/1160051313.html</t>
  </si>
  <si>
    <t>2006-10-01T00:00:00Z</t>
  </si>
  <si>
    <t>suicide, asylum seeker hanged himself in his flat in Rochdale (GB), fear of deportation  (Oct 1, 2006)</t>
  </si>
  <si>
    <t>Rochdale, uk</t>
  </si>
  <si>
    <t>Event at Rochdale, Uk on Oct 01, 2006</t>
  </si>
  <si>
    <t>IRR/RochdaleObs</t>
  </si>
  <si>
    <t>2006-01-29T00:00:00Z</t>
  </si>
  <si>
    <t>2006 -- 1</t>
  </si>
  <si>
    <t>reportedly drowned near Algerian coast, disappeared in an attempt to reach Spain (Jan 29, 2006). From Del Grande's data set (translated): 9 matches missing people from the coast of Oran on a boat of luck and headed to Spain (Jan 30, 2006)</t>
  </si>
  <si>
    <t>Event at Oran on Jan 29, 2006</t>
  </si>
  <si>
    <t>Satewatch/Aujourd hui/FE</t>
  </si>
  <si>
    <t>http://www.aujourdhui.ma/societe-depeche43250.html</t>
  </si>
  <si>
    <t>died after arson attack on detention Centre Schrassing (L) (Jan 29, 2006)</t>
  </si>
  <si>
    <t>Schrassing, luxemburg</t>
  </si>
  <si>
    <t>Event at Schrassing, Luxemburg on Jan 29, 2006</t>
  </si>
  <si>
    <t>Odysseus/PlaZa</t>
  </si>
  <si>
    <t>2006-01-23T00:00:00Z</t>
  </si>
  <si>
    <t>died after falling from balcony, escaping police search in his flat in Plumstead (GB) (Jan 23, 2006)</t>
  </si>
  <si>
    <t>Plumstead, uk</t>
  </si>
  <si>
    <t>Event at Plumstead, Uk on Jan 23, 2006</t>
  </si>
  <si>
    <t>2006-01-22T00:00:00Z</t>
  </si>
  <si>
    <t>drowned, 3 bodies found, 5 missing, boat capsised off the coast of Al-Hoceima to Spain (Jan 22, 2006). From Del Grande's data set (translated): Tips from a boat party at Hoceima and to Spain. 3 dead and 5 missing (Jan 24, 2006)</t>
  </si>
  <si>
    <t>Event at Hoceima on Jan 22, 2006</t>
  </si>
  <si>
    <t>AFVIC/MNS/Statewatch/APDHA</t>
  </si>
  <si>
    <t>http://www.elpais.com/articulo/espana/muertos/naufragio/patera/Nador/elpepiesp/20060124elpepinac_18/Tes</t>
  </si>
  <si>
    <t>2006-01-20T00:00:00Z</t>
  </si>
  <si>
    <t>found frozen on dinghy from TR to GR carrying migrants from Pakistan and Bangladesh (Jan 20, 2006). From Del Grande's data set (translated): 2 inflatable boats rescued off the island of Evia, on board 3 dead frostbitten (Jan 23, 2006)</t>
  </si>
  <si>
    <t>evia</t>
  </si>
  <si>
    <t>Event at Evia on Jan 20, 2006</t>
  </si>
  <si>
    <t>Statewatch/KI/FE/NOB</t>
  </si>
  <si>
    <t>http://www.ekathimerini.com/4dcgi/news/content.asp?aid=65479</t>
  </si>
  <si>
    <t>2006-01-18T00:00:00Z</t>
  </si>
  <si>
    <t>suicide, found hanged in Harmondsworth Immigr. Removal Cr. (GB) facing deportation  (Jan 18, 2006)</t>
  </si>
  <si>
    <t>harmondsworth</t>
  </si>
  <si>
    <t>Event at Harmondsworth on Jan 18, 2006</t>
  </si>
  <si>
    <t>Statewatch/NCADC/IRR/NOB</t>
  </si>
  <si>
    <t>2006-01-11T00:00:00Z</t>
  </si>
  <si>
    <t>died of starvation thrown overboard boat landed on Yoff (Senegal) trying to reach E (Jan 11, 2006)</t>
  </si>
  <si>
    <t>yoff</t>
  </si>
  <si>
    <t>Event at Yoff on Jan 11, 2006</t>
  </si>
  <si>
    <t>suicide, hanged himself in Detention Centre in Marseille (F) waiting for deportation  (Jan 11, 2006)</t>
  </si>
  <si>
    <t>Marseille, france</t>
  </si>
  <si>
    <t>Event at Marseille, France on Jan 11, 2006</t>
  </si>
  <si>
    <t>INDm/Vatan/PR/MNS/LaDep</t>
  </si>
  <si>
    <t>stowaway, found in a truck in Ancona (I), suffocated by the gas-water in the truck (Jan 11, 2006)</t>
  </si>
  <si>
    <t>Event at Ancona on Jan 11, 2006</t>
  </si>
  <si>
    <t>FE/LR</t>
  </si>
  <si>
    <t>2006-01-10T00:00:00Z</t>
  </si>
  <si>
    <t>bodies thrown overborad, boat rescued by ARC sailing ship, way from Africa to Spain (Jan 10, 2006)</t>
  </si>
  <si>
    <t>Event at Africa on Jan 10, 2006</t>
  </si>
  <si>
    <t>MNS/APDHA/YatchingWorld</t>
  </si>
  <si>
    <t>stowaway, died after being run over by the lorry he had been hiding under in Harlow (GB) (Jan 10, 2006)</t>
  </si>
  <si>
    <t>Harlow, uk</t>
  </si>
  <si>
    <t>Event at Harlow, Uk on Jan 10, 2006</t>
  </si>
  <si>
    <t>2006-01-09T00:00:00Z</t>
  </si>
  <si>
    <t>suicide, set himself on fire in his car in Stockton (GB), feared being sent back to Iraq (Jan 9, 2006)</t>
  </si>
  <si>
    <t>Event at Iraq on Jan 09, 2006</t>
  </si>
  <si>
    <t>reportedly drowned, found in advanced state of decomposition near Malta  (Jan 9, 2006)</t>
  </si>
  <si>
    <t>Event at Malta on Jan 09, 2006</t>
  </si>
  <si>
    <t>died on way to hospital after their boat capsized near Malta (Jan 9, 2006)</t>
  </si>
  <si>
    <t>2006-01-08T00:00:00Z</t>
  </si>
  <si>
    <t>died after been rescued off  El Hierro, Canary Islands (E) after their boat sank (Jan 8, 2006)</t>
  </si>
  <si>
    <t>Event at Hierro on Jan 08, 2006</t>
  </si>
  <si>
    <t>ELM/FE/MNS/NOB/Rawstory/PICUM/APDHA</t>
  </si>
  <si>
    <t>reportedly drowned, missing afer boat sank near the coasts of Crete Island (GR) (Jan 8, 2006)</t>
  </si>
  <si>
    <t>Event at Crete on Jan 08, 2006</t>
  </si>
  <si>
    <t>FE/FR-BB</t>
  </si>
  <si>
    <t>drowned, boat hit rocks near Hania (GR) on the way from Egypt to Italy (Jan 8, 2006)</t>
  </si>
  <si>
    <t>hania</t>
  </si>
  <si>
    <t>Event at Hania on Jan 08, 2006</t>
  </si>
  <si>
    <t>KI/FE/NOB</t>
  </si>
  <si>
    <t>2006-01-07T00:00:00Z</t>
  </si>
  <si>
    <t>died in Mauritania Hospital after gas bottle explosion in ship from Dakar (SN)  (Jan 7, 2006)</t>
  </si>
  <si>
    <t>Event at Dakar on Jan 07, 2006</t>
  </si>
  <si>
    <t>MNS/Statewatch/FE/ELM/Boston/NOB</t>
  </si>
  <si>
    <t>drowned, bodies washed up near Blibilat coasts (MA), trying to reach Canary Isl. (E) (Jan 7, 2006)</t>
  </si>
  <si>
    <t>Event at Canary on Jan 07, 2006</t>
  </si>
  <si>
    <t>ELM/FE/BBC/TS/Statewatch/NOB/APDHA</t>
  </si>
  <si>
    <t>reportedly died of starvation on the way to Lampedusa (I), bodies thrown overboard (Jan 7, 2006)</t>
  </si>
  <si>
    <t>Event at Lampedusa on Jan 07, 2006</t>
  </si>
  <si>
    <t>ANSA/LR</t>
  </si>
  <si>
    <t>died of starvation crossing from Libya to Lampedusa (I), parents throw her overboard  (Jan 7, 2006)</t>
  </si>
  <si>
    <t>suicide, in his house in Vlissingen (NL) in fear of deportation  (Jan 7, 2006)</t>
  </si>
  <si>
    <t>Vlissingen, nl</t>
  </si>
  <si>
    <t>Event at Vlissingen, Nl on Jan 07, 2006</t>
  </si>
  <si>
    <t>Oz</t>
  </si>
  <si>
    <t>car accident in Dannenreich (D) fleeing from a police chase during an identity control  (Jan 7, 2006)</t>
  </si>
  <si>
    <t>Dannenreich, germany</t>
  </si>
  <si>
    <t>Event at Dannenreich, Germany on Jan 07, 2006</t>
  </si>
  <si>
    <t>BF/VK/IN</t>
  </si>
  <si>
    <t>2006-01-06T00:00:00Z</t>
  </si>
  <si>
    <t>drowned, bodies washed up onto the Atlantic sea after a boat sank off Western Sahara (Jan 6, 2006)</t>
  </si>
  <si>
    <t>Event at Sahara on Jan 06, 2006</t>
  </si>
  <si>
    <t>NYtimes</t>
  </si>
  <si>
    <t>died during attempts to reach Canary Islands (E) from Mauritanian coast (Jan 6, 2006)</t>
  </si>
  <si>
    <t>Event at Canary on Jan 06, 2006</t>
  </si>
  <si>
    <t>He died at the hospital in Nador a young man wounded by gunfire Spanish police while trying to climb over the networks of the border of Melilla one month before (Jan 7, 2006)</t>
  </si>
  <si>
    <t>Event at Melilla on Jan 06, 2006</t>
  </si>
  <si>
    <t>2006-01-05T00:00:00Z</t>
  </si>
  <si>
    <t>body found in his flat in London, one of best runners in GB, trained despite living on ¬¨¬£25/w (Jan 5, 2006)</t>
  </si>
  <si>
    <t>Event at London on Jan 05, 2006</t>
  </si>
  <si>
    <t>IRR/Telegraph/Independent</t>
  </si>
  <si>
    <t>2006-01-04T00:00:00Z</t>
  </si>
  <si>
    <t>died of starvation, boat found adrift after leaving from Cape Verdian to Canary Isl. (E) (Jan 4, 2006)</t>
  </si>
  <si>
    <t>Event at Canary on Jan 04, 2006</t>
  </si>
  <si>
    <t>2006-01-03T00:00:00Z</t>
  </si>
  <si>
    <t>drowned, shipwreck near Lampedusa (I), reattempt by one of deported Cap Anamur 37   (Jan 3, 2006)</t>
  </si>
  <si>
    <t>Event at Lampedusa on Jan 03, 2006</t>
  </si>
  <si>
    <t>BorderlineEU</t>
  </si>
  <si>
    <t>Small boat sank near the island Lesvos, 1 dead (Jan 4, 2006)</t>
  </si>
  <si>
    <t>Event at Lesvos on Jan 03, 2006</t>
  </si>
  <si>
    <t>http://www.ekathimerini.com/4dcgi/news/content.asp?aid=64787</t>
  </si>
  <si>
    <t>suicide, drank antifreeze, feared to be separated from her daughter by immigration officials  (Jan 3, 2006)</t>
  </si>
  <si>
    <t>Event at Great Britain on Jan 03, 2006</t>
  </si>
  <si>
    <t>2006-01-01T00:00:00Z</t>
  </si>
  <si>
    <t>murdered, fell while crossing border Iran-TR, trafficker cut their throat as they couldn t go on (Jan 1, 2006)</t>
  </si>
  <si>
    <t>Event at Iran on Jan 01, 2006</t>
  </si>
  <si>
    <t>witness (Sarfraz Ali Khan)</t>
  </si>
  <si>
    <t>leg broken when running between Iran and TR, the group had to leave him behind (Jan 1, 2006)</t>
  </si>
  <si>
    <t>Event at Oder/Neisse border in 2006</t>
  </si>
  <si>
    <t>2005-09-30T00:00:00Z</t>
  </si>
  <si>
    <t>3Q2005</t>
  </si>
  <si>
    <t>2005 -- 9</t>
  </si>
  <si>
    <t>Shipwreck off the Canary Islands, 3 dead, 14 missing (Oct 1, 2005)</t>
  </si>
  <si>
    <t>Event at Canary on Sep 30, 2005</t>
  </si>
  <si>
    <t>http://www.elmundo.es/elmundo/2005/10/06/espana/1128613403.html</t>
  </si>
  <si>
    <t>Intercepted by the Guardia Civil boat a lot from Nador to Ceuta. A witness complaint: 3 dead passengers thrown into the sea by the military (Oct 1, 2005)</t>
  </si>
  <si>
    <t>Event at Ceuta on Sep 30, 2005</t>
  </si>
  <si>
    <t>Ardh</t>
  </si>
  <si>
    <t>http://docs.google.com/viewer?url=http://www.apdha.org/participa/documentos/indormeddhhrif06.doc</t>
  </si>
  <si>
    <t>2005-09-28T00:00:00Z</t>
  </si>
  <si>
    <t>found off the coast of Agrigento (I), drowned after a massive disembarkment (Sep 28, 2005)</t>
  </si>
  <si>
    <t>Event at Agrigento on Sep 28, 2005</t>
  </si>
  <si>
    <t>2005-09-27T00:00:00Z</t>
  </si>
  <si>
    <t>It sinks off the coast of Cyprus a ship sailed from Mersin in Turkey and live in Greece, 1 dead and 33 missing (Sep 28, 2005)</t>
  </si>
  <si>
    <t>Event at Cyprus on Sep 27, 2005</t>
  </si>
  <si>
    <t>http://archive.turkishpress.com/news.asp?id=72399</t>
  </si>
  <si>
    <t>died shot by Moroccan border guards, attempting to enter in Ceuta (E/MA) (Sep 27, 2005). From Del Grande's data set (translated): Assault on the barriers of the Spanish border in Morocco, Ceuta, 5 killed by gunfire or crushed in the crowd, 28 injured (Sep 29, 2005)</t>
  </si>
  <si>
    <t>Event at Ceuta on Sep 27, 2005</t>
  </si>
  <si>
    <t>NR/NRC/VK/NOB/AI/Terra</t>
  </si>
  <si>
    <t>http://www.repubblica.it/2005/i/sezioni/esteri/melilla/melilla/melilla.html</t>
  </si>
  <si>
    <t>2005-09-26T00:00:00Z</t>
  </si>
  <si>
    <t>drowned, after boat capsised in stormy waters off the North coast of Cyprus (Sep 26, 2005)</t>
  </si>
  <si>
    <t>Event at Cyprus on Sep 26, 2005</t>
  </si>
  <si>
    <t>ILM/NOB</t>
  </si>
  <si>
    <t>drowned, jumped off stranded boat off the coast of Sicily, near marina di Palma (I) (Sep 26, 2005)</t>
  </si>
  <si>
    <t>Event at Marina on Sep 26, 2005</t>
  </si>
  <si>
    <t>LS/GDS</t>
  </si>
  <si>
    <t>2005-09-23T00:00:00Z</t>
  </si>
  <si>
    <t>Vessel in distress rescued off Lampedusa, 6 missing (Sep 24, 2005)</t>
  </si>
  <si>
    <t>Event at Lampedusa on Sep 23, 2005</t>
  </si>
  <si>
    <t>La Repubblica</t>
  </si>
  <si>
    <t>http://www.repubblica.it/2005/i/sezioni/cronaca/sbarchi3/libialampe/libialampe.html</t>
  </si>
  <si>
    <t>2005-09-22T00:00:00Z</t>
  </si>
  <si>
    <t>A truck carrying immigrants falls into a ravine after an accident in the province of Erzurum: 6 dead and 50 injured (Sep 23, 2005)</t>
  </si>
  <si>
    <t>Erzurum</t>
  </si>
  <si>
    <t>Event at Erzurum on Sep 22, 2005</t>
  </si>
  <si>
    <t>http://archive.turkishpress.com/news.asp?id=71818</t>
  </si>
  <si>
    <t>2005-09-20T00:00:00Z</t>
  </si>
  <si>
    <t>drowned off the coast of Morocco, near Dakhla, on their way to Canary Islands (Sep 20, 2005). From Del Grande's data set (translated): Sinking a boat just off the coast of Dakhla game, 500 km south of Laayoun. 2 bodies recovered, at least 16 missing (Sep 21, 2005)</t>
  </si>
  <si>
    <t>Event at Dakhla on Sep 20, 2005</t>
  </si>
  <si>
    <t>AFVIC/NOB</t>
  </si>
  <si>
    <t>http://www.elpais.com/articulo/espana/inmigrantes/muertos/desaparecidos/naufragar/patera/viajaban/Canarias/elpepuesp/20050923elpepunac_4/Tes</t>
  </si>
  <si>
    <t>found dead on a boat off the coast of Tunisia, traveling from Libya to Italy (Sep 20, 2005)</t>
  </si>
  <si>
    <t>Event at Tunis on Sep 20, 2005</t>
  </si>
  <si>
    <t>2005-09-18T00:00:00Z</t>
  </si>
  <si>
    <t>shot by a Turkish coast guard while on a boat on its way to Greece (Sep 18, 2005). From Del Grande's data set (translated): Coast Guard fires on a small boat that refuses to stop, off the coast of Chios. On board 30 people, 1 dead, 2 injured (Sep 20, 2005)</t>
  </si>
  <si>
    <t>Event at Chios on Sep 18, 2005</t>
  </si>
  <si>
    <t>MNS/Spiegel/NOB</t>
  </si>
  <si>
    <t>http://www.ekathimerini.com/4dcgi/news/content.asp?aid=60941</t>
  </si>
  <si>
    <t>2005-09-14T00:00:00Z</t>
  </si>
  <si>
    <t>died in Melilla Hospital (E/MA) after attempt to enter the Spanish enclave (Sep 14, 2005)</t>
  </si>
  <si>
    <t>Event at Melilla on Sep 14, 2005</t>
  </si>
  <si>
    <t>AFVIC/AI</t>
  </si>
  <si>
    <t>Assault on the barriers of the Spanish border in Melilla, Morocco. A young man dies hit by a rubber bullet fired by the Guardia Civil. Another man lost his life after serious injuries in a crash while fleeing from the men of the Moroccan armed forces (Sep 15, 2005)</t>
  </si>
  <si>
    <t>Sinking a boat heading to Greece in the Gulf of Saros, 4 dead (Sep 15, 2005)</t>
  </si>
  <si>
    <t>saros</t>
  </si>
  <si>
    <t>Event at Saros on Sep 14, 2005</t>
  </si>
  <si>
    <t>http://archive.turkishpress.com/news.asp?id=71184</t>
  </si>
  <si>
    <t>suicide, found hanged at Yarl  s Wood Removal Cr. (GB) so that his son could stay in GB  (Sep 14, 2005)</t>
  </si>
  <si>
    <t>Yarl's Wood, uk</t>
  </si>
  <si>
    <t>Event at Yarl'S Wood, Uk on Sep 14, 2005</t>
  </si>
  <si>
    <t>NCADC/BBC/MNS/Statewatch/TI/Leedstoday/IRR</t>
  </si>
  <si>
    <t>2005-09-13T00:00:00Z</t>
  </si>
  <si>
    <t>suicide,found drowned at Salford Quays (GB) (Sep 13, 2005)</t>
  </si>
  <si>
    <t>Salford Quays, uk</t>
  </si>
  <si>
    <t>Event at Salford Quays, Uk on Sep 13, 2005</t>
  </si>
  <si>
    <t>NCADC/Manchester Evening News/IRR</t>
  </si>
  <si>
    <t>2005-09-12T00:00:00Z</t>
  </si>
  <si>
    <t>1 found dead on the beach in Agrigento, Sicily (Sep 13, 2005)</t>
  </si>
  <si>
    <t>Event at Agrigento on Sep 12, 2005</t>
  </si>
  <si>
    <t>Il Manifesto</t>
  </si>
  <si>
    <t>http://www.meltingpot.org/articolo5883.html</t>
  </si>
  <si>
    <t>Macedonian police shooting of a woman trying to illegally cross the border with Greece. Badly injured (Sep 13, 2005)</t>
  </si>
  <si>
    <t>Macedonia</t>
  </si>
  <si>
    <t>Event at Macedonia on Sep 12, 2005</t>
  </si>
  <si>
    <t>http://www.ekathimerini.com/4dcgi/news/content.asp?aid=60683</t>
  </si>
  <si>
    <t>found dead, on a street in Geneva (CH), expelled from immigration centre (Sep 12, 2005)</t>
  </si>
  <si>
    <t>Event at Geneva on Sep 12, 2005</t>
  </si>
  <si>
    <t>Le Courrier/Vivre</t>
  </si>
  <si>
    <t>2005-09-11T00:00:00Z</t>
  </si>
  <si>
    <t>Dead boy injured trying to cross the barriers of the Spanish border in Melilla in Morocco (Sep 12, 2005)</t>
  </si>
  <si>
    <t>Event at Melilla on Sep 11, 2005</t>
  </si>
  <si>
    <t>http://www.elmundo.es/elmundo/2005/09/15/sociedad/1126802789.html</t>
  </si>
  <si>
    <t>blown in minefield at the TR-GR border. Bodies found by authorities in Kastanies (GR) (Sep 11, 2005)</t>
  </si>
  <si>
    <t>kastanies</t>
  </si>
  <si>
    <t>Event at Kastanies on Sep 11, 2005</t>
  </si>
  <si>
    <t>MNS/KI/FE</t>
  </si>
  <si>
    <t>2005-09-10T00:00:00Z</t>
  </si>
  <si>
    <t>Stranded boat near Gela, Sicily, in 170 on board were forced to jump overboard. 11 dead, 10 missing (Sep 11, 2005)</t>
  </si>
  <si>
    <t>Event at Gela on Sep 10, 2005</t>
  </si>
  <si>
    <t>http://www.repubblica.it/2005/i/sezioni/cronaca/sbarchi3/sbarchi3/sbarchi3.html</t>
  </si>
  <si>
    <t>2005-09-09T00:00:00Z</t>
  </si>
  <si>
    <t>Hidden in the back of a truck, muoino 4 people in a car accident. They were attempting to enter Greece illegally (Sep 10, 2005)</t>
  </si>
  <si>
    <t>Event at Greece on Sep 09, 2005</t>
  </si>
  <si>
    <t>http://www.ekathimerini.com/4dcgi/news/content.asp?aid=60613</t>
  </si>
  <si>
    <t>2005-09-03T00:00:00Z</t>
  </si>
  <si>
    <t>suicide, found hanged in his flat in Middleton (GB) after asylum claim was refused (Sep 3, 2005)</t>
  </si>
  <si>
    <t>Middleton, uk</t>
  </si>
  <si>
    <t>Event at Middleton, Uk on Sep 03, 2005</t>
  </si>
  <si>
    <t>Middleton Guardian/IRR</t>
  </si>
  <si>
    <t>2005-09-01T00:00:00Z</t>
  </si>
  <si>
    <t>1 dead in Melilla, killed, according to witnesses, by the Guardia Civil (Sep 2, 2005)</t>
  </si>
  <si>
    <t>Event at Melilla on Sep 01, 2005</t>
  </si>
  <si>
    <t>http://www.elmundo.es/elmundo/2005/09/02/espana/1125644428.html</t>
  </si>
  <si>
    <t>2005-08-28T00:00:00Z</t>
  </si>
  <si>
    <t>2005 -- 8</t>
  </si>
  <si>
    <t>died of injuries sustained attempting to enter the Spanish enclave of Melilla (E/MA) (Aug 28, 2005). From Del Grande's data set (translated): 2 dead in Melilla, in an attempt to climb over the barriers of the Spanish border in Morocco (Aug 27, 2005)</t>
  </si>
  <si>
    <t>Event at Melilla on Aug 28, 2005</t>
  </si>
  <si>
    <t>APDHA/MP/IND/NOB</t>
  </si>
  <si>
    <t>http://news.bbc.co.uk/2/hi/europe/4271536.stm</t>
  </si>
  <si>
    <t>2005-08-21T00:00:00Z</t>
  </si>
  <si>
    <t>25 died in a shipwreck on the routes between Anjouan and Mayotte (Aug 22, 2005)</t>
  </si>
  <si>
    <t>Event at Mayotte on Aug 21, 2005</t>
  </si>
  <si>
    <t>http://mayottesansfrontieres.blogspot.com/2006_01_01_archive.html</t>
  </si>
  <si>
    <t>2005-08-18T00:00:00Z</t>
  </si>
  <si>
    <t>drowned, after boat capsized south of Malta (Aug 18, 2005)</t>
  </si>
  <si>
    <t>Event at Malta on Aug 18, 2005</t>
  </si>
  <si>
    <t>MNS/NOB/Unipa</t>
  </si>
  <si>
    <t>2005-08-15T00:00:00Z</t>
  </si>
  <si>
    <t>Rescued boat to Tenerife Largo, on board 2 dead (Aug 16, 2005)</t>
  </si>
  <si>
    <t>Event at Tenerife on Aug 15, 2005</t>
  </si>
  <si>
    <t>http://www.elmundo.es/elmundo/2005/08/16/sociedad/1124151018.html</t>
  </si>
  <si>
    <t>drowned, jumped off the boat while disembarking in Lampedusa (I) (Aug 15, 2005)</t>
  </si>
  <si>
    <t>Event at Lampedusa on Aug 15, 2005</t>
  </si>
  <si>
    <t>G.Sicilia/Unipa</t>
  </si>
  <si>
    <t>2005-08-12T00:00:00Z</t>
  </si>
  <si>
    <t>stowaways, suffocated in container coming from Casablanca (MA) in Rotterdam (NL) (Aug 12, 2005). From Del Grande's data set (translated): 4 found dead in a container at the port of Rotterdam, the ship that carried him had departed from Casablanca (Morocco) and had stopped a few days in a Spanish port, probably half of the 4 (Aug 13, 2005)</t>
  </si>
  <si>
    <t>casablanca</t>
  </si>
  <si>
    <t>Event at Casablanca on Aug 12, 2005</t>
  </si>
  <si>
    <t>2005-08-11T00:00:00Z</t>
  </si>
  <si>
    <t>suicide at asylum centre in Hechtel-Eksel (B), previously attempted suicide twice (Aug 11, 2005)</t>
  </si>
  <si>
    <t>Hechtel-Eksel, belgium</t>
  </si>
  <si>
    <t>Event at Hechtel-Eksel, Belgium on Aug 11, 2005</t>
  </si>
  <si>
    <t>Universal Embassy (B)</t>
  </si>
  <si>
    <t>2005-08-07T00:00:00Z</t>
  </si>
  <si>
    <t>Sinking boat off the coast of Crete immediate relief. 1 dead (Aug 8, 2005)</t>
  </si>
  <si>
    <t>Event at Crete on Aug 07, 2005</t>
  </si>
  <si>
    <t>http://www.ekathimerini.com/4dcgi/news/content.asp?aid=59437</t>
  </si>
  <si>
    <t>2 drowned, 7 missing after boat capsized off the coast of Lesvos (GR) (Aug 7, 2005). From Del Grande's data set (translated): Sinking boat off the coast of Lesvos. 2 dead, 7 missing (Aug 26, 2005)</t>
  </si>
  <si>
    <t>Event at Lesvos on Aug 07, 2005</t>
  </si>
  <si>
    <t>http://www.ekathimerini.com/4dcgi/news/content.asp?aid=60049</t>
  </si>
  <si>
    <t>2005-08-05T00:00:00Z</t>
  </si>
  <si>
    <t>Shipwrecked boat direct to the Canaries. 23 dead bodies recovered (Aug 6, 2005)</t>
  </si>
  <si>
    <t>Event at Canaries on Aug 05, 2005</t>
  </si>
  <si>
    <t>http://www.elmundo.es/elmundo/2005/08/06/sociedad/1123320437.html</t>
  </si>
  <si>
    <t>2005-08-04T00:00:00Z</t>
  </si>
  <si>
    <t>Dispersed boat in the Strait of Sicily, 130 people on board, had asked for help with a mobile satellite (Aug 5, 2005)</t>
  </si>
  <si>
    <t>Event at Sicily on Aug 04, 2005</t>
  </si>
  <si>
    <t>http://www.repubblica.it/2005/h/sezioni/cronaca/sbarchinuovi2/sbarchinuovi2/sbarchinuovi2.html</t>
  </si>
  <si>
    <t>2005-08-02T00:00:00Z</t>
  </si>
  <si>
    <t>Brussels, 1 found dead in the undercarriage of a plane of Morocco (Aug 3, 2005)</t>
  </si>
  <si>
    <t>Event at Brussels on Aug 02, 2005</t>
  </si>
  <si>
    <t>http://www.kataweb.it/news/index.jsp?s=nazionali&amp;l=dettaglio&amp;id=1052217</t>
  </si>
  <si>
    <t>2005-08-01T00:00:00Z</t>
  </si>
  <si>
    <t>A young man dies killed by a police bullet on the beach Mrirt, Nador. The soldiers were shooting to prevent a group of emigrants to embark on a boat for Spain (Aug 2, 2005)</t>
  </si>
  <si>
    <t>Mrirt, Nador, morocco</t>
  </si>
  <si>
    <t>Event at Mrirt, Nador, Morocco on Aug 01, 2005</t>
  </si>
  <si>
    <t>http://www.atmf.ras.eu.org/article.php3?id_article=513</t>
  </si>
  <si>
    <t>2005-07-19T00:00:00Z</t>
  </si>
  <si>
    <t>2005 -- 7</t>
  </si>
  <si>
    <t>drowned after small boat capsised in attempt to reach Kos island in the Aegean Sea (Jul 19, 2005)</t>
  </si>
  <si>
    <t>Event at Kos on Jul 19, 2005</t>
  </si>
  <si>
    <t>2005-07-12T00:00:00Z</t>
  </si>
  <si>
    <t>drowned, after their boat capsized off the coast of Turkey near Izmir (Jul 12, 2005). From Del Grande's data set (translated): Boat capsized off the coast of Greece in direct Izmir, 3 dead (Jul 14, 2005)</t>
  </si>
  <si>
    <t>Event at Izmir on Jul 12, 2005</t>
  </si>
  <si>
    <t>http://www.ekathimerini.com/4dcgi/news/world_&amp;xml/&amp;aspKath/world.asp?fdate=14/07/2005</t>
  </si>
  <si>
    <t>2005-07-10T00:00:00Z</t>
  </si>
  <si>
    <t>Shipwreck off Malta, 7 missing (Jul 11, 2005)</t>
  </si>
  <si>
    <t>Event at Malta on Jul 10, 2005</t>
  </si>
  <si>
    <t>http://www.associazioneantigone.it/cpta/rassegnastampa/read.asp?newsID=739</t>
  </si>
  <si>
    <t>2005-07-06T00:00:00Z</t>
  </si>
  <si>
    <t>suicide, set fire to himself at accommodation cr.in Bristol (GB) in fear of deportation. (Jul 6, 2005)</t>
  </si>
  <si>
    <t>bristol</t>
  </si>
  <si>
    <t>Event at Bristol on Jul 06, 2005</t>
  </si>
  <si>
    <t>NCADC/IRR</t>
  </si>
  <si>
    <t>2005-07-03T00:00:00Z</t>
  </si>
  <si>
    <t>Vicenza: 2 people found dead in truck in which they were traveling hidden (Jul 4, 2005)</t>
  </si>
  <si>
    <t>Vicenza, italy</t>
  </si>
  <si>
    <t>Event at Vicenza, Italy on Jul 03, 2005</t>
  </si>
  <si>
    <t>http://www.repubblica.it/2005/f/sezioni/cronaca/lampd/tirclan/tirclan.html</t>
  </si>
  <si>
    <t>2005-07-01T00:00:00Z</t>
  </si>
  <si>
    <t>reportedly drowned after 10-day sail from Al-Hoceima (MA) to Spain (Jul 1, 2005)</t>
  </si>
  <si>
    <t>Event at Hoceima on Jul 01, 2005</t>
  </si>
  <si>
    <t>2005-06-30T00:00:00Z</t>
  </si>
  <si>
    <t>2Q2005</t>
  </si>
  <si>
    <t>2005 -- 6</t>
  </si>
  <si>
    <t>burnt alive, found tied to a bed in a police cell in Dessau (D), case under investigation (Jun 30, 2005)</t>
  </si>
  <si>
    <t>Dessau, germany</t>
  </si>
  <si>
    <t>Event at Dessau, Germany on Jun 30, 2005</t>
  </si>
  <si>
    <t>VRF/IND/St.W/VRF/SP/AN/MDR/ARI/PR/Afr.Courier/I Oury Jalloh</t>
  </si>
  <si>
    <t>died in Bremen (D), forced to drink medication by police in search for drugs (Jun 30, 2005)</t>
  </si>
  <si>
    <t>Bremen, germany</t>
  </si>
  <si>
    <t>Event at Bremen, Germany on Jun 30, 2005</t>
  </si>
  <si>
    <t>VRF/Statewatch/Karawane</t>
  </si>
  <si>
    <t>2005-06-26T00:00:00Z</t>
  </si>
  <si>
    <t>suicide, found hanged at Campsfield Removal Cr.(GB) after 3rd as. claim was refused (Jun 26, 2005)</t>
  </si>
  <si>
    <t>Campsfield, uk</t>
  </si>
  <si>
    <t>Event at Campsfield, Uk on Jun 26, 2005</t>
  </si>
  <si>
    <t>TI/IRR/NCADC/BBC/PICUM/Independent</t>
  </si>
  <si>
    <t>2005-06-25T00:00:00Z</t>
  </si>
  <si>
    <t>drowned, after boat capsized off the coast of Turkey near Dikili (Jun 25, 2005). From Del Grande's data set (translated): Boat capsized off the coast of Greece in direct Dikili, 2 dead (Jun 27, 2005)</t>
  </si>
  <si>
    <t>dikili</t>
  </si>
  <si>
    <t>Event at Dikili on Jun 25, 2005</t>
  </si>
  <si>
    <t>http://www.ekathimerini.com/4dcgi/news/world_&amp;xml/&amp;aspKath/world.asp?fdate=27/06/2005</t>
  </si>
  <si>
    <t>2005-06-22T00:00:00Z</t>
  </si>
  <si>
    <t>reportedly drowned in stormy waters off Malta; Maltese rescue-team came too late (Jun 22, 2005). From Del Grande's data set (translated): Disappearance boat off the coast of Malta. 27 people on board, had asked for help with a mobile satellite (Jun 24, 2005)</t>
  </si>
  <si>
    <t>Event at Malta on Jun 22, 2005</t>
  </si>
  <si>
    <t>ORF/Unipa</t>
  </si>
  <si>
    <t>http://www.associazioneantigone.it/cpta/rassegnastampa/read.asp?newsID=711</t>
  </si>
  <si>
    <t>2005-06-19T00:00:00Z</t>
  </si>
  <si>
    <t>Rescued by boat drifting 10 days off of Gran Canaria, in the Canary Islands. 11 people died on the journey and their bodies thrown overboard by his companions. Another man dies of a heart attack just landed (Jun 20, 2005)</t>
  </si>
  <si>
    <t>Event at Canary on Jun 19, 2005</t>
  </si>
  <si>
    <t>http://www.elmundo.es/elmundo/2005/06/18/sociedad/1119085224.html</t>
  </si>
  <si>
    <t>2005-06-18T00:00:00Z</t>
  </si>
  <si>
    <t>Three men died poisoned by the fumes of the cargo ship on which they traveled to Denmark hidden (Jun 19, 2005)</t>
  </si>
  <si>
    <t>Denmark</t>
  </si>
  <si>
    <t>Event at Denmark on Jun 18, 2005</t>
  </si>
  <si>
    <t>Basler Zeitung</t>
  </si>
  <si>
    <t>http://www.baz.ch/</t>
  </si>
  <si>
    <t>2005-06-17T00:00:00Z</t>
  </si>
  <si>
    <t>Returning from Libya remains a jeep broke down more than 300 km from Agadez. Two of the 16 passengers march on foot to a hundred kilometers to the oasis dell'Arbre du Tnr. The other 14 die of dehydration (Jun 18, 2005)</t>
  </si>
  <si>
    <t>agadez</t>
  </si>
  <si>
    <t>Event at Agadez on Jun 17, 2005</t>
  </si>
  <si>
    <t>Le Monde Diplomatique</t>
  </si>
  <si>
    <t>http://www.monde-diplomatique.fr/2001/09/BENSAAD/15645</t>
  </si>
  <si>
    <t>2005-06-16T00:00:00Z</t>
  </si>
  <si>
    <t>11 died in the sinking of a kwass kwassa party from Anjouan and sunk north of Mayotte, between Acoua and M'Tsangamouji (Jun 17, 2005)</t>
  </si>
  <si>
    <t>Event at Mayotte on Jun 16, 2005</t>
  </si>
  <si>
    <t>2005-06-15T00:00:00Z</t>
  </si>
  <si>
    <t>Hidden on a Dutch ship live in Greece, the captain discovers them and throws them overboard. 2 men drowned (Jun 16, 2005)</t>
  </si>
  <si>
    <t>Event at Greece on Jun 15, 2005</t>
  </si>
  <si>
    <t>Migration News Sheet</t>
  </si>
  <si>
    <t>http://www.migpolgroup.com/topics/2054.html</t>
  </si>
  <si>
    <t>4 drowned trying to cross the Danube into Austria from Slovakia (Jun 16, 2005)</t>
  </si>
  <si>
    <t>slovakia</t>
  </si>
  <si>
    <t>Event at Slovakia on Jun 15, 2005</t>
  </si>
  <si>
    <t>Zweites Deutsches Fernsehen</t>
  </si>
  <si>
    <t>http://www.zdf.de/</t>
  </si>
  <si>
    <t>3 drowned along the river Oder-Neisse border Poland-Germany. Recovered at the same time the body of a man found dead on the border between Germany, Austria and the Czech Republic (Jun 16, 2005)</t>
  </si>
  <si>
    <t>neisse</t>
  </si>
  <si>
    <t>Event at Neisse on Jun 15, 2005</t>
  </si>
  <si>
    <t>Ministero interni tedesco</t>
  </si>
  <si>
    <t>http://www.bmi.bund.de/</t>
  </si>
  <si>
    <t>2005-06-14T00:00:00Z</t>
  </si>
  <si>
    <t>Found in the sea 5 km south of Mogan, Gran Canaria island, the corpse of a drowned girl pregnant in her sixth month (Jun 15, 2005)</t>
  </si>
  <si>
    <t>Event at Canaria on Jun 14, 2005</t>
  </si>
  <si>
    <t>http://www.elpais.com/articulo/espana/Interceptada/Cadiz/patera/65/inmigrantes/embarazadas/bebes/elpepuesp/20050615elpepunac_6/Tes</t>
  </si>
  <si>
    <t>2005-06-12T00:00:00Z</t>
  </si>
  <si>
    <t>drowned, after their boat sank off the coast of Morocco on their way to Spain (Jun 12, 2005)</t>
  </si>
  <si>
    <t>Event at Morocco on Jun 12, 2005</t>
  </si>
  <si>
    <t>drowned, after shipwreck off the coast of Tanger on their way from Morocco to Spain. (Jun 12, 2005). From Del Grande's data set (translated): Sinking boat off the coast of Tangier, 12 deaths (6 women and 6 children) (Jun 13, 2005)</t>
  </si>
  <si>
    <t>Event at Tanger on Jun 12, 2005</t>
  </si>
  <si>
    <t>BBC/APDHA/AFVIC/NCAs/IstitutoInnocenti/NOB</t>
  </si>
  <si>
    <t>http://www.elmundo.es/elmundo/2005/06/13/sociedad/1118673095.html</t>
  </si>
  <si>
    <t>2005-06-09T00:00:00Z</t>
  </si>
  <si>
    <t>died in the attempt of entering the enclave of Melilla (E/MA) (Jun 9, 2005)</t>
  </si>
  <si>
    <t>Event at Melilla on Jun 09, 2005</t>
  </si>
  <si>
    <t>MNS/AFVIC/VK/LR/FE/ELM/NOB/AI</t>
  </si>
  <si>
    <t>2005-06-07T00:00:00Z</t>
  </si>
  <si>
    <t>drowned after his boat sank off the southern coast of Crete (GR) (Jun 7, 2005)</t>
  </si>
  <si>
    <t>Event at Crete on Jun 07, 2005</t>
  </si>
  <si>
    <t>2005-06-03T00:00:00Z</t>
  </si>
  <si>
    <t>2 drowned trying to swim to the beach Benz, the Spanish enclave of Ceuta (Jun 4, 2005)</t>
  </si>
  <si>
    <t>Event at Ceuta on Jun 03, 2005</t>
  </si>
  <si>
    <t>http://www.elpais.com/articulo/andalucia/asociacion/censura/98/muertes/2005/Estrecho/elpepuespand/20060121elpand_3/Tes</t>
  </si>
  <si>
    <t>2005-05-29T00:00:00Z</t>
  </si>
  <si>
    <t>2005 -- 5</t>
  </si>
  <si>
    <t>It sinks off Ayvacik, near Canakkale, a boat heading to Greece, 4 missing (May 30, 2005)</t>
  </si>
  <si>
    <t>Event at Ayvacik on May 29, 2005</t>
  </si>
  <si>
    <t>http://archive.turkishpress.com/news.asp?id=42917</t>
  </si>
  <si>
    <t>2005-05-28T00:00:00Z</t>
  </si>
  <si>
    <t>blown in a minefiled between Turkey and Greece while crossing border (May 28, 2005). From Del Grande's data set (translated): Minefield in Evros, greek-turkish border. An explosion ago 2 deaths. They tried to enter illegally in Greece (May 30, 2005)</t>
  </si>
  <si>
    <t>Event at Evros on May 28, 2005</t>
  </si>
  <si>
    <t>MAG</t>
  </si>
  <si>
    <t>http://www.ekathimerini.com/4dcgi/news/content.asp?aid=56880</t>
  </si>
  <si>
    <t>2005-05-26T00:00:00Z</t>
  </si>
  <si>
    <t>died from dehydration near Algerian border after vehicle broke down in desert (May 26, 2005). From Del Grande's data set (translated): Discovered 600 km from Agadez the bodies of 11 young people died of thirst after an engine failure of the 4x4 with which they tried to cross the desert to get into Algeria (Apr 29, 2005)</t>
  </si>
  <si>
    <t>Event at Agadez on May 26, 2005</t>
  </si>
  <si>
    <t>NOB/Thestar</t>
  </si>
  <si>
    <t>http://docs.google.com/viewer?url=http://www.command-com.net/agadez.org/pics/airinfo%20N%C3%83%C2%82%C3%82%C2%B029.pdf</t>
  </si>
  <si>
    <t>2005-05-25T00:00:00Z</t>
  </si>
  <si>
    <t>Found 300 meters from the beach of Benz, Ceuta, the corpse of a young man drowned trying to swim to the Spanish enclave (May 26, 2005)</t>
  </si>
  <si>
    <t>Event at Ceuta on May 25, 2005</t>
  </si>
  <si>
    <t>http://www.abc.es/hemeroteca/historico-26-05-2005/Nacional/muere-ahogado-un-inmigrante-que-pretendia-alcanzar-ceuta-nadando_202717631122.html</t>
  </si>
  <si>
    <t>2005-05-24T00:00:00Z</t>
  </si>
  <si>
    <t>found in the Sicilian Channel (I), drowned after boat capsized south of Lampedusa (I) (May 24, 2005). From Del Grande's data set (translated): Shipwreck off Lampedusa. 2 dead and 14 missing (May 25, 2005)</t>
  </si>
  <si>
    <t>Event at Lampedusa on May 24, 2005</t>
  </si>
  <si>
    <t>LR/NOB/Unipa</t>
  </si>
  <si>
    <t>http://www.repubblica.it/2005/e/sezioni/cronaca/sbarchinuovi/lamped/lamped.html</t>
  </si>
  <si>
    <t>2005-05-15T00:00:00Z</t>
  </si>
  <si>
    <t>Sinking a ship sailed from Libya, 14 dead, 3 missing (May 16, 2005)</t>
  </si>
  <si>
    <t>Event at Libya on May 15, 2005</t>
  </si>
  <si>
    <t>http://www.associazioneantigone.it/cpta/rassegnastampa/read.asp?newsID=622</t>
  </si>
  <si>
    <t>2005-05-02T00:00:00Z</t>
  </si>
  <si>
    <t>Ship rescued off the Canary Islands, 1 died on board (May 3, 2005)</t>
  </si>
  <si>
    <t>Event at Canary on May 02, 2005</t>
  </si>
  <si>
    <t>http://www.elmundo.es/elmundo/2005/05/03/sociedad/1115114476.html</t>
  </si>
  <si>
    <t>2005-04-30T00:00:00Z</t>
  </si>
  <si>
    <t>2005 -- 4</t>
  </si>
  <si>
    <t>died of exhaustion, found dead on a beach in Fuerteventura (E)  (Apr 30, 2005)</t>
  </si>
  <si>
    <t>Event at Fuerteventura on Apr 30, 2005</t>
  </si>
  <si>
    <t>ANA/APDHA/NOB</t>
  </si>
  <si>
    <t>2005-04-25T00:00:00Z</t>
  </si>
  <si>
    <t>Boat rescued off the island Farmakonisi, 2 missing (Apr 26, 2005)</t>
  </si>
  <si>
    <t>Event at Farmakonisi on Apr 25, 2005</t>
  </si>
  <si>
    <t>http://www.ekathimerini.com/4dcgi/_w_articles_politics_100008_26/04/2005_55702</t>
  </si>
  <si>
    <t>Small boat rammed by a freighter off the coast of Chios, 2 dead and 5 injured (Apr 26, 2005)</t>
  </si>
  <si>
    <t>Event at Chios on Apr 25, 2005</t>
  </si>
  <si>
    <t>2005-04-24T00:00:00Z</t>
  </si>
  <si>
    <t>suicide, found hanged after 2 months detention once repatriated to Syria from CH (Apr 24, 2005)</t>
  </si>
  <si>
    <t>syria</t>
  </si>
  <si>
    <t>Event at Syria on Apr 24, 2005</t>
  </si>
  <si>
    <t>Tagesanzeiger/Swiss Parliament</t>
  </si>
  <si>
    <t>2005-04-18T00:00:00Z</t>
  </si>
  <si>
    <t>Ship rescued in Tarifa, 1 child dead (Apr 19, 2005)</t>
  </si>
  <si>
    <t>Event at Tarifa on Apr 18, 2005</t>
  </si>
  <si>
    <t>http://www.elmundo.es/elmundo/2005/04/19/sociedad/1113896732.html</t>
  </si>
  <si>
    <t>2005-04-14T00:00:00Z</t>
  </si>
  <si>
    <t>5 drowned, 19 missing, after boat sank on its way from Libya to Italy (Apr 14, 2005). From Del Grande's data set (translated): Shipwreck off the coast of Libya in a boat heading in Sicily, 5 dead and 19 missing (Apr 15, 2005)</t>
  </si>
  <si>
    <t>Event at Sicily on Apr 14, 2005</t>
  </si>
  <si>
    <t>A minibus load of migrants fleeing a checkpoint in Muradiye Van. Police fire. One dead and 3 injured (Apr 15, 2005)</t>
  </si>
  <si>
    <t>Muradiye, Van, Turkey</t>
  </si>
  <si>
    <t>Event at Muradiye, Van, Turkey on Apr 14, 2005</t>
  </si>
  <si>
    <t>http://archive.turkishpress.com/news.asp?id=40363</t>
  </si>
  <si>
    <t>2005-04-12T00:00:00Z</t>
  </si>
  <si>
    <t>2 found dead in the sea in the Strait of Sicily (Apr 13, 2005)</t>
  </si>
  <si>
    <t>Event at Sicily on Apr 12, 2005</t>
  </si>
  <si>
    <t>http://www.timesofmalta.com/core/article.php?id=183634</t>
  </si>
  <si>
    <t>2005-04-11T00:00:00Z</t>
  </si>
  <si>
    <t>Off the Canary Islands sinking two ships. At least 14 dead (Apr 12, 2005)</t>
  </si>
  <si>
    <t>Event at Canary on Apr 11, 2005</t>
  </si>
  <si>
    <t>Rainews24</t>
  </si>
  <si>
    <t>http://www.rainews24.it/Notizia.asp?NewsID=46646</t>
  </si>
  <si>
    <t>2005-04-10T00:00:00Z</t>
  </si>
  <si>
    <t>Rescued off the coast of Oran boat adrift for nine days, had left al-Hoceima, Morocco to Spain. On board 24 survivors and two dead bodies, but they had started in 42. Probably thrown overboard by his companions the bodies of 16 more victims (Apr 11, 2005)</t>
  </si>
  <si>
    <t>Event at Oran on Apr 10, 2005</t>
  </si>
  <si>
    <t>http://www.algeria-watch.org/fr/mrv/mrvref/pateras_perdue.htm</t>
  </si>
  <si>
    <t>2005-04-09T00:00:00Z</t>
  </si>
  <si>
    <t>suicide, found dead in a security cell in Linz (A), hungerstrike in fear of deportation (Apr 9, 2005)</t>
  </si>
  <si>
    <t>Linz, austria</t>
  </si>
  <si>
    <t>Event at Linz, Austria on Apr 09, 2005</t>
  </si>
  <si>
    <t>TheStandard/NR/MNS/ORF/PICUM/WIKO</t>
  </si>
  <si>
    <t>2005-04-07T00:00:00Z</t>
  </si>
  <si>
    <t>found dead on the coast of Tarfaya (Ma), drowned after boat capsized on way to E (Apr 7, 2005)</t>
  </si>
  <si>
    <t>Event at Tarfaya on Apr 07, 2005</t>
  </si>
  <si>
    <t>MNS/PICUM/NOB</t>
  </si>
  <si>
    <t>2005-04-03T00:00:00Z</t>
  </si>
  <si>
    <t>blown in minefield in attempt to cross the Turkish-Greek border (Apr 3, 2005). From Del Grande's data set (translated): Minefield in Evros, greek-turkish border. An explosion ago 2 dead and one wounded. They tried to enter illegally in Greece (Apr 5, 2005)</t>
  </si>
  <si>
    <t>Event at Evros on Apr 03, 2005</t>
  </si>
  <si>
    <t>TI/MAG/DPA/taz</t>
  </si>
  <si>
    <t>http://www.ekathimerini.com/4dcgi/_w_articles_politics_100022_05/04/2005_54825</t>
  </si>
  <si>
    <t>2005-03-30T00:00:00Z</t>
  </si>
  <si>
    <t>1Q2005</t>
  </si>
  <si>
    <t>2005 -- 3</t>
  </si>
  <si>
    <t>died of starvation on a boat drifting near El-Hierro (E) (Mar 30, 2005)</t>
  </si>
  <si>
    <t>Event at Hierro on Mar 30, 2005</t>
  </si>
  <si>
    <t>taz/NOB</t>
  </si>
  <si>
    <t>2005-03-24T00:00:00Z</t>
  </si>
  <si>
    <t>reportedly drowned, thrown off boat by smugglers 15 miles from Punta Secca (I) (Mar 24, 2005)</t>
  </si>
  <si>
    <t>Event at Punta on Mar 24, 2005</t>
  </si>
  <si>
    <t>STR</t>
  </si>
  <si>
    <t>drowned, thrown off boat by smugglers 15 miles from Punta Secca (I)  (Mar 24, 2005)</t>
  </si>
  <si>
    <t>drowned, thown off boat by smugglers 15 miles from Punta Secca (I) (Mar 24, 2005)</t>
  </si>
  <si>
    <t>2005-03-23T00:00:00Z</t>
  </si>
  <si>
    <t>Ragusa, Sicily smugglers throw passengers overboard to avoid detection of the Italian patrol boats. 6 dead, 3 missing (Mar 24, 2005)</t>
  </si>
  <si>
    <t>Event at Ragusa on Mar 23, 2005</t>
  </si>
  <si>
    <t>http://www.rainews24.it/Notizia.asp_NewsID=53288</t>
  </si>
  <si>
    <t>drowned, after they were forced to jump off, found off the coast of Sicily (I) (Mar 23, 2005)</t>
  </si>
  <si>
    <t>Event at Sicily on Mar 23, 2005</t>
  </si>
  <si>
    <t>PICUM/Statewatch/MNS/NOB/Unipa</t>
  </si>
  <si>
    <t>Missing a boat off the coast of Lampedusa, some 100 people on board, ignored the alarm raised by a fisherman Mazzara (Mar 24, 2005)</t>
  </si>
  <si>
    <t>mazzara</t>
  </si>
  <si>
    <t>Event at Mazzara on Mar 23, 2005</t>
  </si>
  <si>
    <t>http://www.repubblica.it/2005/c/sezioni/cronaca/sbarchi/peschereccio/peschereccio.html</t>
  </si>
  <si>
    <t>2005-03-11T00:00:00Z</t>
  </si>
  <si>
    <t>Fished at sea in the waters of Foum el Oeud, near Laayoun, the bodies of 30 men drowned in a shipwreck on the routes to the Canary Islands (Mar 12, 2005)</t>
  </si>
  <si>
    <t>Event at Laayoun on Mar 11, 2005</t>
  </si>
  <si>
    <t>http://www.resaq.org/article.php3?id_article=349</t>
  </si>
  <si>
    <t>2005-03-07T00:00:00Z</t>
  </si>
  <si>
    <t>stowaway, found frozen in the landing gear of a plane in Brussels (B) (Mar 7, 2005)</t>
  </si>
  <si>
    <t>Event at Brussels on Mar 07, 2005</t>
  </si>
  <si>
    <t>2005-03-06T00:00:00Z</t>
  </si>
  <si>
    <t>36 died in a shipwreck south of Mayotte, between Sada and Bouni, a kwassa kwassa party from Anjouan (Mar 7, 2005)</t>
  </si>
  <si>
    <t>Event at Sada on Mar 06, 2005</t>
  </si>
  <si>
    <t>2005-03-04T00:00:00Z</t>
  </si>
  <si>
    <t>drowned, found dead on the beach of Morro Besudo, Canary Islands (E) (Mar 4, 2005)</t>
  </si>
  <si>
    <t>Event at Canary on Mar 04, 2005</t>
  </si>
  <si>
    <t>2005-02-26T00:00:00Z</t>
  </si>
  <si>
    <t>2005 -- 2</t>
  </si>
  <si>
    <t>Found the body of a woman drowned in Punta Acebuche, Algeciras, Cadiz (Feb 27, 2005)</t>
  </si>
  <si>
    <t>Event at Algeciras on Feb 26, 2005</t>
  </si>
  <si>
    <t>El Periodico Mediterraneo</t>
  </si>
  <si>
    <t>http://www.elperiodicomediterraneo.com/noticias/noticia.asp?pkid=150288</t>
  </si>
  <si>
    <t>2005-02-25T00:00:00Z</t>
  </si>
  <si>
    <t>reportedly drowned near Oran (DZ) on the way from al-Hoceima (MA) to Spain (Feb 25, 2005). From Del Grande's data set (translated): Rescued off the coast of Oran boat drifting game by al-Hoceima, Morocco, and live in Spain. Lost at sea, the bodies of 35 victims, 2 men die once admitted to the hospital of Oran (Feb 24, 2005)</t>
  </si>
  <si>
    <t>Event at Oran on Feb 25, 2005</t>
  </si>
  <si>
    <t>AFVIC/ATMF/NOB</t>
  </si>
  <si>
    <t>http://www.algeria-watch.org/fr/mrv/mrvref/afvic_280205.htm</t>
  </si>
  <si>
    <t>died at hospital in Oran (DZ) after boat was found drifting off the coast of Tunisia (Feb 25, 2005)</t>
  </si>
  <si>
    <t>Boat rescued 60 miles north of Cap Falcon, Oran. 2 dead on board (Feb 26, 2005)</t>
  </si>
  <si>
    <t>Algeria watch</t>
  </si>
  <si>
    <t>http://www.algeria-watch.org/fr/mrv/mrvref/clandestins_morts.htm</t>
  </si>
  <si>
    <t>2005-02-24T00:00:00Z</t>
  </si>
  <si>
    <t>drowned, found dead in a boat drifting 12 km from Cap Blanc, Oran (DZ) (Feb 24, 2005)</t>
  </si>
  <si>
    <t>Event at Oran on Feb 24, 2005</t>
  </si>
  <si>
    <t>YABI/AFP</t>
  </si>
  <si>
    <t>found dead on a boat drifting near Oran (DZ), from Morocco to Almeria (E) (Feb 24, 2005)</t>
  </si>
  <si>
    <t>Event at Almeria on Feb 24, 2005</t>
  </si>
  <si>
    <t>AFP/YABI</t>
  </si>
  <si>
    <t>suicide, jumped out of window, depressed because couldn t get staying permit in D (Feb 24, 2005)</t>
  </si>
  <si>
    <t>Event at Germany on Feb 24, 2005</t>
  </si>
  <si>
    <t>taz/ARI</t>
  </si>
  <si>
    <t>2005-02-21T00:00:00Z</t>
  </si>
  <si>
    <t>Landing in Almeria, one of the passengers died of hypothermia (Feb 22, 2005)</t>
  </si>
  <si>
    <t>Event at Almeria on Feb 21, 2005</t>
  </si>
  <si>
    <t>http://www.elpais.com/articulo/espana/Muere/inmigrante/hipotermia/llegar/otros/patera/Almeria/elpepiesp/20050222elpepinac_22/Tes</t>
  </si>
  <si>
    <t>suicide, found hanged during period of remand, Authorities tried to suppress the case (Feb 21, 2005)</t>
  </si>
  <si>
    <t>austria</t>
  </si>
  <si>
    <t>Event at Austria on Feb 21, 2005</t>
  </si>
  <si>
    <t>NR</t>
  </si>
  <si>
    <t>2005-02-20T00:00:00Z</t>
  </si>
  <si>
    <t>died of hypothermia shortly after arriving in Alboran (E) by boat (Feb 20, 2005)</t>
  </si>
  <si>
    <t>Event at Alboran, Spain on Feb 20, 2005</t>
  </si>
  <si>
    <t>2005-02-17T00:00:00Z</t>
  </si>
  <si>
    <t>reportedly drowned after shipwreck off the coast of Libya, on way to Italy (Feb 17, 2005)</t>
  </si>
  <si>
    <t>Event at Libya on Feb 17, 2005</t>
  </si>
  <si>
    <t>CDS/LR</t>
  </si>
  <si>
    <t>drowned, after shipwreck off the coast of Libya, on way to Italy (Feb 17, 2005). From Del Grande's data set (translated): Sinking boat bound for Italy off the Libyan coast, 9 dead (Feb 18, 2005)</t>
  </si>
  <si>
    <t>Event at Libyan on Feb 17, 2005</t>
  </si>
  <si>
    <t>LR/CDS/PICUM</t>
  </si>
  <si>
    <t>2005-02-13T00:00:00Z</t>
  </si>
  <si>
    <t>suicide, found hanged in HM Prison in Wandsworth (GB) (Feb 13, 2005)</t>
  </si>
  <si>
    <t>Wandsworth, uk</t>
  </si>
  <si>
    <t>Event at Wandsworth, Uk on Feb 13, 2005</t>
  </si>
  <si>
    <t>2005-02-10T00:00:00Z</t>
  </si>
  <si>
    <t>12 drowned, 18 missing boat with 36 migrants to Greek capsized near Cesme (TR) (Feb 10, 2005)</t>
  </si>
  <si>
    <t>Event at Cesme on Feb 10, 2005</t>
  </si>
  <si>
    <t>MNS/Statewatch/Ya.N/KI/FE/NOB</t>
  </si>
  <si>
    <t>2005-02-06T00:00:00Z</t>
  </si>
  <si>
    <t>suicide, set herself on fire in Bradford (GB), depression after losing asylum appeal (Feb 6, 2005)</t>
  </si>
  <si>
    <t>Bradford, uk</t>
  </si>
  <si>
    <t>Event at Bradford, Uk on Feb 06, 2005</t>
  </si>
  <si>
    <t>YP/IRR</t>
  </si>
  <si>
    <t>2005-12-31T00:00:00Z</t>
  </si>
  <si>
    <t>4Q2005</t>
  </si>
  <si>
    <t>2005 -- 12</t>
  </si>
  <si>
    <t>murdered by Yemeni authorities, rempatriated after asylum claim was refused in NL (Dec 31, 2005)</t>
  </si>
  <si>
    <t>yemen</t>
  </si>
  <si>
    <t>Event at Yemen on Dec 31, 2005</t>
  </si>
  <si>
    <t>IHRC</t>
  </si>
  <si>
    <t>died in detention centre Pian Del Lago (I), administered high ammount of placating  (Dec 31, 2005)</t>
  </si>
  <si>
    <t>Pian Del Lago, italy</t>
  </si>
  <si>
    <t>Event at Pian Del Lago, Italy on Dec 31, 2005</t>
  </si>
  <si>
    <t>ILM/MP/Lib</t>
  </si>
  <si>
    <t>2005-12-29T00:00:00Z</t>
  </si>
  <si>
    <t>Four officers in riot gear attacked the Egyptians some 3,500 Sudanese refugees who patrol the park for three months, "Mustafa Mahmoud" in the residential district of Mohandessin, Cairo, just a few hundred meters from the offices of the United Nations High Commissioner for Refugees, asking to be resettled in a third country. At the end of the clashes there are 26 dead, including 7 women and 2 children (Dec 30, 2005)</t>
  </si>
  <si>
    <t>cairo</t>
  </si>
  <si>
    <t>Event at Cairo on Dec 29, 2005</t>
  </si>
  <si>
    <t>http://www.nytimes.com/2005/12/30/international/middleeast/30cnd-egypt.html</t>
  </si>
  <si>
    <t>2005-12-26T00:00:00Z</t>
  </si>
  <si>
    <t>drowned, body found by a scuba diver and retrieved by the Spanish Sea Rescue Team (Dec 26, 2005)</t>
  </si>
  <si>
    <t>Event at Africa To Spain on Dec 26, 2005</t>
  </si>
  <si>
    <t>Found by a wetting the corpse of a drowned man along the beaches of Aguadulce, Roquetas de Mar, Almeria (Dec 27, 2005)</t>
  </si>
  <si>
    <t>Event at Almeria on Dec 26, 2005</t>
  </si>
  <si>
    <t>http://www.elpais.com/articulo/espana/LLEGA/PALMA/PRIMERA/PATERA/elpepiesp/20051228elpepinac_11/Tes</t>
  </si>
  <si>
    <t>2005-12-24T00:00:00Z</t>
  </si>
  <si>
    <t>drowned, found next to plastic bins tied together that helped him cross Spanish waters (Dec 24, 2005)</t>
  </si>
  <si>
    <t>Event at Africa To Spain on Dec 24, 2005</t>
  </si>
  <si>
    <t>2 bodies found on the coast near Tarifa (Dec 25, 2005)</t>
  </si>
  <si>
    <t>Event at Tarifa on Dec 24, 2005</t>
  </si>
  <si>
    <t>http://www.elmundo.es/elmundo/2005/12/25/sociedad/1135524192.html</t>
  </si>
  <si>
    <t>2005-12-23T00:00:00Z</t>
  </si>
  <si>
    <t>drowned, found by authorities on the beach of Cadiz (E)  (Dec 23, 2005)</t>
  </si>
  <si>
    <t>Event at Cadiz on Dec 23, 2005</t>
  </si>
  <si>
    <t>MNS/Statewatch/FE/ELM</t>
  </si>
  <si>
    <t>2005-12-20T00:00:00Z</t>
  </si>
  <si>
    <t>stowaway, died during journey to Kallo (NL), thrown from cargoship by compatriots  (Dec 20, 2005). From Del Grande's data set (translated): 2 found dead in the sea in the port of Antwerp, thrown into the water from the ship which were hidden with 8 mates from Nigeria (Dec 22, 2005)</t>
  </si>
  <si>
    <t>Event at Niger on Dec 20, 2005</t>
  </si>
  <si>
    <t>MNS/News24/FE/VK</t>
  </si>
  <si>
    <t>2005-12-18T00:00:00Z</t>
  </si>
  <si>
    <t>reportedly drowned after vessel capsised off the Canary Islands, only 4 bodies found (Dec 18, 2005). From Del Grande's data set (translated): Sinking boat left from Nouadhibou and direct the Canary Islands. 4 bodies recovered, at least 26 missing (Dec 19, 2005)</t>
  </si>
  <si>
    <t>Event at Nouadhibou on Dec 18, 2005</t>
  </si>
  <si>
    <t>MNS/Statewatch/NOB</t>
  </si>
  <si>
    <t>http://www.elpais.com/articulo/espana/Mueren/papeles/naufragar/barco/elpepiesp/20051220elpepinac_16/Tes</t>
  </si>
  <si>
    <t>2005-12-10T00:00:00Z</t>
  </si>
  <si>
    <t>murdered by a shotgun in Kingston (Jamaica) 9 days after being deported from GB (Dec 10, 2005)</t>
  </si>
  <si>
    <t>Kingston, Jamaica</t>
  </si>
  <si>
    <t>Event at Kingston, Jamaica on Dec 10, 2005</t>
  </si>
  <si>
    <t>IRR/WIK</t>
  </si>
  <si>
    <t>2005-12-09T00:00:00Z</t>
  </si>
  <si>
    <t>drowned, in the attempt of swimming to the shore of Adra (Almeria) (Dec 9, 2005)</t>
  </si>
  <si>
    <t>Event at Adra on Dec 09, 2005</t>
  </si>
  <si>
    <t>Statewatch/ELM/FENOB</t>
  </si>
  <si>
    <t>Minefield of Kastanies, greek-turkish border. An explosion kills 2 people. They tried to enter illegally in Greece (Dec 10, 2005)</t>
  </si>
  <si>
    <t>Event at Kastanies on Dec 09, 2005</t>
  </si>
  <si>
    <t>http://www.ekathimerini.com/4dcgi/news/content.asp?aid=63984</t>
  </si>
  <si>
    <t>2005-12-04T00:00:00Z</t>
  </si>
  <si>
    <t>stowaways, found dead in a container on a Danish ship between Morocco and Spain. (Dec 4, 2005)</t>
  </si>
  <si>
    <t>Event at Morocco on Dec 04, 2005</t>
  </si>
  <si>
    <t>2005-12-02T00:00:00Z</t>
  </si>
  <si>
    <t>found dead near the coast of Fum Wad, El-Aiun, West Sahara (MA) (Dec 2, 2005)</t>
  </si>
  <si>
    <t>Event at Aiun on Dec 02, 2005</t>
  </si>
  <si>
    <t>ACN/AFVIC/PICUM</t>
  </si>
  <si>
    <t>drowned,found dead near coast of Fum Wad, El-Aiun, West Sahara (MA) (Dec 2, 2005)</t>
  </si>
  <si>
    <t>AFVIC/APDHA</t>
  </si>
  <si>
    <t>reportedly drowned in attempt to reach Canarias from Fum al-Wad, West Sahara (MA) (Dec 2, 2005)</t>
  </si>
  <si>
    <t>canarias</t>
  </si>
  <si>
    <t>Event at Canarias on Dec 02, 2005</t>
  </si>
  <si>
    <t>ACN</t>
  </si>
  <si>
    <t>2005-11-29T00:00:00Z</t>
  </si>
  <si>
    <t>2005 -- 11</t>
  </si>
  <si>
    <t>drowned, found in advanced state of decomposition on Tarifa beach by Guardia Civil (Nov 29, 2005)</t>
  </si>
  <si>
    <t>Event at Tarifa on Nov 29, 2005</t>
  </si>
  <si>
    <t>2005-11-27T00:00:00Z</t>
  </si>
  <si>
    <t>drowned, 6 found, 12 missing after boat capsized off the coast of Gran Canaria  (Nov 27, 2005). From Del Grande's data set (translated): Shipwreck in storm 400 kilometers south of Gran Canaria. Recovered the bodies of six men, at least 12 missing (Nov 28, 2005)</t>
  </si>
  <si>
    <t>Event at Canaria on Nov 27, 2005</t>
  </si>
  <si>
    <t>MNS/Statewatch/FE/ELM/ABC/Raz/MUGAK</t>
  </si>
  <si>
    <t>http://www.elpais.com/articulo/espana/muertos/doce/desaparecidos/naufragar/patera/sur/Gran/Canaria/elpepuesp/20051129elpepunac_2/Tes</t>
  </si>
  <si>
    <t>shot by police, minivan way to Europa refused to stop at check point on Carikci (TR) (Nov 27, 2005). From Del Grande's data set (translated): A van load of migrants fleeing a checkpoint in Carikci, Igdir. Police fire. One dead and 4 seriously injured (Nov 28, 2005)</t>
  </si>
  <si>
    <t>carikci</t>
  </si>
  <si>
    <t>Event at Carikci on Nov 27, 2005</t>
  </si>
  <si>
    <t>http://archive.turkishpress.com/news.asp?id=81329</t>
  </si>
  <si>
    <t>2005-11-26T00:00:00Z</t>
  </si>
  <si>
    <t>found on duckboat carrying 36 migrants off the coast of Almeria during rescue attempt (Nov 26, 2005). From Del Grande's data set (translated): Localized boat off the coast of Almeria, died on board 1 (Nov 26, 2005)</t>
  </si>
  <si>
    <t>Event at Almeria on Nov 26, 2005</t>
  </si>
  <si>
    <t>http://www.elmundo.es/elmundo/2005/11/26/sociedad/1132993791.html</t>
  </si>
  <si>
    <t>drowned, reportedly fallen from duckboat due to strong winds off the coast of Almeria (Nov 26, 2005). From Del Grande's data set (translated): Boat rescued after storm in the waters of Almeria, 22 missing (Nov 26, 2005)</t>
  </si>
  <si>
    <t>MNS/Statewatch/FE/ELM/NOB/PICUM</t>
  </si>
  <si>
    <t>http://www.elmundo.es/elmundo/2005/11/26/sociedad/1133042649.html</t>
  </si>
  <si>
    <t>2005-11-24T00:00:00Z</t>
  </si>
  <si>
    <t>died after falling off a window at Villa Salus Reception Cr. for migrants in Bologna (I) (Nov 24, 2005)</t>
  </si>
  <si>
    <t>Event at Bologna on Nov 24, 2005</t>
  </si>
  <si>
    <t>died of hypothermia in attempt to cross the border between Ukraine and Slovakia (Nov 24, 2005). From Del Grande's data set (translated): Found the bodies of three dead men frozen to death on the border between Ukraine and Slovakia (Nov 25, 2005)</t>
  </si>
  <si>
    <t>Event at Slovakia on Nov 24, 2005</t>
  </si>
  <si>
    <t>State Border Service (UA)</t>
  </si>
  <si>
    <t>http://www.pvu.gov.ua/eng/index.php</t>
  </si>
  <si>
    <t>2005-11-23T00:00:00Z</t>
  </si>
  <si>
    <t>drowned after shipwreck near the coast of Scicli, Sicily (I) (Nov 23, 2005). From Del Grande's data set (translated): 11 bodies found along the coast of Ragusa in Sicily (Nov 25, 2005)</t>
  </si>
  <si>
    <t>Event at Ragusa on Nov 23, 2005</t>
  </si>
  <si>
    <t>FE/LR/NOB</t>
  </si>
  <si>
    <t>http://www.repubblica.it/2005/k/sezioni/cronaca/sbarchi4/bilancioscicli/bilancioscicli.html</t>
  </si>
  <si>
    <t>2005-11-22T00:00:00Z</t>
  </si>
  <si>
    <t>jumped from balcony anf fell in Den Haag (NL), in fear of arrest for deportation  (Nov 22, 2005)</t>
  </si>
  <si>
    <t>Den Haag</t>
  </si>
  <si>
    <t>Event at Den Haag on Nov 22, 2005</t>
  </si>
  <si>
    <t>MAG/PICUM/Oz/NU</t>
  </si>
  <si>
    <t>2005-11-18T00:00:00Z</t>
  </si>
  <si>
    <t>Found the body of a drowned man on the beaches of Benz in Ceuta (Nov 19, 2005)</t>
  </si>
  <si>
    <t>Event at Ceuta on Nov 18, 2005</t>
  </si>
  <si>
    <t>El pueblo de Ceuta</t>
  </si>
  <si>
    <t>http://www.elpueblodeceuta.es/archivo/2005/Noviembre/19/_sucesos_2.htm</t>
  </si>
  <si>
    <t>2005-11-17T00:00:00Z</t>
  </si>
  <si>
    <t>drowned after boat capsized off the coast of Sicily. Ignored by Maltese coast guards. (Nov 17, 2005). From Del Grande's data set (translated): Shipwreck off the coast of Ragusa, Sicily, 9 dead, 40 missing (Nov 18, 2005)</t>
  </si>
  <si>
    <t>Event at Ragusa on Nov 17, 2005</t>
  </si>
  <si>
    <t>LR/MP/AD/MNS/Statewatch/FE/CDS/NOB/Unipa</t>
  </si>
  <si>
    <t>http://www.corriere.it/Primo_Piano/Cronache/2005/11_Novembre/18/sbarco.shtml</t>
  </si>
  <si>
    <t>2005-11-14T00:00:00Z</t>
  </si>
  <si>
    <t>stowaway, driver lost control over truck attempting to escape police in Prevenza (GR) (Nov 14, 2005). From Del Grande's data set (translated): Pull off the road to avoid the checkpoint, illegally transporting 12 people direct to Athens. 1 dead, 2 injured in the incident serious (Nov 15, 2005)</t>
  </si>
  <si>
    <t>Event at Athens on Nov 14, 2005</t>
  </si>
  <si>
    <t>http://www.ekathimerini.com/4dcgi/news/content.asp?aid=63024</t>
  </si>
  <si>
    <t>2005-11-08T00:00:00Z</t>
  </si>
  <si>
    <t>drowned, off the coast of Italy near Gela, traffickers - 7 Egyptians - were caught  (Nov 8, 2005)</t>
  </si>
  <si>
    <t>Event at Gela on Nov 08, 2005</t>
  </si>
  <si>
    <t>Unita/MNS/GDS/MP/LS/BBC/NOB/Unipa</t>
  </si>
  <si>
    <t>2005-11-04T00:00:00Z</t>
  </si>
  <si>
    <t>found dead on a ship transporting migrants, stopped near the coast of Andalusia (E) (Nov 4, 2005)</t>
  </si>
  <si>
    <t>Event at Andalusia on Nov 04, 2005</t>
  </si>
  <si>
    <t>AngolaPress</t>
  </si>
  <si>
    <t>2005-11-03T00:00:00Z</t>
  </si>
  <si>
    <t>Landing the island of Linosa, on board the ship 2 dead (Nov 4, 2005)</t>
  </si>
  <si>
    <t>Event at Linosa on Nov 03, 2005</t>
  </si>
  <si>
    <t>Small boat sank off the coast of Greece in direct Cesme (Turkey), 12 dead, 18 missing (Nov 4, 2005)</t>
  </si>
  <si>
    <t>Event at Cesme on Nov 03, 2005</t>
  </si>
  <si>
    <t>http://www.ekathimerini.com/4dcgi/news/content.asp?aid=62624</t>
  </si>
  <si>
    <t>2005-11-02T00:00:00Z</t>
  </si>
  <si>
    <t>found dead on a boat from Morocco to Spain (Nov 2, 2005)</t>
  </si>
  <si>
    <t>Event at Morocco on Nov 02, 2005</t>
  </si>
  <si>
    <t>MAG/MNS</t>
  </si>
  <si>
    <t>2005-10-31T00:00:00Z</t>
  </si>
  <si>
    <t>2005 -- 10</t>
  </si>
  <si>
    <t>suicide, jumped from hospital after recovered for self harm in Lamezia Terme (I) Cr.  (Oct 31, 2005)</t>
  </si>
  <si>
    <t>Event at Lamezia on Oct 31, 2005</t>
  </si>
  <si>
    <t>MP</t>
  </si>
  <si>
    <t>2005-10-30T00:00:00Z</t>
  </si>
  <si>
    <t>found on a drifting vessel off the  coast of Adra (Almeria, E) (Oct 30, 2005). From Del Grande's data set (translated): 2 dead in a boat rescued 25 miles south of Adra, Almeria (Nov 1, 2005)</t>
  </si>
  <si>
    <t>Event at Adra on Oct 30, 2005</t>
  </si>
  <si>
    <t>MNS/Statewatch</t>
  </si>
  <si>
    <t>http://www.elpais.com/articulo/espana/Hallados/cadaveres/patera/interceptada/frente/costa/Almeria/elpepuesp/20051101elpepunac_1/Tes</t>
  </si>
  <si>
    <t>2005-10-25T00:00:00Z</t>
  </si>
  <si>
    <t>burnt alive in detention cr. at Schiphol(NL).He was also known as Vitaly Khvylovyy. (Oct 25, 2005)</t>
  </si>
  <si>
    <t>Schiphol</t>
  </si>
  <si>
    <t>Event at Schiphol on Oct 25, 2005</t>
  </si>
  <si>
    <t>LR/MAG/MNS/Statewatch/VK/Vivre/ASKV/FE/PICUM/NRC/NOB/Parool/ASKV/CR</t>
  </si>
  <si>
    <t>burnt alive after fire in detention centre at Schipol Airport (NL) (Oct 25, 2005)</t>
  </si>
  <si>
    <t>schipol</t>
  </si>
  <si>
    <t>Event at Schipol on Oct 25, 2005</t>
  </si>
  <si>
    <t>LR/MAG/MNS/Statewatch/VK/Vivre/ASKV/FE/PICUM/NRC/NOB/Parool/Oz</t>
  </si>
  <si>
    <t>burnt alive after a fire in detention centre at Schiphol Airport (NL) (Oct 25, 2005). From Del Grande's data set (translated): Fire in a detention center for foreigners awaiting deportation, Amsterdam, 11 dead (Oct 28, 2005)</t>
  </si>
  <si>
    <t>Event at Amsterdam on Oct 25, 2005</t>
  </si>
  <si>
    <t>LR/MAG/MNS/Statewatch/VK/Vivre/ASKV/FE/PICUM/NRC/NOB/Parool/CR</t>
  </si>
  <si>
    <t>http://www.guardian.co.uk/international/story/0</t>
  </si>
  <si>
    <t>2005-10-24T00:00:00Z</t>
  </si>
  <si>
    <t>Rescued vessel in distress off the coast of Crete. On board 1 dead (Oct 25, 2005)</t>
  </si>
  <si>
    <t>Event at Crete on Oct 24, 2005</t>
  </si>
  <si>
    <t>http://www.ekathimerini.com/4dcgi/news/content.asp?aid=62267</t>
  </si>
  <si>
    <t>drowned, after vessel submerged off the coast of Malta  (Oct 24, 2005). From Del Grande's data set (translated): 6 bodies found in the waters of the coast of Cirkewwa (Oct 25, 2005)</t>
  </si>
  <si>
    <t>Event at Malta on Oct 24, 2005</t>
  </si>
  <si>
    <t>MNS/MM/FE/NOB</t>
  </si>
  <si>
    <t>http://www.maltamedia.com/news/2005/ln/article_7818.shtml</t>
  </si>
  <si>
    <t>body found by greek coastguard aboard boat with 150 migrants on way to Italy  (Oct 24, 2005)</t>
  </si>
  <si>
    <t>Italian coast</t>
  </si>
  <si>
    <t>Event at Italian Coast on Oct 24, 2005</t>
  </si>
  <si>
    <t>2005-10-20T00:00:00Z</t>
  </si>
  <si>
    <t>suicide, hanged himself with bed sheets while in police custody in Hamburg (D) (Oct 20, 2005)</t>
  </si>
  <si>
    <t>Event at Hamburg on Oct 20, 2005</t>
  </si>
  <si>
    <t>2005-10-17T00:00:00Z</t>
  </si>
  <si>
    <t>Tamanghasset blocked and threatened by police raids in Algeria, 2 Guineans give up to Europe and take the way back on a truck bound for Kidal, Mali. But during the journey in the desert, the two they die of starvation. The bodies are buried by their fellow passengers in the sand (Oct 18, 2005)</t>
  </si>
  <si>
    <t>Event at Algeria on Oct 17, 2005</t>
  </si>
  <si>
    <t>http://www.algeria-watch.org/fr/mrv/mrvref/guineens_meurent.htm</t>
  </si>
  <si>
    <t>2005-10-12T00:00:00Z</t>
  </si>
  <si>
    <t>Found a body along the coast near Grenada (Oct 13, 2005)</t>
  </si>
  <si>
    <t>Grenada, spain</t>
  </si>
  <si>
    <t>Event at Grenada, Spain on Oct 12, 2005</t>
  </si>
  <si>
    <t>http://www.elmundo.es/elmundo/2005/10/13/sociedad/1129182888.html</t>
  </si>
  <si>
    <t>2005-10-11T00:00:00Z</t>
  </si>
  <si>
    <t>reportedly drowned, missing in stormy waters in the Gibraltar Strait on way to Spain (Oct 11, 2005)</t>
  </si>
  <si>
    <t>Event at Gibraltar on Oct 11, 2005</t>
  </si>
  <si>
    <t>Exodus</t>
  </si>
  <si>
    <t>found dead on a boat carrying immigrants in Gibraltar Strait by Spanish authorities (Oct 11, 2005)</t>
  </si>
  <si>
    <t>2005-10-10T00:00:00Z</t>
  </si>
  <si>
    <t>died in Birmingham hospital, after release from Yarls Wood Detention Centre (GB)  (Oct 10, 2005)</t>
  </si>
  <si>
    <t>Birmingham, uk</t>
  </si>
  <si>
    <t>Event at Birmingham, Uk on Oct 10, 2005</t>
  </si>
  <si>
    <t>2005-10-08T00:00:00Z</t>
  </si>
  <si>
    <t>found dead on Licata Beach (I), drowned after boat got stranded south of Gela (I) (Oct 8, 2005)</t>
  </si>
  <si>
    <t>Event at Gela on Oct 08, 2005</t>
  </si>
  <si>
    <t>MNS/LR/VK</t>
  </si>
  <si>
    <t>shot by Greek border guard near the border with Macedonia (Oct 8, 2005)</t>
  </si>
  <si>
    <t>Macedonia to Greece</t>
  </si>
  <si>
    <t>Event at Macedonia To Greece on Oct 08, 2005</t>
  </si>
  <si>
    <t>2005-10-07T00:00:00Z</t>
  </si>
  <si>
    <t>Doctors Without Borders rescued more than 500 migrants arrested by the Moroccan army in the mountains around Ceuta and Melilla and abandoned for days in the desert on the border with Algeria, in the region of El-Aouina Souatar, in Bouarfa. Witnesses said at least 20 people have died of starvation (Oct 8, 2005)</t>
  </si>
  <si>
    <t>Event at Ceuta on Oct 07, 2005</t>
  </si>
  <si>
    <t>http://www.atmf.ras.eu.org/article.php3?id_article=559</t>
  </si>
  <si>
    <t>2005-10-05T00:00:00Z</t>
  </si>
  <si>
    <t>Assault on the barriers of the Spanish border in Morocco, Melilla, 6 deaths by gunshot or crushed in the crowd, 30 injured (Oct 6, 2005)</t>
  </si>
  <si>
    <t>Event at Melilla on Oct 05, 2005</t>
  </si>
  <si>
    <t>http://www.repubblica.it/2005/i/sezioni/esteri/melilla/subsah/subsah.html</t>
  </si>
  <si>
    <t>A man falls dall'autotreno where traveling hidden along with 5 mates and dies (Oct 6, 2005)</t>
  </si>
  <si>
    <t>Event at Great Britain on Oct 05, 2005</t>
  </si>
  <si>
    <t>Peter bourough today</t>
  </si>
  <si>
    <t>http://www.peterboroughtoday.co.uk/ViewArticle2.aspx?SectionID=845&amp;ArticleID=1212780</t>
  </si>
  <si>
    <t>2005-10-03T00:00:00Z</t>
  </si>
  <si>
    <t>reportedly drowned off the coast of Algeria on way to Spain (Oct 3, 2005)</t>
  </si>
  <si>
    <t>Event at Algeria on Oct 03, 2005</t>
  </si>
  <si>
    <t>died of starvation on way to Spain,found on a boat drifting off the coast of Algeria (Oct 3, 2005). From Del Grande's data set (translated): They die at the hospital in Gran Canaria 2 men landed a few days earlier in a serious condition of hypothermia, dehydration and malnutrition (Oct 2, 2005)</t>
  </si>
  <si>
    <t>Event at Canaria on Oct 03, 2005</t>
  </si>
  <si>
    <t>http://www.elpais.com/articulo/espana/Fallecen/otros/inmigrantes/llegados/barca/Gran/Canaria/elpepiesp/20051002elpepinac_14/Tes</t>
  </si>
  <si>
    <t>2005-01-31T00:00:00Z</t>
  </si>
  <si>
    <t>2005 -- 1</t>
  </si>
  <si>
    <t>reportedly drowned, after a boat carrying 15 people sank off Turkish coast (Jan 31, 2005)</t>
  </si>
  <si>
    <t>Event at Turkey To Greece on Jan 31, 2005</t>
  </si>
  <si>
    <t>TP/PICUM/NOB</t>
  </si>
  <si>
    <t>drowned, after boat carrying 15 people sank off Turkish coast (Jan 31, 2005)</t>
  </si>
  <si>
    <t>2005-01-24T00:00:00Z</t>
  </si>
  <si>
    <t>suicide, found hanged  in Merksplas (B), in fear of deportation (Jan 24, 2005)</t>
  </si>
  <si>
    <t>Event at Merksplas on Jan 24, 2005</t>
  </si>
  <si>
    <t>De Gentenaar</t>
  </si>
  <si>
    <t>2005-01-22T00:00:00Z</t>
  </si>
  <si>
    <t>suicide, found hanged in prison in Sarnen (CH) (Jan 22, 2005)</t>
  </si>
  <si>
    <t>Sarnen, switzerland</t>
  </si>
  <si>
    <t>Event at Sarnen, Switzerland on Jan 22, 2005</t>
  </si>
  <si>
    <t>Vivre</t>
  </si>
  <si>
    <t>2005-01-18T00:00:00Z</t>
  </si>
  <si>
    <t>found dead on a boat drifting 480 km suth of Canary Islands (E) (Jan 18, 2005). From Del Grande's data set (translated): Located 300 km south of the Canary Islands a boat adrift. On board the bodies of 10 men died of starvation. As many may have thrown into the sea, there were no survivors (Jan 19, 2005)</t>
  </si>
  <si>
    <t>Event at Canary on Jan 18, 2005</t>
  </si>
  <si>
    <t>PICUM/PAJOL/MAG/APDHA/MNS/NOB</t>
  </si>
  <si>
    <t>http://www.elpais.com/articulo/espana/Localizada/patera/muertos/sur/Canarias/elpepuesp/20050119elpepunac_13/Tes</t>
  </si>
  <si>
    <t>2005-01-09T00:00:00Z</t>
  </si>
  <si>
    <t>drwoned, 3 found, 14 missing after boat capsised off Fuerteventura in rescue attempt (Jan 9, 2005)</t>
  </si>
  <si>
    <t>Event at Fuerteventura on Jan 09, 2005</t>
  </si>
  <si>
    <t>Statewatch/MUGAK/ABC/Raz</t>
  </si>
  <si>
    <t>shot by Spanish and Moroccan police whilst trying to cross fences to Ceuta and Melilla (E) (Jan 9, 2005)</t>
  </si>
  <si>
    <t>Event at Ceuta on Jan 09, 2005</t>
  </si>
  <si>
    <t>APDHA/Chabacka</t>
  </si>
  <si>
    <t>Sink a small boat to the island Samos in the Aegean Sea live. 3 dead, 13 survivors were arrested (Jan 10, 2005)</t>
  </si>
  <si>
    <t>Event at Samos on Jan 09, 2005</t>
  </si>
  <si>
    <t>The Australian</t>
  </si>
  <si>
    <t>http://www.theaustralian.news.com.au/common/story_page/0</t>
  </si>
  <si>
    <t>died after a fight</t>
  </si>
  <si>
    <t>died at friends  house, beaten by security guards when he refused to be deported (Jan 9, 2005)</t>
  </si>
  <si>
    <t>Albania</t>
  </si>
  <si>
    <t>Event at Albania on Jan 09, 2005</t>
  </si>
  <si>
    <t>Le Matin/Vivre</t>
  </si>
  <si>
    <t>suicide, asylum seeker suffering from depression killed himself in Newcastle (GB) (Jan 9, 2005)</t>
  </si>
  <si>
    <t>newcastle</t>
  </si>
  <si>
    <t>Event at Newcastle on Jan 09, 2005</t>
  </si>
  <si>
    <t>Cpgb</t>
  </si>
  <si>
    <t>suicide, killed friend and her son, jumped from 5th floor in NL, fear of repatriation (Jan 9, 2005)</t>
  </si>
  <si>
    <t>Event at Netherland on Jan 09, 2005</t>
  </si>
  <si>
    <t>VK/aduc/Diario de Noticias/Diario de Navarra</t>
  </si>
  <si>
    <t>murdered, pushed down from 5th floor in NL by friend in fear of repatriation (Jan 9, 2005)</t>
  </si>
  <si>
    <t>2005-01-06T00:00:00Z</t>
  </si>
  <si>
    <t>died of overheating, found on a parking place in Ludwigsfeld (D), smuggled paid $5000 (Jan 6, 2005)</t>
  </si>
  <si>
    <t>Ludwigsfeld, germany</t>
  </si>
  <si>
    <t>Event at Ludwigsfeld, Germany on Jan 06, 2005</t>
  </si>
  <si>
    <t>2005-01-05T00:00:00Z</t>
  </si>
  <si>
    <t>Rescued a boat landed in Fuerteventura, 1 dead (Jan 6, 2005)</t>
  </si>
  <si>
    <t>Event at Fuerteventura on Jan 05, 2005</t>
  </si>
  <si>
    <t>http://www.elpais.com/articulo/espana/Dramatico/rescate/90/inmigrantes/costa/Fuerteventura/elpepiesp/20050106elpepinac_22/Tes</t>
  </si>
  <si>
    <t>2005-01-03T00:00:00Z</t>
  </si>
  <si>
    <t>died of hypothermia in his mother s arms on their boat to Spain (Jan 3, 2005)</t>
  </si>
  <si>
    <t>Event at Africa To Spain on Jan 03, 2005</t>
  </si>
  <si>
    <t>2005-01-02T00:00:00Z</t>
  </si>
  <si>
    <t>died of thirst, travelling through desert to Tumu, Niger to get to LY border (Jan 2, 2005)</t>
  </si>
  <si>
    <t>Event at Niger on Jan 02, 2005</t>
  </si>
  <si>
    <t>LESP/Gatti/Migreurop</t>
  </si>
  <si>
    <t>missing, after being deported to Afghanistan, after a 18 months asylum in BG (Jan 2, 2005)</t>
  </si>
  <si>
    <t>afghanistan</t>
  </si>
  <si>
    <t>Event at Afghanistan on Jan 02, 2005</t>
  </si>
  <si>
    <t>Evening Gazette</t>
  </si>
  <si>
    <t>A ship bound for Greece tips off the Turkish coast. 2 dead, 1 missing (Jan 3, 2005)</t>
  </si>
  <si>
    <t>Turkey</t>
  </si>
  <si>
    <t>Event at Turkey on Jan 02, 2005</t>
  </si>
  <si>
    <t>http://www.turkishpress.com/news.asp?ID=35527</t>
  </si>
  <si>
    <t>2005-01-01T00:00:00Z</t>
  </si>
  <si>
    <t>drowned, after shipwreck off the coast of Morocco near El-Ayunan on way to Spain (Jan 1, 2005)</t>
  </si>
  <si>
    <t>Event at Ayun on Jan 01, 2005</t>
  </si>
  <si>
    <t>died crossing the Oder/Neisse border (suicide possible). German police did not record the precise date.</t>
  </si>
  <si>
    <t>Event at Oder/Neisse border in 2005</t>
  </si>
  <si>
    <t>2004-09-30T00:00:00Z</t>
  </si>
  <si>
    <t>3Q2004</t>
  </si>
  <si>
    <t>2004 -- 9</t>
  </si>
  <si>
    <t>reportedly drowned after boat sank, tragedy on the way from Vlora (AL) to Italy  (Sep 30, 2004)</t>
  </si>
  <si>
    <t>vlora</t>
  </si>
  <si>
    <t>Event at Vlora on Sep 30, 2004</t>
  </si>
  <si>
    <t>GuardianUn./KI/BBC/SD-Agencies/AJC/IP/Vivre/LR</t>
  </si>
  <si>
    <t>froze to death on a boat on the way from Vlora (AL) to Italy (Sep 30, 2004)</t>
  </si>
  <si>
    <t>GuardianUn./KI/BBC/SD-Agencies/AJC/IP/Vivre/YaN/Moscow Times/LR</t>
  </si>
  <si>
    <t>died of hypothermia on a boat on the way from Vlora (AL) to Italy (Sep 30, 2004)</t>
  </si>
  <si>
    <t>2004-09-29T00:00:00Z</t>
  </si>
  <si>
    <t>reportedly drowned after their boat capsized on way to Fuerteventura (E) (Sep 29, 2004). From Del Grande's data set (translated): Two French journalists landed in the Canary Islands for a report. Two traveling companions would be drowned after a boat overturned on departure (Sep 30, 2004)</t>
  </si>
  <si>
    <t>Event at Fuerteventura on Sep 29, 2004</t>
  </si>
  <si>
    <t>http://docs.google.com/viewer?url=http://www.aedh.eu/fichiers/Rapport%20annexe%20_bis_%20-fr.pdf</t>
  </si>
  <si>
    <t>2004-09-28T00:00:00Z</t>
  </si>
  <si>
    <t>suicide, set himself on fire in Paris (F) in front of his embassy (Sep 28, 2004)</t>
  </si>
  <si>
    <t>Event at Paris on Sep 28, 2004</t>
  </si>
  <si>
    <t>slovensko.com</t>
  </si>
  <si>
    <t>drowned, fell into water playing near asylum centre in Harlingen (NL) (Sep 28, 2004)</t>
  </si>
  <si>
    <t>harlingen</t>
  </si>
  <si>
    <t>Event at Harlingen on Sep 28, 2004</t>
  </si>
  <si>
    <t>2004-09-26T00:00:00Z</t>
  </si>
  <si>
    <t>died in detention Centre due to pulmonay embolish, lacking medical care  (Sep 26, 2004)</t>
  </si>
  <si>
    <t>Event at Germany on Sep 26, 2004</t>
  </si>
  <si>
    <t>INDd</t>
  </si>
  <si>
    <t>2004-09-25T00:00:00Z</t>
  </si>
  <si>
    <t>suicide, found hanged in an emergency accommodation in Newcastle (GB)  (Sep 25, 2004)</t>
  </si>
  <si>
    <t>Event at Newcastle on Sep 25, 2004</t>
  </si>
  <si>
    <t>2004-09-23T00:00:00Z</t>
  </si>
  <si>
    <t>The Tunisian coast guard found 4 dead on board a barge directly in Italy, a fifth person is dying (Sep 24, 2004)</t>
  </si>
  <si>
    <t>Event at Tunis on Sep 23, 2004</t>
  </si>
  <si>
    <t>Tunezine</t>
  </si>
  <si>
    <t>http://www.tunezine.com/breve.php3?id_breve=395</t>
  </si>
  <si>
    <t>2004-09-20T00:00:00Z</t>
  </si>
  <si>
    <t>drowned, found dead on a boat drifting a few miles from Zarzis (TN) (Sep 20, 2004)</t>
  </si>
  <si>
    <t>Event at Zarzis on Sep 20, 2004</t>
  </si>
  <si>
    <t>MP/AP/PICUM</t>
  </si>
  <si>
    <t>Off Klibia, sinking a small boat. 5 missing (Sep 21, 2004)</t>
  </si>
  <si>
    <t>Klibia</t>
  </si>
  <si>
    <t>Event at Klibia on Sep 20, 2004</t>
  </si>
  <si>
    <t>Afrology</t>
  </si>
  <si>
    <t>http://www.afrology.com/soc/immigrer.html</t>
  </si>
  <si>
    <t>2004-09-19T00:00:00Z</t>
  </si>
  <si>
    <t>drowned, after their boat capsized in stormy waters off of the Greek coast near Samos (Sep 19, 2004). From Del Grande's data set (translated): Sink a small boat off the coast of Samos. 5 dead, 7 missing (Sep 13, 2004)</t>
  </si>
  <si>
    <t>Event at Samos on Sep 19, 2004</t>
  </si>
  <si>
    <t>http://www.ekathimerini.com/4dcgi/_w_articles_politics_100014_13/09/2004_47220</t>
  </si>
  <si>
    <t>2004-09-14T00:00:00Z</t>
  </si>
  <si>
    <t>Found along the coast of Lesvos 5 corpses (Sep 15, 2004)</t>
  </si>
  <si>
    <t>Event at Lesvos on Sep 14, 2004</t>
  </si>
  <si>
    <t>http://www.ekathimerini.com/4dcgi/_w_articles_politics_100023_15/09/2004_47310</t>
  </si>
  <si>
    <t>2004-09-09T00:00:00Z</t>
  </si>
  <si>
    <t>Melilla found the body of a drowned man, Hipica along the beach, a few hundred meters from the Moroccan port of Beni-Enzar (Sep 10, 2004)</t>
  </si>
  <si>
    <t>Event at Melilla on Sep 09, 2004</t>
  </si>
  <si>
    <t>http://docs.google.com/viewer?url=http://www.december18.net/web/docpapers/doc2321.pdf</t>
  </si>
  <si>
    <t>2004-09-08T00:00:00Z</t>
  </si>
  <si>
    <t>reportedly drowned after shipwreck near Fuerteventura (Sep 8, 2004). From Del Grande's data set (translated): Sinking boat off the Canary Islands game from the Sahara, 5 dead (Sep 9, 2004)</t>
  </si>
  <si>
    <t>Event at Fuerteventura on Sep 08, 2004</t>
  </si>
  <si>
    <t>MUGAK/PICUM/MNS</t>
  </si>
  <si>
    <t>http://www.elpais.com/articulo/espana/Desaparecen/inmigrantes/hundirse/patera/dirigian/Fuerteventura/elpepuesp/20040909elpepunac_8/Tes</t>
  </si>
  <si>
    <t>reportedly drowned 50 km from Entellada-Fuerteventura (E) (Sep 8, 2004)</t>
  </si>
  <si>
    <t>MUGAK/APDHA/Statewatch</t>
  </si>
  <si>
    <t>suicide, during his deportation from Almeria (E) to Al-Hoceima (MA) (Sep 8, 2004)</t>
  </si>
  <si>
    <t>Event at Hoceima on Sep 08, 2004</t>
  </si>
  <si>
    <t>MUGAK/APDHA/PICUM</t>
  </si>
  <si>
    <t>2004-09-07T00:00:00Z</t>
  </si>
  <si>
    <t>suicide, found hanged in Forest /Vorst Prison (Bruxelles), misterious circumstances (Sep 7, 2004)</t>
  </si>
  <si>
    <t>bruxelles</t>
  </si>
  <si>
    <t>Event at Bruxelles on Sep 07, 2004</t>
  </si>
  <si>
    <t>ISMD/UE/INDbe/EmekaIst.</t>
  </si>
  <si>
    <t>2004-09-06T00:00:00Z</t>
  </si>
  <si>
    <t>drowned,body found in Lanzarote (E) (Sep 6, 2004)</t>
  </si>
  <si>
    <t>Event at Lanzarote on Sep 06, 2004</t>
  </si>
  <si>
    <t>MUGAK</t>
  </si>
  <si>
    <t>2004-09-03T00:00:00Z</t>
  </si>
  <si>
    <t>Recovered the corpse of a drowned man along the beaches of Ceuta in Benz (Sep 4, 2004)</t>
  </si>
  <si>
    <t>Event at Ceuta on Sep 03, 2004</t>
  </si>
  <si>
    <t>http://www.elpais.com/articulo/espana/numero/inmigrantes/llegados/patera/ha/descendido/va/ano/elpepiesp/20040904elpepinac_11/Tes</t>
  </si>
  <si>
    <t>2004-09-02T00:00:00Z</t>
  </si>
  <si>
    <t>Fished in the waters of Tangier, the bodies of two castaways (Sep 3, 2004)</t>
  </si>
  <si>
    <t>Event at Tangier on Sep 02, 2004</t>
  </si>
  <si>
    <t>2004-08-30T00:00:00Z</t>
  </si>
  <si>
    <t>2004 -- 8</t>
  </si>
  <si>
    <t>Found in the waters of the port of Algeciras the body of a drowned man (Aug 31, 2004)</t>
  </si>
  <si>
    <t>Event at Algeciras on Aug 30, 2004</t>
  </si>
  <si>
    <t>http://www.elpais.com/articulo/espana/Interceptados/220/papeles/Andalucia/Fuerteventura/elpepiesp/20040831elpepinac_12/Tes</t>
  </si>
  <si>
    <t>2004-08-29T00:00:00Z</t>
  </si>
  <si>
    <t>Expelled from Libya and abandoned to the Egyptian border, 2 people died from the heat (Aug 30, 2004)</t>
  </si>
  <si>
    <t>Event at Egypt on Aug 29, 2004</t>
  </si>
  <si>
    <t>Whashington Times</t>
  </si>
  <si>
    <t>http://washingtontimes.com/upi-breaking/20040829-095857-9521r.htm</t>
  </si>
  <si>
    <t>2004-08-28T00:00:00Z</t>
  </si>
  <si>
    <t>stowaways, bodies found in two trucks in Cairo (Egypt) on their way to Italy (Aug 28, 2004)</t>
  </si>
  <si>
    <t>Event at Cairo on Aug 28, 2004</t>
  </si>
  <si>
    <t>ANA</t>
  </si>
  <si>
    <t>drowned, found floating near harbor of Algesiras (E) (Aug 28, 2004)</t>
  </si>
  <si>
    <t>algesiras</t>
  </si>
  <si>
    <t>Event at Algesiras on Aug 28, 2004</t>
  </si>
  <si>
    <t>MUGAK/APDHA</t>
  </si>
  <si>
    <t>2004-08-24T00:00:00Z</t>
  </si>
  <si>
    <t>stowaway, body found in the trunk of his girlfriend's car in Genova (I) (Aug 24, 2004)</t>
  </si>
  <si>
    <t>genova</t>
  </si>
  <si>
    <t>Event at Genova on Aug 24, 2004</t>
  </si>
  <si>
    <t>RAI/ANSA/ILM</t>
  </si>
  <si>
    <t>2004-08-23T00:00:00Z</t>
  </si>
  <si>
    <t>stowaway, found dead in the roof luggage rack of a car on way to Spain (Aug 23, 2004). From Del Grande's data set (translated): A boy dies suffocated in the trunk of a car aboard a ferry to Algeciras where he was hiding to pass the Spanish border (Aug 25, 2004)</t>
  </si>
  <si>
    <t>Event at Algeciras on Aug 23, 2004</t>
  </si>
  <si>
    <t>http://www.elpais.com/articulo/espana/detenidos/muerte/marroqui/asfixiado/coche/elpepiesp/20040825elpepinac_6/Tes</t>
  </si>
  <si>
    <t>2004-08-22T00:00:00Z</t>
  </si>
  <si>
    <t>1 drowned, 4 missing, boat capsized on way from Altinoluk (TR) to Lesbos Island (E) (Aug 22, 2004). From Del Grande's data set (translated): Sank off the Turkish coast in a small boat. 1 dead and 5 missing (Aug 23, 2004)</t>
  </si>
  <si>
    <t>lesbos</t>
  </si>
  <si>
    <t>Event at Lesbos on Aug 22, 2004</t>
  </si>
  <si>
    <t>http://www.turkishpress.com/turkishpress/news.asp?ID=25067</t>
  </si>
  <si>
    <t>2004-08-21T00:00:00Z</t>
  </si>
  <si>
    <t>reportedly drowned, missing after shipwreck off the coast of Nord√§g√§is (Aug 21, 2004)</t>
  </si>
  <si>
    <t>agean</t>
  </si>
  <si>
    <t>Event at Agean on Aug 21, 2004</t>
  </si>
  <si>
    <t>DerStandard</t>
  </si>
  <si>
    <t>drowned, body found after shipwreck by fishermen off the Turkish coast of Nord√§g√§is (Aug 21, 2004)</t>
  </si>
  <si>
    <t>Recovered the bodies of two men drowned off the coast of Motril, near Granada, and Los Barrios, near Cadiz (Aug 22, 2004)</t>
  </si>
  <si>
    <t>Event at Barrios on Aug 21, 2004</t>
  </si>
  <si>
    <t>http://www.elpais.com/articulo/andalucia/Detenidos/197/inmigrantes/recuperados/cadaveres/elpepuespand/20040822elpand_2/Tes</t>
  </si>
  <si>
    <t>2004-08-20T00:00:00Z</t>
  </si>
  <si>
    <t>drowned, found in Los Pajaritos (E), after shipwreck near Fuerteventura (E)  (Aug 20, 2004)</t>
  </si>
  <si>
    <t>Event at Fuerteventura on Aug 20, 2004</t>
  </si>
  <si>
    <t>ELM/GRP/ANA/MUGAK/Statewatch/La Opini‚àö√µn</t>
  </si>
  <si>
    <t>drowned, body found in Los Pajaritos (E), after shipwreck near Fuerteventura (E) (Aug 20, 2004)</t>
  </si>
  <si>
    <t>ELM/GRP/ANA/MUGAK/La Opini‚àö√µn</t>
  </si>
  <si>
    <t>drowned,after a shipwreck off the coast of Fuerteventura (E) (Aug 20, 2004)</t>
  </si>
  <si>
    <t>Landing in Fuerteventura. At 20 meters from the shore passengers jumping into the water to touch believing. 4 of them die drowned not knowing to swim (Aug 21, 2004)</t>
  </si>
  <si>
    <t>http://www.elpais.com/articulo/espana/inmigrantes/papeles/mueren/volcar/patera/metros/costa/canaria/elpepuesp/20040821elpepunac_4/Tes</t>
  </si>
  <si>
    <t>drowned, jumped overboard in fear of border guards near Motril (E) (Aug 20, 2004)</t>
  </si>
  <si>
    <t>Event at Motril, Spain on Aug 20, 2004</t>
  </si>
  <si>
    <t>ELM/LOP/APDHA/MUGAK/StW</t>
  </si>
  <si>
    <t>dead body found on the beach in Granada (E) (Aug 20, 2004)</t>
  </si>
  <si>
    <t>Event at Granada on Aug 20, 2004</t>
  </si>
  <si>
    <t>MUGAK/Statewatch</t>
  </si>
  <si>
    <t>stowaway, dead body found in Playa de Palmones-Los Barrios, Cadiz (E) (Aug 20, 2004)</t>
  </si>
  <si>
    <t>Event at Barrios on Aug 20, 2004</t>
  </si>
  <si>
    <t>LOP/MUGAK/APDHA/Statewatch</t>
  </si>
  <si>
    <t>2004-08-19T00:00:00Z</t>
  </si>
  <si>
    <t>suicide , found dead in detention centre in Rotterdam (NL), in fear of deportation (Aug 19, 2004)</t>
  </si>
  <si>
    <t>Event at Rotterdam on Aug 19, 2004</t>
  </si>
  <si>
    <t>2004-08-16T00:00:00Z</t>
  </si>
  <si>
    <t>drowned, found dead on the beach of El-Aai√Ä√¥n, West Sahara (MA) (Aug 16, 2004)</t>
  </si>
  <si>
    <t>Event at Sahara on Aug 16, 2004</t>
  </si>
  <si>
    <t>2004-08-15T00:00:00Z</t>
  </si>
  <si>
    <t>drowned, found dead on the beach of El-Aai√Ä√¥n, West Sahara (MA) (Aug 15, 2004)</t>
  </si>
  <si>
    <t>Event at Sahara on Aug 15, 2004</t>
  </si>
  <si>
    <t>drowned, after boat capsized with 34 people on way to Canarias (E) (Aug 15, 2004). From Del Grande's data set (translated): Sinking boat just left from Laayoune to the Canary Islands. Recovered 18 bodies, the other 16 would be dispersed (Aug 16, 2004)</t>
  </si>
  <si>
    <t>Event at Laayoun on Aug 15, 2004</t>
  </si>
  <si>
    <t>2004-08-14T00:00:00Z</t>
  </si>
  <si>
    <t>arm belonging to an asylum seeker found near Uznach (CH) (Aug 14, 2004)</t>
  </si>
  <si>
    <t>Uznach, switzerland</t>
  </si>
  <si>
    <t>Event at Uznach, Switzerland on Aug 14, 2004</t>
  </si>
  <si>
    <t>2004-08-12T00:00:00Z</t>
  </si>
  <si>
    <t>reportedly drowned; boat capsized with 39 people going to Fuerteventura (E) (Aug 12, 2004). From Del Grande's data set (translated): Boat rescued off the coast of Fuerteventura, in the Canary Islands. Passengers stand up to greet the rescued, but the boat capsizes. Killed 33 people, only 1 body recovered (Aug 14, 2004)</t>
  </si>
  <si>
    <t>Event at Fuerteventura on Aug 12, 2004</t>
  </si>
  <si>
    <t>MC/MP/ILM/MUGAK/APDHA/MNS/DS/ABC/Raz</t>
  </si>
  <si>
    <t>http://www.elpais.com/articulo/espana/muerto/32/desaparecidos/volcar/patera/intercepto/Guardia/Civil/elpepiesp/20040814elpepinac_3/Tes</t>
  </si>
  <si>
    <t>drowned, after boat capsized on its way  to Fuerteventura (E) (Aug 12, 2004)</t>
  </si>
  <si>
    <t>MC/MP/ILM/GRP/MUGAK/APDHA/MNS</t>
  </si>
  <si>
    <t>2004-08-09T00:00:00Z</t>
  </si>
  <si>
    <t>Found the body of a drowned man along the beaches of Algeciras (Aug 10, 2004)</t>
  </si>
  <si>
    <t>Event at Algeciras on Aug 09, 2004</t>
  </si>
  <si>
    <t>http://www.elpais.com/articulo/espana/Interceptados/109/papeles/elpepiesp/20040810elpepinac_12/Tes</t>
  </si>
  <si>
    <t>Sicily Channel: missing for two days two boats with 41 Somali (Aug 10, 2004)</t>
  </si>
  <si>
    <t>Event at Sicily on Aug 09, 2004</t>
  </si>
  <si>
    <t>http://archivio.repubblica.extra.kataweb.it/archivio</t>
  </si>
  <si>
    <t>2004-08-08T00:00:00Z</t>
  </si>
  <si>
    <t>suicide, found in Merksplas (B) detention centre, was denied medical help for depression (Aug 8, 2004)</t>
  </si>
  <si>
    <t>Event at Merksplas on Aug 08, 2004</t>
  </si>
  <si>
    <t>UE/MNS/sgcv</t>
  </si>
  <si>
    <t>2004-08-07T00:00:00Z</t>
  </si>
  <si>
    <t>died in overcrowded boat trying to reach Italy from Libya, thrown off the boat (Aug 7, 2004)</t>
  </si>
  <si>
    <t>Event at Libya on Aug 07, 2004</t>
  </si>
  <si>
    <t>CDS/Vivre</t>
  </si>
  <si>
    <t>died during rescue of an overcrowded boat trying to reach Italy from Libya (Aug 7, 2004)</t>
  </si>
  <si>
    <t>Vivre/BBC/IRR/LaS/RO/LS/MUGAK/Vivre/LR</t>
  </si>
  <si>
    <t>found dead, floating off the beach of Punta Carnero, Algesiras (E) (Aug 7, 2004)</t>
  </si>
  <si>
    <t>Event at Punta on Aug 07, 2004</t>
  </si>
  <si>
    <t>died in overcrowded boat trying to reach I from Libia, bodies thrown overboard (Aug 7, 2004). From Del Grande's data set (translated): 28 deaths from starvation, hypothermia, dehydration during the crossing of the Strait of Sicily on a boat party from the African coast and thrown overboard by his companions travel (Aug 8, 2004)</t>
  </si>
  <si>
    <t>Event at Sicily on Aug 07, 2004</t>
  </si>
  <si>
    <t>Vivre/BBC/IRR/LaS/RO/LS/MUGAK/LR/DS/VK</t>
  </si>
  <si>
    <t>http://www.meltingpot.org/articolo3420.html</t>
  </si>
  <si>
    <t>2004-08-05T00:00:00Z</t>
  </si>
  <si>
    <t>One dead and 4 wounded on antipersonnel minefields in Evros in north-eastern border with Turkey (Aug 6, 2004)</t>
  </si>
  <si>
    <t>Event at Evros on Aug 05, 2004</t>
  </si>
  <si>
    <t>hanged himself in refugee housing facility in GB, police refused to reveal details (Aug 5, 2004)</t>
  </si>
  <si>
    <t>Event at Great Britain on Aug 05, 2004</t>
  </si>
  <si>
    <t>PAIH</t>
  </si>
  <si>
    <t>2004-08-02T00:00:00Z</t>
  </si>
  <si>
    <t>decomposed dead body found; reportedly tried to reach Ceuta (E/MA) by swimming (Aug 2, 2004)</t>
  </si>
  <si>
    <t>Event at Ceuta on Aug 02, 2004</t>
  </si>
  <si>
    <t>MC</t>
  </si>
  <si>
    <t>2004-07-31T00:00:00Z</t>
  </si>
  <si>
    <t>2004 -- 7</t>
  </si>
  <si>
    <t>Off the coast of Cadiz sinks a ship, 5 bodies recovered, 25 missing (Aug 1, 2004)</t>
  </si>
  <si>
    <t>Event at Cadiz on Jul 31, 2004</t>
  </si>
  <si>
    <t>http://www.rainews24.it/Notizia.asp?NewsID=48429</t>
  </si>
  <si>
    <t>2004-07-30T00:00:00Z</t>
  </si>
  <si>
    <t>drowned near Punta Paloma in Tarifa (E), after patera capsized with 33 people (Jul 30, 2004)</t>
  </si>
  <si>
    <t>Event at Tarifa on Jul 30, 2004</t>
  </si>
  <si>
    <t>MNS/MC/MUGAK/Terra/TN/Vivre</t>
  </si>
  <si>
    <t>drowned near Punta Paloma in Tarifa (E), after boat capsized with 33 people (Jul 30, 2004)</t>
  </si>
  <si>
    <t>drowned near Punta Paloma in Tarifa (E), after boat capsized  (Jul 30, 2004)</t>
  </si>
  <si>
    <t>ADN</t>
  </si>
  <si>
    <t>2004-07-29T00:00:00Z</t>
  </si>
  <si>
    <t>reportedly drowned after boat capsized with 33 migrants near Punta Paloma (E) (Jul 29, 2004)</t>
  </si>
  <si>
    <t>Event at Punta on Jul 29, 2004</t>
  </si>
  <si>
    <t>suicide, found hanged in prison in Livorno (I), waiting to be put on trial (Jul 29, 2004)</t>
  </si>
  <si>
    <t>livorno</t>
  </si>
  <si>
    <t>Event at Livorno on Jul 29, 2004</t>
  </si>
  <si>
    <t>RIS</t>
  </si>
  <si>
    <t>2004-07-27T00:00:00Z</t>
  </si>
  <si>
    <t>suicide, found hanged in prison in Busto Arsizio (I) after 4 days of detention (Jul 27, 2004)</t>
  </si>
  <si>
    <t>Busto Arsizio, italy</t>
  </si>
  <si>
    <t>Event at Busto Arsizio, Italy on Jul 27, 2004</t>
  </si>
  <si>
    <t>2004-07-25T00:00:00Z</t>
  </si>
  <si>
    <t>dead body found floating near the coast of Melilla (E/MA) (Jul 25, 2004). From Del Grande's data set (translated): Found by a wetting the corpse of a drowned man on a beach in Melilla (Jul 27, 2004)</t>
  </si>
  <si>
    <t>Event at Melilla on Jul 25, 2004</t>
  </si>
  <si>
    <t>MC/APDHA</t>
  </si>
  <si>
    <t>http://www.elpais.com/articulo/espana/Hallado/cadaver/inmigrante/costa/Melilla/elpepiesp/20040727elpepinac_21/Tes</t>
  </si>
  <si>
    <t>2004-07-22T00:00:00Z</t>
  </si>
  <si>
    <t>suicide, found hanged at Dungavel det. cr. (Scotland-GB),he was denied interpreter (Jul 22, 2004)</t>
  </si>
  <si>
    <t>scotland</t>
  </si>
  <si>
    <t>Event at Scotland on Jul 22, 2004</t>
  </si>
  <si>
    <t>IRR/SC/The Herald/NCADC</t>
  </si>
  <si>
    <t>2004-07-20T00:00:00Z</t>
  </si>
  <si>
    <t>stowaway, frozen in landing gear of airplain from Dominican Republic in D√ºsseldorf (Jul 20, 2004)</t>
  </si>
  <si>
    <t>D√ºsseldorf</t>
  </si>
  <si>
    <t>Event at D√ºsseldorf on Jul 20, 2004</t>
  </si>
  <si>
    <t>2004-07-18T00:00:00Z</t>
  </si>
  <si>
    <t>suicide, hanged himself in Harmondsworth Centre (GB) in fear of deportation (Jul 18, 2004)</t>
  </si>
  <si>
    <t>Event at Harmondsworth on Jul 18, 2004</t>
  </si>
  <si>
    <t>IRR/MSN/ERB/NCADC</t>
  </si>
  <si>
    <t>2004-07-10T00:00:00Z</t>
  </si>
  <si>
    <t>suicide, fell from Colnbrook imm. Removal Centre (GB) trying to hang himself (Jul 10, 2004)</t>
  </si>
  <si>
    <t>Event at Colnbrook on Jul 10, 2004</t>
  </si>
  <si>
    <t>NCADC/IRR/Inquest/PPO</t>
  </si>
  <si>
    <t>2004-07-07T00:00:00Z</t>
  </si>
  <si>
    <t>died during rescue attempt by Italian authorities in Siracusa (I) (Jul 7, 2004)</t>
  </si>
  <si>
    <t>siracusa</t>
  </si>
  <si>
    <t>Event at Siracusa on Jul 07, 2004</t>
  </si>
  <si>
    <t>ANA/ART</t>
  </si>
  <si>
    <t>2004-07-05T00:00:00Z</t>
  </si>
  <si>
    <t>decomposing bodies were found in the southwest of the island of Crete (GR) (Jul 5, 2004)</t>
  </si>
  <si>
    <t>Event at Crete on Jul 05, 2004</t>
  </si>
  <si>
    <t>2004-07-04T00:00:00Z</t>
  </si>
  <si>
    <t>pregnant, killed in a collision with a train at alevel crossing in Hellin (E) (Jul 4, 2004)</t>
  </si>
  <si>
    <t>Hellin, Spain</t>
  </si>
  <si>
    <t>Event at Hellin, Spain on Jul 04, 2004</t>
  </si>
  <si>
    <t>killed in a collision with a train at a level crossing in Hellin (E) (Jul 4, 2004)</t>
  </si>
  <si>
    <t>2004-07-01T00:00:00Z</t>
  </si>
  <si>
    <t>Shipwreck in the Sicilian Channel, 30 dead (Jul 2, 2004)</t>
  </si>
  <si>
    <t>Event at Sicily on Jul 01, 2004</t>
  </si>
  <si>
    <t>2004-06-28T00:00:00Z</t>
  </si>
  <si>
    <t>2Q2004</t>
  </si>
  <si>
    <t>2004 -- 6</t>
  </si>
  <si>
    <t>reportedly drowned after shipwreck near Capo Bon (TN) (Jun 28, 2004)</t>
  </si>
  <si>
    <t>Event at Capo on Jun 28, 2004</t>
  </si>
  <si>
    <t>drowned after shipwreck near Capo Bon (TN) (Jun 28, 2004)</t>
  </si>
  <si>
    <t>2004-06-24T00:00:00Z</t>
  </si>
  <si>
    <t>suicide, shot himself in his car after his asylum claim was refused (GB) (Jun 24, 2004)</t>
  </si>
  <si>
    <t>Event at Great Britain on Jun 24, 2004</t>
  </si>
  <si>
    <t>SC/BBC/IRR/NCADC</t>
  </si>
  <si>
    <t>2004-06-23T00:00:00Z</t>
  </si>
  <si>
    <t>drowned, dead body found near Lampedusa (I) (Jun 23, 2004). From Del Grande's data set (translated): Fished in Lampedusa the body of a drowned man (Jun 24, 2004)</t>
  </si>
  <si>
    <t>Event at Lampedusa on Jun 23, 2004</t>
  </si>
  <si>
    <t>ILM/Unipa</t>
  </si>
  <si>
    <t>http://www.ilmanifesto.it/</t>
  </si>
  <si>
    <t>2004-06-13T00:00:00Z</t>
  </si>
  <si>
    <t>dead body found in Valez-Malaga beach (E), reportedly a refugee from a shipwreck (Jun 13, 2004)</t>
  </si>
  <si>
    <t>Valez malaga, spain</t>
  </si>
  <si>
    <t>Event at Valez Malaga, Spain on Jun 13, 2004</t>
  </si>
  <si>
    <t>no medical care, died on way from recemption camp in Eindhoven (NL) to hospital (Jun 13, 2004)</t>
  </si>
  <si>
    <t>Eindhoven, netherlands</t>
  </si>
  <si>
    <t>Event at Eindhoven, Netherlands on Jun 13, 2004</t>
  </si>
  <si>
    <t>EindhovensDagblad/MAG/VK</t>
  </si>
  <si>
    <t>2004-06-06T00:00:00Z</t>
  </si>
  <si>
    <t>Found the remains of 13 men drowned, along the shores of the islet of Koufonissi, south of Crete (Jun 7, 2004)</t>
  </si>
  <si>
    <t>Event at Crete on Jun 06, 2004</t>
  </si>
  <si>
    <t>http://www.ekathimerini.com/4dcgi/news/content.asp?aid=43633</t>
  </si>
  <si>
    <t>2004-06-05T00:00:00Z</t>
  </si>
  <si>
    <t>drowned after their boat sank near the port of Sfax on way from Tunisia to Italy (Jun 5, 2004). From Del Grande's data set (translated): Off Sfax, 6 bodies recovered, 4 more dispersed personesono (Jun 5, 2004)</t>
  </si>
  <si>
    <t>Event at Sfax on Jun 05, 2004</t>
  </si>
  <si>
    <t>LS/ANSA</t>
  </si>
  <si>
    <t>http://www.meltingpot.org/artbreve681.html</t>
  </si>
  <si>
    <t>reportedly drowned when boat sank off the Tunisian coast on way to Italy (Jun 5, 2004)</t>
  </si>
  <si>
    <t>Event at Tunis on Jun 05, 2004</t>
  </si>
  <si>
    <t>2004-06-01T00:00:00Z</t>
  </si>
  <si>
    <t>A truck carrying 110 people capsizes in an accident in Kozluk, Batman. A man dies, 61 wounded (Jun 2, 2004)</t>
  </si>
  <si>
    <t>Kozluk, Batman, turkey</t>
  </si>
  <si>
    <t>Event at Kozluk, Batman, Turkey on Jun 01, 2004</t>
  </si>
  <si>
    <t>http://www.turkishdailynews.com.tr/archives.php?id=36646</t>
  </si>
  <si>
    <t>2004-05-27T00:00:00Z</t>
  </si>
  <si>
    <t>2004 -- 5</t>
  </si>
  <si>
    <t>died at Prestwich hospital, after being sedated and restrained by staff (May 27, 2004)</t>
  </si>
  <si>
    <t>Prestwich, uk</t>
  </si>
  <si>
    <t>Event at Prestwich, Uk on May 27, 2004</t>
  </si>
  <si>
    <t>2004-05-24T00:00:00Z</t>
  </si>
  <si>
    <t>found dead on highway A7, after being abandoned by driver of a van near San Roque (E) (May 24, 2004). From Del Grande's data set (translated): 3 found dead and a man in serious condition along a national highway in San Roque, near Cadiz, probably abandoned by the driver of the vehicle they were traveling hidden (May 25, 2004)</t>
  </si>
  <si>
    <t>Event at Cadiz on May 24, 2004</t>
  </si>
  <si>
    <t>APDHA/PICUM</t>
  </si>
  <si>
    <t>died in fear of deportation from Portugal to Ukraine, auth. overruled court sentence (May 24, 2004)</t>
  </si>
  <si>
    <t>ukraine</t>
  </si>
  <si>
    <t>Event at Ukraine on May 24, 2004</t>
  </si>
  <si>
    <t>PUB</t>
  </si>
  <si>
    <t>2004-05-23T00:00:00Z</t>
  </si>
  <si>
    <t>suicide while in a detention centre in Carlslund, near Stockholm (S) (May 23, 2004)</t>
  </si>
  <si>
    <t>stockholm</t>
  </si>
  <si>
    <t>Event at Stockholm on May 23, 2004</t>
  </si>
  <si>
    <t>MNS/ERB/UNHCR</t>
  </si>
  <si>
    <t>2004-05-22T00:00:00Z</t>
  </si>
  <si>
    <t>stowaways, reportedly drowned, forced overboard 2000 km off Canary Islands (May 22, 2004). From Del Grande's data set (translated): The captain of the Wisteria, Japanese ship flying the Panamanian flag, order to throw into the sea off the Canary Islands, the 4 men found hiding on board. They all die drowned (May 23, 2004)</t>
  </si>
  <si>
    <t>Event at Canary on May 22, 2004</t>
  </si>
  <si>
    <t>SP/Statewatch/MNS/MUGAK/MC</t>
  </si>
  <si>
    <t>http://database.statewatch.org/searchdisplay.asp?searchfield=123&amp;noofresults=100&amp;resultsperpage=10&amp;display=123&amp;searchtype=1&amp;searchtext=stowaway&amp;submit1=Search</t>
  </si>
  <si>
    <t>2004-05-19T00:00:00Z</t>
  </si>
  <si>
    <t>5 found dead in the hold of the Liberian merchant Nathalie Bolder party from the Ivory Coast and directed the Canary Islands, on which were hidden (May 20, 2004)</t>
  </si>
  <si>
    <t>Event at Canary on May 19, 2004</t>
  </si>
  <si>
    <t>http://www.elpais.com/articulo/espana/mercante/procedente/Costa/Marfil/llega/Canarias/polizones/muertos/elpepiesp/20040522elpepinac_18/Tes</t>
  </si>
  <si>
    <t>2004-05-18T00:00:00Z</t>
  </si>
  <si>
    <t>asylum seeker murdered in park near Asylum Seeker Centre Tattes in Vernier (F) (May 18, 2004)</t>
  </si>
  <si>
    <t>Vernier, France</t>
  </si>
  <si>
    <t>Event at Vernier, France on May 18, 2004</t>
  </si>
  <si>
    <t>JdeGe/CO</t>
  </si>
  <si>
    <t>2004-05-17T00:00:00Z</t>
  </si>
  <si>
    <t>stowaway, found dead  in landing gear of plane from Africa, 10 km south of Lisbon (P) (May 17, 2004). From Del Grande's data set (translated): Man dies benumbed traveling hidden in the undercarriage of a plane to Lisbon. The body crashes while landing (May 17, 2004)</t>
  </si>
  <si>
    <t>lisbon</t>
  </si>
  <si>
    <t>Event at Lisbon on May 17, 2004</t>
  </si>
  <si>
    <t>MNS/PUB/OCPM</t>
  </si>
  <si>
    <t>http://planenews.com/modules.php?name=News&amp;file=article&amp;sid=2656</t>
  </si>
  <si>
    <t>suicide, found hanged in his flat in Glasgow (GB), facing eviction (May 17, 2004)</t>
  </si>
  <si>
    <t>Event at Glasgow on May 17, 2004</t>
  </si>
  <si>
    <t>IRR/PAIH/SCOT/SM/NCADC</t>
  </si>
  <si>
    <t>2004-05-16T00:00:00Z</t>
  </si>
  <si>
    <t>stowaway, died from inhalation of toxic gas in a ship on way to Las Palmas (E) (May 16, 2004)</t>
  </si>
  <si>
    <t>Las Palmas, Spain</t>
  </si>
  <si>
    <t>Event at Las Palmas, Spain on May 16, 2004</t>
  </si>
  <si>
    <t>stowaway, found dead in De Gaulles airport (F) on a flight from Madagascar (May 16, 2004). From Del Grande's data set (translated): Man dies frozen to death in the undercarriage of a plane from Madagascar landed at De Gaulle Airport in Paris (May 17, 2004)</t>
  </si>
  <si>
    <t>Event at Paris on May 16, 2004</t>
  </si>
  <si>
    <t>2004-05-14T00:00:00Z</t>
  </si>
  <si>
    <t>died after police  attempt to arrest him in London (GB) (May 14, 2004)</t>
  </si>
  <si>
    <t>Event at London on May 14, 2004</t>
  </si>
  <si>
    <t>drowned, found near asylum centre Kuidertocht in Luttelgeest, Flevoland (NL) (May 14, 2004)</t>
  </si>
  <si>
    <t>Luttelgeest, Netherlands</t>
  </si>
  <si>
    <t>Event at Luttelgeest, Netherlands on May 14, 2004</t>
  </si>
  <si>
    <t>2004-05-07T00:00:00Z</t>
  </si>
  <si>
    <t>pregnant, reportedly thrown off a boat to Italy by other migrants (May 7, 2004)</t>
  </si>
  <si>
    <t>Event at Africa To Italy on May 07, 2004</t>
  </si>
  <si>
    <t>LS/STR/ILM/Unipa</t>
  </si>
  <si>
    <t>died in minefield at TR-GR border with 4 Palestinians and 2 Moroccan who survived (May 7, 2004)</t>
  </si>
  <si>
    <t>Event at Evros on May 07, 2004</t>
  </si>
  <si>
    <t>YaN</t>
  </si>
  <si>
    <t>2004-05-06T00:00:00Z</t>
  </si>
  <si>
    <t>reportedly drowned, found dead near Tripoli (LY) (May 6, 2004)</t>
  </si>
  <si>
    <t>Event at Tripoli on May 06, 2004</t>
  </si>
  <si>
    <t>2004-05-05T00:00:00Z</t>
  </si>
  <si>
    <t>drowned, decomposed bodies retrieved from sea off island of Crete (GR) (May 5, 2004)</t>
  </si>
  <si>
    <t>Event at Crete on May 05, 2004</t>
  </si>
  <si>
    <t>2004-05-04T00:00:00Z</t>
  </si>
  <si>
    <t>drowned, found dead near Kerkenah (TN) (May 4, 2004). From Del Grande's data set (translated): Off Kerkenah a person dies in a shipwreck (May 4, 2004)</t>
  </si>
  <si>
    <t>kerkenah</t>
  </si>
  <si>
    <t>Event at Kerkenah on May 04, 2004</t>
  </si>
  <si>
    <t>http://www.populationdata.net/migrations/tunisie_4mai2004.php</t>
  </si>
  <si>
    <t>2004-05-01T00:00:00Z</t>
  </si>
  <si>
    <t>stowaways, decomposing bodies found on cargo ship from Ghana to Hull (GB) (May 1, 2004)</t>
  </si>
  <si>
    <t>Event at Ghana on May 01, 2004</t>
  </si>
  <si>
    <t>MET/IRR</t>
  </si>
  <si>
    <t>2004-04-26T00:00:00Z</t>
  </si>
  <si>
    <t>2004 -- 4</t>
  </si>
  <si>
    <t>stowaways, found dead in the hold of a Turkish cargo-ship at port of Cartagena (E) (Apr 26, 2004). From Del Grande's data set (translated): 2 young men found dead in a hidden compartment in the hold of a freighter landed in Cartegena (Apr 28, 2004)</t>
  </si>
  <si>
    <t>Event at Cartagena on Apr 26, 2004</t>
  </si>
  <si>
    <t>http://www.elpais.com/articulo/espana/inmigrantes/fallecen/bodega/buque/Cartagena/elpepiesp/20040428elpepinac_23/Tes</t>
  </si>
  <si>
    <t>2004-04-22T00:00:00Z</t>
  </si>
  <si>
    <t>hypothermia, going from Africa to Fuerteventura (E) by boat with other people. (Apr 22, 2004). From Del Grande's data set (translated): Landing on Fuerteventura, one died on the boat (Apr 24, 2004)</t>
  </si>
  <si>
    <t>Event at Fuerteventura on Apr 22, 2004</t>
  </si>
  <si>
    <t>http://www.elpais.com/articulo/espana/patera/llega/29/inmigrantes/muerto/Fuerteventura/elpepiesp/20040424elpepinac_27/Tes</t>
  </si>
  <si>
    <t>Found the body of a girl along the beaches of Las Chuchas, in Motril, Granada (Apr 23, 2004)</t>
  </si>
  <si>
    <t>Event at Granada on Apr 22, 2004</t>
  </si>
  <si>
    <t>http://www.elpais.com/articulo/espana/inmigrante/muere/desembarcar/playa/Granada/elpepiesp/20040423elpepinac_32/Tes</t>
  </si>
  <si>
    <t>2004-04-21T00:00:00Z</t>
  </si>
  <si>
    <t>drowned when disembarking in Granada (E) from a vessel coming from Morocco (Apr 21, 2004)</t>
  </si>
  <si>
    <t>Event at Granada on Apr 21, 2004</t>
  </si>
  <si>
    <t>2004-04-18T00:00:00Z</t>
  </si>
  <si>
    <t>jumped from the boat into the sea to avoid the Civil Guard (E) (Apr 18, 2004)</t>
  </si>
  <si>
    <t>Event at Africa To Spain on Apr 18, 2004</t>
  </si>
  <si>
    <t>suicide,found hanged in Hamburg (D) jail. 2nd suicide attempt in fear of deportation. (Apr 18, 2004)</t>
  </si>
  <si>
    <t>Event at Hamburg on Apr 18, 2004</t>
  </si>
  <si>
    <t>jW/taz/EPP</t>
  </si>
  <si>
    <t>2004-04-16T00:00:00Z</t>
  </si>
  <si>
    <t>drowned, two boats collided, hit rocks on way from Africa to Fuerteventura (E) (Apr 16, 2004). From Del Grande's data set (translated): Two boats spilling where he slammed against the cliffs of the island of Fuerteventura. They recovered the bodies of 15 people drowned, including a 9 months old baby (Apr 17, 2004)</t>
  </si>
  <si>
    <t>Event at Fuerteventura on Apr 16, 2004</t>
  </si>
  <si>
    <t>FR-NRW/Vivre/MC/Statewatch/YaN</t>
  </si>
  <si>
    <t>http://www.elpais.com/articulo/espana/Mueren/personas/bebe/naufragio/pateras/Fuerteventura/elpepunac/20040418elpepinac_33/Tes</t>
  </si>
  <si>
    <t>drowned, after 2 boats collided near the coasts of Fuertaventura (E) (Apr 16, 2004)</t>
  </si>
  <si>
    <t>fuertaventura</t>
  </si>
  <si>
    <t>Event at Fuertaventura on Apr 16, 2004</t>
  </si>
  <si>
    <t>drowned, 2 overcrowded boats collided near Fuertaventura s coast (E) (Apr 16, 2004)</t>
  </si>
  <si>
    <t>FR-NRW/MC/VK</t>
  </si>
  <si>
    <t>drowned, 2 boats overloaded with migrants collided near Fuertaventura s coast (E) (Apr 16, 2004)</t>
  </si>
  <si>
    <t>stowaway, shot by police, after the van failed to stop at the border H-SK (Apr 16, 2004)</t>
  </si>
  <si>
    <t>Hungary to Slovakia</t>
  </si>
  <si>
    <t>Event at Hungary To Slovakia on Apr 16, 2004</t>
  </si>
  <si>
    <t>2004-04-11T00:00:00Z</t>
  </si>
  <si>
    <t>Recovered from the waters of Dakhla the bodies of 12 men drowned in a shipwreck just left for the Canary Islands (Apr 12, 2004)</t>
  </si>
  <si>
    <t>Event at Dakhla on Apr 11, 2004</t>
  </si>
  <si>
    <t>reportedly drowned after boat carrying 40 people capsized off Fuerteventura (E) (Apr 11, 2004)</t>
  </si>
  <si>
    <t>Event at Fuerteventura on Apr 11, 2004</t>
  </si>
  <si>
    <t>MNS/MUGAK/APDHA</t>
  </si>
  <si>
    <t>died after explosion in minefield in Evros (GR) trying to cross Turkish-Greek border (Apr 11, 2004)</t>
  </si>
  <si>
    <t>Event at Evros on Apr 11, 2004</t>
  </si>
  <si>
    <t>2004-04-05T00:00:00Z</t>
  </si>
  <si>
    <t>reportedly drowned on way to Italy,  found dead after shipwreck near Sfax (Tunisia) (Apr 5, 2004)</t>
  </si>
  <si>
    <t>Event at Sfax on Apr 05, 2004</t>
  </si>
  <si>
    <t>drowned on way to Italy, found dead after shipwreck near Sfax (Tunisia) (Apr 5, 2004)</t>
  </si>
  <si>
    <t>2004-04-03T00:00:00Z</t>
  </si>
  <si>
    <t>tried to reach Ceuta (E/MA) by swimming, dead body found on beach of Tarajal (Apr 3, 2004). From Del Grande's data set (translated): Tarakhal found on the beach, near Ceuta, the corpse of a young man drowned (Apr 4, 2004)</t>
  </si>
  <si>
    <t>Event at Ceuta on Apr 03, 2004</t>
  </si>
  <si>
    <t>MC/MNS/Statewatch</t>
  </si>
  <si>
    <t>http://www.elpais.com/articulo/espana/Interceptados/200/inmigrantes/costas/Granada/Fuerteventura/elpepiesp/20040405elpepinac_18/Tes</t>
  </si>
  <si>
    <t>denied medical assistance in asylum centre in Halberstadt (D)  (Apr 3, 2004)</t>
  </si>
  <si>
    <t>Halberstadt, Germany</t>
  </si>
  <si>
    <t>Event at Halberstadt, Germany on Apr 03, 2004</t>
  </si>
  <si>
    <t>RP/Indymedia/</t>
  </si>
  <si>
    <t>2004-03-31T00:00:00Z</t>
  </si>
  <si>
    <t>1Q2004</t>
  </si>
  <si>
    <t>2004 -- 3</t>
  </si>
  <si>
    <t>2 youth killed by the gunfire of the Moroccan auxiliary forces in an attempt to climb over the barrier along the border of Melilla (Apr 1, 2004)</t>
  </si>
  <si>
    <t>Event at Melilla on Mar 31, 2004</t>
  </si>
  <si>
    <t>http://web.amnesty.org/library/Index/ENGEUR410112005</t>
  </si>
  <si>
    <t>2004-03-28T00:00:00Z</t>
  </si>
  <si>
    <t>Shipwreck on the routes between Anjouan and Mayotte, 13 missing (Mar 29, 2004)</t>
  </si>
  <si>
    <t>Event at Mayotte on Mar 28, 2004</t>
  </si>
  <si>
    <t>2004-03-13T00:00:00Z</t>
  </si>
  <si>
    <t>suicide, hanged himself in Norwich (GB) prison, depressed awaiting deportation (Mar 13, 2004)</t>
  </si>
  <si>
    <t>Norwich, UK</t>
  </si>
  <si>
    <t>Event at Norwich, Uk on Mar 13, 2004</t>
  </si>
  <si>
    <t>2004-03-09T00:00:00Z</t>
  </si>
  <si>
    <t>reportedly drowned, after boat capsized off the coast of Tunisia (Mar 9, 2004)</t>
  </si>
  <si>
    <t>Event at Tunis on Mar 09, 2004</t>
  </si>
  <si>
    <t>ANA/CDS/Vivre/MUGAK/Statewatch/DS</t>
  </si>
  <si>
    <t>drowned, after boat capsized 170 km off Tunisia (Mar 9, 2004)</t>
  </si>
  <si>
    <t>ANA/CDS/MT/Vivre/MUGAK/StW./MNS/SFGate/DS/VK</t>
  </si>
  <si>
    <t>2004-03-08T00:00:00Z</t>
  </si>
  <si>
    <t>drowned, found  floating off the coast of Tanger (MA) (Mar 8, 2004)</t>
  </si>
  <si>
    <t>tangiers</t>
  </si>
  <si>
    <t>Event at Tangiers on Mar 08, 2004</t>
  </si>
  <si>
    <t>APDHA/MUGAK/VK</t>
  </si>
  <si>
    <t>2004-02-29T00:00:00Z</t>
  </si>
  <si>
    <t>2004 -- 2</t>
  </si>
  <si>
    <t>stowaways, found dead in cargo ship in Pasaia (E) coming from Camerun (Feb 29, 2004)</t>
  </si>
  <si>
    <t>pasaia</t>
  </si>
  <si>
    <t>Event at Pasaia on Feb 29, 2004</t>
  </si>
  <si>
    <t>2004-02-27T00:00:00Z</t>
  </si>
  <si>
    <t>set himself on fire in Cologne (D) in fear of his deportation to Turkey  (Feb 27, 2004)</t>
  </si>
  <si>
    <t>Cologne, Germany</t>
  </si>
  <si>
    <t>Event at Cologne, Germany on Feb 27, 2004</t>
  </si>
  <si>
    <t>AN</t>
  </si>
  <si>
    <t>2004-02-25T00:00:00Z</t>
  </si>
  <si>
    <t>body found on the beach La Barrosa in Chiclana de la Frontera-Cadiz (E) (Feb 25, 2004). From Del Grande's data set (translated): Recovered on a beach in Chiclana, Cadiz, the drowned body of a young castaway (Feb 27, 2004)</t>
  </si>
  <si>
    <t>chiclana</t>
  </si>
  <si>
    <t>Event at Chiclana on Feb 25, 2004</t>
  </si>
  <si>
    <t>http://www.elpais.com/articulo/andalucia/Hallan/Chiclana/cadaver/inmigrante/marroqui/ahogado/elpepuespand/20040227elpand_27/Tes</t>
  </si>
  <si>
    <t>2004-02-23T00:00:00Z</t>
  </si>
  <si>
    <t>reportedly drowned when their ship sank off the western coast off Turkey (Feb 23, 2004). From Del Grande's data set (translated): Sinking a ship off the Turkish coast, direct in Greece. 13 dead, 15 missing (Feb 25, 2004)</t>
  </si>
  <si>
    <t>Event at Turkey To Greece on Feb 23, 2004</t>
  </si>
  <si>
    <t>NOB/MNS</t>
  </si>
  <si>
    <t>http://www.heraldsun.news.com.au/common/story_page/0</t>
  </si>
  <si>
    <t>drowned, ship sank off the Turkish coast, bodies washed ashore near Ayvalik (Feb 23, 2004)</t>
  </si>
  <si>
    <t>Event at Ayvalik on Feb 23, 2004</t>
  </si>
  <si>
    <t>2004-02-21T00:00:00Z</t>
  </si>
  <si>
    <t>A group tries to climb over the fence of the frontier of Melilla. The Moroccan soldiers shoot. A young man is shot in the head and dies (Feb 22, 2004)</t>
  </si>
  <si>
    <t>Event at Melilla on Feb 21, 2004</t>
  </si>
  <si>
    <t>Msf</t>
  </si>
  <si>
    <t>http://docs.google.com/viewer?url=http://www.meltingpot.org/IMG/pdf/Report_MoroccoENG_DFF.pdf</t>
  </si>
  <si>
    <t>2004-02-14T00:00:00Z</t>
  </si>
  <si>
    <t>15 dead, 3 missing at sea after a boat direct to the Canary Islands spills in the waters of Laayoun (Feb 15, 2004)</t>
  </si>
  <si>
    <t>Event at Laayoun on Feb 14, 2004</t>
  </si>
  <si>
    <t>2004-02-09T00:00:00Z</t>
  </si>
  <si>
    <t>drowned after their boat sank off the coast of Tunisia  on way to Italy. (Feb 9, 2004)</t>
  </si>
  <si>
    <t>Event at Tunis on Feb 09, 2004</t>
  </si>
  <si>
    <t>PICUM/Unipa</t>
  </si>
  <si>
    <t>2004-02-08T00:00:00Z</t>
  </si>
  <si>
    <t>drowned, body found near Benz√Ä√¥, Ceuta (E/MA) (Feb 8, 2004)</t>
  </si>
  <si>
    <t>Event at Ceuta on Feb 08, 2004</t>
  </si>
  <si>
    <t>died after being deported from Sweden to Azerbaijan.  (Feb 8, 2004)</t>
  </si>
  <si>
    <t>Event at Sweden on Feb 08, 2004</t>
  </si>
  <si>
    <t>2004-02-07T00:00:00Z</t>
  </si>
  <si>
    <t>reportedly drowned, after shipwreck off the coast of Cadiz (E) (Feb 7, 2004)</t>
  </si>
  <si>
    <t>Event at Cadiz on Feb 07, 2004</t>
  </si>
  <si>
    <t>2004-02-06T00:00:00Z</t>
  </si>
  <si>
    <t>suicide, found hanged in prison in Frosinone (I) in fear of deportation (Feb 6, 2004)</t>
  </si>
  <si>
    <t>Frosinone, Italy</t>
  </si>
  <si>
    <t>Event at Frosinone, Italy on Feb 06, 2004</t>
  </si>
  <si>
    <t>2004-02-04T00:00:00Z</t>
  </si>
  <si>
    <t>Found the corpses in an advanced state of decomposition of 2 men hidden on a cargo ship docked at the port of Hull Ghanaian (Feb 5, 2004)</t>
  </si>
  <si>
    <t>Event at Ghana on Feb 04, 2004</t>
  </si>
  <si>
    <t>http://news.bbc.co.uk/2/hi/uk_news/england/humber/3464703.stm</t>
  </si>
  <si>
    <t>2004-02-03T00:00:00Z</t>
  </si>
  <si>
    <t>found dead in a prison cell in GB, reportedly killed by a racist cellmate (Feb 3, 2004)</t>
  </si>
  <si>
    <t>Event at Great Britain on Feb 03, 2004</t>
  </si>
  <si>
    <t>IRR/GuardianUn</t>
  </si>
  <si>
    <t>2004-12-31T00:00:00Z</t>
  </si>
  <si>
    <t>4Q2004</t>
  </si>
  <si>
    <t>2004 -- 12</t>
  </si>
  <si>
    <t>reportedly abandoned in desert during repatriation to Niger (due to I-LY agreement) (Dec 31, 2004)</t>
  </si>
  <si>
    <t>Event at Niger on Dec 31, 2004</t>
  </si>
  <si>
    <t>LESP/Gatti</t>
  </si>
  <si>
    <t>Landing in Lanzarote, 1 dead (Jan 1, 2005)</t>
  </si>
  <si>
    <t>Event at Lanzarote on Dec 31, 2004</t>
  </si>
  <si>
    <t>http://www.elmundo.es/elmundo/2005/01/01/sociedad/1104577434.html</t>
  </si>
  <si>
    <t>attacked by animals</t>
  </si>
  <si>
    <t>attacked and torn apart by wild dogs in Madama, Niger whilst travelling to LY border (Dec 31, 2004)</t>
  </si>
  <si>
    <t>Event at Madama on Dec 31, 2004</t>
  </si>
  <si>
    <t>murdered after forced repatriation from GB to Afghanistan, asylum claim refused  (Dec 31, 2004)</t>
  </si>
  <si>
    <t>Event at Afghanistan on Dec 31, 2004</t>
  </si>
  <si>
    <t>suicide, found dead at Schipol Airport detention centre (NL) (Dec 31, 2004)</t>
  </si>
  <si>
    <t>Event at Schipol on Dec 31, 2004</t>
  </si>
  <si>
    <t>Nova TV(27/10/2005)</t>
  </si>
  <si>
    <t>2004-12-29T00:00:00Z</t>
  </si>
  <si>
    <t>drowned, body found floating near Agaete - Las Palmas de Gran Canaria (E) (Dec 29, 2004). From Del Grande's data set (translated): Found on the beach of Agaete on the island of Gran Canaria, the corpse in an advanced state of decomposition of a drowned man (Dec 30, 2004)</t>
  </si>
  <si>
    <t>agaete</t>
  </si>
  <si>
    <t>Event at Agaete on Dec 29, 2004</t>
  </si>
  <si>
    <t>http://www.elpais.com/articulo/espana/consul/marroqui/Canarias/dice/pais/puede/ser/policia/Europa/elpepiesp/20041231elpepinac_17/Tes</t>
  </si>
  <si>
    <t>reportedly drowned near Targha (MA) on their way to Spain  (Dec 29, 2004)</t>
  </si>
  <si>
    <t>targha</t>
  </si>
  <si>
    <t>Event at Targha on Dec 29, 2004</t>
  </si>
  <si>
    <t>drowned near Targha (MA) on their way to Spain (Dec 29, 2004)</t>
  </si>
  <si>
    <t>2004-12-25T00:00:00Z</t>
  </si>
  <si>
    <t>dead body found floating near San Cristobal de Las Palmas de Gran Canaria (E) (Dec 25, 2004)</t>
  </si>
  <si>
    <t>Event at Canaria on Dec 25, 2004</t>
  </si>
  <si>
    <t>MNS/APDGA/MUGAK</t>
  </si>
  <si>
    <t>Scattered off the Canary Islands, a boat with thirty passengers on board. A man had reported a drift boat, and the boat itself had referred the migrants rescued December 24 (Dec 26, 2004)</t>
  </si>
  <si>
    <t>Event at Canary on Dec 25, 2004</t>
  </si>
  <si>
    <t>http://www.elpais.com/articulo/espana/helicoptero/busca/barca/elpepiesp/20041226elpepinac_8/Tes</t>
  </si>
  <si>
    <t>2004-12-23T00:00:00Z</t>
  </si>
  <si>
    <t>dead body found near Gran Canaria (E)  (Dec 23, 2004)</t>
  </si>
  <si>
    <t>Event at Canaria on Dec 23, 2004</t>
  </si>
  <si>
    <t>MNS/APDHA/MUGAK</t>
  </si>
  <si>
    <t>2004-12-22T00:00:00Z</t>
  </si>
  <si>
    <t>dead bodies found on a boat drifting near Fuerteventura (E) (Dec 22, 2004). From Del Grande's data set (translated): Recovered the bodies of two drowned men, one on the coast of Fuerteventura, in the Canary Islands, and the other on a beach in Melilla (Dec 18, 2004)</t>
  </si>
  <si>
    <t>Event at Fuerteventura on Dec 22, 2004</t>
  </si>
  <si>
    <t>AFVIC/SP/MP/MNS/PICUM/Vivre/APDHA/MUGAK/NOB</t>
  </si>
  <si>
    <t>http://www.elpais.com/articulo/espana/Hallados/cadaveres/inmigrantes/Canarias/Melilla/elpepiesp/20041218elpepinac_11/Tes</t>
  </si>
  <si>
    <t>bodies found on a boat carriyng about 37 people near Fuerteventura (E) (Dec 22, 2004)</t>
  </si>
  <si>
    <t>Rescued boat in the waters of Fuerteventura, in the Canary Islands. On board 2 dead (Dec 23, 2004)</t>
  </si>
  <si>
    <t>http://www.elpais.com/articulo/espana/Hallados/muertos/inmigrantes/patera/deriva/cerca/Fuerteventura/elpepuesp/20041222elpepunac_13/Tes</t>
  </si>
  <si>
    <t>2004-12-21T00:00:00Z</t>
  </si>
  <si>
    <t>dead bodies found on a boat drifting near Fuerteventura (E) (Dec 21, 2004). From Del Grande's data set (translated): Recovered the bodies of two drowned men, one on the coast of Fuerteventura, in the Canary Islands, and the other on a beach in Melilla (Dec 18, 2004)</t>
  </si>
  <si>
    <t>Event at Fuerteventura on Dec 21, 2004</t>
  </si>
  <si>
    <t>MNS/Vivre</t>
  </si>
  <si>
    <t>It sinks in Martil Tetouan boat heading to Spain. At least 20 missing (Dec 22, 2004)</t>
  </si>
  <si>
    <t>tetouan</t>
  </si>
  <si>
    <t>Event at Tetouan on Dec 21, 2004</t>
  </si>
  <si>
    <t>Ahdath Magribia</t>
  </si>
  <si>
    <t>A man dies of cold in an attempt to cross the Turkish border on foot in the mountains of Gurpinar in the eastern province of Van (Dec 22, 2004)</t>
  </si>
  <si>
    <t>Gurpinar, van, turkey</t>
  </si>
  <si>
    <t>Event at Gurpinar, Van, Turkey on Dec 21, 2004</t>
  </si>
  <si>
    <t>http://archive.turkishpress.com/news.asp?id=35277</t>
  </si>
  <si>
    <t>2004-12-20T00:00:00Z</t>
  </si>
  <si>
    <t>reportedly drowned, after falling off boat 24 miles from Fuerteventura (E) (Dec 20, 2004)</t>
  </si>
  <si>
    <t>Event at Fuerteventura on Dec 20, 2004</t>
  </si>
  <si>
    <t>APDHA/MUGAK</t>
  </si>
  <si>
    <t>found dead on a boat 24 miles from Fuerteventura (E) (Dec 20, 2004)</t>
  </si>
  <si>
    <t>2004-12-19T00:00:00Z</t>
  </si>
  <si>
    <t>died from hypothermia, body found outside a disused factory in West Bromwich (GB)  (Dec 19, 2004)</t>
  </si>
  <si>
    <t>West Bromwich, UK</t>
  </si>
  <si>
    <t>Event at West Bromwich, Uk on Dec 19, 2004</t>
  </si>
  <si>
    <t>2004-12-17T00:00:00Z</t>
  </si>
  <si>
    <t>drowned, body found in Lobos (E) 2 weeks after boat capsized off Fuerteventura (Dec 17, 2004)</t>
  </si>
  <si>
    <t>Event at Fuerteventura on Dec 17, 2004</t>
  </si>
  <si>
    <t>2004-12-16T00:00:00Z</t>
  </si>
  <si>
    <t>drowned, body found in Lobos (E) 2 weeks after boat capsized off Fuerteventura (Dec 16, 2004)</t>
  </si>
  <si>
    <t>Event at Fuerteventura on Dec 16, 2004</t>
  </si>
  <si>
    <t>MNS/MUGAK</t>
  </si>
  <si>
    <t>died in attempt to enter into Melilla (E/MA), found dead on a cliff (Dec 16, 2004)</t>
  </si>
  <si>
    <t>Event at Melilla on Dec 16, 2004</t>
  </si>
  <si>
    <t>2004-12-15T00:00:00Z</t>
  </si>
  <si>
    <t>drowned, jumped off a vessel off the coast of Ghar Lapsi and Hagar Qim (M) (Dec 15, 2004)</t>
  </si>
  <si>
    <t>Ghar Lapsi, morocco</t>
  </si>
  <si>
    <t>Event at Ghar Lapsi, Morocco on Dec 15, 2004</t>
  </si>
  <si>
    <t>MNS/MM/NOB/Unipa</t>
  </si>
  <si>
    <t>Found a body on the coast of Malta, who probably died during the last landing of 90 people on the island (Dec 16, 2004)</t>
  </si>
  <si>
    <t>Event at Malta on Dec 15, 2004</t>
  </si>
  <si>
    <t>http://www.meltingpot.org/articolo4378.html</t>
  </si>
  <si>
    <t>2004-12-14T00:00:00Z</t>
  </si>
  <si>
    <t>Found a body on the coast of the Greek island Barbalia (Dec 15, 2004)</t>
  </si>
  <si>
    <t>Barbalia, greece</t>
  </si>
  <si>
    <t>Event at Barbalia, Greece on Dec 14, 2004</t>
  </si>
  <si>
    <t>http://www.ekathimerini.com/4dcgi/_w_articles_politics_100020_15/12/2004_50735</t>
  </si>
  <si>
    <t>2004-12-13T00:00:00Z</t>
  </si>
  <si>
    <t>drowned after boat carrying 17 people sank off Samos (GR) 4 days before (Dec 13, 2004)</t>
  </si>
  <si>
    <t>Event at Samos on Dec 13, 2004</t>
  </si>
  <si>
    <t>2004-12-10T00:00:00Z</t>
  </si>
  <si>
    <t>reportedly drowned near Fuerteventura (E) during rescue attempt (Dec 10, 2004)</t>
  </si>
  <si>
    <t>Event at Fuerteventura on Dec 10, 2004</t>
  </si>
  <si>
    <t>MNS/AFVIC/Libertaddigital/NOB</t>
  </si>
  <si>
    <t>drowned near Fuerteventura (E) during rescue attempt (Dec 10, 2004)</t>
  </si>
  <si>
    <t>Sink a small boat near Samos. 3 dead (Dec 11, 2004)</t>
  </si>
  <si>
    <t>Event at Samos on Dec 10, 2004</t>
  </si>
  <si>
    <t>2004-12-06T00:00:00Z</t>
  </si>
  <si>
    <t>Minefield in Evros, greek-turkish border. An explosion ago 2 deaths. They tried to enter illegally in Greece (Dec 7, 2004)</t>
  </si>
  <si>
    <t>Event at Evros on Dec 06, 2004</t>
  </si>
  <si>
    <t>http://www.ekathimerini.com/4dcgi/_w_articles_politics_100013_06/12/2004_50387</t>
  </si>
  <si>
    <t>2004-12-02T00:00:00Z</t>
  </si>
  <si>
    <t>Tips at the time of the rescue boat off the coast of Fuerteventura, in the Canary Islands, 4 drowned, their bodies lost at sea (Dec 3, 2004)</t>
  </si>
  <si>
    <t>Event at Fuerteventura on Dec 02, 2004</t>
  </si>
  <si>
    <t>http://www.elpais.com/articulo/espana/inmigrantes/desaparecen/naufragar/pateras/costas/Fuerteventura/elpepuesp/20041204elpepunac_3/Tes</t>
  </si>
  <si>
    <t>2004-11-29T00:00:00Z</t>
  </si>
  <si>
    <t>2004 -- 11</t>
  </si>
  <si>
    <t>stowaway, fallen from wheelbay of a plane,body found in Louvain (B) (Nov 29, 2004). From Del Grande's data set (translated): Found in Leuven the body of a man who fell from the undercarriage of a plane landing at Brussels, where he had hidden (Nov 30, 2004)</t>
  </si>
  <si>
    <t>Event at Brussels on Nov 29, 2004</t>
  </si>
  <si>
    <t>2004-11-27T00:00:00Z</t>
  </si>
  <si>
    <t>reportedly drowned during rescue operation of boat capsized near Antigua (E) (Nov 27, 2004). From Del Grande's data set (translated): Shipwreck off the coast of Fuerteventura, 2 corpses found, 14 missing (Nov 28, 2004)</t>
  </si>
  <si>
    <t>Event at Fuerteventura on Nov 27, 2004</t>
  </si>
  <si>
    <t>AFVIC/Statewatch/APDHA/MUGAK/ABC/Raz</t>
  </si>
  <si>
    <t>http://www.elmundo.es/elmundo/2004/11/28/sociedad/1101638732.html</t>
  </si>
  <si>
    <t>drowned, bodies rescued after boat capsized near Antigua (E) (Nov 27, 2004)</t>
  </si>
  <si>
    <t>Antigua, spain</t>
  </si>
  <si>
    <t>Event at Antigua, Spain on Nov 27, 2004</t>
  </si>
  <si>
    <t>AFVIC/Statewatch/MUGAK/APDHA/ABC/Raz</t>
  </si>
  <si>
    <t>2004-11-26T00:00:00Z</t>
  </si>
  <si>
    <t>drowned, found in River Tyne (GB) after agreement on voluntary repatriation (Nov 26, 2004)</t>
  </si>
  <si>
    <t>River Tyne, uk</t>
  </si>
  <si>
    <t>Event at River Tyne, Uk on Nov 26, 2004</t>
  </si>
  <si>
    <t>2004-11-15T00:00:00Z</t>
  </si>
  <si>
    <t>stowaway, found dead in wheelbay of a plane arrived in Paris (F) from Mali (Nov 15, 2004). From Del Grande's data set (translated): Man dies frozen to death in the undercarriage of a plane landed in Paris from Mali (Nov 16, 2004)</t>
  </si>
  <si>
    <t>Event at Paris on Nov 15, 2004</t>
  </si>
  <si>
    <t>2004-11-13T00:00:00Z</t>
  </si>
  <si>
    <t>Off Tripoli two ships in distress are sinking. 5 dead (Nov 14, 2004)</t>
  </si>
  <si>
    <t>Event at Tripoli on Nov 13, 2004</t>
  </si>
  <si>
    <t>reportedly drowned, after boat capsized off the coast of Malta (Nov 13, 2004). From Del Grande's data set (translated): A boat with about 10 people on board wrecked 12 miles south of Malta. All missing (Nov 14, 2004)</t>
  </si>
  <si>
    <t>Event at Malta on Nov 13, 2004</t>
  </si>
  <si>
    <t>ANA/ANSA/Unipa</t>
  </si>
  <si>
    <t>http://www.meltingpot.org/articolo4539.html</t>
  </si>
  <si>
    <t>blown up in a minefield at the turkish-Greek border, near Evros (GR) (Nov 13, 2004). From Del Grande's data set (translated): Minefield in Evros, greek-turkish border. An explosion ago 3 deaths. They tried to enter illegally in Greece (Nov 14, 2004)</t>
  </si>
  <si>
    <t>Event at Evros on Nov 13, 2004</t>
  </si>
  <si>
    <t>ORF/NOB</t>
  </si>
  <si>
    <t>http://derstandard.at/?url=/?id=1857496</t>
  </si>
  <si>
    <t>2004-11-12T00:00:00Z</t>
  </si>
  <si>
    <t>drowned, after boat capsized in stormy waters off the coast of Malta (Nov 12, 2004)</t>
  </si>
  <si>
    <t>Event at Malta on Nov 12, 2004</t>
  </si>
  <si>
    <t>2004-11-11T00:00:00Z</t>
  </si>
  <si>
    <t>Off the Canary Islands, a boat overturns, 7 killed (Nov 12, 2004)</t>
  </si>
  <si>
    <t>Event at Canary on Nov 11, 2004</t>
  </si>
  <si>
    <t>http://www.elpais.com/articulo/espana/Desaparecen/inmigrantes/naufragar/patera/frente/costa/Fuerteventura/elpepuesp/20041112elpepunac_8/Tes</t>
  </si>
  <si>
    <t>2004-11-10T00:00:00Z</t>
  </si>
  <si>
    <t>A small boat is turned upside down. 11 dead and 6 missing (Nov 11, 2004)</t>
  </si>
  <si>
    <t>Event at Turkey on Nov 10, 2004</t>
  </si>
  <si>
    <t>Xinhuanet</t>
  </si>
  <si>
    <t>http://news.xinhuanet.com/english/2004-11/13/content_2212184.htm</t>
  </si>
  <si>
    <t>2004-11-08T00:00:00Z</t>
  </si>
  <si>
    <t>died while in detention in Great britain (Nov 8, 2004)</t>
  </si>
  <si>
    <t>Event at Great Britain on Nov 08, 2004</t>
  </si>
  <si>
    <t>GuardianUn./IRR/Scotman News</t>
  </si>
  <si>
    <t>2004-11-03T00:00:00Z</t>
  </si>
  <si>
    <t>shot to death by police in Ceuta (E/MA), body hidden for some days near MA border (Nov 3, 2004)</t>
  </si>
  <si>
    <t>Event at Ceuta on Nov 03, 2004</t>
  </si>
  <si>
    <t>suicide, hanged himself in the prison of Fuhlsb√ºttel (D) in fear of deportation (Nov 3, 2004)</t>
  </si>
  <si>
    <t>Fuhlsb√ºttel, germany</t>
  </si>
  <si>
    <t>Event at Fuhlsb√ºTtel, Germany on Nov 03, 2004</t>
  </si>
  <si>
    <t>ProAsyl</t>
  </si>
  <si>
    <t>2004-11-01T00:00:00Z</t>
  </si>
  <si>
    <t>reportedly drowned when two boats capsized in a storm on the way to Italy (Nov 1, 2004)</t>
  </si>
  <si>
    <t>Event at Africa To Italy on Nov 01, 2004</t>
  </si>
  <si>
    <t>NOB/Vivre</t>
  </si>
  <si>
    <t>drowned when their two boats capsized in a storm on the way to Italy (Nov 1, 2004)</t>
  </si>
  <si>
    <t>Boy dies suffocated, he was hiding in a Dutch container loaded on a ferry greek direct to Ancona (Nov 2, 2004)</t>
  </si>
  <si>
    <t>Event at Ancona on Nov 01, 2004</t>
  </si>
  <si>
    <t>http://www.ekathimerini.com/4dcgi/_w_articles_politics_100022_01/11/2004_48985</t>
  </si>
  <si>
    <t>2004-10-27T00:00:00Z</t>
  </si>
  <si>
    <t>2004 -- 10</t>
  </si>
  <si>
    <t>drowned, found dead near Licata (I) (Oct 27, 2004)</t>
  </si>
  <si>
    <t>licata</t>
  </si>
  <si>
    <t>Event at Licata on Oct 27, 2004</t>
  </si>
  <si>
    <t>LR/Unipa</t>
  </si>
  <si>
    <t>2004-10-22T00:00:00Z</t>
  </si>
  <si>
    <t>born dead, thrown overboard before Maltese rescue team arrived (Oct 22, 2004)</t>
  </si>
  <si>
    <t>Event at Africa To Italy on Oct 22, 2004</t>
  </si>
  <si>
    <t>2004-10-16T00:00:00Z</t>
  </si>
  <si>
    <t>Found south of Tarfaya the bodies of 26 young men drowned in a shipwreck (Oct 17, 2004)</t>
  </si>
  <si>
    <t>Event at Tarfaya on Oct 16, 2004</t>
  </si>
  <si>
    <t>http://www.abc.es/hemeroteca/historico-17-10-2004/Nacional/una-veintena-de-cadaveres-desvela-el-naufragio-de-una-patera-frente-a-canarias_9624225731268.html</t>
  </si>
  <si>
    <t>2004-10-14T00:00:00Z</t>
  </si>
  <si>
    <t>dead bodies found near Tarfaya (Ma) (Oct 14, 2004)</t>
  </si>
  <si>
    <t>Event at Tarfaya on Oct 14, 2004</t>
  </si>
  <si>
    <t>APDHA/MUGAK/AFVIC/DPA</t>
  </si>
  <si>
    <t>Shipwreck off Lampedusa: 1 dead, 1 missing (Oct 15, 2004)</t>
  </si>
  <si>
    <t>Event at Lampedusa on Oct 14, 2004</t>
  </si>
  <si>
    <t>Corsera</t>
  </si>
  <si>
    <t>http://www.meltingpot.org/articolo3909.html</t>
  </si>
  <si>
    <t>suicide, found hanged in his cell at Leicester prison (GB). (Oct 14, 2004)</t>
  </si>
  <si>
    <t>leicester</t>
  </si>
  <si>
    <t>Event at Leicester on Oct 14, 2004</t>
  </si>
  <si>
    <t>2004-10-13T00:00:00Z</t>
  </si>
  <si>
    <t>reportedly drowned after boat capsized 70 miles from Malta (Oct 13, 2004)</t>
  </si>
  <si>
    <t>Event at Malta on Oct 13, 2004</t>
  </si>
  <si>
    <t>MP/Statewatch</t>
  </si>
  <si>
    <t>drowned after boat capsized 70 miles from Malta (Oct 13, 2004)</t>
  </si>
  <si>
    <t>MP/Statewatch/MNS/di-ve news/Unipa</t>
  </si>
  <si>
    <t>suicide, found hanged at his home in Sheffield (GB) after asylum claim was refused (Oct 13, 2004)</t>
  </si>
  <si>
    <t>Sheffield, uk</t>
  </si>
  <si>
    <t>Event at Sheffield, Uk on Oct 13, 2004</t>
  </si>
  <si>
    <t>NCADC</t>
  </si>
  <si>
    <t>2004-10-11T00:00:00Z</t>
  </si>
  <si>
    <t>drowned after boat carrying 17 people sank off Samos (GR) (Oct 11, 2004)</t>
  </si>
  <si>
    <t>Event at Samos on Oct 11, 2004</t>
  </si>
  <si>
    <t>died in S.G.Hospital (London, GB) while in detention, reportedly of cancer (Oct 11, 2004)</t>
  </si>
  <si>
    <t>Event at London on Oct 11, 2004</t>
  </si>
  <si>
    <t>2004-10-10T00:00:00Z</t>
  </si>
  <si>
    <t>reportedly drowned, after boat  from Africa capsized in Aegean Sea (Oct 10, 2004)</t>
  </si>
  <si>
    <t>Event at Aegean on Oct 10, 2004</t>
  </si>
  <si>
    <t>drowned, after boat  from Africa capsized in Aegean Sea (Oct 10, 2004)</t>
  </si>
  <si>
    <t>2004-10-08T00:00:00Z</t>
  </si>
  <si>
    <t>reportedly drowned, found at border of Playa de la Hopica (E) and Beni-Enzar (MA) (Oct 8, 2004)</t>
  </si>
  <si>
    <t>enzar</t>
  </si>
  <si>
    <t>Event at Enzar on Oct 08, 2004</t>
  </si>
  <si>
    <t>2004-10-07T00:00:00Z</t>
  </si>
  <si>
    <t>The Libyan authorities claim to have returned to Niger in September, about 5,000 illegal immigrants in trucks. According to the gendarmerie of Agadez (Niger), in a crash in the Sahara 12 people died and 50 were seriously injured (Oct 8, 2004)</t>
  </si>
  <si>
    <t>Event at Agadez on Oct 07, 2004</t>
  </si>
  <si>
    <t>2004-10-06T00:00:00Z</t>
  </si>
  <si>
    <t>Shipwreck off Bizerbe, 2 missing (Oct 7, 2004)</t>
  </si>
  <si>
    <t>Bizerte, tunisia</t>
  </si>
  <si>
    <t>Event at Bizerte, Tunisia on Oct 06, 2004</t>
  </si>
  <si>
    <t>http://www.tunezine.com/breve.php3?id_breve=574</t>
  </si>
  <si>
    <t>2004-10-05T00:00:00Z</t>
  </si>
  <si>
    <t>killed in Mogadishu (Somalia) after deportation from NL (Oct 5, 2004)</t>
  </si>
  <si>
    <t>mogadishu</t>
  </si>
  <si>
    <t>Event at Mogadishu on Oct 05, 2004</t>
  </si>
  <si>
    <t>MNS/Vivre/VK</t>
  </si>
  <si>
    <t>Minefield in Evros, greek-turkish border. An explosion ago 1 dead. He tried to enter illegally in Greece (Oct 6, 2004)</t>
  </si>
  <si>
    <t>Event at Evros on Oct 05, 2004</t>
  </si>
  <si>
    <t>http://derstandard.at/?url=/?id=1814062</t>
  </si>
  <si>
    <t>2004-10-04T00:00:00Z</t>
  </si>
  <si>
    <t>suicide, overdose of pills, mentally ill refugees, help not provided by social workers (Oct 4, 2004)</t>
  </si>
  <si>
    <t>Event at Germany on Oct 04, 2004</t>
  </si>
  <si>
    <t>FR-Th</t>
  </si>
  <si>
    <t>2004-10-03T00:00:00Z</t>
  </si>
  <si>
    <t>drowned on the way from Libya to Italy (Oct 3, 2004)</t>
  </si>
  <si>
    <t>Event at Libya on Oct 03, 2004</t>
  </si>
  <si>
    <t>FR-NRW/ANA/ANSA/Unipa</t>
  </si>
  <si>
    <t>2004-10-02T00:00:00Z</t>
  </si>
  <si>
    <t>Shipwreck off the coast of Chott Meriem: 62 bodies recovered, 2 missing (Oct 3, 2004)</t>
  </si>
  <si>
    <t>Chott Meriem, tunisia</t>
  </si>
  <si>
    <t>Event at Chott Meriem, Tunisia on Oct 02, 2004</t>
  </si>
  <si>
    <t>http://www.tunezine.com/breve.php3?id_breve=738</t>
  </si>
  <si>
    <t>2004-01-29T00:00:00Z</t>
  </si>
  <si>
    <t>2004 -- 1</t>
  </si>
  <si>
    <t>reportedly drowned, after boat sank in stormy sea near Rafina (GR) (Jan 29, 2004)</t>
  </si>
  <si>
    <t>rafina</t>
  </si>
  <si>
    <t>Event at Rafina on Jan 29, 2004</t>
  </si>
  <si>
    <t>drowned, discovered near Rafina (GR) after their boat sank in stormy sea  (Jan 29, 2004)</t>
  </si>
  <si>
    <t>drowned when trying to swim across river Evros between Turkey and Greece (Jan 29, 2004)</t>
  </si>
  <si>
    <t>Event at Evros on Jan 29, 2004</t>
  </si>
  <si>
    <t>frozen to death during blizzard, trying to cross Turkish-Greek border near Feres (Jan 29, 2004). From Del Grande's data set (translated): 5 dead bodies found in Thrace, near the turkish border, died of cold in a snow storm while trying to illegally cross the border on foot (Jan 30, 2004)</t>
  </si>
  <si>
    <t>Thrace</t>
  </si>
  <si>
    <t>Event at Thrace on Jan 29, 2004</t>
  </si>
  <si>
    <t>NON</t>
  </si>
  <si>
    <t>http://www.ekathimerini.com/4dcgi/_w_articles_politics_100018_31/01/2004_39067</t>
  </si>
  <si>
    <t>2004-01-28T00:00:00Z</t>
  </si>
  <si>
    <t>drowned, bodies found off Karystos (GR), boat sank in stormy waters (Jan 28, 2004)</t>
  </si>
  <si>
    <t>karystos</t>
  </si>
  <si>
    <t>Event at Karystos on Jan 28, 2004</t>
  </si>
  <si>
    <t>reportedly drowned, after boat sank off Karystos (GR) (Jan 28, 2004). From Del Grande's data set (translated): During a storm sinks boat of migrants off the coast of Evia. Recovered 4 dead, 14 missing (Jan 29, 2004)</t>
  </si>
  <si>
    <t>Event at Evia on Jan 28, 2004</t>
  </si>
  <si>
    <t>2004-01-24T00:00:00Z</t>
  </si>
  <si>
    <t>drowned, boat sank on way from Libya to Italy, found by coast guards (Jan 24, 2004)</t>
  </si>
  <si>
    <t>Event at Libya on Jan 24, 2004</t>
  </si>
  <si>
    <t>NON/FORBES</t>
  </si>
  <si>
    <t>2004-01-23T00:00:00Z</t>
  </si>
  <si>
    <t>reportedly drowned, boat sank on way from Libya to Italy (Jan 23, 2004)</t>
  </si>
  <si>
    <t>Event at Libya on Jan 23, 2004</t>
  </si>
  <si>
    <t>Unipa</t>
  </si>
  <si>
    <t>2004-01-20T00:00:00Z</t>
  </si>
  <si>
    <t>dead body found in Fuerteventura's waters (E), reportedly from an old shipwreck  (Jan 20, 2004). From Del Grande's data set (translated): Found on the beaches of the island of Fuerteventura, Canary Islands, the corpse in an advanced state of decomposition of a drowned man (Jan 19, 2004)</t>
  </si>
  <si>
    <t>Event at Fuerteventura on Jan 20, 2004</t>
  </si>
  <si>
    <t>http://www.elpais.com/articulo/espana/Hallado/cuerpo/inmigrante/Fuerteventura/elpepiesp/20040119elpepinac_15/Tes</t>
  </si>
  <si>
    <t>reportedly drowned, found dead near Lampedusa (I) (Jan 20, 2004)</t>
  </si>
  <si>
    <t>Event at Lampedusa on Jan 20, 2004</t>
  </si>
  <si>
    <t>2004-01-17T00:00:00Z</t>
  </si>
  <si>
    <t>drowned, after boat capsized off the coast of Fuerteventura (E)  (Jan 17, 2004)</t>
  </si>
  <si>
    <t>Event at Fuerteventura on Jan 17, 2004</t>
  </si>
  <si>
    <t>2004-01-15T00:00:00Z</t>
  </si>
  <si>
    <t>reportedly drowned, boat capsized off Fuerteventura (E) on way from Africa (Jan 15, 2004)</t>
  </si>
  <si>
    <t>Event at Fuerteventura on Jan 15, 2004</t>
  </si>
  <si>
    <t>YaN/MNS/MC/NOB</t>
  </si>
  <si>
    <t>drowned, boat capsized on reef off Fuerteventura (E) on way from Africa (Jan 15, 2004). From Del Grande's data set (translated): Shipwreck off the coast of Fuerteventura, 16 deaths and 3 missing (Jan 17, 2004)</t>
  </si>
  <si>
    <t>Tiroler Tageszeitung/Salzburger Nachrichten/Yahoo/MC/NOB/MNS</t>
  </si>
  <si>
    <t>http://www.elpais.com/articulo/portada/Mueren/ahogados/inmigrantes/volcar/patera/elpepipri/20040117elpepipor_6/Tes/</t>
  </si>
  <si>
    <t>2004-01-11T00:00:00Z</t>
  </si>
  <si>
    <t>Near Durres wrecked a boat party from Vlora. 21 dead, 11 survivors, many missing. A second boat bound for Italy has lost all trace (Jan 12, 2004)</t>
  </si>
  <si>
    <t>Event at Vlora on Jan 11, 2004</t>
  </si>
  <si>
    <t>http://www.meltingpot.org/articolo1766.html</t>
  </si>
  <si>
    <t>2004-01-10T00:00:00Z</t>
  </si>
  <si>
    <t>died after being beaten up at French airport for not having visa from Hungary (Jan 10, 2004)</t>
  </si>
  <si>
    <t>Event at Hungary on Jan 10, 2004</t>
  </si>
  <si>
    <t>MLKO</t>
  </si>
  <si>
    <t>2004-01-09T00:00:00Z</t>
  </si>
  <si>
    <t>road accident, crushed in a truck that overturned in Dirkou, Niger, heading for LY border (Jan 9, 2004)</t>
  </si>
  <si>
    <t>Event at Niger on Jan 09, 2004</t>
  </si>
  <si>
    <t>missing, reportedly drowned near Lampedusa (I) (Jan 9, 2004)</t>
  </si>
  <si>
    <t>Event at Lampedusa on Jan 09, 2004</t>
  </si>
  <si>
    <t>2004-01-08T00:00:00Z</t>
  </si>
  <si>
    <t>reportedly drowned, after shipwreck between Capo Bon (TN) and Pantelleria (I) (Jan 8, 2004)</t>
  </si>
  <si>
    <t>Event at Pantelleria on Jan 08, 2004</t>
  </si>
  <si>
    <t>suicide, found hanged in his cell in Bellinzone (CH) (Jan 8, 2004)</t>
  </si>
  <si>
    <t>Bellinzone, switzerland</t>
  </si>
  <si>
    <t>Event at Bellinzone, Switzerland on Jan 08, 2004</t>
  </si>
  <si>
    <t>Vivre/MNS</t>
  </si>
  <si>
    <t>2004-01-07T00:00:00Z</t>
  </si>
  <si>
    <t>drowned after dinghy capsized on way from Libya to Italy  (Jan 7, 2004)</t>
  </si>
  <si>
    <t>Event at Libya on Jan 07, 2004</t>
  </si>
  <si>
    <t>Servir</t>
  </si>
  <si>
    <t>drowned, after shipwreck off the coast of Libya (Jan 7, 2004)</t>
  </si>
  <si>
    <t>MP/ANSA</t>
  </si>
  <si>
    <t>stowaway, dead body found in a car in Cadiz (E) (Jan 7, 2004)</t>
  </si>
  <si>
    <t>Event at Cadiz on Jan 07, 2004</t>
  </si>
  <si>
    <t>reportedly drowned near Zelid (LY) (Jan 7, 2004)</t>
  </si>
  <si>
    <t>zelid</t>
  </si>
  <si>
    <t>Event at Zelid on Jan 07, 2004</t>
  </si>
  <si>
    <t>drowned, found dead near Zelid (LY) (Jan 7, 2004)</t>
  </si>
  <si>
    <t>died after police s use of teargas, circumstances not clear  (Jan 7, 2004)</t>
  </si>
  <si>
    <t>Austria</t>
  </si>
  <si>
    <t>Event at Austria on Jan 07, 2004</t>
  </si>
  <si>
    <t>Akin</t>
  </si>
  <si>
    <t>suicide, jumped off a bridge at Coventry shopping cr.(GB), suffered from depression (Jan 7, 2004)</t>
  </si>
  <si>
    <t>Coventry, UK</t>
  </si>
  <si>
    <t>Event at Coventry, Uk on Jan 07, 2004</t>
  </si>
  <si>
    <t>IRR/NCADC</t>
  </si>
  <si>
    <t>2004-01-06T00:00:00Z</t>
  </si>
  <si>
    <t>stowaway, presumly died in cargo ship "Victoria", his body removed near Casablanca (Jan 6, 2004)</t>
  </si>
  <si>
    <t>Event at Casablanca on Jan 06, 2004</t>
  </si>
  <si>
    <t>suicide, found hanged in prison in Ivrea (I) (Jan 6, 2004)</t>
  </si>
  <si>
    <t>Ivrea, Italy</t>
  </si>
  <si>
    <t>Event at Ivrea, Italy on Jan 06, 2004</t>
  </si>
  <si>
    <t>shot by the police in Purmerend (NL) in front of his flat (Jan 6, 2004)</t>
  </si>
  <si>
    <t>Purmerend, Netherlands</t>
  </si>
  <si>
    <t>Event at Purmerend, Netherlands on Jan 06, 2004</t>
  </si>
  <si>
    <t>suicide under psychiatric care at Akademiska S. in Uppsala after reject. of as.appl. (Jan 6, 2004)</t>
  </si>
  <si>
    <t>Uppsala</t>
  </si>
  <si>
    <t>Event at Uppsala on Jan 06, 2004</t>
  </si>
  <si>
    <t>2004-01-05T00:00:00Z</t>
  </si>
  <si>
    <t>killed by other clan after deportation from DK to Mogadishu (Somalia)  (Jan 5, 2004)</t>
  </si>
  <si>
    <t>Event at Mogadishu on Jan 05, 2004</t>
  </si>
  <si>
    <t>2004-01-04T00:00:00Z</t>
  </si>
  <si>
    <t>died in Haslar Centre-Gosport (GB) of the  injures sustained after arrest (Jan 4, 2004)</t>
  </si>
  <si>
    <t>haslar</t>
  </si>
  <si>
    <t>Event at Haslar on Jan 04, 2004</t>
  </si>
  <si>
    <t>PORTS/ERB/IRR/NCADC</t>
  </si>
  <si>
    <t>suicide, found hanged in Barlinnie - Scotland (GB) in fear of deportation (Jan 4, 2004)</t>
  </si>
  <si>
    <t>Event at Scotland on Jan 04, 2004</t>
  </si>
  <si>
    <t>2004-01-03T00:00:00Z</t>
  </si>
  <si>
    <t>died being fourteen days at sea without food and water in Gibraltar Strait (Jan 3, 2004)</t>
  </si>
  <si>
    <t>Event at Gibraltar on Jan 03, 2004</t>
  </si>
  <si>
    <t>2004-01-02T00:00:00Z</t>
  </si>
  <si>
    <t>Port of Pasaia. Found the bodies of two young people who died in a compartment of the hold where they had hidden on a cargo ship departed from Cameroon (Jan 3, 2004)</t>
  </si>
  <si>
    <t>Event at Pasaia on Jan 02, 2004</t>
  </si>
  <si>
    <t>http://www.elpais.com/articulo/espana/Hallado/cadaver/segundo/inmigrante/buque/Apollo/Lion/elpepiesp/20040103elpepinac_14/Tes</t>
  </si>
  <si>
    <t>2004-01-01T00:00:00Z</t>
  </si>
  <si>
    <t>suicide, found hanged in prison in Lachen (CH)  (Jan 1, 2004)</t>
  </si>
  <si>
    <t>Lachen, Switzerland</t>
  </si>
  <si>
    <t>Event at Lachen, Switzerland on Jan 01, 2004</t>
  </si>
  <si>
    <t>2003-09-30T00:00:00Z</t>
  </si>
  <si>
    <t>3Q2003</t>
  </si>
  <si>
    <t>2003 -- 9</t>
  </si>
  <si>
    <t>Suffocated two men hidden in a cargo ship Ivorian live in La Coruna (Oct 1, 2003)</t>
  </si>
  <si>
    <t>coruna</t>
  </si>
  <si>
    <t>Event at Coruna on Sep 30, 2003</t>
  </si>
  <si>
    <t>Hidden in containers of a cargo ship departed from Guinea, plunge into the sea arrived in the port of Le Havre, 3 drowned (Oct 1, 2003)</t>
  </si>
  <si>
    <t>havre</t>
  </si>
  <si>
    <t>Event at Havre on Sep 30, 2003</t>
  </si>
  <si>
    <t>http://www.liberation.fr/page.php?Article=148792</t>
  </si>
  <si>
    <t>2003-09-28T00:00:00Z</t>
  </si>
  <si>
    <t>died in minefield trying to cross the Turkish-Greek border (Sep 28, 2003). From Del Grande's data set (translated): Minefield in Evros, greek-turkish border. An explosion ago 7 deaths. They tried to enter illegally in Greece (Sep 30, 2003)</t>
  </si>
  <si>
    <t>Event at Evros on Sep 28, 2003</t>
  </si>
  <si>
    <t>MNS/Fl√ºchtlingsrat-Brandenburg/BBC</t>
  </si>
  <si>
    <t>http://news.bbc.co.uk/2/hi/europe/3149744.stm</t>
  </si>
  <si>
    <t>2003-09-22T00:00:00Z</t>
  </si>
  <si>
    <t>shot to death by border guard while trying to cross Albanian-Greek border (Sep 22, 2003). From Del Grande's data set (translated): Eighteen year old fatally shot by Greek police while trying to cross the border of Albania (Sep 23, 2003)</t>
  </si>
  <si>
    <t>Event at Albania on Sep 22, 2003</t>
  </si>
  <si>
    <t>AI</t>
  </si>
  <si>
    <t>http://web.amnesty.org/library/Index/FRAEUR250122004?open&amp;of=FRA-GRC</t>
  </si>
  <si>
    <t>2003-09-17T00:00:00Z</t>
  </si>
  <si>
    <t>drowned, while trying to swim from Morocco to Ceuta (E/MA) (Sep 17, 2003). From Del Grande's data set (translated): Found the body of a girl drowned on a beach in Ceuta (Sep 18, 2003)</t>
  </si>
  <si>
    <t>Event at Ceuta on Sep 17, 2003</t>
  </si>
  <si>
    <t>http://sociedad.hispavista.com/sociedad/20030918112632/La-Guardia-Civil-localiza-en-Ceuta-el-cadaver-de-una-inmigrante-subsahariana/</t>
  </si>
  <si>
    <t>Rescued a ship off the island of Lesbos, at least one woman dies (Sep 18, 2003)</t>
  </si>
  <si>
    <t>Event at Lesbos on Sep 17, 2003</t>
  </si>
  <si>
    <t>http://www.turkishdailynews.com.tr/archives.php?id=33723</t>
  </si>
  <si>
    <t>Kurd, asylum seeker died in minibus collision while illegaly in Great Britain (Sep 17, 2003)</t>
  </si>
  <si>
    <t>Event at Great Britain on Sep 17, 2003</t>
  </si>
  <si>
    <t>2003-09-09T00:00:00Z</t>
  </si>
  <si>
    <t>stowaway, frozen to death in undercarriage of Brazzaville (Congo) - Paris (F) flight (Sep 9, 2003)</t>
  </si>
  <si>
    <t>Event at Paris on Sep 09, 2003</t>
  </si>
  <si>
    <t>AFP/MNS/Vivre</t>
  </si>
  <si>
    <t>2003-09-08T00:00:00Z</t>
  </si>
  <si>
    <t>drowned in river Evros on Turkish-Greek border after boat capsized (Sep 8, 2003). From Del Grande's data set (translated): 26 bodies recovered in the Evros River, along the border between Turkey and Greece, among the victims 2 women (Sep 10, 2003)</t>
  </si>
  <si>
    <t>Event at Evros on Sep 08, 2003</t>
  </si>
  <si>
    <t>BBC/Statewatch/AP</t>
  </si>
  <si>
    <t>http://news.bbc.co.uk/2/hi/europe/3098268.stm</t>
  </si>
  <si>
    <t>2003-09-07T00:00:00Z</t>
  </si>
  <si>
    <t>Landing in Fuerteventura, Canary Islands. A man falls overboard from a boat and drowned (Sep 8, 2003)</t>
  </si>
  <si>
    <t>Event at Fuerteventura on Sep 07, 2003</t>
  </si>
  <si>
    <t>http://www.elpais.com/articulo/espana/inmigrante/muerto/111/detenidos/Fuerteventura/fin/semana/elpepiesp/20030908elpepinac_8/Tes</t>
  </si>
  <si>
    <t>died in violent confrontation with Moldovians in refugee centre Traiskirchen (A) (Sep 7, 2003)</t>
  </si>
  <si>
    <t>Traiskirchen, Austria</t>
  </si>
  <si>
    <t>Event at Traiskirchen, Austria on Sep 07, 2003</t>
  </si>
  <si>
    <t>MNS/Asyl in Not</t>
  </si>
  <si>
    <t>2003-09-06T00:00:00Z</t>
  </si>
  <si>
    <t>died of septicaemia at Dover Hospital (GB), after her pleas for a doctor were ignored  (Sep 6, 2003)</t>
  </si>
  <si>
    <t>dover</t>
  </si>
  <si>
    <t>Event at Dover on Sep 06, 2003</t>
  </si>
  <si>
    <t>GuardianUn/Inquest/BBC/IRR</t>
  </si>
  <si>
    <t>2003-08-31T00:00:00Z</t>
  </si>
  <si>
    <t>2003 -- 8</t>
  </si>
  <si>
    <t>died of hypopthermia on a Greek boat headed to Italy (Aug 31, 2003)</t>
  </si>
  <si>
    <t>Greece to Italy</t>
  </si>
  <si>
    <t>Event at Greece To Italy on Aug 31, 2003</t>
  </si>
  <si>
    <t>IRR/Vita</t>
  </si>
  <si>
    <t>reportedly drowned near S.M. di Leuca (I) in attempt to reach Italy on a Greek boat  (Aug 31, 2003)</t>
  </si>
  <si>
    <t>Event at Leuca on Aug 31, 2003</t>
  </si>
  <si>
    <t>Vita</t>
  </si>
  <si>
    <t>2003-08-30T00:00:00Z</t>
  </si>
  <si>
    <t>Rif Raf and direct game to Lampedusa, an overloaded boat sank off. 2 dead, 2 missing (Aug 31, 2003)</t>
  </si>
  <si>
    <t>Event at Lampedusa on Aug 30, 2003</t>
  </si>
  <si>
    <t>Di-ve.com (Malta)</t>
  </si>
  <si>
    <t>http://www.di-ve.com/dive/portal/portal.jhtml?id=103449&amp;pid=23</t>
  </si>
  <si>
    <t>2003-08-29T00:00:00Z</t>
  </si>
  <si>
    <t>reportedly drowned, found dead near Lanzarote (E) (Aug 29, 2003)</t>
  </si>
  <si>
    <t>Event at Lanzarote on Aug 29, 2003</t>
  </si>
  <si>
    <t>suicide, 11 days after being deported from NL to Spain, was mentally ill (schizophrenia) (Aug 29, 2003)</t>
  </si>
  <si>
    <t>Spain</t>
  </si>
  <si>
    <t>Event at Spain on Aug 29, 2003</t>
  </si>
  <si>
    <t>VK/NRC/Oz/Zelf</t>
  </si>
  <si>
    <t>2003-08-25T00:00:00Z</t>
  </si>
  <si>
    <t>stowaway, coming from Greece found dead in back of truck near Rimini (I) (Aug 25, 2003). From Del Grande's data set (translated): Tucked away in a car aboard a ferry to Brindisi greek, a man dies poisoned by exhaust fumes that had filled the hold (Aug 28, 2003)</t>
  </si>
  <si>
    <t>Event at Brindisi on Aug 25, 2003</t>
  </si>
  <si>
    <t>2003-08-22T00:00:00Z</t>
  </si>
  <si>
    <t>died after fight with another asylum seeker in asylum centre Harlingen (NL) (Aug 22, 2003)</t>
  </si>
  <si>
    <t>Event at Harlingen on Aug 22, 2003</t>
  </si>
  <si>
    <t>Trouw/VK/PLi</t>
  </si>
  <si>
    <t>2003-08-17T00:00:00Z</t>
  </si>
  <si>
    <t>died of a heart attack after his arrival at refugee centre in Lampedusa (I)  (Aug 17, 2003). From Del Grande's data set (translated): Landed the day before in Lampedusa, a man dies of a heart attack in the reception center of the island (Aug 18, 2003)</t>
  </si>
  <si>
    <t>Event at Lampedusa on Aug 17, 2003</t>
  </si>
  <si>
    <t>LR/IPL/Unipa</t>
  </si>
  <si>
    <t>In Dorset, is found dead in a truck, crushed by a container, where it was hidden to arrive in England (Aug 18, 2003)</t>
  </si>
  <si>
    <t>Event at England on Aug 17, 2003</t>
  </si>
  <si>
    <t>BBC News</t>
  </si>
  <si>
    <t>http://news.bbc.co.uk/2/hi/uk_news/england/hampshire/dorset/3158053.stm</t>
  </si>
  <si>
    <t>2003-08-16T00:00:00Z</t>
  </si>
  <si>
    <t>drowned, body found near Tarifa (E) between rocks, 2.5 meters under sea level (Aug 16, 2003)</t>
  </si>
  <si>
    <t>Event at Tarifa on Aug 16, 2003</t>
  </si>
  <si>
    <t>kurd, stowaway, crushed to death in lorry going from France to Poole (GB) (Aug 16, 2003)</t>
  </si>
  <si>
    <t>Event at France on Aug 16, 2003</t>
  </si>
  <si>
    <t>BBC/CARF/Kurdmedia/IRR</t>
  </si>
  <si>
    <t>2003-08-13T00:00:00Z</t>
  </si>
  <si>
    <t>drowned, trafficker made hole in boat on way from Ayvalik (TR) to Lesbos (GR) (Aug 13, 2003). From Del Grande's data set (translated): Vessel sinks overloaded Direct in Greece, having capsized off the coast of Lesbos. 5 dead and 10 missing (Aug 14, 2003)</t>
  </si>
  <si>
    <t>Event at Lesbos on Aug 13, 2003</t>
  </si>
  <si>
    <t>Twee Vandaag</t>
  </si>
  <si>
    <t>2003-08-12T00:00:00Z</t>
  </si>
  <si>
    <t>drowned, body found on a beach near Edremit (TR) (Aug 12, 2003)</t>
  </si>
  <si>
    <t>edremit</t>
  </si>
  <si>
    <t>Event at Edremit on Aug 12, 2003</t>
  </si>
  <si>
    <t>MNS/AFP</t>
  </si>
  <si>
    <t>2003-08-02T00:00:00Z</t>
  </si>
  <si>
    <t>Death of dehydration in the desert 1600 km south of Algiers, in Tamanrasset to Assuf Mellane, 23 people, including 11 women, were directed towards the Mediterranean into Europe, (Aug 3, 2003)</t>
  </si>
  <si>
    <t>Event at Algiers on Aug 02, 2003</t>
  </si>
  <si>
    <t>2003-07-31T00:00:00Z</t>
  </si>
  <si>
    <t>2003 -- 7</t>
  </si>
  <si>
    <t>Shipwreck off the coast of Fuerteventura, in the Canary Islands. Recovered 10 dead bodies along the coasts of the island (Aug 1, 2003)</t>
  </si>
  <si>
    <t>Event at Fuerteventura on Jul 31, 2003</t>
  </si>
  <si>
    <t>http://www.elpais.com/articulo/espana/Recuperados/cuerpos/inmigrantes/nuevo/naufragio/Fuerteventura/elpepuesp/20030801elpepunac_6/Tes</t>
  </si>
  <si>
    <t>died after being run down while attempting to hide under a coach in Ceuta (E/MA) (Jul 31, 2003)</t>
  </si>
  <si>
    <t>Event at Ceuta on Jul 31, 2003</t>
  </si>
  <si>
    <t>IRR/MUGAK</t>
  </si>
  <si>
    <t>died of exhaustion after journey through mountains between Slovakia-Ukraine (Jul 31, 2003)</t>
  </si>
  <si>
    <t>Event at Slovakia on Jul 31, 2003</t>
  </si>
  <si>
    <t>NOB/Mumbaicentral</t>
  </si>
  <si>
    <t>http://news.bbc.co.uk/2/hi/south_asia/2639495.stm</t>
  </si>
  <si>
    <t>2003-07-30T00:00:00Z</t>
  </si>
  <si>
    <t>drowned after boat capsized near Canary Island of Fuerteventura (E) (Jul 30, 2003). From Del Grande's data set (translated): Boat capsizes off the coast of Fuerteventura, 15 people die. 14 are lost at sea, 1 corpse was spotted five days later by a vessel (Aug 1, 2003)</t>
  </si>
  <si>
    <t>Event at Fuerteventura on Jul 30, 2003</t>
  </si>
  <si>
    <t>AFP/MNS/MUGAK/Statewatch</t>
  </si>
  <si>
    <t>http://www.elpais.com/articulo/espana/Hallado/cadaver/inmigrantes/naufragaron/Canarias/elpepuesp/20030805elpepunac_3/Tes</t>
  </si>
  <si>
    <t>2003-07-27T00:00:00Z</t>
  </si>
  <si>
    <t>drowned off the coast of Fuerteventura in the Canary Islands (E) (Jul 27, 2003). From Del Grande's data set (translated): 1 found dead on the coast of Fuerteventura (Jul 29, 2003)</t>
  </si>
  <si>
    <t>Event at Fuerteventura on Jul 27, 2003</t>
  </si>
  <si>
    <t>AFP/MUGAK</t>
  </si>
  <si>
    <t>http://www.elmundo.es/elmundo/2003/07/28/sociedad/1059377814.html</t>
  </si>
  <si>
    <t>2003-07-26T00:00:00Z</t>
  </si>
  <si>
    <t>died of thirst, body found hanging from train in railway station of Gorizia (I) (Jul 26, 2003). From Del Grande's data set (translated): Found the body of a man who died of starvation at the train station of Gorizia on a freight car was traveling hidden (Jul 27, 2003)</t>
  </si>
  <si>
    <t>gorizia</t>
  </si>
  <si>
    <t>Event at Gorizia on Jul 26, 2003</t>
  </si>
  <si>
    <t>IET/ILP</t>
  </si>
  <si>
    <t>http://ricerca.gelocal.it/messaggeroveneto/archivio/messaggeroveneto/2003/08/02/GO_01_GOA4.html</t>
  </si>
  <si>
    <t>2003-07-24T00:00:00Z</t>
  </si>
  <si>
    <t>drowned off the coast of Fuerteventura in the Canary Islands (E) (Jul 24, 2003). From Del Grande's data set (translated): 1 found dead on the coast of Fuerteventura (Jul 29, 2003)</t>
  </si>
  <si>
    <t>Event at Fuerteventura on Jul 24, 2003</t>
  </si>
  <si>
    <t>2003-07-18T00:00:00Z</t>
  </si>
  <si>
    <t>drowned, found dead off the coast of Libya (Jul 18, 2003)</t>
  </si>
  <si>
    <t>Event at Libya on Jul 18, 2003</t>
  </si>
  <si>
    <t>IPL/Unipa</t>
  </si>
  <si>
    <t>2003-07-17T00:00:00Z</t>
  </si>
  <si>
    <t>drowned, after two shipwrecks occured near Sur de Aiun (MA) (Jul 17, 2003). From Del Grande's data set (translated): Shipwreck in the waters of Layun, 25 dead (Jul 18, 2003)</t>
  </si>
  <si>
    <t>Event at Aiun on Jul 17, 2003</t>
  </si>
  <si>
    <t>http://www.mugak.eu/</t>
  </si>
  <si>
    <t>2003-07-14T00:00:00Z</t>
  </si>
  <si>
    <t>soffocated after police maltreatments and physical abuse in Vienna (A) (Jul 14, 2003)</t>
  </si>
  <si>
    <t>vienna</t>
  </si>
  <si>
    <t>Event at Vienna on Jul 14, 2003</t>
  </si>
  <si>
    <t>IRR/Malmoe/COE</t>
  </si>
  <si>
    <t>Found in the waters of the English Channel, the bodies of two men drowned during the crossing to England (Jul 15, 2003)</t>
  </si>
  <si>
    <t>Event at England on Jul 14, 2003</t>
  </si>
  <si>
    <t>Irr</t>
  </si>
  <si>
    <t>http://docs.google.com/viewer?url=http://www.strangersintocitizens.org.uk/Regularization/Driventodesperatemeasures.pdf</t>
  </si>
  <si>
    <t>2003-07-13T00:00:00Z</t>
  </si>
  <si>
    <t>reportedly drowned, after shipwreck near Barranco Hondo-Tarifa (E) (Jul 13, 2003)</t>
  </si>
  <si>
    <t>Event at Tarifa on Jul 13, 2003</t>
  </si>
  <si>
    <t>drowned after shipwreck near Barranco H.-Tarifa (E), bodies found by Guardia Civil (Jul 13, 2003). From Del Grande's data set (translated): Found on the beaches of Barranco Hondo, in Tarifa, the bodies of three men drowned (Jul 14, 2003)</t>
  </si>
  <si>
    <t>Statewatch/AFP/MNS/GuardianUn/MUGAK</t>
  </si>
  <si>
    <t>http://www.elpais.com/articulo/espana/Hallados/cuerpos/inmigrantes/viajaban/patera/siniestrada/anoche/elpepuesp/20030714elpepunac_4/Tes</t>
  </si>
  <si>
    <t>2003-07-10T00:00:00Z</t>
  </si>
  <si>
    <t>died of starvation in a small boat, set to arrive in Motril (E) (Jul 10, 2003)</t>
  </si>
  <si>
    <t>Event at Motril, Spain on Jul 10, 2003</t>
  </si>
  <si>
    <t>Statewatch/MUGAK/MNS</t>
  </si>
  <si>
    <t>died frozen in a boat carrying about 40 migrants to Motril (E)  (Jul 10, 2003)</t>
  </si>
  <si>
    <t>Indymedia/MUGAK</t>
  </si>
  <si>
    <t>2003-07-08T00:00:00Z</t>
  </si>
  <si>
    <t>drowned, fell overboard after boat intercepted by coastguard near Fuerteventura (E) (Jul 8, 2003)</t>
  </si>
  <si>
    <t>Event at Fuerteventura on Jul 08, 2003</t>
  </si>
  <si>
    <t>2003-07-04T00:00:00Z</t>
  </si>
  <si>
    <t>murdered by partner in Harmondsworth detention centre (GB), awaiting deportation (Jul 4, 2003)</t>
  </si>
  <si>
    <t>Event at Harmondsworth on Jul 04, 2003</t>
  </si>
  <si>
    <t>CARF/Metropolitan Police/IRR/NCADC</t>
  </si>
  <si>
    <t>2003-07-01T00:00:00Z</t>
  </si>
  <si>
    <t>reportedly drowned after being lost at sea near Fuerteventura (E) (Jul 1, 2003)</t>
  </si>
  <si>
    <t>Event at Fuerteventura on Jul 01, 2003</t>
  </si>
  <si>
    <t>2003-06-28T00:00:00Z</t>
  </si>
  <si>
    <t>2Q2003</t>
  </si>
  <si>
    <t>2003 -- 6</t>
  </si>
  <si>
    <t>Off Cap Bon sinking boat heading towards Lampedusa, 3 dead, 35 survivors (Jun 29, 2003)</t>
  </si>
  <si>
    <t>Event at Lampedusa on Jun 28, 2003</t>
  </si>
  <si>
    <t>http://www.repubblica.it/online/cronaca/sbarcoquattro/tunisia/tunisia.html</t>
  </si>
  <si>
    <t>drowned, vessel capsized near Capo Bon (TN) on way to Italy (Jun 28, 2003). From Del Grande's data set (translated): It sinks off Sidi Daoud a ship bound for Italy, 9 dead (Jun 30, 2003)</t>
  </si>
  <si>
    <t>Event at Capo on Jun 28, 2003</t>
  </si>
  <si>
    <t>MNS/NOB/IPL/Vita/TL/Unipa</t>
  </si>
  <si>
    <t>http://www.middle-east-online.com/english/?id=6171</t>
  </si>
  <si>
    <t>2003-06-24T00:00:00Z</t>
  </si>
  <si>
    <t>Found on the beaches of Ceuta the corpse of a man drowned trying to swim to the Spanish enclave (Jun 25, 2003)</t>
  </si>
  <si>
    <t>Event at Ceuta on Jun 24, 2003</t>
  </si>
  <si>
    <t>http://www.elpais.com/articulo/espana/inmigrantes/mueren/ahogados/Tarifa/Ceuta/otros/86/llegan/costa/elpepiesp/20030625elpepinac_27/Tes</t>
  </si>
  <si>
    <t>2003-06-22T00:00:00Z</t>
  </si>
  <si>
    <t>drowned, dead bodies found flooting in front of Tarifa (E) (Jun 22, 2003). From Del Grande's data set (translated): Found on the beaches of Tarifa, Cadiz, the bodies of two drowned girls (Jun 25, 2003)</t>
  </si>
  <si>
    <t>Event at Tarifa on Jun 22, 2003</t>
  </si>
  <si>
    <t>2003-06-19T00:00:00Z</t>
  </si>
  <si>
    <t>reportedly drowned, boat capsized on way from Libya to Italy near port of Sfax (Jun 19, 2003). From Del Grande's data set (translated): Off the Tunisian coast boat sinks with 189 people on board. No survivor, recovered 20 bodies, all others are scattered (Jun 20, 2003)</t>
  </si>
  <si>
    <t>Event at Sfax on Jun 19, 2003</t>
  </si>
  <si>
    <t>Statewatch/MNS/AFP/GuardianUn/ABC/Observer/LR/YaN/SP/VK/Vivre/Vita/IPL/TL/Unipa/ProAsyl</t>
  </si>
  <si>
    <t>http://www.repubblica.it/online/cronaca/sbarcoquattro/deriva/deriva.html</t>
  </si>
  <si>
    <t>drowned, boat capsized on way from Libya to Italy near port of Sfax (Jun 19, 2003)</t>
  </si>
  <si>
    <t>Statewatch/MNS/AFP/GuardianU/ABC/Observer/LR/YaN/SP/VK/Vivre/Vita/IPL/TL/Unipa</t>
  </si>
  <si>
    <t>2003-06-18T00:00:00Z</t>
  </si>
  <si>
    <t>According to the Ghanaian embassy in Tripoli, at least 200 young Ghanaians would have died of dehydration crossing the Sahara desert in Niger to enter Libya between January and June 2003 (Jun 19, 2003)</t>
  </si>
  <si>
    <t>Event at Tripoli on Jun 18, 2003</t>
  </si>
  <si>
    <t>Modern Ghana</t>
  </si>
  <si>
    <t>http://www.modernghana.com/GhanaHome/NewsArchive/news_details.asp?id=VFhwWmVFOVVZejA9&amp;type=&amp;section=&amp;gender=General_News&amp;amp;amp;amp;amp;amp;amp;amp;amp;amp;amp;amp;amp;amp;amp;amp;amp;amp;amp;amp;amp;amp;amp;amp;amp;amp;amp;amp;amp;amp;amp;amp;amp;amp;amp;amp;amp;amp;amp;amp;menu_id=1&amp;menu_id2=0&amp;sub_menu_id=0</t>
  </si>
  <si>
    <t>2003-06-17T00:00:00Z</t>
  </si>
  <si>
    <t>stowaway, drowned, jumped overboard a containership in English Channel (Jun 17, 2003). From Del Grande's data set (translated): Tucked away on a freighter, young plunges into the sea in the waters of Eastbourne, but drowned (Jun 18, 2003)</t>
  </si>
  <si>
    <t>Eastbourne, UK</t>
  </si>
  <si>
    <t>Event at Eastbourne, Uk on Jun 17, 2003</t>
  </si>
  <si>
    <t>BBC/MNS/YaN/IRR</t>
  </si>
  <si>
    <t>http://news.bbc.co.uk/2/hi/uk_news/england/2999454.stm</t>
  </si>
  <si>
    <t>2003-06-15T00:00:00Z</t>
  </si>
  <si>
    <t>reportedly drowned, ship sank on way from Tunisia to Lampedusa (I) (Jun 15, 2003). From Del Grande's data set (translated): Small vessel sinks off Lampedusa, 7 dead, 60 missing (Jun 17, 2003)</t>
  </si>
  <si>
    <t>Event at Lampedusa on Jun 15, 2003</t>
  </si>
  <si>
    <t>Statewatch/MNS/AFP/TG/PLi/IND/Nouvel Obs./TN/AGI/SP/ VK/LR/IPL/CNNit/ CDS/ILN/Unipa/ProAsyl</t>
  </si>
  <si>
    <t>http://www.repubblica.it/online/cronaca/sbarcoquattro/naufraghi/naufraghi.html</t>
  </si>
  <si>
    <t>drowned, ship sank on way from Tunisia to Lampedusa (I) (Jun 15, 2003)</t>
  </si>
  <si>
    <t>Statewatch/MNS/AFP/TG/PLi/IND/LR/IPL/CNNit/ILN/CDS</t>
  </si>
  <si>
    <t>drowned, after boat sank on way from Tunisia to Lampedusa (I) (Jun 15, 2003)</t>
  </si>
  <si>
    <t>LR/IPL/CNNit/ILN/CDS/TL</t>
  </si>
  <si>
    <t>2003-06-13T00:00:00Z</t>
  </si>
  <si>
    <t>reportedly drowned when dinghy capsized near Tarifa on way to Spain (Jun 13, 2003)</t>
  </si>
  <si>
    <t>Event at Tarifa on Jun 13, 2003</t>
  </si>
  <si>
    <t>2003-06-10T00:00:00Z</t>
  </si>
  <si>
    <t>Rescued a boat 800 meters off the coast of Tuineje Fuerteventura in the Canary Islands. During the transhipment boat capsizes and die 9 people. One of the bodies is lost at sea (Jun 11, 2003)</t>
  </si>
  <si>
    <t>Event at Fuerteventura on Jun 10, 2003</t>
  </si>
  <si>
    <t>http://www.elpais.com/articulo/espana/Hallados/cadaveres/inmigrantes/naufragaron/Fuerteventura/elpepuesp/20030610elpepunac_1/Tes</t>
  </si>
  <si>
    <t>2003-06-06T00:00:00Z</t>
  </si>
  <si>
    <t>suicide, hanged himself in house in Blackburn (GB) awaiting decision on asylum claim (Jun 6, 2003)</t>
  </si>
  <si>
    <t>Blackburn, UK</t>
  </si>
  <si>
    <t>Event at Blackburn, Uk on Jun 06, 2003</t>
  </si>
  <si>
    <t>2003-06-05T00:00:00Z</t>
  </si>
  <si>
    <t>Catches fire started from a kwassa kwassa Domains, Anjouan and Mayotte to direct, 4 dead (Jun 6, 2003)</t>
  </si>
  <si>
    <t>Event at Mayotte on Jun 05, 2003</t>
  </si>
  <si>
    <t>Small boat collides on the rocks in Salobrena, 2 dead (Jun 6, 2003)</t>
  </si>
  <si>
    <t>salobre</t>
  </si>
  <si>
    <t>Event at Salobre on Jun 05, 2003</t>
  </si>
  <si>
    <t>http://www.elmundo.es/elmundo/2003/06/05/sociedad/1054793675.html</t>
  </si>
  <si>
    <t>2003-06-04T00:00:00Z</t>
  </si>
  <si>
    <t>drowned, dead bodies found near he beach of Sid Kacem, Tanger (MA) (Jun 4, 2003)</t>
  </si>
  <si>
    <t>kacem</t>
  </si>
  <si>
    <t>Event at Kacem on Jun 04, 2003</t>
  </si>
  <si>
    <t>drowned, dead bodies found near beach of Sid Kacem, Tanger (MA) (Jun 4, 2003)</t>
  </si>
  <si>
    <t>2003-06-02T00:00:00Z</t>
  </si>
  <si>
    <t>Found the bodies of three men drowned the day before in the waters of Tuineje, Fuerteventura, in the Canary Islands (Jun 3, 2003)</t>
  </si>
  <si>
    <t>Event at Fuerteventura on Jun 02, 2003</t>
  </si>
  <si>
    <t>http://www.elpais.com/articulo/espana/Hallados/cadaveres/naufragio/ayer/patera/Fuerteventura/elpepuesp/20030603elpepunac_7/Tes</t>
  </si>
  <si>
    <t>2003-05-30T00:00:00Z</t>
  </si>
  <si>
    <t>2003 -- 5</t>
  </si>
  <si>
    <t>reportedly drowned, after boat capsized during rescue attempt near Fuerteventura (E) (May 30, 2003). From Del Grande's data set (translated): A vessel of the Guardia Civil boat rescues two miles from the island of Fuerteventura, in the Canary Islands, but the passengers stand up and the boat capsizes. 12 people die drowned. Their bodies are lost at sea (Jun 2, 2003)</t>
  </si>
  <si>
    <t>Event at Fuerteventura on May 30, 2003</t>
  </si>
  <si>
    <t>http://www.elpais.com/articulo/espana/Doce/inmigrantes/desaparecen/aguas/Fuerteventura/volcar/patera/elpepuesp/20030602elpepunac_3/Tes</t>
  </si>
  <si>
    <t>2003-05-16T00:00:00Z</t>
  </si>
  <si>
    <t>rejected asylum seeker found dead in a bus shelter in Boxmeer (NL) (May 16, 2003)</t>
  </si>
  <si>
    <t>Boxmeer, Netherlands</t>
  </si>
  <si>
    <t>Event at Boxmeer, Netherlands on May 16, 2003</t>
  </si>
  <si>
    <t>MNS/ANP</t>
  </si>
  <si>
    <t>2003-05-14T00:00:00Z</t>
  </si>
  <si>
    <t>drowned, bodies found in fishing net near Lampedusa (I) (May 14, 2003). From Del Grande's data set (translated): A fishing boat off Lampedusa recover the remains of four bodies from the sea (May 15, 2003)</t>
  </si>
  <si>
    <t>Event at Lampedusa on May 14, 2003</t>
  </si>
  <si>
    <t>http://www.repubblica.it/online/cronaca/sbarcotre/lampedusa/lampedusa.html</t>
  </si>
  <si>
    <t>2003-05-05T00:00:00Z</t>
  </si>
  <si>
    <t>reportedly drowned, trying to avoid detection by coast guard near Salobre√≠a (E) (May 5, 2003)</t>
  </si>
  <si>
    <t>Event at Salobre on May 05, 2003</t>
  </si>
  <si>
    <t>drowned, trying to avoid detection by coastguard near city of Salobreia (E) (May 5, 2003)</t>
  </si>
  <si>
    <t>2003-05-04T00:00:00Z</t>
  </si>
  <si>
    <t>suicide, denied access to interpreter, suffered from paranoid psychosis (May 4, 2003)</t>
  </si>
  <si>
    <t>Event at Great Britain on May 04, 2003</t>
  </si>
  <si>
    <t>MNS/The Herald/NCADC/ERB/IRR</t>
  </si>
  <si>
    <t>2003-04-25T00:00:00Z</t>
  </si>
  <si>
    <t>2003 -- 4</t>
  </si>
  <si>
    <t>dead body found in a boat intercepted in the Gulf of Cadiz (E) (Apr 25, 2003)</t>
  </si>
  <si>
    <t>Event at Cadiz on Apr 25, 2003</t>
  </si>
  <si>
    <t>2003-04-24T00:00:00Z</t>
  </si>
  <si>
    <t>drowned after shipweck in Lanzarote (E) (Apr 24, 2003). From Del Grande's data set (translated): It overturns a boat just 20 meters from the beach in Barranco de Quiquere, on the island of Lanzarote, in the Canary Islands. One dead and one missing (Apr 26, 2003)</t>
  </si>
  <si>
    <t>Event at Lanzarote on Apr 24, 2003</t>
  </si>
  <si>
    <t>http://www.elpais.com/articulo/espana/africano/muerto/desaparecido/volcar/patera/Lanzarote/elpepiesp/20030426elpepinac_22/Tes</t>
  </si>
  <si>
    <t>2003-04-09T00:00:00Z</t>
  </si>
  <si>
    <t>drowned in the waters of Bahia Feliz (E), their boat had been intercepted earlier (Apr 9, 2003)</t>
  </si>
  <si>
    <t>Bahia Feliz, Spain</t>
  </si>
  <si>
    <t>Event at Bahia Feliz, Spain on Apr 09, 2003</t>
  </si>
  <si>
    <t>2003-04-08T00:00:00Z</t>
  </si>
  <si>
    <t>suicide, found hanged in toilet of psychiatric ward at Heatherwood Hospital (GB) (Apr 8, 2003)</t>
  </si>
  <si>
    <t>Heatherwood Hospital, UK</t>
  </si>
  <si>
    <t>Event at Heatherwood Hospital, Uk on Apr 08, 2003</t>
  </si>
  <si>
    <t>icB/IRR/NCADC</t>
  </si>
  <si>
    <t>2003-03-31T00:00:00Z</t>
  </si>
  <si>
    <t>1Q2003</t>
  </si>
  <si>
    <t>2003 -- 3</t>
  </si>
  <si>
    <t>died on Thracian (TR/GR) border straying into marked minefield in thick fog (Mar 31, 2003)</t>
  </si>
  <si>
    <t>Event at Thrace on Mar 31, 2003</t>
  </si>
  <si>
    <t>2003-03-30T00:00:00Z</t>
  </si>
  <si>
    <t>Intercepted boat adrift for 14 days, 130 miles to the south of the island of El Hierro, in the Canary Islands. Passengers speak of 12 died of starvation. Their bodies were thrown overboard by his companions. A man dies during rescue (Mar 31, 2003)</t>
  </si>
  <si>
    <t>Event at Hierro on Mar 30, 2003</t>
  </si>
  <si>
    <t>http://www.elpais.com/articulo/espana/Trece/muertos/22/supervivientes/patera/hallada/Hierro/500/kilometros/africa/elpepuesp/20050331elpepunac_2/Tes</t>
  </si>
  <si>
    <t>2003-03-25T00:00:00Z</t>
  </si>
  <si>
    <t>1 dead, 1 injured on antipersonnel minefields in Evros, on the northeastern border with Turkey (Mar 26, 2003)</t>
  </si>
  <si>
    <t>Event at Evros on Mar 25, 2003</t>
  </si>
  <si>
    <t>2003-03-24T00:00:00Z</t>
  </si>
  <si>
    <t>asylum seeker, set fire to himself in Diever (NL) after being caught stealing (Mar 24, 2003)</t>
  </si>
  <si>
    <t>Diever, Netherlands</t>
  </si>
  <si>
    <t>Event at Diever, Netherlands on Mar 24, 2003</t>
  </si>
  <si>
    <t>2003-03-10T00:00:00Z</t>
  </si>
  <si>
    <t>hanged himself in police custody in Valetta in fear of deportation (Mar 10, 2003)</t>
  </si>
  <si>
    <t>Valetta</t>
  </si>
  <si>
    <t>Event at Valetta on Mar 10, 2003</t>
  </si>
  <si>
    <t>Malta Independent/MNS/FIDH</t>
  </si>
  <si>
    <t>found dead in his cell in Heathrow police station  (Mar 10, 2003)</t>
  </si>
  <si>
    <t>Event at Heathrow on Mar 10, 2003</t>
  </si>
  <si>
    <t>2003-03-09T00:00:00Z</t>
  </si>
  <si>
    <t>shot by border guard while trying to cross border between Morocco and Spain (Mar 9, 2003)</t>
  </si>
  <si>
    <t>Event at Morocco on Mar 09, 2003</t>
  </si>
  <si>
    <t>drowned, ship sunk on way from North-Africa to Lampedusa (I) in international water (Mar 9, 2003)</t>
  </si>
  <si>
    <t>Event at Lampedusa on Mar 09, 2003</t>
  </si>
  <si>
    <t>YaN/GDS/ILM/IPL/TL</t>
  </si>
  <si>
    <t>drowned near the Island of Evia (GR) trying to reach Greek coast by boat (Mar 9, 2003)</t>
  </si>
  <si>
    <t>Event at Evia on Mar 09, 2003</t>
  </si>
  <si>
    <t>MNS/Fl√ºchtlingsrat-Brandenburg/ILM</t>
  </si>
  <si>
    <t>Armenian, set himself on fire in Biedenkopf (D), asylum application was rejected (Mar 9, 2003)</t>
  </si>
  <si>
    <t>Biedenkopf, Germany</t>
  </si>
  <si>
    <t>Event at Biedenkopf, Germany on Mar 09, 2003</t>
  </si>
  <si>
    <t>MNS/ERB</t>
  </si>
  <si>
    <t>2003-03-08T00:00:00Z</t>
  </si>
  <si>
    <t>set fire to himself, after being denied necessary medication in Manchester (GB) (Mar 8, 2003)</t>
  </si>
  <si>
    <t>Manchester, UK</t>
  </si>
  <si>
    <t>Event at Manchester, Uk on Mar 08, 2003</t>
  </si>
  <si>
    <t>BBC/Socialist Worker/NCADC/IRR/Asylum Policy/gay.com UK/IRR</t>
  </si>
  <si>
    <t>2003-03-01T00:00:00Z</t>
  </si>
  <si>
    <t>drowned, tried to swim to Spain body found floating in a bay south of Ceuta (E/MA) (Mar 1, 2003)</t>
  </si>
  <si>
    <t>Event at Ceuta on Mar 01, 2003</t>
  </si>
  <si>
    <t>2003-02-27T00:00:00Z</t>
  </si>
  <si>
    <t>2003 -- 2</t>
  </si>
  <si>
    <t>Seven died in a shipwreck in the bay of Kani Keli, Mayotte (Feb 28, 2003)</t>
  </si>
  <si>
    <t>Event at Mayotte on Feb 27, 2003</t>
  </si>
  <si>
    <t>dead body found near Kamanitsa (UA) few meters from UA-SK border (Feb 27, 2003). From Del Grande's data set (translated): Found the body of a man frozen to death trying to walk across the border between Ukraine and Slovakia (Feb 27, 2003)</t>
  </si>
  <si>
    <t>Event at Slovakia on Feb 27, 2003</t>
  </si>
  <si>
    <t>http://www.obozrevatel.com.ua/news.php?id=76138</t>
  </si>
  <si>
    <t>2003-02-24T00:00:00Z</t>
  </si>
  <si>
    <t>Found 12 deaths from dehydration in a ship in the Atlantic Ocean. The boat, live in Fuerteventura, had been abandoned by the captain into open sea after an engine failure (Feb 25, 2003)</t>
  </si>
  <si>
    <t>Event at Fuerteventura on Feb 24, 2003</t>
  </si>
  <si>
    <t>stowaway, fell from plane wheelbay under flight path to airport near Paris (F) (Feb 24, 2003). From Del Grande's data set (translated): Paris, falls from the undercarriage of a plane landing, the body of a young man froze to death during the trip (Feb 25, 2003)</t>
  </si>
  <si>
    <t>Event at Paris on Feb 24, 2003</t>
  </si>
  <si>
    <t>2003-02-23T00:00:00Z</t>
  </si>
  <si>
    <t>crushed to death trying to climb lorry in Calais (F) ferry terminal on his way to GB (Feb 23, 2003). From Del Grande's data set (translated): Eighteen year old dies crushed by the truck on which he was trying to climb on the sly, in Calais, to Dover to board (Feb 24, 2003)</t>
  </si>
  <si>
    <t>Event at Dover on Feb 23, 2003</t>
  </si>
  <si>
    <t>AFP/MNS/NO</t>
  </si>
  <si>
    <t>http://www.statewatch.org/news/2003/jun/20deaths.htm</t>
  </si>
  <si>
    <t>2003-02-22T00:00:00Z</t>
  </si>
  <si>
    <t>hit by lorry in Calais (F), trying to reach Great-Britain as a stowaway (Feb 22, 2003)</t>
  </si>
  <si>
    <t>Event at Calais on Feb 22, 2003</t>
  </si>
  <si>
    <t>2003-02-21T00:00:00Z</t>
  </si>
  <si>
    <t>suicide, hanged herself with scarf in police cel in Emmen (NL) in fear of deportation (Feb 21, 2003)</t>
  </si>
  <si>
    <t>Emmen, Netherlands</t>
  </si>
  <si>
    <t>Event at Emmen, Netherlands on Feb 21, 2003</t>
  </si>
  <si>
    <t>DVHN</t>
  </si>
  <si>
    <t>2003-02-19T00:00:00Z</t>
  </si>
  <si>
    <t>died of thirst/hunger after 14 days at sea, going from Morocco to Fuerteventura (E) (Feb 19, 2003). From Del Grande's data set (translated): Rescued a boat adrift for 15 days 220 kilometers south of the Canaries. On board only 6 survivors. Another 12 people have died of starvation and their bodies thrown overboard by his companions (Feb 21, 2003)</t>
  </si>
  <si>
    <t>Event at Fuerteventura on Feb 19, 2003</t>
  </si>
  <si>
    <t>PUB/NOB/MUGAK</t>
  </si>
  <si>
    <t>http://www.elpais.com/articulo/espana/pesquero/halla/vivos/ocupantes/patera/llevaba/semanas/deriva/elpepiesp/20030221elpepinac_22/Tes</t>
  </si>
  <si>
    <t>2003-02-11T00:00:00Z</t>
  </si>
  <si>
    <t>reportedly drowned, boat capsized during rescue attempt near Fuerteventura (E) (Feb 11, 2003)</t>
  </si>
  <si>
    <t>Event at Fuerteventura on Feb 11, 2003</t>
  </si>
  <si>
    <t>MNS/GuardianUn./MUGAK/ABC/Raz</t>
  </si>
  <si>
    <t>2003-02-09T00:00:00Z</t>
  </si>
  <si>
    <t>Direct vessel sinks in Sicily off the coast of Libya, 9 dead (Feb 10, 2003)</t>
  </si>
  <si>
    <t>Event at Sicily on Feb 09, 2003</t>
  </si>
  <si>
    <t>2003-02-08T00:00:00Z</t>
  </si>
  <si>
    <t>jumped out of the window trying to escape police check in Sartrouville (F) (Feb 8, 2003)</t>
  </si>
  <si>
    <t>Sartrouville, France</t>
  </si>
  <si>
    <t>Event at Sartrouville, France on Feb 08, 2003</t>
  </si>
  <si>
    <t>MNS/Grand Paris</t>
  </si>
  <si>
    <t>2003-02-05T00:00:00Z</t>
  </si>
  <si>
    <t>missing, after boat capsized during rescue attempt near Fuerteventura (E) (Feb 5, 2003)</t>
  </si>
  <si>
    <t>Event at Fuerteventura on Feb 05, 2003</t>
  </si>
  <si>
    <t>Statewatch/MNS/MUGAK</t>
  </si>
  <si>
    <t>drowned, after boat capsized during rescue attempt near Fuerteventura (E) (Feb 5, 2003)</t>
  </si>
  <si>
    <t>2003-02-04T00:00:00Z</t>
  </si>
  <si>
    <t>fell from bridge over M60, at Stockport (GB) after his asylum claim was rejected (Feb 4, 2003)</t>
  </si>
  <si>
    <t>Stockport, UK</t>
  </si>
  <si>
    <t>Event at Stockport, Uk on Feb 04, 2003</t>
  </si>
  <si>
    <t>2003-02-02T00:00:00Z</t>
  </si>
  <si>
    <t>Found by wetting the corpse of a drowned boy on the beach of Fuente Caballo Ceuta (Feb 3, 2003)</t>
  </si>
  <si>
    <t>Event at Ceuta on Feb 02, 2003</t>
  </si>
  <si>
    <t>http://www.abc.es/hemeroteca/historico-04-02-2003/Nacional/rescatan-de-entre-las-rocas-el-cadaver-de-un-inmigrante-ahogado-en-aguas-de-ceuta_159837.html</t>
  </si>
  <si>
    <t>2003-12-31T00:00:00Z</t>
  </si>
  <si>
    <t>4Q2003</t>
  </si>
  <si>
    <t>2003 -- 12</t>
  </si>
  <si>
    <t>mother deported ill/pregnant from Germany, imprisoned in Congo, no medical care (Dec 31, 2003)</t>
  </si>
  <si>
    <t>congo</t>
  </si>
  <si>
    <t>Event at Congo on Dec 31, 2003</t>
  </si>
  <si>
    <t>deported pregnant from Germany, imprisoned in Congo, got late medical care,baby died (Dec 31, 2003)</t>
  </si>
  <si>
    <t>Statewatch/ProAsyl/FR-NieSa/ARI</t>
  </si>
  <si>
    <t>suicide, set fire to himself in London in fear of deportation (Dec 31, 2003)</t>
  </si>
  <si>
    <t>Event at London on Dec 31, 2003</t>
  </si>
  <si>
    <t>2003-12-26T00:00:00Z</t>
  </si>
  <si>
    <t>asylum seeker's child drowned, fell into ditch near Asylum Centre Dalem (NL) (Dec 26, 2003)</t>
  </si>
  <si>
    <t>Dalem, Switzerland</t>
  </si>
  <si>
    <t>Event at Dalem, Switzerland on Dec 26, 2003</t>
  </si>
  <si>
    <t>2003-12-19T00:00:00Z</t>
  </si>
  <si>
    <t>reportedly drowned, boat sank off Turkish coast  on way from Turkey to Greece (Dec 19, 2003). From Del Grande's data set (translated): A wooden ship of 14 m from Turkey match, abandoned by her captain, sank off the coast of Rhodes. 52 dead (Dec 22, 2003)</t>
  </si>
  <si>
    <t>Event at Rhodes, Greece on Dec 19, 2003</t>
  </si>
  <si>
    <t>MNS/NI/AP/SP/Kurier/Vielfaltletter/BBC/MUGAK/IMK</t>
  </si>
  <si>
    <t>http://www.ekathimerini.com/4dcgi/_w_articles_politics_100028_27/12/2003_37833</t>
  </si>
  <si>
    <t>drowned, boat sank off coast of Marmaris (TR) on way from Turkey to Greece (Dec 19, 2003)</t>
  </si>
  <si>
    <t>Marmaris, Turkey</t>
  </si>
  <si>
    <t>Event at Marmaris, Turkey on Dec 19, 2003</t>
  </si>
  <si>
    <t>reportedly drowned, after boat sank off Turkish coast  on way from Turkey to Greece (Dec 19, 2003)</t>
  </si>
  <si>
    <t>Event at Turkey To Greece on Dec 19, 2003</t>
  </si>
  <si>
    <t>2003-12-11T00:00:00Z</t>
  </si>
  <si>
    <t>drowned, after a shipwreck near Tripoli (LY), on the way to Italy (Dec 11, 2003)</t>
  </si>
  <si>
    <t>Event at Tripoli on Dec 11, 2003</t>
  </si>
  <si>
    <t>stowaway, suffocated on a cargo ship on way from Cameroon to Spain (Dec 11, 2003)</t>
  </si>
  <si>
    <t>cameroon</t>
  </si>
  <si>
    <t>Event at Cameroon on Dec 11, 2003</t>
  </si>
  <si>
    <t>2003-12-04T00:00:00Z</t>
  </si>
  <si>
    <t>Recovered the bodies of 10 drowned in a shipwreck off the coast of Motril, Granada (Dec 5, 2003)</t>
  </si>
  <si>
    <t>Event at Granada on Dec 04, 2003</t>
  </si>
  <si>
    <t>http://www.elpais.com/articulo/espana/Infierno/bordo/patera/costas/Granada/elpepiesp/20031205elpepinac_13/Tes</t>
  </si>
  <si>
    <t>2003-12-03T00:00:00Z</t>
  </si>
  <si>
    <t>The fishing boat from Mazara Marcant Antonio I recovered at sea the body of a man who drowned off Lampedusa (Dec 4, 2003)</t>
  </si>
  <si>
    <t>Event at Lampedusa on Dec 03, 2003</t>
  </si>
  <si>
    <t>2003-12-02T00:00:00Z</t>
  </si>
  <si>
    <t>Boat rescued 37 kilometers south of the island of Fuerteventura, in the Canary Islands. During the operations of the approaching boat capsizes. 15 men die drowned, their bodies are scattered in the sea (Dec 3, 2003)</t>
  </si>
  <si>
    <t>Event at Fuerteventura on Dec 02, 2003</t>
  </si>
  <si>
    <t>http://www.elpais.com/articulo/espana/Quince/inmigrantes/desaparecen/mar/durante/rescate/patera/Fuerteventura/elpepunac/20031203elpepinac_25/Tes</t>
  </si>
  <si>
    <t>2003-12-01T00:00:00Z</t>
  </si>
  <si>
    <t>died of lack of medical care in refugee transit centre Thurhof in Oberb√ºren (CH) (Dec 1, 2003)</t>
  </si>
  <si>
    <t>Oberberen, Switzerland</t>
  </si>
  <si>
    <t>Event at Oberberen, Switzerland on Dec 01, 2003</t>
  </si>
  <si>
    <t>Vivre/MNS/Indymedia/Augen auf/</t>
  </si>
  <si>
    <t>2003-11-30T00:00:00Z</t>
  </si>
  <si>
    <t>2003 -- 11</t>
  </si>
  <si>
    <t>reportedly drowned when boat sank near Fuerteventura (E) (Nov 30, 2003)</t>
  </si>
  <si>
    <t>Event at Fuerteventura on Nov 30, 2003</t>
  </si>
  <si>
    <t>drowned, boat sank on its way to Spain near Fuerteventura (E) (Nov 30, 2003)</t>
  </si>
  <si>
    <t>2003-11-22T00:00:00Z</t>
  </si>
  <si>
    <t>drowned, reportedly trying to swimm Ceuta (E/MA), body found in Chorillo (E) (Nov 22, 2003). From Del Grande's data set (translated): Found on the beach of Chorrillo, Ceuta, the corpse of a man drowned trying to swim to the Spanish enclave (Nov 24, 2003)</t>
  </si>
  <si>
    <t>Event at Ceuta on Nov 22, 2003</t>
  </si>
  <si>
    <t>http://www.elpais.com/articulo/espana/inmigrante/ahoga/intentar/entrar/Ceuta/elpepunac/20031124elpepinac_22/Tes</t>
  </si>
  <si>
    <t>2003-11-15T00:00:00Z</t>
  </si>
  <si>
    <t>Recovered along the beaches of El Puerto de Santa Maria, Cadiz, the corpse in an advanced state of decomposition of a drowned man (Nov 16, 2003)</t>
  </si>
  <si>
    <t>Event at Cadiz on Nov 15, 2003</t>
  </si>
  <si>
    <t>http://www.elpais.com/articulo/espana/Hallan/cadaver/zona/proxima/lugar/naufrago/patera/Rota/elpepuesp/20031116elpepunac_5/Tes</t>
  </si>
  <si>
    <t>2003-11-12T00:00:00Z</t>
  </si>
  <si>
    <t>Recovered the bodies of two drowned men along the Libyan coast (Nov 13, 2003)</t>
  </si>
  <si>
    <t>Event at Libyan on Nov 12, 2003</t>
  </si>
  <si>
    <t>Pana</t>
  </si>
  <si>
    <t>http://www.libya-watanona.com/news/n2003/nov/1103nwsc.htm</t>
  </si>
  <si>
    <t>2003-11-10T00:00:00Z</t>
  </si>
  <si>
    <t>Rescued by fishermen off the coast of Pantelleria boat of luck. Above are 6 Iraqi refugees. 1 is dead. 3 others hospitalized in serious condition (Nov 11, 2003)</t>
  </si>
  <si>
    <t>Event at Pantelleria on Nov 10, 2003</t>
  </si>
  <si>
    <t>http://www.meltingpot.org/articolo1334.html</t>
  </si>
  <si>
    <t>2003-11-07T00:00:00Z</t>
  </si>
  <si>
    <t>A rescue boat adrift for days off the coast of Motril. On board 2 deaths. According to survivors, 8 other young people are drowned by falling into the sea exhausted or diving in a panic (Nov 8, 2003)</t>
  </si>
  <si>
    <t>Event at Motril, Spain on Nov 07, 2003</t>
  </si>
  <si>
    <t>http://www.elpais.com/articulo/espana/inmigrantes/patera/llego/Motril/murieron/ahogados/elpepiesp/20031113elpepinac_13/Tes</t>
  </si>
  <si>
    <t>2003-11-06T00:00:00Z</t>
  </si>
  <si>
    <t>Clinging hidden under a container to travel on a cargo ship bound for Europe from the port of Rades, near Tunis, a man dies crushed by the blades of the machine to load the containers (Nov 7, 2003)</t>
  </si>
  <si>
    <t>Event at Tunis on Nov 06, 2003</t>
  </si>
  <si>
    <t>2003-10-26T00:00:00Z</t>
  </si>
  <si>
    <t>2003 -- 10</t>
  </si>
  <si>
    <t>Two youth drown in Rota, Cadiz, to capsize the boat they were traveling at a hundred meters from the shore (Oct 27, 2003)</t>
  </si>
  <si>
    <t>Event at Cadiz on Oct 26, 2003</t>
  </si>
  <si>
    <t>http://www.elpais.com/articulo/espana/inmigrantes/mueren/ahogados/playa/Rota/Ceuta/elpepiesp/20031027elpepinac_28/Tes</t>
  </si>
  <si>
    <t>2003-10-25T00:00:00Z</t>
  </si>
  <si>
    <t>drowned in the attempt to swim to Ceuta (E/MA)  (Oct 25, 2003). From Del Grande's data set (translated): Found the body of a drowned man on the beach in Ceuta (Oct 27, 2003)</t>
  </si>
  <si>
    <t>Event at Ceuta on Oct 25, 2003</t>
  </si>
  <si>
    <t>frozen to death in forest near Eisenstadt (A) after crossing Hungarian border (Oct 25, 2003). From Del Grande's data set (translated): Man dies benumbed through the woods of the border between Hungary and Austria, Eisenstadt (Oct 26, 2003)</t>
  </si>
  <si>
    <t>eisenstadt</t>
  </si>
  <si>
    <t>Event at Eisenstadt on Oct 25, 2003</t>
  </si>
  <si>
    <t>MNS/Die Bunte</t>
  </si>
  <si>
    <t>2003-10-24T00:00:00Z</t>
  </si>
  <si>
    <t>reportedly drowned, boat capsized in storm near Cadiz (ESP) (Oct 24, 2003)</t>
  </si>
  <si>
    <t>Event at Cadiz on Oct 24, 2003</t>
  </si>
  <si>
    <t>drowned, bodies recovered/washed ashore after shipwrecking in bay of Cadiz (E) (Oct 24, 2003). From Del Grande's data set (translated): Shipwreck in the waters of Rota, Cadiz. A boat with 50 passengers sinks. Rescuers arrive late, are found only 5 survivors. The sea returns 35 corpses, at least 10 missing (Oct 25, 2003)</t>
  </si>
  <si>
    <t>Statewatch/MNS/Indymedia/VK/AP/GuardianUn/Trouw/MUGAK/MP/BELT/GRP/BWT/APDHA/PICUM</t>
  </si>
  <si>
    <t>http://www.elpais.com/articulo/espana/numero/cadaveres/inmigrantes/recuperados/costas/Rota/eleva/35/elpepuesp/20031103elpepunac_4/Tes</t>
  </si>
  <si>
    <t>2003-10-21T00:00:00Z</t>
  </si>
  <si>
    <t>drowned, after boat capsized near Rota (E) (Oct 21, 2003)</t>
  </si>
  <si>
    <t>Rota, Spain</t>
  </si>
  <si>
    <t>Event at Rota, Spain on Oct 21, 2003</t>
  </si>
  <si>
    <t>2003-10-20T00:00:00Z</t>
  </si>
  <si>
    <t>reportedly drowned after boat capsized on way from Tunisia to Sicily (I) (Oct 20, 2003). From Del Grande's data set (translated): Off the Tunisian coast boat capsizes due to the excessive weight. 6 dead and 22 missing (Oct 21, 2003)</t>
  </si>
  <si>
    <t>Event at Tunis on Oct 20, 2003</t>
  </si>
  <si>
    <t>MNS/Vivre/TL</t>
  </si>
  <si>
    <t>http://www.repubblica.it/2003/g/sezioni/cronaca/sbarchi/messa/messa.html</t>
  </si>
  <si>
    <t>drowned when boat sank off the Tunisian coast on way to Italy (Oct 20, 2003)</t>
  </si>
  <si>
    <t>NOB/TL/IPL</t>
  </si>
  <si>
    <t>drowned after boat capsized on the way from Tunisia to Sicily (I) (Oct 20, 2003)</t>
  </si>
  <si>
    <t>MSN/WOZ/TL/Vivre</t>
  </si>
  <si>
    <t>2003-10-19T00:00:00Z</t>
  </si>
  <si>
    <t>died of starvation on a boat from Libya to Italy being 20 days without food (Oct 19, 2003). From Del Grande's data set (translated): Rescued boat adrift for weeks 50 miles south of Lampedusa. 13 deaths on board, at least 70 people would be lost at sea (Oct 20, 2003)</t>
  </si>
  <si>
    <t>Event at Lampedusa on Oct 19, 2003</t>
  </si>
  <si>
    <t>Miami Herald/TL</t>
  </si>
  <si>
    <t>http://www.repubblica.it/2003/g/sezioni/cronaca/sbarchi/lampedusa/lampedusa.html</t>
  </si>
  <si>
    <t>suicide, found hanged at Belmarsh maximum security prison (GB) (Oct 19, 2003)</t>
  </si>
  <si>
    <t>Belmarsh prison, UK</t>
  </si>
  <si>
    <t>Event at Belmarsh Prison, Uk on Oct 19, 2003</t>
  </si>
  <si>
    <t>IRR/NCADC/ERB</t>
  </si>
  <si>
    <t>2003-10-18T00:00:00Z</t>
  </si>
  <si>
    <t>reportedly died of cold/hunger on ship from Libya to Italy, thrown overboard (Oct 18, 2003)</t>
  </si>
  <si>
    <t>Event at Libya on Oct 18, 2003</t>
  </si>
  <si>
    <t>Statewatch/LR/MNS/Pogledi/GuardianUn/VK/SP/Vivre/DPA</t>
  </si>
  <si>
    <t>found dead of cold/hunger on ship from Libya to Lampedusa (I) (Oct 18, 2003)</t>
  </si>
  <si>
    <t>Event at Lampedusa on Oct 18, 2003</t>
  </si>
  <si>
    <t>Statewatch/LR/MNS/YaN/Pogledi/GuardianUn/VK/SP/Vivre/MiamiHarold/Vita/IPL/MUGAK/DPA</t>
  </si>
  <si>
    <t>died of hypothermia and starvation on ship fom Libya to Lampedusa (I) (Oct 18, 2003)</t>
  </si>
  <si>
    <t>Statewatch/LR/MNS/YaN/Pogledi/GuardianUn/VK/SP/Vivre/MiamiHarold/Vita/IPL/MUGAK</t>
  </si>
  <si>
    <t>2003-10-17T00:00:00Z</t>
  </si>
  <si>
    <t>drowned, bodies found on the beach in Larache (MA) (Oct 17, 2003)</t>
  </si>
  <si>
    <t>larache</t>
  </si>
  <si>
    <t>Event at Larache on Oct 17, 2003</t>
  </si>
  <si>
    <t>2003-10-16T00:00:00Z</t>
  </si>
  <si>
    <t>found dead on ship from Libya to Lampedusa (I)  (Oct 16, 2003)</t>
  </si>
  <si>
    <t>Event at Lampedusa on Oct 16, 2003</t>
  </si>
  <si>
    <t>Statewatch/MNS/LR/SP/IPL/DPA</t>
  </si>
  <si>
    <t>drowned after boat capsized near Lampedusa (I) on the way from Libya (Oct 16, 2003)</t>
  </si>
  <si>
    <t>Statewatch/MNS/LR/SP/TL/Mugak/IPL/</t>
  </si>
  <si>
    <t>died on ship from Libya to Lampedusa (I) due to bad conditions (Oct 16, 2003)</t>
  </si>
  <si>
    <t>Statewatch/MNS/LR/IPL</t>
  </si>
  <si>
    <t>2003-10-10T00:00:00Z</t>
  </si>
  <si>
    <t>A boat carrying 30 people sank off the coast of Lampedusa. 11 dead, including 3 children (Oct 11, 2003)</t>
  </si>
  <si>
    <t>Event at Lampedusa on Oct 10, 2003</t>
  </si>
  <si>
    <t>http://www.repubblica.it/2003/g/sezioni/cronaca/sbarchi/undici/undici.html</t>
  </si>
  <si>
    <t>found dead on a boat drifting 25 n. miles south of Pantelleria (I) (Oct 10, 2003)</t>
  </si>
  <si>
    <t>Event at Pantelleria on Oct 10, 2003</t>
  </si>
  <si>
    <t>INDi/IPL/Unipa</t>
  </si>
  <si>
    <t>Found the body of a man hidden in the undercarriage of a plane landed at Charles de Gaulle airport in Paris (Oct 11, 2003)</t>
  </si>
  <si>
    <t>Event at Paris on Oct 10, 2003</t>
  </si>
  <si>
    <t>L'Humanit</t>
  </si>
  <si>
    <t>http://www.humanite.fr/journal/2003-10-11/2003-10-11-380485</t>
  </si>
  <si>
    <t>suicide, found hanged at Bedford prison (GB) (Oct 10, 2003)</t>
  </si>
  <si>
    <t>Event at Bedford on Oct 10, 2003</t>
  </si>
  <si>
    <t>2003-10-05T00:00:00Z</t>
  </si>
  <si>
    <t>reportedly drowned, boat capsized during rescue attempt by Guardia Civil (E) (Oct 5, 2003)</t>
  </si>
  <si>
    <t>Event at Africa To Spain on Oct 05, 2003</t>
  </si>
  <si>
    <t>2003-10-04T00:00:00Z</t>
  </si>
  <si>
    <t>Found the bodies of two men drowned in the Canary Islands, in Bahia Feliz and San Bartolome de Tirajana (Oct 5, 2003)</t>
  </si>
  <si>
    <t>Event at Tirajana on Oct 04, 2003</t>
  </si>
  <si>
    <t>http://www.elpais.com/articulo/espana/Hallados/cadaveres/inmigrantes/aguas/Canarias/elpepiesp/20031005elpepinac_12/Tes</t>
  </si>
  <si>
    <t>2003-10-02T00:00:00Z</t>
  </si>
  <si>
    <t>Sinking boat 37 miles south of Lampedusa, 1 drowned (Oct 3, 2003)</t>
  </si>
  <si>
    <t>Event at Lampedusa on Oct 02, 2003</t>
  </si>
  <si>
    <t>Agent of the Civil Guard kills with a pistol shot a man at the border of Ceuta. The victim was part of a group of migrants were discovered by police while climbing over the networks of the Moroccan border, who began throwing stones at the officers to avoid arrest (Oct 3, 2003)</t>
  </si>
  <si>
    <t>Event at Ceuta on Oct 02, 2003</t>
  </si>
  <si>
    <t>http://www.elpais.com/articulo/espana/guardia/civil/mata/tiro/marroqui/trataba/cruzar/frontera/Ceuta/elpepuesp/20031003elpepunac_9/Tes</t>
  </si>
  <si>
    <t>It overturns a boat heading to the island of Evia, 5 drowned (Oct 3, 2003)</t>
  </si>
  <si>
    <t>Event at Evia on Oct 02, 2003</t>
  </si>
  <si>
    <t>2003-01-31T00:00:00Z</t>
  </si>
  <si>
    <t>2003 -- 1</t>
  </si>
  <si>
    <t>reportedly drowned after shipwreck in the Mediterranean Sea, near Tarifa (E) (Jan 31, 2003)</t>
  </si>
  <si>
    <t>Event at Tarifa on Jan 31, 2003</t>
  </si>
  <si>
    <t>drowned, boat crashed on rocks sank near Tarifa off southern coast of Spain (Jan 31, 2003)</t>
  </si>
  <si>
    <t>VK/AP/DPA/AFP/Statewatch/MUGAK</t>
  </si>
  <si>
    <t>died of toxic inhalation in fire deliberately started in police prison in Malaga (E) (Jan 31, 2003)</t>
  </si>
  <si>
    <t>Event at Malaga on Jan 31, 2003</t>
  </si>
  <si>
    <t>died of toxic inhalation during arson attack at a police station in Malaga (E) (Jan 31, 2003)</t>
  </si>
  <si>
    <t>2003-01-30T00:00:00Z</t>
  </si>
  <si>
    <t>suicide, found hanged with his shoelaces in toilet at Haslar removal Centre (GB) (Jan 30, 2003)</t>
  </si>
  <si>
    <t>Event at Haslar on Jan 30, 2003</t>
  </si>
  <si>
    <t>IRR/NCADC/CARF/MNS</t>
  </si>
  <si>
    <t>2003-01-22T00:00:00Z</t>
  </si>
  <si>
    <t>stowaways fell out of wheel-bay in China, hid in wrong plane in France (Jan 22, 2003)</t>
  </si>
  <si>
    <t>Event at France on Jan 22, 2003</t>
  </si>
  <si>
    <t>2003-01-18T06:00:48Z</t>
  </si>
  <si>
    <t>Shipwreck off the coast of St. Maria di Leuca, Lecce, 6 dead, 23 missing (Jan 19, 2003)</t>
  </si>
  <si>
    <t>Event at Leuca on Jan 18, 2003</t>
  </si>
  <si>
    <t>http://www.repubblica.it/online/cronaca/sbarcotre/lecce/lecce.html</t>
  </si>
  <si>
    <t>2003-01-18T00:00:00Z</t>
  </si>
  <si>
    <t>drowned while trying to reach the Canary Islands (E) from Morocco  (Jan 18, 2003)</t>
  </si>
  <si>
    <t>Event at Canary on Jan 18, 2003</t>
  </si>
  <si>
    <t>MNS/Vita</t>
  </si>
  <si>
    <t>4 more bodies found in the waters of Fuerteventura, probably part of the 14 victims of the sinking of 16 January (Jan 19, 2003)</t>
  </si>
  <si>
    <t>Event at Fuerteventura on Jan 18, 2003</t>
  </si>
  <si>
    <t>http://www.elpais.com/articulo/espana/Localizados/otros/cadaveres/grupo/inmigrantes/naufrago/Canarias/elpepiesp/20030119elpepinac_20/Tes</t>
  </si>
  <si>
    <t>18 people drowned off the coast of Tangier. They tried to escape the Moroccan coast guard who had intercepted at dawn (Jan 19, 2003)</t>
  </si>
  <si>
    <t>Event at Tangier on Jan 18, 2003</t>
  </si>
  <si>
    <t>http://news.bbc.co.uk/1/hi/world/africa/2674307.stm</t>
  </si>
  <si>
    <t>frozen to death in drifting boat near S.M. di Leuca (I) coming from Turkey (Jan 18, 2003)</t>
  </si>
  <si>
    <t>MNS/Vivre/AFP/AP/TL</t>
  </si>
  <si>
    <t>died of hypothermia on a drifting boat near Leuca (I) coming from Turkey (Jan 18, 2003)</t>
  </si>
  <si>
    <t>2003-01-17T06:00:14Z</t>
  </si>
  <si>
    <t>Paris Roissy airport. A 24 year old boy refuses to get on the Air France flight to Johannesburg with which it is to be expelled because without an entry visa. Three police officers handcuff him and bind him with duct tape the ankle and knees. While passengers are boarding, the young man is immobilized with his head pressed to his knees. But the violence of the socket it does go into a coma. Two days later he died in hospital. Three years later, the agent will be sentenced to six months in prison (Jan 18, 2003)</t>
  </si>
  <si>
    <t>Event at Paris on Jan 17, 2003</t>
  </si>
  <si>
    <t>Cgt</t>
  </si>
  <si>
    <t>http://www.ulcgtroissy.fr/article400.html</t>
  </si>
  <si>
    <t>2003-01-17T00:00:00Z</t>
  </si>
  <si>
    <t>dead bodies found on the beach in Motril (E) (Jan 17, 2003)</t>
  </si>
  <si>
    <t>Event at Motril, Spain on Jan 17, 2003</t>
  </si>
  <si>
    <t>died of asphyxhiation during deportation from Paris (F) to Johannesburg (SA) (Jan 17, 2003)</t>
  </si>
  <si>
    <t>NCADC/AI/AN/VK/Vivre/MNS/borderzerolist/IND/JT/Statewatch/MUGAK/IRR</t>
  </si>
  <si>
    <t>2003-01-16T00:00:00Z</t>
  </si>
  <si>
    <t>drowned near Tangers (MA) hoping to reach Spain clandestinely by sea (Jan 16, 2003)</t>
  </si>
  <si>
    <t>Event at Tanger on Jan 16, 2003</t>
  </si>
  <si>
    <t>MNS/Vivre/MUGAK</t>
  </si>
  <si>
    <t>Found the body of a drowned man on the beach in Ceuta (Jan 17, 2003)</t>
  </si>
  <si>
    <t>Event at Ceuta on Jan 16, 2003</t>
  </si>
  <si>
    <t>http://www.elpais.com/articulo/espana/Hallados/cadaveres/subsaharianos/playas/Ceuta/Fuerteventura/elpepiesp/20030117elpepinac_11/Tes</t>
  </si>
  <si>
    <t>2003-01-15T00:00:00Z</t>
  </si>
  <si>
    <t>Sinking a boat off the coast south of Fuerteventura, in the Canary Islands. Recovered the bodies of drowned 6, 8 missing (Jan 16, 2003)</t>
  </si>
  <si>
    <t>Event at Fuerteventura on Jan 15, 2003</t>
  </si>
  <si>
    <t>http://www.elpais.com/articulo/espana/Localizados/Fuerteventura/cadaveres/inmigrantes/desaparecidos/miercoles/elpepuesp/20030118elpepunac_6/Tes</t>
  </si>
  <si>
    <t>dead body found in the beach of Ceuta (E/MA) (Jan 15, 2003)</t>
  </si>
  <si>
    <t>Event at Ceuta on Jan 15, 2003</t>
  </si>
  <si>
    <t>2003-01-14T00:00:00Z</t>
  </si>
  <si>
    <t>reportedly drowned when small boat sank near Fuerteventura (E) (Jan 14, 2003)</t>
  </si>
  <si>
    <t>Event at Fuerteventura on Jan 14, 2003</t>
  </si>
  <si>
    <t>MNS/ Spits/ AFP</t>
  </si>
  <si>
    <t>reportedly drowned after duck boat sank off the coast of Fuerteventura (E) (Jan 14, 2003)</t>
  </si>
  <si>
    <t>MNS/APDHA/MUGAK/IRR</t>
  </si>
  <si>
    <t>drowned when small boat sank near Canary Island of Fuerteventura (E) (Jan 14, 2003)</t>
  </si>
  <si>
    <t>drowned when duck boat sank off the coast of Fuerteventura (E) (Jan 14, 2003)</t>
  </si>
  <si>
    <t>2003-01-13T00:00:00Z</t>
  </si>
  <si>
    <t>suffocated in his vomit, seriously ill in border prison Amsterdam South-East (NL) (Jan 13, 2003)</t>
  </si>
  <si>
    <t>Event at Amsterdam on Jan 13, 2003</t>
  </si>
  <si>
    <t>VK/AC/AFVIC/CW/demo</t>
  </si>
  <si>
    <t>2003-01-12T00:00:00Z</t>
  </si>
  <si>
    <t>stowaways, died after creeping into the hold of a Cypriot ship bound for Cadiz (E) (Jan 12, 2003). From Del Grande's data set (translated): A Cypriot freighter docked in Cadiz. In the hold of the bodies of two boys died of suffocation in the hidden compartment of the hold where they traveled (Jan 14, 2003)</t>
  </si>
  <si>
    <t>Event at Cadiz on Jan 12, 2003</t>
  </si>
  <si>
    <t>http://www.elpais.com/articulo/espana/barco/Chipre/atraca/Cadiz/polizones/muertos/elpepiesp/20030114elpepinac_18/Tes</t>
  </si>
  <si>
    <t>Found the body of a boy froze to death trying to cross the border on foot between Albania and Greece on Mount Vitsio, Kastoria (Jan 13, 2003)</t>
  </si>
  <si>
    <t>kastoria</t>
  </si>
  <si>
    <t>Event at Kastoria on Jan 12, 2003</t>
  </si>
  <si>
    <t>2003-01-11T00:00:00Z</t>
  </si>
  <si>
    <t>dehydration, died of thirst while travelling to Europe through Sahara desert (Jan 11, 2003)</t>
  </si>
  <si>
    <t>Event at Sahara on Jan 11, 2003</t>
  </si>
  <si>
    <t>body found near beach Fuente Caballos, Cadiz (E) (Jan 11, 2003)</t>
  </si>
  <si>
    <t>Event at Cadiz on Jan 11, 2003</t>
  </si>
  <si>
    <t>SH</t>
  </si>
  <si>
    <t>stowaway, reason of death unknown, body found in italian ship in Amsterdam s harbour  (Jan 11, 2003)</t>
  </si>
  <si>
    <t>Event at Amsterdam on Jan 11, 2003</t>
  </si>
  <si>
    <t>2003-01-10T00:00:00Z</t>
  </si>
  <si>
    <t>reportedly drowned, after shipwreck near Larache (Ma) (Jan 10, 2003)</t>
  </si>
  <si>
    <t>Event at Larache on Jan 10, 2003</t>
  </si>
  <si>
    <t>SOS</t>
  </si>
  <si>
    <t>drowned after shipwreck near Larache (Morocco) (Jan 10, 2003)</t>
  </si>
  <si>
    <t>suicide, hanged himself in Polmont Prison (GB) in fear of deportation (Jan 10, 2003)</t>
  </si>
  <si>
    <t>Polmont Prison, UK</t>
  </si>
  <si>
    <t>Event at Polmont Prison, Uk on Jan 10, 2003</t>
  </si>
  <si>
    <t>2003-01-09T00:00:00Z</t>
  </si>
  <si>
    <t>dead bodies found in a refrigerator truck which took fire on way to Algesiras (E) (Jan 9, 2003)</t>
  </si>
  <si>
    <t>Event at Algesiras on Jan 09, 2003</t>
  </si>
  <si>
    <t>He died a boy falling under the bus which was traveling tucked away in Ceuta to Algeciras to board the ferry (Jan 10, 2003)</t>
  </si>
  <si>
    <t>Event at Algeciras on Jan 09, 2003</t>
  </si>
  <si>
    <t>http://www.elpais.com/articulo/espana/Muere/Ceuta/marroqui/caer/autobus/escondia/elpepiesp/20030110elpepinac_20/Tes</t>
  </si>
  <si>
    <t>died on a ship and thrown overboard on way from Tunisia to Sicily (I) (Jan 9, 2003)</t>
  </si>
  <si>
    <t>Event at Tunis on Jan 09, 2003</t>
  </si>
  <si>
    <t>Haarlems Dagblad</t>
  </si>
  <si>
    <t>died on a boat on the way from Tunisia to Sicily (I) (Jan 9, 2003)</t>
  </si>
  <si>
    <t>stowaways, suffocated in cargo ship on way from Ivory Coast to La Coruna (E) (Jan 9, 2003)</t>
  </si>
  <si>
    <t>La Coruna, Spain</t>
  </si>
  <si>
    <t>Event at La Coruna, Spain on Jan 09, 2003</t>
  </si>
  <si>
    <t>drowned, jumped  off  vessel  off the coast of  Havre (F) (Jan 9, 2003)</t>
  </si>
  <si>
    <t>Event at Havre on Jan 09, 2003</t>
  </si>
  <si>
    <t>2003-01-08T00:00:00Z</t>
  </si>
  <si>
    <t>drowned after their overloaded boat sunk off the Tunisian coast, on way to Italy (Jan 8, 2003)</t>
  </si>
  <si>
    <t>Event at Tunis on Jan 08, 2003</t>
  </si>
  <si>
    <t>suicide, found hanged in a building site in Govan, Glasgow (GB) (Jan 8, 2003)</t>
  </si>
  <si>
    <t>Event at Glasgow on Jan 08, 2003</t>
  </si>
  <si>
    <t>2003-01-07T00:00:00Z</t>
  </si>
  <si>
    <t>reportedly drowned after boat sank off the shore of Fuerteventura (E) (Jan 7, 2003)</t>
  </si>
  <si>
    <t>Event at Fuerteventura on Jan 07, 2003</t>
  </si>
  <si>
    <t>MNS/AFP/MUGAK</t>
  </si>
  <si>
    <t>drowned, forced to jump into sea and threatened with a knife by 2 skippers. (Jan 7, 2003)</t>
  </si>
  <si>
    <t>Event at Africa To Spain on Jan 07, 2003</t>
  </si>
  <si>
    <t>drowned after shipwreck near Barbate (E) (Jan 7, 2003)</t>
  </si>
  <si>
    <t>Event at Barbate on Jan 07, 2003</t>
  </si>
  <si>
    <t>2003-01-06T00:00:00Z</t>
  </si>
  <si>
    <t>drowned while being transferred to a Guardia Civil launch near Fuerteventura (Jan 6, 2003)</t>
  </si>
  <si>
    <t>Event at Fuerteventura on Jan 06, 2003</t>
  </si>
  <si>
    <t>Recovered from the sea the remains of six people on the island of Symi (Jan 7, 2003)</t>
  </si>
  <si>
    <t>symi</t>
  </si>
  <si>
    <t>Event at Symi on Jan 06, 2003</t>
  </si>
  <si>
    <t>http://www.ekathimerini.com/4dcgi/_w_articles_politics_100013_07/01/2003_24909</t>
  </si>
  <si>
    <t>Minefield in Evros, greek-turkish border. An explosion ago 2 dead and one wounded. They tried to enter illegally in Greece (Jan 7, 2003)</t>
  </si>
  <si>
    <t>Event at Evros on Jan 06, 2003</t>
  </si>
  <si>
    <t>bodies found by life boat crew in the water in the Channel, dead trying to enter Britain (Jan 6, 2003)</t>
  </si>
  <si>
    <t>Channel</t>
  </si>
  <si>
    <t>Event at Channel on Jan 06, 2003</t>
  </si>
  <si>
    <t>suicide, set himself on fire in Aliens Office of G√ºtersloh (D) in fear of deportation (Jan 6, 2003)</t>
  </si>
  <si>
    <t>G√ºtersloh, Germany</t>
  </si>
  <si>
    <t>Event at G√ºTersloh, Germany on Jan 06, 2003</t>
  </si>
  <si>
    <t>ERB</t>
  </si>
  <si>
    <t>2003-01-05T00:00:00Z</t>
  </si>
  <si>
    <t>drowned, dead body found in Ceuta (E/MA), they tried to reach coast by swimming (Jan 5, 2003)</t>
  </si>
  <si>
    <t>Event at Ceuta on Jan 05, 2003</t>
  </si>
  <si>
    <t>found dead in the back of a Greek truck at the border between Italy and Slovenia (Jan 5, 2003)</t>
  </si>
  <si>
    <t>slovenia</t>
  </si>
  <si>
    <t>Event at Slovenia on Jan 05, 2003</t>
  </si>
  <si>
    <t>dead body found in a forrest not far from the border between Ukraine and Slovakia (Jan 5, 2003). From Del Grande's data set (translated): 3 dead frostbitten men from India along the mountains between Ukraine and Slovakia, in Vysna Rybnica, trying to cross the border illegally (Jan 8, 2003)</t>
  </si>
  <si>
    <t>Event at Slovakia on Jan 05, 2003</t>
  </si>
  <si>
    <t>http://timesofindia.indiatimes.com/cms.dll/html/uncomp/articleshow?artid=33745500</t>
  </si>
  <si>
    <t>2003-01-04T00:00:00Z</t>
  </si>
  <si>
    <t>suffocated, trapped on the border-fence in Melilla (E/MA) (Jan 4, 2003)</t>
  </si>
  <si>
    <t>Event at Melilla on Jan 04, 2003</t>
  </si>
  <si>
    <t>drowned, found floating near Lampedusa (I) (Jan 4, 2003)</t>
  </si>
  <si>
    <t>Event at Lampedusa on Jan 04, 2003</t>
  </si>
  <si>
    <t>TL</t>
  </si>
  <si>
    <t>2003-01-03T00:00:00Z</t>
  </si>
  <si>
    <t>dead bodies found in the coasts of Lanzarote (E) (Jan 3, 2003)</t>
  </si>
  <si>
    <t>Event at Lanzarote on Jan 03, 2003</t>
  </si>
  <si>
    <t>drowned, dead bodies found on the beach in Tarifa (E) (Jan 3, 2003)</t>
  </si>
  <si>
    <t>Event at Tarifa on Jan 03, 2003</t>
  </si>
  <si>
    <t>2003-01-02T00:00:00Z</t>
  </si>
  <si>
    <t>dead bodies found in the touristic area of Costa Teguise (E) (Jan 2, 2003)</t>
  </si>
  <si>
    <t>teguise</t>
  </si>
  <si>
    <t>Event at Teguise on Jan 02, 2003</t>
  </si>
  <si>
    <t>blown in  minefield at the border between Turkey and Greece (Jan 2, 2003)</t>
  </si>
  <si>
    <t>Event at Thrace on Jan 02, 2003</t>
  </si>
  <si>
    <t>2003-01-01T00:00:00Z</t>
  </si>
  <si>
    <t>drowned, trying to reach Melilla (E/MA) swimming from Beniezar (MA), cold sea fatal (Jan 1, 2003)</t>
  </si>
  <si>
    <t>Event at Melilla on Jan 01, 2003</t>
  </si>
  <si>
    <t>Sinking a boat after a crash against the rocks of Guadalmes, Tarifa. 7 bodies recovered from the sea (Jan 2, 2003)</t>
  </si>
  <si>
    <t>Event at Tarifa on Jan 01, 2003</t>
  </si>
  <si>
    <t>http://www.elpais.com/articulo/espana/Reanudan/labores/busqueda/inmigrantes/desaparecidos/Tarifa/elpepuesp/20030104elpepunac_2/Tes</t>
  </si>
  <si>
    <t>suffocated, stowaway in a bus on a ferry going from Nador (MA) to Almeria (E) (Jan 1, 2003)</t>
  </si>
  <si>
    <t>Almeria, Spain</t>
  </si>
  <si>
    <t>Event at Almeria, Spain on Jan 01, 2003</t>
  </si>
  <si>
    <t>stowaway, died attempting to disembark from a boat in Motril-Granada (E) (Jan 1, 2003)</t>
  </si>
  <si>
    <t>Event at Granada on Jan 01, 2003</t>
  </si>
  <si>
    <t>2002-09-26T00:00:00Z</t>
  </si>
  <si>
    <t>3Q2002</t>
  </si>
  <si>
    <t>2002 -- 9</t>
  </si>
  <si>
    <t>2 bodies recovered at two different points on the coast of Almeria (Sep 27, 2002)</t>
  </si>
  <si>
    <t>Event at Almeria on Sep 26, 2002</t>
  </si>
  <si>
    <t>2002-09-25T00:00:00Z</t>
  </si>
  <si>
    <t>reportedly drowned, when fishing boat heading for Lesbos (GR) sank near Narli (TR) (Sep 25, 2002). From Del Grande's data set (translated): Direct boat in Greece, the island of Lesbos, is shipwrecked off the coast of Ayvacik. 3 dead and 10 missing (Sep 28, 2002)</t>
  </si>
  <si>
    <t>Event at Lesbos on Sep 25, 2002</t>
  </si>
  <si>
    <t>HRFT/AFP</t>
  </si>
  <si>
    <t>http://www.turkishdailynews.com.tr/archives.php?id=29519</t>
  </si>
  <si>
    <t>drowned, when fishing boat heading for Lesbos (GR) sank near Narli (TR) (Sep 25, 2002)</t>
  </si>
  <si>
    <t>2002-09-21T00:00:00Z</t>
  </si>
  <si>
    <t>died when security forces tried to stop 70 people from crossing the Iranian-Turkish border (Sep 21, 2002). From Del Grande's data set (translated): A dead along the Iran-Turkey border during clashes between police and migrants 70 (Sep 22, 2002)</t>
  </si>
  <si>
    <t>Event at Iran on Sep 21, 2002</t>
  </si>
  <si>
    <t>HRFT</t>
  </si>
  <si>
    <t>http://www.tihv.org.tr/EN/</t>
  </si>
  <si>
    <t>drowned, forced by smugglers to swim ashore near Scoglitti (south Sicily, I) (Sep 21, 2002). From Del Grande's data set (translated): One smuggler abandoned at sea, 300 meters from the coast of Ragusa, Sicily, about sixty passengers, drowning 14 people (Sep 22, 2002)</t>
  </si>
  <si>
    <t>scoglitti</t>
  </si>
  <si>
    <t>Event at Scoglitti on Sep 21, 2002</t>
  </si>
  <si>
    <t>VK/MNS/IRR/TL/LR/MUGAK/Vita</t>
  </si>
  <si>
    <t>http://www.repubblica.it/online/cronaca/sbarcodue/ragusano/ragusano.html</t>
  </si>
  <si>
    <t>2002-09-15T00:00:00Z</t>
  </si>
  <si>
    <t>stowaway, froze to death in wheel bay of airplane from Cameroon to Paris (F) (Sep 15, 2002). From Del Grande's data set (translated): Found in Paris on the body of a man frozen to death hidden in the undercarriage of a plane departed from Cameroon to Paris (Sep 16, 2002)</t>
  </si>
  <si>
    <t>Event at Paris on Sep 15, 2002</t>
  </si>
  <si>
    <t>Morgeng./MNS</t>
  </si>
  <si>
    <t>2002-09-14T00:00:00Z</t>
  </si>
  <si>
    <t>drowned, after boat with more than 100 refugees capsized south of Sicily (Sep 14, 2002)</t>
  </si>
  <si>
    <t>Event at Sicily on Sep 14, 2002</t>
  </si>
  <si>
    <t>VK/AP/Morgengr./MNS/HRFT/ICARE/IRR/inq7/HRA/Reu/Vita/MUGAK</t>
  </si>
  <si>
    <t>drowned, boat with more than 100 refugees aboard capsized south of Sicily (Sep 14, 2002). From Del Grande's data set (translated): Agrigento: sinking boat about a half mile from Capo Rossello. Recovered 37 bodies. 92 Survivors (Sep 15, 2002)</t>
  </si>
  <si>
    <t>Event at Capo on Sep 14, 2002</t>
  </si>
  <si>
    <t>http://www.repubblica.it/online/cronaca/sbarco/agrigentino/agrigentino.html</t>
  </si>
  <si>
    <t>2002-09-13T00:00:00Z</t>
  </si>
  <si>
    <t>suicide, hung himself in a refugee centre in Germany in fear of deportation (Sep 13, 2002)</t>
  </si>
  <si>
    <t>Event at Germany on Sep 13, 2002</t>
  </si>
  <si>
    <t>2002-09-12T00:00:00Z</t>
  </si>
  <si>
    <t>Port of Algeciras. During an inspection of the containers on board a ship from Tangier match is found the corpse of a young man died asphyxiated traveling hidden in a shipping container (Sep 13, 2002)</t>
  </si>
  <si>
    <t>Event at Algeciras on Sep 12, 2002</t>
  </si>
  <si>
    <t>http://www.elpais.com/articulo/espana/CaDIZ/inmigrante/irregular/muere/asfixiado/contenedor/puerto/Algeciras/elpepiesp/20020913elpepinac_6/Tes</t>
  </si>
  <si>
    <t>2002-09-07T00:00:00Z</t>
  </si>
  <si>
    <t>Kurds, died on refugee boat between Italy and Greece (Sep 7, 2002)</t>
  </si>
  <si>
    <t>Event at Greece To Italy on Sep 07, 2002</t>
  </si>
  <si>
    <t>Kurdish Observer</t>
  </si>
  <si>
    <t>2002-09-06T00:00:00Z</t>
  </si>
  <si>
    <t>suicide, hung himself in detention centre in Malaga (E) in fear of expulsion (Sep 6, 2002)</t>
  </si>
  <si>
    <t>Event at Malaga on Sep 06, 2002</t>
  </si>
  <si>
    <t>2002-09-04T00:00:00Z</t>
  </si>
  <si>
    <t>Found along the coast of Tarifa the bodies of two young men drowned (Sep 5, 2002)</t>
  </si>
  <si>
    <t>Event at Tarifa on Sep 04, 2002</t>
  </si>
  <si>
    <t>http://www.elpais.com/articulo/espana/Guardia/Civil/recupera/cadaveres/jovenes/magrebies/aguas/Tarifa/elpepiesp/20020905elpepinac_9/Tes</t>
  </si>
  <si>
    <t>2002-09-01T00:00:00Z</t>
  </si>
  <si>
    <t>Kurd, suicide, jumped in front of train in Stadtallendorf (D) in fear of deportation (Sep 1, 2002)</t>
  </si>
  <si>
    <t>Stadtallendorf, Germany</t>
  </si>
  <si>
    <t>Event at Stadtallendorf, Germany on Sep 01, 2002</t>
  </si>
  <si>
    <t>INDd/jW/IRR</t>
  </si>
  <si>
    <t>2002-08-31T00:00:00Z</t>
  </si>
  <si>
    <t>2002 -- 8</t>
  </si>
  <si>
    <t>frozen to death trying to cross Turkish-Greek border illegally near Edirne (TR) (Aug 31, 2002)</t>
  </si>
  <si>
    <t>edirne</t>
  </si>
  <si>
    <t>Event at Edirne on Aug 31, 2002</t>
  </si>
  <si>
    <t>2002-08-30T00:00:00Z</t>
  </si>
  <si>
    <t>Kurds, stowaways found suffocated in truck near Napels (I) coming from GR (Aug 30, 2002). From Del Grande's data set (translated): Caserta having suffocated in trucks were hidden, 9 dead (Sep 1, 2002)</t>
  </si>
  <si>
    <t>napels</t>
  </si>
  <si>
    <t>Event at Napels on Aug 30, 2002</t>
  </si>
  <si>
    <t>OBV/MUGAK</t>
  </si>
  <si>
    <t>2002-08-27T00:00:00Z</t>
  </si>
  <si>
    <t>Kurd, died near village Vyssa (TR/GR border) after straying into marked minefield (Aug 27, 2002). From Del Grande's data set (translated): Minefield on the border with Turkey. An explosion kills a man trying to enter Greece. Since 1990, 64 deaths on mines (Aug 29, 2002)</t>
  </si>
  <si>
    <t>Vyssa, Turkey</t>
  </si>
  <si>
    <t>Event at Vyssa, Turkey on Aug 27, 2002</t>
  </si>
  <si>
    <t>http://www.ekathimerini.com/4dcgi/news/content.asp?aid=20273</t>
  </si>
  <si>
    <t>2002-08-21T00:00:00Z</t>
  </si>
  <si>
    <t>drowned near Fuerteventura (E) traffickers forced them to swim ashore   (Aug 21, 2002)</t>
  </si>
  <si>
    <t>Event at Fuerteventura on Aug 21, 2002</t>
  </si>
  <si>
    <t>ANP/AFP</t>
  </si>
  <si>
    <t>2002-08-18T00:00:00Z</t>
  </si>
  <si>
    <t>stowaways, already decomposing bodies were found inside lorry in Billabona (E) (Aug 18, 2002). From Del Grande's data set (translated): Villabona, 4 young people found dead in a truck departed from Casablanca to Paris (Aug 20, 2002)</t>
  </si>
  <si>
    <t>Event at Paris on Aug 18, 2002</t>
  </si>
  <si>
    <t>MNS/taz/AFP</t>
  </si>
  <si>
    <t>http://www.elpais.com/articulo/espana/GUIPUZCOA/inmigrantes/hallados/muertos/camion/marroqui/Villabona/elpepiesp/20020820elpepinac_18/Tes</t>
  </si>
  <si>
    <t>2002-08-17T00:00:00Z</t>
  </si>
  <si>
    <t>At least 26 people are reported missing after the sinking of a vessel from the Hoceima game for Spain (Aug 18, 2002)</t>
  </si>
  <si>
    <t>Event at Hoceima on Aug 17, 2002</t>
  </si>
  <si>
    <t>2002-08-09T00:00:00Z</t>
  </si>
  <si>
    <t>4 year old girl dies on a kwassa kwassa party from Anjouan and Mayotte intercepted north of (Aug 10, 2002)</t>
  </si>
  <si>
    <t>Event at Mayotte on Aug 09, 2002</t>
  </si>
  <si>
    <t>reportedly drowned, boat capsized near Barbate (E) avoiding detection by SIVE (Aug 9, 2002)</t>
  </si>
  <si>
    <t>Event at Barbate on Aug 09, 2002</t>
  </si>
  <si>
    <t>drowned, boat capsized near Barbate (E) avoiding detection by SIVE cameras  (Aug 9, 2002)</t>
  </si>
  <si>
    <t>2002-08-05T00:00:00Z</t>
  </si>
  <si>
    <t>drowned, dead body found at the shore of Menderes district (TR) (Aug 5, 2002)</t>
  </si>
  <si>
    <t>menderes</t>
  </si>
  <si>
    <t>Event at Menderes on Aug 05, 2002</t>
  </si>
  <si>
    <t>reportedly drowned when smugglers forced them to swim ashore near Puglia (I) (Aug 5, 2002)</t>
  </si>
  <si>
    <t>Event at Puglia on Aug 05, 2002</t>
  </si>
  <si>
    <t>HRFT/ECRE/Vita/TL</t>
  </si>
  <si>
    <t>drowned when smugglers forced them to swim ashore near Puglia (I) (Aug 5, 2002)</t>
  </si>
  <si>
    <t>2002-08-03T00:00:00Z</t>
  </si>
  <si>
    <t>34 lost at sea on a kwassa kwassa party from Bimbao, Anjouan to Mayotte (Aug 4, 2002)</t>
  </si>
  <si>
    <t>Event at Mayotte on Aug 03, 2002</t>
  </si>
  <si>
    <t>2002-08-01T00:00:00Z</t>
  </si>
  <si>
    <t>Landing in Tarifa. At 150 meters from the shore the two rails of the boat force passengers to dive and continue swimming. At least 13 people die drowned (Aug 2, 2002)</t>
  </si>
  <si>
    <t>Event at Tarifa on Aug 01, 2002</t>
  </si>
  <si>
    <t>http://www.elpais.com/articulo/espana/Trece/inmigrantes/ahogados/intentar/llegar/Tarifa/elpepiesp/20020802elpepinac_2/Tes</t>
  </si>
  <si>
    <t>2002-07-29T00:00:00Z</t>
  </si>
  <si>
    <t>2002 -- 7</t>
  </si>
  <si>
    <t>died of two consecutive heart attacks in police station on Fuerteventura (E) (Jul 29, 2002)</t>
  </si>
  <si>
    <t>Event at Fuerteventura on Jul 29, 2002</t>
  </si>
  <si>
    <t>Statewatch/IRR</t>
  </si>
  <si>
    <t>stowaway, died of hypothermia in wheel bay of airplane from Rio to Paris (F) (Jul 29, 2002). From Del Grande's data set (translated): Found in Paris on the body of a man frozen to death hidden in the undercarriage of a plane left Brazil to Paris (Jul 30, 2002)</t>
  </si>
  <si>
    <t>Event at Paris on Jul 29, 2002</t>
  </si>
  <si>
    <t>AP/MNS</t>
  </si>
  <si>
    <t>2002-07-20T00:00:00Z</t>
  </si>
  <si>
    <t>missing, after an Italian customs patrol boat and the dinghy collided near Vlora (Al) (Jul 20, 2002)</t>
  </si>
  <si>
    <t>Event at Vlora on Jul 20, 2002</t>
  </si>
  <si>
    <t>Statewatch/VK</t>
  </si>
  <si>
    <t>drowned, after an Italian customs patrol boat and the dinghy collided near Vlora (Al) (Jul 20, 2002). From Del Grande's data set (translated): Off the coast of Vlora in a collision between a boat and a patrol boat of the Guardia di Finanza 2 people die (Jul 22, 2002)</t>
  </si>
  <si>
    <t>Statewatch/VK/TL/Vita</t>
  </si>
  <si>
    <t>http://www.repubblica.it/online/cronaca/sbarco/scontro/scontro.html</t>
  </si>
  <si>
    <t>2002-07-10T00:00:00Z</t>
  </si>
  <si>
    <t>Shipwreck off the coast of Fuerteventura, in the Canary Islands, 5 missing (Jul 11, 2002)</t>
  </si>
  <si>
    <t>Event at Fuerteventura on Jul 10, 2002</t>
  </si>
  <si>
    <t>http://www.elpais.com/articulo/espana/FUERTEVENTURA/desaparecidos/hundirse/patera/Fuerteventura/elpepiesp/20020711elpepinac_31/Tes</t>
  </si>
  <si>
    <t>Found the body of a drowned man on the beaches of Tuineje, Fuerteventura, in the Canary Islands (Jul 11, 2002)</t>
  </si>
  <si>
    <t>http://www.elpais.com/articulo/espana/GUARDIA/CIVIL/RESCATA/CADaVER/INMIGRANTE/elpepiesp/20020711elpepinac_32/Tes</t>
  </si>
  <si>
    <t>2002-07-05T00:00:00Z</t>
  </si>
  <si>
    <t>7 found dead in the sea, off the coast of Corfu and close to Athens (Jul 6, 2002)</t>
  </si>
  <si>
    <t>Event at Athens on Jul 05, 2002</t>
  </si>
  <si>
    <t>http://www.ekathimerini.com/4dcgi/news/content.asp?aid=18400</t>
  </si>
  <si>
    <t>2002-07-04T00:00:00Z</t>
  </si>
  <si>
    <t>Found a corpse in the cargo bed of a truck greek to Venice, where he traveled secretly (Jul 5, 2002)</t>
  </si>
  <si>
    <t>Event at Venice on Jul 04, 2002</t>
  </si>
  <si>
    <t>suicide, found hanged in Bristol (GB), after his asylum claim was refused (Jul 4, 2002)</t>
  </si>
  <si>
    <t>Event at Bristol on Jul 04, 2002</t>
  </si>
  <si>
    <t>NCADC/CARF/IRR/ERB/BBC</t>
  </si>
  <si>
    <t>2002-07-03T00:00:00Z</t>
  </si>
  <si>
    <t>Died of a heart attack a man just landed detained at the police station of Fuerteventura, in the Canary Islands (Jul 4, 2002)</t>
  </si>
  <si>
    <t>Event at Fuerteventura on Jul 03, 2002</t>
  </si>
  <si>
    <t>http://www.elpais.com/articulo/espana/FUERTEVENTURA/extranjero/muerto/comisaria/Fuerteventura/sufrio/infartos/elpepiesp/20020704elpepinac_18/Tes</t>
  </si>
  <si>
    <t>2002-07-02T00:00:00Z</t>
  </si>
  <si>
    <t>missing, after vessel capsized in rough sea between Lampedusa (I) and Malta (Jul 2, 2002)</t>
  </si>
  <si>
    <t>Event at Lampedusa on Jul 02, 2002</t>
  </si>
  <si>
    <t>VK/MigrantNews/MNS/AFP/CNN/DPA/ANP/SZ/Rheinpfalz/Statewatch/TG/MUGAK/ProAsyl</t>
  </si>
  <si>
    <t>drowned, after vessel capsized in rough sea between Lampedusa (I) and Malta (Jul 2, 2002)</t>
  </si>
  <si>
    <t>VK/MigrantNews/MNS/AFP/CNN/DPA/ANP/SZ/Rheinpfalz/Statewatch/TG/MUGAK/TL/Vita</t>
  </si>
  <si>
    <t>Found the body of a young man along the border between Ceuta and Morocco, died of a strong blow to the chest after a fall (Jul 3, 2002)</t>
  </si>
  <si>
    <t>Event at Ceuta on Jul 02, 2002</t>
  </si>
  <si>
    <t>http://www.elpais.com/articulo/espana/africano/muere/despenado/frontera/ceuti/elpepiesp/20020703elpepinac_18/Tes</t>
  </si>
  <si>
    <t>2002-07-01T00:00:00Z</t>
  </si>
  <si>
    <t>Brindisi: suffocated in trucks where they were hidden, 2 dead (Jul 2, 2002)</t>
  </si>
  <si>
    <t>Event at Brindisi on Jul 01, 2002</t>
  </si>
  <si>
    <t>2002-06-27T00:00:00Z</t>
  </si>
  <si>
    <t>2Q2002</t>
  </si>
  <si>
    <t>2002 -- 6</t>
  </si>
  <si>
    <t>Sinking boat off the coast of Kos in the Dodecanese, 6 dead and 6 missing (Jun 28, 2002)</t>
  </si>
  <si>
    <t>Event at Kos on Jun 27, 2002</t>
  </si>
  <si>
    <t>http://www.turkishdailynews.com.tr/archives.php?id=28553</t>
  </si>
  <si>
    <t>2002-06-26T00:00:00Z</t>
  </si>
  <si>
    <t>reportedly drowned, boat from Turkey to Kos (GR) sank near Datca (TR) (Jun 26, 2002)</t>
  </si>
  <si>
    <t>Event at Kos on Jun 26, 2002</t>
  </si>
  <si>
    <t>VK/MNS/HRFT/IRR</t>
  </si>
  <si>
    <t>drowned, the boat bringing them from Turkey to Kos (GR) sank near Datca (TR) (Jun 26, 2002)</t>
  </si>
  <si>
    <t>2002-06-23T00:00:00Z</t>
  </si>
  <si>
    <t>drowned, fell off overloaded rubber boat after it collided against rocks near Spain (Jun 23, 2002)</t>
  </si>
  <si>
    <t>Event at Africa To Spain on Jun 23, 2002</t>
  </si>
  <si>
    <t>died in a car accident after taxi driver tried to escape the border police (TR-GR)  (Jun 23, 2002)</t>
  </si>
  <si>
    <t>Event at Turkey To Greece on Jun 23, 2002</t>
  </si>
  <si>
    <t>2 men killed by the fire of the Turkish police along the border with Iran to Aslanyazi (Jun 24, 2002)</t>
  </si>
  <si>
    <t>Aslanyazi, turkey</t>
  </si>
  <si>
    <t>Event at Aslanyazi, Turkey on Jun 23, 2002</t>
  </si>
  <si>
    <t>Hrft</t>
  </si>
  <si>
    <t>2002-06-22T00:00:00Z</t>
  </si>
  <si>
    <t>died after lack of medical treatment in asylum seeker centre Vught (NL) (Jun 22, 2002)</t>
  </si>
  <si>
    <t>Vught, Netherlands</t>
  </si>
  <si>
    <t>Event at Vught, Netherlands on Jun 22, 2002</t>
  </si>
  <si>
    <t>NRC</t>
  </si>
  <si>
    <t>2002-06-18T00:00:00Z</t>
  </si>
  <si>
    <t>drowned, after boat capsized near Lanzarote, island part of Canary Islands (E) (Jun 18, 2002). From Del Grande's data set (translated): Shipwreck off the coast of Lanzarote, in the Canary Islands, 3 dead (Jun 20, 2002)</t>
  </si>
  <si>
    <t>Event at Lanzarote on Jun 18, 2002</t>
  </si>
  <si>
    <t>http://www.elpais.com/articulo/espana/extranjeros/papeles/mueren/naufragio/Lanzarote/elpepiesp/20020620elpepinac_19/Tes</t>
  </si>
  <si>
    <t>shot by security forces when trying to enter Turkey near Aslanyazi (Jun 18, 2002)</t>
  </si>
  <si>
    <t>Event at Aslanyazi, Turkey on Jun 18, 2002</t>
  </si>
  <si>
    <t>HRFT/ProAsyl</t>
  </si>
  <si>
    <t>2002-06-14T00:00:00Z</t>
  </si>
  <si>
    <t>drowned, forced to swim to a ship which would have carried them from TN to I (Jun 14, 2002). From Del Grande's data set (translated): Mob Kelibia to embark towards Sicily, the smugglers moor the ship at a distance from the shore and on board admit only the first 70 reaching to swim the boat, 4 men die drowned (Jun 18, 2002)</t>
  </si>
  <si>
    <t>Event at Sicily on Jun 14, 2002</t>
  </si>
  <si>
    <t>Spits/MNS/MN/TL</t>
  </si>
  <si>
    <t>2002-06-11T00:00:00Z</t>
  </si>
  <si>
    <t>Sinking canoe in the waters of the English Channel, drowning 1 of 2 migrants bound for England (Jun 12, 2002)</t>
  </si>
  <si>
    <t>Event at England on Jun 11, 2002</t>
  </si>
  <si>
    <t>http://www.irr.org.uk/2006/december/ak000015.html</t>
  </si>
  <si>
    <t>2002-06-10T00:00:00Z</t>
  </si>
  <si>
    <t>Found the bodies of two other men drowned on the coast of Menderes, Izmir (Jun 11, 2002)</t>
  </si>
  <si>
    <t>Event at Izmir on Jun 10, 2002</t>
  </si>
  <si>
    <t>2002-06-07T00:00:00Z</t>
  </si>
  <si>
    <t>drowned, found dead on the beach of Los Carabos in Melilla (E/MA) (Jun 7, 2002)</t>
  </si>
  <si>
    <t>Event at Melilla on Jun 07, 2002</t>
  </si>
  <si>
    <t>Lecce: smugglers spotted by the Guardia di Finanza, throwing 40 people overboard and stab two men who resist. 4 drowned (Jun 8, 2002)</t>
  </si>
  <si>
    <t>lecce</t>
  </si>
  <si>
    <t>Event at Lecce on Jun 07, 2002</t>
  </si>
  <si>
    <t>http://www.repubblica.it/online/cronaca/sbarco/castromarina/castromarina.html</t>
  </si>
  <si>
    <t>2002-06-01T00:00:00Z</t>
  </si>
  <si>
    <t>Deaths in the desert in the north west of Sudan 45 men trying to enter Libya to emigrate to Europe (Jun 2, 2002)</t>
  </si>
  <si>
    <t>Event at Sudan on Jun 01, 2002</t>
  </si>
  <si>
    <t>2002-05-30T00:00:00Z</t>
  </si>
  <si>
    <t>2002 -- 5</t>
  </si>
  <si>
    <t>Found 19 corpses, including 9 children. Died of cold walking through the border between Turkey and Iran into Europe (May 31, 2002)</t>
  </si>
  <si>
    <t>Event at Iran on May 30, 2002</t>
  </si>
  <si>
    <t>http://www.ekathimerini.com/4dcgi/news/content.asp?aid=17050</t>
  </si>
  <si>
    <t>Found along the coast of Menderes Airport in Izmir, the bodies of drowned migrants 5 (May 31, 2002)</t>
  </si>
  <si>
    <t>Event at Izmir on May 30, 2002</t>
  </si>
  <si>
    <t>http://www.turkishdailynews.com.tr/archives.php?id=28202</t>
  </si>
  <si>
    <t>2002-05-28T00:00:00Z</t>
  </si>
  <si>
    <t>found dead on beach of Maydanoz in Izmir province in Western Turkey (May 28, 2002)</t>
  </si>
  <si>
    <t>Event at Izmir on May 28, 2002</t>
  </si>
  <si>
    <t>Spits/MNS/HRFT</t>
  </si>
  <si>
    <t>2002-05-25T00:00:00Z</t>
  </si>
  <si>
    <t>died in attempt to enter Melilla (E/MA), got trapped in frontier fence and suffocated (May 25, 2002). From Del Grande's data set (translated): A minor boy dies suffocated after being trapped in the network that was climbing to get to Melilla from Morocco (May 27, 2002)</t>
  </si>
  <si>
    <t>Event at Melilla on May 25, 2002</t>
  </si>
  <si>
    <t>http://www.elpais.com/articulo/espana/MELILLA/menor/marroqui/muere/atrapado/intentar/cruzar/valla/fronteriza/Melilla/elpepiesp/20020527elpepinac_16/Tes</t>
  </si>
  <si>
    <t>2002-05-22T00:00:00Z</t>
  </si>
  <si>
    <t>Turkish Coast Guard fires on boat with 250 people on board after refusing to stop. 1 dead, 7 injured (May 23, 2002)</t>
  </si>
  <si>
    <t>Event at Cyprus on May 22, 2002</t>
  </si>
  <si>
    <t>http://www.ekathimerini.com/4dcgi/news/content.asp?aid=16746</t>
  </si>
  <si>
    <t>died when lorry with 35 refugees inside turned over near K√∂pr√ºk√∂y (TR) (May 22, 2002)</t>
  </si>
  <si>
    <t>K√∂prak√∂y, Tukey</t>
  </si>
  <si>
    <t>Event at K√∂Prak√∂Y, Tukey on May 22, 2002</t>
  </si>
  <si>
    <t>2002-05-21T00:00:00Z</t>
  </si>
  <si>
    <t>shot to death on a vessel near Cyprus by Turkish coast guards, on way to Italy (May 21, 2002)</t>
  </si>
  <si>
    <t>Event at Cyprus on May 21, 2002</t>
  </si>
  <si>
    <t>MNS/Vivre/Parool/HRFT</t>
  </si>
  <si>
    <t>2002-05-19T00:00:00Z</t>
  </si>
  <si>
    <t>We found 8 bodies, including one child, drowned with a ship carrying 16 Turkish Kurds along a river on the border with Bosnia (May 20, 2002)</t>
  </si>
  <si>
    <t>Croatia</t>
  </si>
  <si>
    <t>Event at Croatia on May 19, 2002</t>
  </si>
  <si>
    <t>http://www.ekathimerini.com/4dcgi/news/content.asp?aid=16605</t>
  </si>
  <si>
    <t>2002-05-15T00:00:00Z</t>
  </si>
  <si>
    <t>stowaway, found dead in the wheelarch of a flight from Ghana to Great Britain. (May 15, 2002). From Del Grande's data set (translated): He died frozen to death a man hidden in the undercarriage of a plane landed at Heathrow from Ghana (May 17, 2002)</t>
  </si>
  <si>
    <t>Event at Heathrow on May 15, 2002</t>
  </si>
  <si>
    <t>http://www.telegraph.co.uk/news/main.jhtml?xml=/news/2002/05/17/nbul17.xml</t>
  </si>
  <si>
    <t>2002-05-14T00:00:00Z</t>
  </si>
  <si>
    <t>stowaway found in undercarriage of plane from Accra (Ghana) at Heathrow (GB) (May 14, 2002)</t>
  </si>
  <si>
    <t>Event at Heathrow on May 14, 2002</t>
  </si>
  <si>
    <t>2002-05-12T00:00:00Z</t>
  </si>
  <si>
    <t>Kurds, drowned when boat capsized crossing river Sava between HR and BH (May 12, 2002)</t>
  </si>
  <si>
    <t>sava</t>
  </si>
  <si>
    <t>Event at Sava on May 12, 2002</t>
  </si>
  <si>
    <t>MNS/HRFT</t>
  </si>
  <si>
    <t>Kurd, drowned when boat capsized crossing river Sava between Croatia and Bosnia (May 12, 2002)</t>
  </si>
  <si>
    <t>MNS/HRFT/NCAs</t>
  </si>
  <si>
    <t>2002-05-11T00:00:00Z</t>
  </si>
  <si>
    <t>Found in Deuil-la-Barre the body of a man who fell from the undercarriage of a plane to Paris, where he traveled secretly (May 12, 2002)</t>
  </si>
  <si>
    <t>Event at Paris on May 11, 2002</t>
  </si>
  <si>
    <t>2002-05-08T00:00:00Z</t>
  </si>
  <si>
    <t>drowned, forced by smugglers to swim ashore near Tarifa (E) (May 8, 2002)</t>
  </si>
  <si>
    <t>Event at Tarifa on May 08, 2002</t>
  </si>
  <si>
    <t>2002-05-05T00:00:00Z</t>
  </si>
  <si>
    <t>Kurd, shot death during fight between illegal immigrants in refugee camp in Calais (F) (May 5, 2002)</t>
  </si>
  <si>
    <t>Event at Calais on May 05, 2002</t>
  </si>
  <si>
    <t>VK/SP</t>
  </si>
  <si>
    <t>2002-04-23T00:00:00Z</t>
  </si>
  <si>
    <t>2002 -- 4</t>
  </si>
  <si>
    <t>drowned, after boat smashed into reefs near the Canary Island of Lanzarote (E) (Apr 23, 2002). From Del Grande's data set (translated): Boat collides against the rocks in Lanzarote, 11 dead (Apr 23, 2002)</t>
  </si>
  <si>
    <t>Event at Lanzarote on Apr 23, 2002</t>
  </si>
  <si>
    <t>AFP/ARI/VK/StGallerTagblatt/BBC</t>
  </si>
  <si>
    <t>http://www.elpais.com/articulo/espana/LANZAROTE/Once/inmigrantes/mueren/ahogados/Lanzarote/naufragar/arrecifes/elpepiesp/20020425elpepinac_4/Tes</t>
  </si>
  <si>
    <t>2002-04-16T00:00:00Z</t>
  </si>
  <si>
    <t>missing, ship carrying migrants turned over and sank north of Naxos (GR) (Apr 16, 2002)</t>
  </si>
  <si>
    <t>naxos</t>
  </si>
  <si>
    <t>Event at Naxos on Apr 16, 2002</t>
  </si>
  <si>
    <t>AFP/IRR</t>
  </si>
  <si>
    <t>drowned, ship carrying migrants turned over and sank north of Naxos (GR) (Apr 16, 2002). From Del Grande's data set (translated): 2 dead, 7 missing in a shipwreck off the island of Naxos in the Aegean Sea. The Greek Coast Guard, since 1992, has counted 13 wrecks, 30 dead and 78 missing (Apr 17, 2002)</t>
  </si>
  <si>
    <t>http://query.nytimes.com/gst/fullpage.html?res=9C07E4D9153FF93AA25757C0A9649C8B63&amp;n=Top%2fReference%2fTimes%20Topics%2fSubjects%2fI%2fImmigration%20and%20Refugees</t>
  </si>
  <si>
    <t>2002-04-14T00:00:00Z</t>
  </si>
  <si>
    <t>Kurd, shot dead during fight between illegal immigrants in refugee camp in Calais (F) (Apr 14, 2002). From Del Grande's data set (translated): A man is killed by a gunshot during a clash between migrant camp in Calais, waiting to embark secretly for Dover (Apr 15, 2002)</t>
  </si>
  <si>
    <t>Event at Dover on Apr 14, 2002</t>
  </si>
  <si>
    <t>http://news.bbc.co.uk/2/hi/europe/2028209.stm</t>
  </si>
  <si>
    <t>London Heathrow Airport. Man found frozen to death in the undercarriage of a plane traveling where hidden (Apr 15, 2002)</t>
  </si>
  <si>
    <t>Event at Heathrow on Apr 14, 2002</t>
  </si>
  <si>
    <t>http://www.telegraph.co.uk/news/main.jhtml?xml=/news/2002/04/15/ustow.xml</t>
  </si>
  <si>
    <t>2002-04-13T00:00:00Z</t>
  </si>
  <si>
    <t>Abandoned in a parking lot in Catalca, near Istanbul, the bodies of three men suffocated hidden in the truck where they traveled to Greece (Apr 14, 2002)</t>
  </si>
  <si>
    <t>Event at Istanbul on Apr 13, 2002</t>
  </si>
  <si>
    <t>stowaway, frozen to death in undercarriage of airplane from Uganda to London (GB) (Apr 13, 2002)</t>
  </si>
  <si>
    <t>Event at London on Apr 13, 2002</t>
  </si>
  <si>
    <t>allAfrica/IRR</t>
  </si>
  <si>
    <t>2002-04-08T00:00:00Z</t>
  </si>
  <si>
    <t>stabbed to death in the street where he lived in Hendon area, Sunderland (GB) (Apr 8, 2002)</t>
  </si>
  <si>
    <t>Sunderland, UK</t>
  </si>
  <si>
    <t>Event at Sunderland, Uk on Apr 08, 2002</t>
  </si>
  <si>
    <t>Socialist Worker/IRR</t>
  </si>
  <si>
    <t>2002-04-01T00:00:00Z</t>
  </si>
  <si>
    <t>frozen, trying to cross the snow covered border between Bulgaria-Northern Greece (Apr 1, 2002)</t>
  </si>
  <si>
    <t>Event at Bulgaria on Apr 01, 2002</t>
  </si>
  <si>
    <t>2002-03-31T00:00:00Z</t>
  </si>
  <si>
    <t>1Q2002</t>
  </si>
  <si>
    <t>2002 -- 3</t>
  </si>
  <si>
    <t>suicide, hung himself in the shower of refugee centre in Schneckenstein (D) (Mar 31, 2002)</t>
  </si>
  <si>
    <t>schneckenstein</t>
  </si>
  <si>
    <t>Event at Schneckenstein on Mar 31, 2002</t>
  </si>
  <si>
    <t>2002-03-26T00:00:00Z</t>
  </si>
  <si>
    <t>died in minefield near river Evros (GR) trying to cross the Turkish-Greek border (Mar 26, 2002). From Del Grande's data set (translated): Minefield in Evros, greek-turkish border. An explosion 2 dead and 1 seriously injured. They tried to enter illegally in Greece (Mar 21, 2002)</t>
  </si>
  <si>
    <t>Event at Evros on Mar 26, 2002</t>
  </si>
  <si>
    <t>AFP/MNS/AP</t>
  </si>
  <si>
    <t>http://www.ekathimerini.com/4dcgi/news/content.asp?aid=14612</t>
  </si>
  <si>
    <t>2002-03-25T00:00:00Z</t>
  </si>
  <si>
    <t>Rescued off the coast of Libya by the Italian tanker Sesia Valley, a group of migrant claims that 5 men died of starvation during the journey and their bodies were thrown into the sea (Mar 26, 2002)</t>
  </si>
  <si>
    <t>Event at Libya on Mar 25, 2002</t>
  </si>
  <si>
    <t>2002-03-19T00:00:00Z</t>
  </si>
  <si>
    <t>died in minefield near river Evros (GR) trying to cross the Turkish-Greek border (Mar 19, 2002). From Del Grande's data set (translated): Minefield in Evros, greek-turkish border. An explosion 2 dead and 1 seriously injured. They tried to enter illegally in Greece (Mar 21, 2002)</t>
  </si>
  <si>
    <t>Event at Evros on Mar 19, 2002</t>
  </si>
  <si>
    <t>MNS/Vivre/HRFT/AP</t>
  </si>
  <si>
    <t>2002-03-14T00:00:00Z</t>
  </si>
  <si>
    <t>stowaway, his body got caught in the axle of a lorry from Morocco to Melilla (E/MA) (Mar 14, 2002). From Del Grande's data set (translated): Found along a road in Melilla the corpse of a boy died when he fell from the truck in which he was traveling hidden from Morocco (Mar 16, 2002)</t>
  </si>
  <si>
    <t>Event at Melilla on Mar 14, 2002</t>
  </si>
  <si>
    <t>http://www.elpais.com/articulo/espana/Hallado/muerto/Melilla/joven/paso/frontera/camion/elpepiesp/20020316elpepinac_18/Tes</t>
  </si>
  <si>
    <t>2002-03-10T00:00:00Z</t>
  </si>
  <si>
    <t>Otranto: 6 bodies recovered related to the hull of a boat in distress. The boat, which had departed from Vlora, was set on fire. 23 Survivors (Mar 11, 2002)</t>
  </si>
  <si>
    <t>otranto</t>
  </si>
  <si>
    <t>Event at Otranto on Mar 10, 2002</t>
  </si>
  <si>
    <t>http://www.repubblica.it/online/cronaca/sbarco/precedenti/precedenti.html</t>
  </si>
  <si>
    <t>2002-03-06T00:00:00Z</t>
  </si>
  <si>
    <t>Shipwreck off the coast of Lampedusa: 12 dead, 47 missing (Mar 7, 2002)</t>
  </si>
  <si>
    <t>Event at Lampedusa on Mar 06, 2002</t>
  </si>
  <si>
    <t>2002-03-04T00:00:00Z</t>
  </si>
  <si>
    <t>Trying to enter illegally into Turkey from the border with Syria, the Turkish police opened fire, 3 deaths (Mar 5, 2002)</t>
  </si>
  <si>
    <t>Event at Syria on Mar 04, 2002</t>
  </si>
  <si>
    <t>http://docs.google.com/viewer?url=http://www.aucegypt.edu/fmrs/documents/frantz.pdf</t>
  </si>
  <si>
    <t>2002-03-01T00:00:00Z</t>
  </si>
  <si>
    <t>Recovered a body from the river Isonzo Gorizia, would have drowned after crossing the Slovenian border (Mar 2, 2002)</t>
  </si>
  <si>
    <t>Event at Gorizia on Mar 01, 2002</t>
  </si>
  <si>
    <t>died in detention centre in Belgium because of medical neglect (Mar 1, 2002)</t>
  </si>
  <si>
    <t>Event at Belgium on Mar 01, 2002</t>
  </si>
  <si>
    <t>AIg</t>
  </si>
  <si>
    <t>2002-02-19T00:00:00Z</t>
  </si>
  <si>
    <t>2002 -- 2</t>
  </si>
  <si>
    <t>drowned, trying to swim from Morocco to Melilla (E/MA) (Feb 19, 2002). From Del Grande's data set (translated): Recovered the bodies of three men in the waters of Melilla, a Spanish enclave in Morocco, drowned trying to swim to the city (Feb 20, 2002)</t>
  </si>
  <si>
    <t>Event at Melilla on Feb 19, 2002</t>
  </si>
  <si>
    <t>suicide, found hung in Lewes Prison (GB) (Feb 19, 2002)</t>
  </si>
  <si>
    <t>Lewes Prison, UK</t>
  </si>
  <si>
    <t>Event at Lewes Prison, Uk on Feb 19, 2002</t>
  </si>
  <si>
    <t>crushed to death while trying to stowaway on board a train in Channel-tunnel, on way to GB (Feb 19, 2002). From Del Grande's data set (translated): 1 found dead along the tracks in the Channel Tunnel. According to Eurotunnel's death in 2002, 12 people swept under the trains to pass illegally Channel 7 dead in 2001 (Feb 20, 2002)</t>
  </si>
  <si>
    <t>Event at Calais, France on Feb 19, 2002</t>
  </si>
  <si>
    <t>MNS/AP/IRR</t>
  </si>
  <si>
    <t>2002-02-17T00:00:00Z</t>
  </si>
  <si>
    <t>stowaway, fell from a train in the Channel-Tunnel between France and GB (Feb 17, 2002)</t>
  </si>
  <si>
    <t>Event at France on Feb 17, 2002</t>
  </si>
  <si>
    <t>AP/MNS/IRR</t>
  </si>
  <si>
    <t>2002-02-16T00:00:00Z</t>
  </si>
  <si>
    <t>beaten to death by border police when trying to cross the Bulgarian-Turkish border (Feb 16, 2002)</t>
  </si>
  <si>
    <t>Event at Bulgaria on Feb 16, 2002</t>
  </si>
  <si>
    <t>2002-02-14T00:00:00Z</t>
  </si>
  <si>
    <t>suicide, hung herself because of bad conditions in asylum centre near Allbruck (D) (Feb 14, 2002)</t>
  </si>
  <si>
    <t>Allbruck, Germany</t>
  </si>
  <si>
    <t>Event at Allbruck, Germany on Feb 14, 2002</t>
  </si>
  <si>
    <t>SAGA/ARI/IRR</t>
  </si>
  <si>
    <t>2002-02-12T00:00:00Z</t>
  </si>
  <si>
    <t>4 drowned in a shipwreck in front of the coast of Tarifa (Feb 13, 2002)</t>
  </si>
  <si>
    <t>Event at Tarifa on Feb 12, 2002</t>
  </si>
  <si>
    <t>http://www.elpais.com/articulo/espana/inmigrantes/mueren/naufragio/elpepiesp/20020213elpepinac_19/Tes</t>
  </si>
  <si>
    <t>2002-02-11T00:00:00Z</t>
  </si>
  <si>
    <t>stowaway, found frozen in undercarriage of plane from Ghana at Heathrow (GB) (Feb 11, 2002)</t>
  </si>
  <si>
    <t>Event at Heathrow on Feb 11, 2002</t>
  </si>
  <si>
    <t>GuardianUn/Annanova/Telegraph/Myjoyonline/IRR/IstitutoInnocenti/NCAs</t>
  </si>
  <si>
    <t>2002-02-10T00:00:00Z</t>
  </si>
  <si>
    <t>fatally injured by border guard in Messopotamia area of Kastoria (GR-AL border) (Feb 10, 2002)</t>
  </si>
  <si>
    <t>Event at Kastoria on Feb 10, 2002</t>
  </si>
  <si>
    <t>GHM/OMCT/YaN/ProAsyl</t>
  </si>
  <si>
    <t>2002-02-09T00:00:00Z</t>
  </si>
  <si>
    <t>suicide, found hanged in Durham prison (GB), in fear of deportation (Feb 9, 2002)</t>
  </si>
  <si>
    <t>Durham, UK</t>
  </si>
  <si>
    <t>Event at Durham, Uk on Feb 09, 2002</t>
  </si>
  <si>
    <t>2002-02-03T00:00:00Z</t>
  </si>
  <si>
    <t>A frozen to death along the snowy passes of the border between Bulgaria and Greece (Feb 4, 2002)</t>
  </si>
  <si>
    <t>Event at Bulgaria on Feb 03, 2002</t>
  </si>
  <si>
    <t>2002-02-01T00:00:00Z</t>
  </si>
  <si>
    <t>Asphyxiated 2 guys hiding under a truck boarded the ferry to Nador Almeria (Feb 2, 2002)</t>
  </si>
  <si>
    <t>Event at Almeria on Feb 01, 2002</t>
  </si>
  <si>
    <t>http://www.elpais.com/articulo/espana/marroquies/mueren/asfixiados/bajos/autocar/dentro/ferry/elpepiesp/20020202elpepinac_20/Tes</t>
  </si>
  <si>
    <t>Landing at Gesine, Lecce, a man dies invested by the boat that was recovering well in the (Feb 2, 2002)</t>
  </si>
  <si>
    <t>Event at Lecce on Feb 01, 2002</t>
  </si>
  <si>
    <t>hit by propellor of motor boat when he jumped off the boat to swim to Italian coast (Feb 1, 2002)</t>
  </si>
  <si>
    <t>Event at Italian Coast on Feb 01, 2002</t>
  </si>
  <si>
    <t>2002-12-31T00:00:00Z</t>
  </si>
  <si>
    <t>4Q2002</t>
  </si>
  <si>
    <t>2002 -- 12</t>
  </si>
  <si>
    <t>suffocated, ate money to pay smugglers to avoid robbery at military check in Agadez(Niger) (Dec 31, 2002)</t>
  </si>
  <si>
    <t>Event at Agadez on Dec 31, 2002</t>
  </si>
  <si>
    <t>drowned, found dead on beach on Symi island (GR) (Dec 31, 2002)</t>
  </si>
  <si>
    <t>Event at Symi on Dec 31, 2002</t>
  </si>
  <si>
    <t>KI/IRR</t>
  </si>
  <si>
    <t>drowned, dead bodies found on beaches on Dodecanese island Symi in Greece (Dec 31, 2002)</t>
  </si>
  <si>
    <t>drowned, corpse found on beach on the island Evia in Greece (Dec 31, 2002)</t>
  </si>
  <si>
    <t>Event at Evia on Dec 31, 2002</t>
  </si>
  <si>
    <t>Kurd, suicide in Schlo√ü Holte-Stukenbrock (D) after rejection of asylum application (Dec 31, 2002)</t>
  </si>
  <si>
    <t>Schloss Holte-Stukenbrock, Germany</t>
  </si>
  <si>
    <t>Event at Schloss Holte-Stukenbrock, Germany on Dec 31, 2002</t>
  </si>
  <si>
    <t>WB/FR-NRW/NW/MNS</t>
  </si>
  <si>
    <t>2002-12-29T00:00:00Z</t>
  </si>
  <si>
    <t>died of cardiac arrest during deportation from Paris (F) to Buenos Aires (ARG) (Dec 29, 2002). From Del Grande's data set (translated): A fifty year old Argentinian refuses to get on the Air France flight which must be returned. The police use force and immobilize it on the seat premendogli his head on his knees, while the other passengers are boarding. The violence of the grip is that the guy dies (Dec 30, 2002)</t>
  </si>
  <si>
    <t>Event at Paris on Dec 29, 2002</t>
  </si>
  <si>
    <t>NCADC/AI/NOB/AN/Vivre/AFP/borderzerolist/LeMonde/JT/IND/MUGAK</t>
  </si>
  <si>
    <t>http://www.anafe.org/doc/presse/violences/lemonde-23-01-03.html</t>
  </si>
  <si>
    <t>2002-12-27T00:00:00Z</t>
  </si>
  <si>
    <t>suicide, set himself on fire at Gribskov refugee centre (DK), in fear of deportation. (Dec 27, 2002)</t>
  </si>
  <si>
    <t>Gribskov, Denmark</t>
  </si>
  <si>
    <t>Event at Gribskov, Denmark on Dec 27, 2002</t>
  </si>
  <si>
    <t>2002-12-26T00:00:00Z</t>
  </si>
  <si>
    <t>burnt at pol.st. in Malaga.Ref. started fire after 2days detention.Pol.didn t open doors (Dec 26, 2002)</t>
  </si>
  <si>
    <t>Event at Malaga on Dec 26, 2002</t>
  </si>
  <si>
    <t>SOS/MUGAK/APDHA</t>
  </si>
  <si>
    <t>2002-12-25T00:00:00Z</t>
  </si>
  <si>
    <t>drowned after overcrowded boat coming from MA capsized near Tarifa (E) (Dec 25, 2002)</t>
  </si>
  <si>
    <t>Event at Tarifa on Dec 25, 2002</t>
  </si>
  <si>
    <t>2002-12-24T00:00:00Z</t>
  </si>
  <si>
    <t>reportedly drowned,dinghy sank off the coast of the island Chios (GR) (Dec 24, 2002)</t>
  </si>
  <si>
    <t>Event at Chios on Dec 24, 2002</t>
  </si>
  <si>
    <t>drowned, when inflatable dinghy sank off the coast of the island Chios (GR) (Dec 24, 2002). From Del Grande's data set (translated): Sinking boat off the coast of Chios, 4 dead, 5 missing (Dec 27, 2002)</t>
  </si>
  <si>
    <t>http://www.hri.org/news/greek/ana/2002/02-12-27.ana.html</t>
  </si>
  <si>
    <t>2002-12-23T00:00:00Z</t>
  </si>
  <si>
    <t>Kurd, drowned trying to swim ashore when boat sank near coast of Korfu (GR) (Dec 23, 2002)</t>
  </si>
  <si>
    <t>Corfu, Greece</t>
  </si>
  <si>
    <t>Event at Corfu, Greece on Dec 23, 2002</t>
  </si>
  <si>
    <t>MNS/AP</t>
  </si>
  <si>
    <t>suicide, found hanged in Huddersfield (GB), wrongly told asylum claim was refused (Dec 23, 2002)</t>
  </si>
  <si>
    <t>Huddersfield, UK</t>
  </si>
  <si>
    <t>Event at Huddersfield, Uk on Dec 23, 2002</t>
  </si>
  <si>
    <t>IRR/YT/NCADC</t>
  </si>
  <si>
    <t>2002-12-21T00:00:00Z</t>
  </si>
  <si>
    <t>Landing in Lampedusa, on board the boat died young 1 (Dec 22, 2002)</t>
  </si>
  <si>
    <t>Event at Lampedusa on Dec 21, 2002</t>
  </si>
  <si>
    <t>2002-12-19T00:00:00Z</t>
  </si>
  <si>
    <t>Sink two boats in a stormy sea in the waters of the island Evia, 12 dead (Dec 20, 2002)</t>
  </si>
  <si>
    <t>Event at Evia on Dec 19, 2002</t>
  </si>
  <si>
    <t>http://www.ekathimerini.com/4dcgi/news/content.asp?aid=24560</t>
  </si>
  <si>
    <t>2002-12-18T00:00:00Z</t>
  </si>
  <si>
    <t>reportedly drowned, when 2 vessels got gaught in a storm of the island Evia (GR) (Dec 18, 2002)</t>
  </si>
  <si>
    <t>Event at Evia on Dec 18, 2002</t>
  </si>
  <si>
    <t>drowned, 2 vessels got caught in a storm off the island Evia (GR) (Dec 18, 2002)</t>
  </si>
  <si>
    <t>2002-12-15T00:00:00Z</t>
  </si>
  <si>
    <t>Young man found dead with head injuries. It was discovered by the driver of the truck where he was hiding to sail towards Italy (Dec 16, 2002)</t>
  </si>
  <si>
    <t>Event at Greece on Dec 15, 2002</t>
  </si>
  <si>
    <t>http://www.ekathimerini.com/4dcgi/news/content.asp?aid=24280</t>
  </si>
  <si>
    <t>found death by police under a truck at toll station of Saint-Omer (F) near Calais (Dec 15, 2002). From Del Grande's data set (translated): During a checkpoint in Calais is found the body of a man under the truck where he was hiding to accomplish England (Dec 16, 2002)</t>
  </si>
  <si>
    <t>Event at Calais on Dec 15, 2002</t>
  </si>
  <si>
    <t>NOB/Telegraaf</t>
  </si>
  <si>
    <t>http://archquo.nouvelobs.com/cgi/articles?ad=societe/20021216.OBS4170.html&amp;datebase=20021216</t>
  </si>
  <si>
    <t>2002-12-12T00:00:00Z</t>
  </si>
  <si>
    <t>died of exhaustion after long trek, found near Greek village at GR-TR border (Dec 12, 2002). From Del Grande's data set (translated): Found dead on the border with Turkey, in Thrace, who died of cold in a night march to cross the border (Dec 13, 2002)</t>
  </si>
  <si>
    <t>Event at Thrace on Dec 12, 2002</t>
  </si>
  <si>
    <t>http://www.ekathimerini.com/4dcgi/news/content.asp?aid=24192</t>
  </si>
  <si>
    <t>2002-12-08T00:00:00Z</t>
  </si>
  <si>
    <t>stowaway, found dead inside container with 10 immigrants in Algeciras (E) (Dec 8, 2002)</t>
  </si>
  <si>
    <t>Event at Algeciras on Dec 08, 2002</t>
  </si>
  <si>
    <t>2002-12-05T00:00:00Z</t>
  </si>
  <si>
    <t>reportedly drowned after canoe capsized on the way from France to Great Britain (Dec 5, 2002)</t>
  </si>
  <si>
    <t>Event at France on Dec 05, 2002</t>
  </si>
  <si>
    <t>CARF/IRR</t>
  </si>
  <si>
    <t>2002-12-04T00:00:00Z</t>
  </si>
  <si>
    <t>stowaway, body found in Deuil-la-Barre (F), reportedly fell from airplane wheel-bay (Dec 4, 2002)</t>
  </si>
  <si>
    <t>Deuil-la-Barre, France</t>
  </si>
  <si>
    <t>Event at Deuil-La-Barre, France on Dec 04, 2002</t>
  </si>
  <si>
    <t>London Heathrow Airport. Found two children 12 years old and died in the undercarriage of a plane of Ghana Airways where they were hiding (Dec 5, 2002)</t>
  </si>
  <si>
    <t>Event at Heathrow on Dec 04, 2002</t>
  </si>
  <si>
    <t>Edinburgh Evening News</t>
  </si>
  <si>
    <t>http://www.edinburghnews.com/index.cfm?id=1355282002</t>
  </si>
  <si>
    <t>2002-12-02T00:00:00Z</t>
  </si>
  <si>
    <t>suicide, in Birmingham (GB) after his asylum claim was refused (Dec 2, 2002)</t>
  </si>
  <si>
    <t>Birmingham, UK</t>
  </si>
  <si>
    <t>Event at Birmingham, Uk on Dec 02, 2002</t>
  </si>
  <si>
    <t>NCADC/CARF/IRR</t>
  </si>
  <si>
    <t>2002-12-01T00:00:00Z</t>
  </si>
  <si>
    <t>drowned, vessel capsized, bodies found near or on a beach near Cadiz (E) (Dec 1, 2002)</t>
  </si>
  <si>
    <t>Event at Cadiz on Dec 01, 2002</t>
  </si>
  <si>
    <t>Kurd, suicide, shot himself to death after deportation from Germany to Turkey (Dec 1, 2002)</t>
  </si>
  <si>
    <t>Event at Turkey on Dec 01, 2002</t>
  </si>
  <si>
    <t>2002-11-30T00:00:00Z</t>
  </si>
  <si>
    <t>2002 -- 11</t>
  </si>
  <si>
    <t>shot to death while trying to cross the border between Turkey and Iran (Nov 30, 2002)</t>
  </si>
  <si>
    <t>Event at Iran on Nov 30, 2002</t>
  </si>
  <si>
    <t>Expelled from the Moroccan auxiliary forces and abandoned in the desert at the border with Algeria 15 km from Oujda, 8 people die of hypothermia, among them 2 women (Dec 1, 2002)</t>
  </si>
  <si>
    <t>Event at Oujda on Nov 30, 2002</t>
  </si>
  <si>
    <t>http://www.algeria-watch.org/fr/mrv/mrvref/frontiere_elaleb.htm</t>
  </si>
  <si>
    <t>2002-11-29T00:00:00Z</t>
  </si>
  <si>
    <t>drowned, when boat sank between Western Sahara (MA) and Canarian Islands (E) (Nov 29, 2002). From Del Grande's data set (translated): Shipwreck off Laayoun, 32 bodies recovered (Dec 1, 2002)</t>
  </si>
  <si>
    <t>Event at Laayoun on Nov 29, 2002</t>
  </si>
  <si>
    <t>VK/AFP</t>
  </si>
  <si>
    <t>http://www.repubblica.it/online/cronaca/sbarcotre/libia/libia.html</t>
  </si>
  <si>
    <t>reportedly drowned, boat shipwrecked near coast of Tripoli (Libya)  going to Italy (Nov 29, 2002). From Del Grande's data set (translated): Shipwreck off the coast of Libya, 12 dead and 56 missing (Dec 1, 2002)</t>
  </si>
  <si>
    <t>Event at Tripoli on Nov 29, 2002</t>
  </si>
  <si>
    <t>VK/MNS/DPA</t>
  </si>
  <si>
    <t>drowned, boat shipwrecked near coast of Tripoli (Libya)  going to Italy (Nov 29, 2002)</t>
  </si>
  <si>
    <t>2 bodies found on the coasts of the island Arkii, in the Aegean Sea (Nov 30, 2002)</t>
  </si>
  <si>
    <t>Event at Aegean on Nov 29, 2002</t>
  </si>
  <si>
    <t>http://www.ekathimerini.com/4dcgi/news/content.asp?aid=23708</t>
  </si>
  <si>
    <t>2002-11-21T00:00:00Z</t>
  </si>
  <si>
    <t>One dead and one missing after the shipwreck off the coast of Ceuta in a small boat directly in Tarifa (Nov 22, 2002)</t>
  </si>
  <si>
    <t>Event at Tarifa on Nov 21, 2002</t>
  </si>
  <si>
    <t>http://www.elpais.com/articulo/espana/Ahogado/inmigrante/desaparecido/costa/Ceuta/elpepiesp/20021122elpepinac_23/Tes</t>
  </si>
  <si>
    <t>2002-11-20T00:00:00Z</t>
  </si>
  <si>
    <t>suicide in Szombathelyi Detention Centre in Hungary (Nov 20, 2002)</t>
  </si>
  <si>
    <t>Event at Hungary on Nov 20, 2002</t>
  </si>
  <si>
    <t>MGHR</t>
  </si>
  <si>
    <t>2002-11-14T00:00:00Z</t>
  </si>
  <si>
    <t>suicide, set himself on fire in Syke (D) after his asylum application was rejected, Roma (Nov 14, 2002)</t>
  </si>
  <si>
    <t>syke, germany</t>
  </si>
  <si>
    <t>Event at Syke, Germany on Nov 14, 2002</t>
  </si>
  <si>
    <t>2002-11-12T00:00:00Z</t>
  </si>
  <si>
    <t>reportedly, drowned when dinghy capsized near Larache off Moroccan coast (Nov 12, 2002)</t>
  </si>
  <si>
    <t>Event at Larache on Nov 12, 2002</t>
  </si>
  <si>
    <t>drowned when inflatable dinghy capsized near Larache off Moroccos coast (Nov 12, 2002)</t>
  </si>
  <si>
    <t>2002-11-10T00:00:00Z</t>
  </si>
  <si>
    <t>Forced from the smugglers despite the bad weather, 47 young people die a hundred meters from the shore of Khemiss, Larache, from which they had departed for Spain (Nov 11, 2002)</t>
  </si>
  <si>
    <t>Event at Larache on Nov 10, 2002</t>
  </si>
  <si>
    <t>Pateras de la vida</t>
  </si>
  <si>
    <t>http://www.paterasdelavida.com/novedades/2002/18112002.html</t>
  </si>
  <si>
    <t>2002-11-09T00:00:00Z</t>
  </si>
  <si>
    <t>stowaways, suffocated inside a trailer on its way from Agadir (MA) to Sevilla (E) (Nov 9, 2002)</t>
  </si>
  <si>
    <t>sevilla</t>
  </si>
  <si>
    <t>Event at Sevilla on Nov 09, 2002</t>
  </si>
  <si>
    <t>MNS/FR/taz/Tagesspiegel/AFP</t>
  </si>
  <si>
    <t>2002-11-06T00:00:00Z</t>
  </si>
  <si>
    <t>Woman dies of cold in the arms of her husband, were crossing on foot at night the Turkish border with Greece (Nov 7, 2002)</t>
  </si>
  <si>
    <t>Event at Greece on Nov 06, 2002</t>
  </si>
  <si>
    <t>http://www.ekathimerini.com/4dcgi/news/content.asp?aid=22846</t>
  </si>
  <si>
    <t>2002-11-05T00:00:00Z</t>
  </si>
  <si>
    <t>drowned, corpse was found at the shore of Menderes district (TR) (Nov 5, 2002)</t>
  </si>
  <si>
    <t>Event at Menderes on Nov 05, 2002</t>
  </si>
  <si>
    <t>2002-11-04T00:00:00Z</t>
  </si>
  <si>
    <t>suicide, set fire to herself after her asylum claim was refused (Nov 4, 2002)</t>
  </si>
  <si>
    <t>Event at Great Britain on Nov 04, 2002</t>
  </si>
  <si>
    <t>Socialist Worker/NCADC/IRR</t>
  </si>
  <si>
    <t>2002-11-02T00:00:00Z</t>
  </si>
  <si>
    <t>reportedly drowned, tried to reach Otranto (I) in a overcrowded dinghy (Nov 2, 2002)</t>
  </si>
  <si>
    <t>Event at Otranto on Nov 02, 2002</t>
  </si>
  <si>
    <t>MNS/CNN/AFP/DPA/Vita</t>
  </si>
  <si>
    <t>dead bodies found in Otranto (I) attached to their dinghy with a rope (Nov 2, 2002)</t>
  </si>
  <si>
    <t>AFP/MNS/CNN/DPA/Statewatch/Vita</t>
  </si>
  <si>
    <t>2002-11-01T00:00:00Z</t>
  </si>
  <si>
    <t>suicide in Red Cross Centre Copenhagen (DK), asylum application was turned down (Nov 1, 2002)</t>
  </si>
  <si>
    <t>Copenhagen, Denmark</t>
  </si>
  <si>
    <t>Event at Copenhagen, Denmark on Nov 01, 2002</t>
  </si>
  <si>
    <t>MNS/Gr√∂n Ungdom/IRR</t>
  </si>
  <si>
    <t>2002-10-26T00:00:00Z</t>
  </si>
  <si>
    <t>2002 -- 10</t>
  </si>
  <si>
    <t>Shipwreck off Koungou, Mayotte game from a boat Bambao, Anjouan: 23 dead (Oct 27, 2002)</t>
  </si>
  <si>
    <t>Event at Mayotte on Oct 26, 2002</t>
  </si>
  <si>
    <t>2002-10-20T00:00:00Z</t>
  </si>
  <si>
    <t>drowned, bodies found off the northeastern coast of Lesbos (GR) (Oct 20, 2002)</t>
  </si>
  <si>
    <t>Event at Lesbos on Oct 20, 2002</t>
  </si>
  <si>
    <t>2002-10-18T00:00:00Z</t>
  </si>
  <si>
    <t>Capsized off the Tunisian coast by boat game Echebba and live in Sicily, 8 deaths and 1 missing (Oct 19, 2002)</t>
  </si>
  <si>
    <t>Event at Tunis on Oct 18, 2002</t>
  </si>
  <si>
    <t>2002-10-15T00:00:00Z</t>
  </si>
  <si>
    <t>drowned, bodies found near Lesbos (GR) all six where wearing life vests (Oct 15, 2002). From Del Grande's data set (translated): Recovered off the island of Lesbos corpses of drowned 6, including 3 children (Oct 16, 2002)</t>
  </si>
  <si>
    <t>Event at Lesbos on Oct 15, 2002</t>
  </si>
  <si>
    <t>MNS/NCAs</t>
  </si>
  <si>
    <t>2002-10-12T00:00:00Z</t>
  </si>
  <si>
    <t>5 found dead in the container of a truck at the Port of Algeciras (Oct 13, 2002)</t>
  </si>
  <si>
    <t>Event at Algeciras on Oct 12, 2002</t>
  </si>
  <si>
    <t>L'Opinion</t>
  </si>
  <si>
    <t>http://www.lopinion.ma/article.php3?id_article=416&amp;var_recherche=clandestins+morts</t>
  </si>
  <si>
    <t>2002-10-10T00:00:00Z</t>
  </si>
  <si>
    <t>At the Port of Algeciras are found the bodies of five young people suffocated in a truck they were traveling in Morocco embarked hidden (Oct 11, 2002)</t>
  </si>
  <si>
    <t>Event at Algeciras on Oct 10, 2002</t>
  </si>
  <si>
    <t>http://www.elpais.com/articulo/espana/Hallados/inmigrantes/muertos/remolque/camion/Algeciras/elpepuesp/20021011elpepunac_3/Tes</t>
  </si>
  <si>
    <t>2002-10-09T00:00:00Z</t>
  </si>
  <si>
    <t>drowned, ship capsized off Turkey's western coast on its way to Greece (Oct 9, 2002)</t>
  </si>
  <si>
    <t>Event at Turkey To Greece on Oct 09, 2002</t>
  </si>
  <si>
    <t>reportedly drowned, ship capsized off Turkey's western coast on way to GR (Oct 9, 2002). From Del Grande's data set (translated): Live in Greece boat is shipwrecked off the coast of Didymus, 9 dead (Oct 10, 2002)</t>
  </si>
  <si>
    <t>Didymus, Greece</t>
  </si>
  <si>
    <t>Event at Didymus, Greece on Oct 09, 2002</t>
  </si>
  <si>
    <t>2002-10-07T00:00:00Z</t>
  </si>
  <si>
    <t>Shipwreck off the coast of Barbate, Cadiz. Recovered from the sea the bodies of 7 boys and 7 girls (Oct 8, 2002)</t>
  </si>
  <si>
    <t>Event at Barbate on Oct 07, 2002</t>
  </si>
  <si>
    <t>http://www.elpais.com/articulo/espana/naufragio/inmigrantes/Barbate/suma/muertos/mayor/tragedia/ano/elpepiesp/20021016elpepinac_24/Tes</t>
  </si>
  <si>
    <t>2002-10-05T00:00:00Z</t>
  </si>
  <si>
    <t>missing, after boat sank near Antigua (Canary Islands, E) (Oct 5, 2002)</t>
  </si>
  <si>
    <t>Event at Canary on Oct 05, 2002</t>
  </si>
  <si>
    <t>drowned, body found off the coast of Tuineje (Fuerteventura, E) (Oct 5, 2002)</t>
  </si>
  <si>
    <t>Event at Fuerteventura on Oct 05, 2002</t>
  </si>
  <si>
    <t>2002-10-04T00:00:00Z</t>
  </si>
  <si>
    <t>reportedly drowned when their boat capsized off the Spanish coast (Oct 4, 2002)</t>
  </si>
  <si>
    <t>Event at Africa To Spain on Oct 04, 2002</t>
  </si>
  <si>
    <t>drowned after their boat capsized off the Spanish coastline (Oct 4, 2002)</t>
  </si>
  <si>
    <t>2002-10-01T00:00:00Z</t>
  </si>
  <si>
    <t>drowned when overloaded boat capsized near Cadiz (E) (Oct 1, 2002)</t>
  </si>
  <si>
    <t>Event at Cadiz on Oct 01, 2002</t>
  </si>
  <si>
    <t>Freies Wort</t>
  </si>
  <si>
    <t>2002-01-30T00:00:00Z</t>
  </si>
  <si>
    <t>2002 -- 1</t>
  </si>
  <si>
    <t>died after being refused medical treatment in detention centre in Leusden (NL) (Jan 30, 2002)</t>
  </si>
  <si>
    <t>Leusden, Netherland</t>
  </si>
  <si>
    <t>Event at Leusden, Netherland on Jan 30, 2002</t>
  </si>
  <si>
    <t>2002-01-25T00:00:00Z</t>
  </si>
  <si>
    <t>found dead in a Spanish police station (Jan 25, 2002)</t>
  </si>
  <si>
    <t>Event at Spain on Jan 25, 2002</t>
  </si>
  <si>
    <t>2002-01-20T00:00:00Z</t>
  </si>
  <si>
    <t>reportedly drowned, vessel capsized off the coast of Pozo Negro, Canary Islands (E) (Jan 20, 2002)</t>
  </si>
  <si>
    <t>Event at Canary on Jan 20, 2002</t>
  </si>
  <si>
    <t>2002-01-19T00:00:00Z</t>
  </si>
  <si>
    <t>executed after being deported to Iran by Turkish police  (Jan 19, 2002)</t>
  </si>
  <si>
    <t>Event at Iran on Jan 19, 2002</t>
  </si>
  <si>
    <t>IRAINC</t>
  </si>
  <si>
    <t>2002-01-18T00:00:00Z</t>
  </si>
  <si>
    <t>stowaway, electrocuted when train passed under power lines near Frethun (F) (Jan 18, 2002)</t>
  </si>
  <si>
    <t>Frethun, France</t>
  </si>
  <si>
    <t>Event at Frethun, France on Jan 18, 2002</t>
  </si>
  <si>
    <t>MNS/AP/Telegraaf/MUGAK</t>
  </si>
  <si>
    <t>2002-01-11T00:00:00Z</t>
  </si>
  <si>
    <t>drowned after boat sank on the way from Bodrum (TR) to Kos (GR) (Jan 11, 2002)</t>
  </si>
  <si>
    <t>Event at Kos on Jan 11, 2002</t>
  </si>
  <si>
    <t>IRR/TL/Vita</t>
  </si>
  <si>
    <t>stowaway, died after attempt of jumping off a bound truck in Patras (GR)  (Jan 11, 2002)</t>
  </si>
  <si>
    <t>Event at Patras on Jan 11, 2002</t>
  </si>
  <si>
    <t>stowaways, found dead in a shipping container due to depart from Livorno (I) (Jan 11, 2002)</t>
  </si>
  <si>
    <t>Event at Livorno on Jan 11, 2002</t>
  </si>
  <si>
    <t>2002-01-10T00:00:00Z</t>
  </si>
  <si>
    <t>died of hypothermia,  after long treck across Turkish border into Greece. (Jan 10, 2002)</t>
  </si>
  <si>
    <t>Event at Turkey To Greece on Jan 10, 2002</t>
  </si>
  <si>
    <t>no medical care into asylum centre in Appelscha (NL), too late found cancer (Jan 10, 2002)</t>
  </si>
  <si>
    <t>Appelscha, Netherlands</t>
  </si>
  <si>
    <t>Event at Appelscha, Netherlands on Jan 10, 2002</t>
  </si>
  <si>
    <t>MAG/VK</t>
  </si>
  <si>
    <t>2002-01-09T00:00:00Z</t>
  </si>
  <si>
    <t>missing, after boat sank while trying to reach Mayotte Island (F) from Comoros Islands  (Jan 9, 2002)</t>
  </si>
  <si>
    <t>Event at Mayotte on Jan 09, 2002</t>
  </si>
  <si>
    <t>drowned, after boat sank while trying to reach Mayotte Island (F) from Comoros Islands  (Jan 9, 2002)</t>
  </si>
  <si>
    <t>missing, after a boat with 42 migrants sank off the coast of Barbate (E) (Jan 9, 2002)</t>
  </si>
  <si>
    <t>Event at Barbate on Jan 09, 2002</t>
  </si>
  <si>
    <t>drowned, after a boat with 42 migrants sank off the coast of Barbate (E) (Jan 9, 2002)</t>
  </si>
  <si>
    <t>missing, after small boat capsized near Tunisian coast on its way to Sicily (I)  (Jan 9, 2002)</t>
  </si>
  <si>
    <t>Event at Tunis on Jan 09, 2002</t>
  </si>
  <si>
    <t>AP/Tagesspiegel</t>
  </si>
  <si>
    <t>drowned after small boat capsized near Tunisian coast on its way to Sicily (I)  (Jan 9, 2002)</t>
  </si>
  <si>
    <t>drowned, body was discovered by a fisherman in the western Peloponnese (GR) (Jan 9, 2002)</t>
  </si>
  <si>
    <t>Peloponnese, greece</t>
  </si>
  <si>
    <t>Event at Peloponnese, Greece on Jan 09, 2002</t>
  </si>
  <si>
    <t>Recovered at sea the body of a man off Apani, Brindisi (Jan 10, 2002)</t>
  </si>
  <si>
    <t>Event at Brindisi on Jan 09, 2002</t>
  </si>
  <si>
    <t>suicide, jumped under train in Zwolle (NL) in fear of deportation (Jan 9, 2002)</t>
  </si>
  <si>
    <t>Zwolle, Netherlands</t>
  </si>
  <si>
    <t>Event at Zwolle, Netherlands on Jan 09, 2002</t>
  </si>
  <si>
    <t>2002-01-08T00:00:00Z</t>
  </si>
  <si>
    <t>drowned after boat capsized, body found on a beach near Kenitra (MA) (Jan 8, 2002)</t>
  </si>
  <si>
    <t>Event at Kenitra on Jan 08, 2002</t>
  </si>
  <si>
    <t>Trouw</t>
  </si>
  <si>
    <t>drowned, after ship capsized 200 meters from south coast of Sicily (I) (Jan 8, 2002)</t>
  </si>
  <si>
    <t>Event at Sicily on Jan 08, 2002</t>
  </si>
  <si>
    <t>drowned, after ship capsized 200 meters from coast of Sicily (I) (Jan 8, 2002)</t>
  </si>
  <si>
    <t>missing, were abandoned near Greek coast in a boat that later capsized  (Jan 8, 2002)</t>
  </si>
  <si>
    <t>Event at Turkey To Greece on Jan 08, 2002</t>
  </si>
  <si>
    <t>drowned, were abandoned near Greek coast in boat that later capsized  (Jan 8, 2002)</t>
  </si>
  <si>
    <t>drowned, was abandoned near Greek coast in a boat that later capsized  (Jan 8, 2002)</t>
  </si>
  <si>
    <t>suicide, hung himself after negative decision on his asylum application in NL (Jan 8, 2002)</t>
  </si>
  <si>
    <t>Event at Netherland on Jan 08, 2002</t>
  </si>
  <si>
    <t>2002-01-07T00:00:00Z</t>
  </si>
  <si>
    <t>reportedly drowned, forced by smugglers to swim ashore near Tarifa (E) (Jan 7, 2002)</t>
  </si>
  <si>
    <t>Event at Tarifa on Jan 07, 2002</t>
  </si>
  <si>
    <t>VK/Reu/The News/MNS</t>
  </si>
  <si>
    <t>pregnant, drowned, forced by smugglers to swim ashore near Tarifa (E) (Jan 7, 2002)</t>
  </si>
  <si>
    <t>VK/Reu/The News/MNS/HRA/MUGAK</t>
  </si>
  <si>
    <t>drowned, forced by smugglers to swim ashore near Tarifa (E) (Jan 7, 2002)</t>
  </si>
  <si>
    <t>Kurds, stowaways found suffocated in truck in Avellino (I) going from BG to I (Jan 7, 2002)</t>
  </si>
  <si>
    <t>Avellino, Italy</t>
  </si>
  <si>
    <t>Event at Avellino, Italy on Jan 07, 2002</t>
  </si>
  <si>
    <t>DPA/MNS/HRFT</t>
  </si>
  <si>
    <t>Kurds, found dead on by smugglers abandoned refugee boat near Bari (I) (Jan 7, 2002)</t>
  </si>
  <si>
    <t>Event at Bari on Jan 07, 2002</t>
  </si>
  <si>
    <t>KO</t>
  </si>
  <si>
    <t>2002-01-06T00:00:00Z</t>
  </si>
  <si>
    <t>reportedly drowned, small boat wrecked off coast of Fuerteventura (E) (Jan 6, 2002)</t>
  </si>
  <si>
    <t>Event at Fuerteventura on Jan 06, 2002</t>
  </si>
  <si>
    <t>drowned, small boat with 19 migrants was wrecked off the coast of Fuerteventura (E) (Jan 6, 2002)</t>
  </si>
  <si>
    <t>dead body found in police station in Fuerteventura (E) (Jan 6, 2002)</t>
  </si>
  <si>
    <t>dead body found at the border between Ceuta (E/MA) and Morocco (Jan 6, 2002)</t>
  </si>
  <si>
    <t>Event at Ceuta on Jan 06, 2002</t>
  </si>
  <si>
    <t>Kurds, stowaways in lorry from Greece to Italy crushed to death by the load (Jan 6, 2002)</t>
  </si>
  <si>
    <t>Event at Greece To Italy on Jan 06, 2002</t>
  </si>
  <si>
    <t>stowaway, found dead in a lorry on a ferry from Patras (GR) to Brindisi (I) (Jan 6, 2002)</t>
  </si>
  <si>
    <t>Event at Brindisi on Jan 06, 2002</t>
  </si>
  <si>
    <t>2002-01-04T00:00:00Z</t>
  </si>
  <si>
    <t>died of hypothermia, found dead by police in the area of Kaldiran (TR) (Jan 4, 2002)</t>
  </si>
  <si>
    <t>Kaldiran, turkey</t>
  </si>
  <si>
    <t>Event at Kaldiran, Turkey on Jan 04, 2002</t>
  </si>
  <si>
    <t>died of cold, dead bodies were discovered by police in the area of Kaldiran (TR) (Jan 4, 2002)</t>
  </si>
  <si>
    <t>reported missing after he jumped off a ship in the Corinthian Gulf (GR) (Jan 4, 2002)</t>
  </si>
  <si>
    <t>Corinthia, greece</t>
  </si>
  <si>
    <t>Event at Corinthia, Greece on Jan 04, 2002</t>
  </si>
  <si>
    <t>jumped off a ship in the Corinthian Gulf (GR) died several hours later in a hospital (Jan 4, 2002)</t>
  </si>
  <si>
    <t>died from cold, dead bodies were discovered near Menteres (TR) (Jan 4, 2002)</t>
  </si>
  <si>
    <t>Menteres, Turkey</t>
  </si>
  <si>
    <t>Event at Menteres, Turkey on Jan 04, 2002</t>
  </si>
  <si>
    <t>2002-01-03T00:00:00Z</t>
  </si>
  <si>
    <t>stowaways, suffocated in lorry, thrown out on parking place near Catalca (TR) (Jan 3, 2002)</t>
  </si>
  <si>
    <t>catalca</t>
  </si>
  <si>
    <t>Event at Catalca on Jan 03, 2002</t>
  </si>
  <si>
    <t>2002-01-02T00:00:00Z</t>
  </si>
  <si>
    <t>drowned off Lanzarote, Canary Islands (E) after boat shipwrecked on reefs (Jan 2, 2002)</t>
  </si>
  <si>
    <t>Event at Lanzarote on Jan 02, 2002</t>
  </si>
  <si>
    <t>picked up by police at border BG-MK, shot to death by police near Skopje (MK) (Jan 2, 2002)</t>
  </si>
  <si>
    <t>Skopje, Macedonia</t>
  </si>
  <si>
    <t>Event at Skopje, Macedonia on Jan 02, 2002</t>
  </si>
  <si>
    <t>2002-01-01T00:00:00Z</t>
  </si>
  <si>
    <t>stowaways suffocated hidden in false compartment in bus from MA to Spain (Jan 1, 2002)</t>
  </si>
  <si>
    <t>Event at Marocco To Spain on Jan 01, 2002</t>
  </si>
  <si>
    <t>Kurd, stowaway suffocated in container during crossing from Greece to North Italy (Jan 1, 2002)</t>
  </si>
  <si>
    <t>Event at Greece To Italy on Jan 01, 2002</t>
  </si>
  <si>
    <t>NW</t>
  </si>
  <si>
    <t>suicide, in Schneckenstein asylum seekers hostel (D) in fear of deportation (Jan 1, 2002)</t>
  </si>
  <si>
    <t>Event at Schneckenstein on Jan 01, 2002</t>
  </si>
  <si>
    <t>asylum seeker died in child birth in Dublin (IRL), hospital did not know medical history (Jan 1, 2002)</t>
  </si>
  <si>
    <t>dublin</t>
  </si>
  <si>
    <t>Event at Dublin on Jan 01, 2002</t>
  </si>
  <si>
    <t>MN</t>
  </si>
  <si>
    <t>2001-09-30T00:00:00Z</t>
  </si>
  <si>
    <t>3Q2001</t>
  </si>
  <si>
    <t>2001 -- 9</t>
  </si>
  <si>
    <t>suicide, in fear of forced deportation from Belgium (Sep 30, 2001)</t>
  </si>
  <si>
    <t>Event at Belgium on Sep 30, 2001</t>
  </si>
  <si>
    <t>2001-09-29T00:00:00Z</t>
  </si>
  <si>
    <t>died in minefield in Northern Greece trying to cross the Turkish-Greek border (Sep 29, 2001). From Del Grande's data set (translated): Found the remains of a man killed by an explosion in the mine fields between Gemisti and Gefyra, at the border between Turkey and Greece (Sep 29, 2001)</t>
  </si>
  <si>
    <t>gemisti</t>
  </si>
  <si>
    <t>Event at Gemisti on Sep 29, 2001</t>
  </si>
  <si>
    <t>http://www.icbl.org/lm/2002/greece</t>
  </si>
  <si>
    <t>2001-09-27T00:00:00Z</t>
  </si>
  <si>
    <t>Expelled from Italy throws himself into the water, in the port of Brindisi, the ferry that was to bring in Vlore, but slams against the hull and died after two days in hospital (Sep 28, 2001)</t>
  </si>
  <si>
    <t>Event at Brindisi on Sep 27, 2001</t>
  </si>
  <si>
    <t>2001-09-26T00:00:00Z</t>
  </si>
  <si>
    <t>Shipwreck of a Ukrainian ship loaded with immigrants in the Suez Canal, 3 dead and 9 missing (Sep 27, 2001)</t>
  </si>
  <si>
    <t>Suez Canal</t>
  </si>
  <si>
    <t>Event at Suez Canal on Sep 26, 2001</t>
  </si>
  <si>
    <t>2001-09-18T00:00:00Z</t>
  </si>
  <si>
    <t>suicide, hanged himself in a police cell in Les Grisons (CH) in fear of deportation  (Sep 18, 2001)</t>
  </si>
  <si>
    <t>Les Grisons, switzerland</t>
  </si>
  <si>
    <t>Event at Les Grisons, Switzerland on Sep 18, 2001</t>
  </si>
  <si>
    <t>died after a fire in the refugee centre in Saarlouis-Fraulautern (D) (Sep 18, 2001)</t>
  </si>
  <si>
    <t>Saarlouis-Fraulautern, germany</t>
  </si>
  <si>
    <t>Event at Saarlouis-Fraulautern, Germany on Sep 18, 2001</t>
  </si>
  <si>
    <t>Indymedia/SFR</t>
  </si>
  <si>
    <t>2001-09-17T00:00:00Z</t>
  </si>
  <si>
    <t>Parties from Nigeria to cross the Sahara and embark to Europe, 52 people have died in the desert dehydrated after the breaking of the truck they were traveling in Mali and after a march of days, 4 survivors (Sep 18, 2001)</t>
  </si>
  <si>
    <t>Event at Sahara on Sep 17, 2001</t>
  </si>
  <si>
    <t>Shipwreck off the coast of Rabat, 5 dead (Sep 18, 2001)</t>
  </si>
  <si>
    <t>Event at Rabat on Sep 17, 2001</t>
  </si>
  <si>
    <t>http://www.elmundo.es/elmundo/2001/09/18/sociedad/1000767274.html</t>
  </si>
  <si>
    <t>2001-09-16T00:00:00Z</t>
  </si>
  <si>
    <t>30 people hidden in a mercantile turkish flow into the sea off the coast of Vlora, 4 drowned (Sep 17, 2001)</t>
  </si>
  <si>
    <t>Event at Vlora on Sep 16, 2001</t>
  </si>
  <si>
    <t>2001-09-11T00:00:00Z</t>
  </si>
  <si>
    <t>reportedly drowned after shipwreck near Fuerteventura (E) (Sep 11, 2001)</t>
  </si>
  <si>
    <t>Event at Fuerteventura on Sep 11, 2001</t>
  </si>
  <si>
    <t>Discovered the bodies of three men drowned on a beach in El Ejido, near Almeria (Sep 12, 2001)</t>
  </si>
  <si>
    <t>Event at Almeria on Sep 11, 2001</t>
  </si>
  <si>
    <t>http://www.elpais.com/articulo/espana/Descubiertos/cadaveres/identificar/playa/Ejido/elpepiesp/20010913elpepinac_14/Tes</t>
  </si>
  <si>
    <t>2001-09-10T00:00:00Z</t>
  </si>
  <si>
    <t>suicide, jumped from a building in Berlin (D) in fear of deportation (Sep 10, 2001)</t>
  </si>
  <si>
    <t>Event at Berlin on Sep 10, 2001</t>
  </si>
  <si>
    <t>2001-09-08T00:00:00Z</t>
  </si>
  <si>
    <t>drowned, bodies washed ashore near Rabat (MA) after shipwreck (Sep 8, 2001)</t>
  </si>
  <si>
    <t>Event at Rabat on Sep 08, 2001</t>
  </si>
  <si>
    <t>MNS/AP/IRR/ODP</t>
  </si>
  <si>
    <t>reportedly drowned, missing after shipwreck near Rabat (MA) (Sep 8, 2001). From Del Grande's data set (translated): Shipwreck off the coast of Kenitra, 13 dead and 46 missing (Sep 8, 2001)</t>
  </si>
  <si>
    <t>Event at Kenitra on Sep 08, 2001</t>
  </si>
  <si>
    <t>2001-09-07T00:00:00Z</t>
  </si>
  <si>
    <t>found dead while in police custody in Ceuta (E/MA) (Sep 7, 2001)</t>
  </si>
  <si>
    <t>Event at Ceuta on Sep 07, 2001</t>
  </si>
  <si>
    <t>ODP</t>
  </si>
  <si>
    <t>drowned on his way to Spain, found near the beach of Bolonia in Tarifa (E) (Sep 7, 2001)</t>
  </si>
  <si>
    <t>Event at Tarifa on Sep 07, 2001</t>
  </si>
  <si>
    <t>MNS/ODP</t>
  </si>
  <si>
    <t>2001-09-04T00:00:00Z</t>
  </si>
  <si>
    <t>died in a dinghy on the way from Morocco to Tarifa (E) (Sep 4, 2001)</t>
  </si>
  <si>
    <t>Event at Tarifa on Sep 04, 2001</t>
  </si>
  <si>
    <t>Mugak</t>
  </si>
  <si>
    <t>dead body is discovered after 188 migrants were intercepted near Tarifa (E) (Sep 4, 2001)</t>
  </si>
  <si>
    <t>5 drowned during the landing of a ship of migrants on the island of Evia (Sep 5, 2001)</t>
  </si>
  <si>
    <t>Event at Evia on Sep 04, 2001</t>
  </si>
  <si>
    <t>Macedonian Press Agency</t>
  </si>
  <si>
    <t>http://www.hri.org/news/greek/mpab/2001/01-09-05.mpab.html#01</t>
  </si>
  <si>
    <t>2001-08-24T00:00:00Z</t>
  </si>
  <si>
    <t>2001 -- 8</t>
  </si>
  <si>
    <t>Landing in Salento, Lecce, passengers thrown into the sea, 1 dead (Aug 25, 2001)</t>
  </si>
  <si>
    <t>Event at Lecce on Aug 24, 2001</t>
  </si>
  <si>
    <t>2001-08-22T00:00:00Z</t>
  </si>
  <si>
    <t>drowned, thrown overboard by smugglers near Canary Island of Lobos (E) (Aug 22, 2001). From Del Grande's data set (translated): Landing in the Canary Islands, the smugglers throw passengers overboard to avoid arrest, 9 drowned (Aug 24, 2001)</t>
  </si>
  <si>
    <t>Event at Canary on Aug 22, 2001</t>
  </si>
  <si>
    <t>http://www.elpais.com/articulo/espana/inmigrantes/ahogan/ser/arrojados/borda/patera/elpepiesp/20010824elpepinac_1/Tes</t>
  </si>
  <si>
    <t>2001-08-21T00:00:00Z</t>
  </si>
  <si>
    <t>drowned, forced to swim ashore in Almeria (E) but did not know how to swim  (Aug 21, 2001)</t>
  </si>
  <si>
    <t>Event at Almeria, Spain on Aug 21, 2001</t>
  </si>
  <si>
    <t>2001-08-20T00:00:00Z</t>
  </si>
  <si>
    <t>Found the body of a man who drowned in Cadiz (Aug 21, 2001)</t>
  </si>
  <si>
    <t>Event at Cadiz on Aug 20, 2001</t>
  </si>
  <si>
    <t>http://www.elpais.com/articulo/espana/Hallan/cadaver/patera/ocupantes/fardo/hachis/elpepiesp/20010821elpepinac_10/Tes</t>
  </si>
  <si>
    <t>suicide, found hanged in Nelson (GB) after his asylum claim was refused (Aug 20, 2001)</t>
  </si>
  <si>
    <t>Nelson, UK</t>
  </si>
  <si>
    <t>Event at Nelson, Uk on Aug 20, 2001</t>
  </si>
  <si>
    <t>MNS/IRR/CARF/NCADC</t>
  </si>
  <si>
    <t>2001-08-19T00:00:00Z</t>
  </si>
  <si>
    <t>drowned on her way to Spain, found north of Cabo de Tres Forcas (MA) (Aug 19, 2001)</t>
  </si>
  <si>
    <t>Cabo de Tres Forcas, Morocco</t>
  </si>
  <si>
    <t>Event at Cabo De Tres Forcas, Morocco on Aug 19, 2001</t>
  </si>
  <si>
    <t>drowned, jumped overboard from a ferry near Dover (GB) during deportation (Aug 19, 2001). From Del Grande's data set (translated): Deported on a ferry from the port of Dover, diving into the sea to escape and drowns (Aug 20, 2001)</t>
  </si>
  <si>
    <t>Event at Dover on Aug 19, 2001</t>
  </si>
  <si>
    <t>CARF/IRR/MNS</t>
  </si>
  <si>
    <t>2001-08-18T00:00:00Z</t>
  </si>
  <si>
    <t>reportedly drowned, boat sank off Fuerteventura (Canary Island, E) (Aug 18, 2001)</t>
  </si>
  <si>
    <t>Event at Fuerteventura on Aug 18, 2001</t>
  </si>
  <si>
    <t>drowned when boat sank off Fuerteventura (Canary Island, E) (Aug 18, 2001)</t>
  </si>
  <si>
    <t>2001-08-17T00:00:00Z</t>
  </si>
  <si>
    <t>body found during police operations near the coasts of Tarifa, Ceuta and Fuertev. (E) (Aug 17, 2001)</t>
  </si>
  <si>
    <t>Event at Tarifa on Aug 17, 2001</t>
  </si>
  <si>
    <t>OBP</t>
  </si>
  <si>
    <t>2001-08-12T00:00:00Z</t>
  </si>
  <si>
    <t>decaying bodies found in the hold of Panamanian vessel in La Coruna (E) (Aug 12, 2001). From Del Grande's data set (translated): Found in the cargo hold of a Panamanian firm in La Coruna, the lifeless bodies of 2 boys (Aug 13, 2001)</t>
  </si>
  <si>
    <t>Event at Coruna on Aug 12, 2001</t>
  </si>
  <si>
    <t>2001-08-11T00:00:00Z</t>
  </si>
  <si>
    <t>stowaway, suffocated in cargo container from Belgium to Ireland, Kurd (Aug 11, 2001)</t>
  </si>
  <si>
    <t>Event at Belgium on Aug 11, 2001</t>
  </si>
  <si>
    <t>AFP/VK/SZ/MET/AP/NCADC/MNS/Waterford News/RTE/KO/MN/NCADC/MUGAK/INDie</t>
  </si>
  <si>
    <t>2001-08-10T00:00:00Z</t>
  </si>
  <si>
    <t>Relief kwassa kwassa off of Mayotte: 1 dead and 7 missing (Aug 11, 2001)</t>
  </si>
  <si>
    <t>Event at Mayotte on Aug 10, 2001</t>
  </si>
  <si>
    <t>2001-08-09T00:00:00Z</t>
  </si>
  <si>
    <t>He died of a heart attack an hour and a half before boy arrested by agents of the Guardia Civil in Ceuta (Aug 10, 2001)</t>
  </si>
  <si>
    <t>Event at Ceuta on Aug 09, 2001</t>
  </si>
  <si>
    <t>http://www.elpais.com/articulo/espana/Fallece/joven/marroqui/ser/detenido/policia/Ceuta/elpepiesp/20010810elpepinac_4/Tes</t>
  </si>
  <si>
    <t>Found the body of a drowned man on the beach of Bolonia, Tarifa (Aug 10, 2001)</t>
  </si>
  <si>
    <t>Event at Tarifa on Aug 09, 2001</t>
  </si>
  <si>
    <t>http://www.elpais.com/articulo/espana/Rescatado/cadaver/inmigrante/costa/Tarifa/elpepiesp/20010810elpepinac_5/Tes</t>
  </si>
  <si>
    <t>2001-08-07T00:00:00Z</t>
  </si>
  <si>
    <t>reportedly drowned, boat was found drifting (E) (Aug 7, 2001). From Del Grande's data set (translated): A boat adrift for five days and no more food on board is finally rescued off the coast of Almeria. Appeal lacks 11 of the 30 passengers. According to the relatives of the victims were thrown overboard by his companions after a brawl on board (Aug 8, 2001)</t>
  </si>
  <si>
    <t>Event at Almeria on Aug 07, 2001</t>
  </si>
  <si>
    <t>http://www.elpais.com/articulo/espana/patera/perdida/durante/dias/atraca/ocupantes/multiples/peleas/bordo/elpepuesp/20010808elpepunac_3/Tes</t>
  </si>
  <si>
    <t>2001-08-05T00:00:00Z</t>
  </si>
  <si>
    <t>Found in Tanzania, to Pemba, a kwassa kwassa party from Anjouan and Mayotte to the finished adrift for 11 days, 2 dead (Aug 6, 2001)</t>
  </si>
  <si>
    <t>Event at Mayotte on Aug 05, 2001</t>
  </si>
  <si>
    <t>Shipwreck at 15 km from the coast of Anjouan: 26 dead (Aug 6, 2001)</t>
  </si>
  <si>
    <t>Mayotte</t>
  </si>
  <si>
    <t>2001-08-04T00:00:00Z</t>
  </si>
  <si>
    <t>Party from Pomoni (Anjouan) and directed to Mayotte, a kwassa kwassa is shipwrecked off the coast of Gnignijou. Drown a 5 year old girl (Aug 5, 2001)</t>
  </si>
  <si>
    <t>Event at Mayotte on Aug 04, 2001</t>
  </si>
  <si>
    <t>drowned while trying to cross the Strait of Gibraltar, body found on the coast near Tarifa (E) (Aug 4, 2001)</t>
  </si>
  <si>
    <t>Event at Tarifa on Aug 04, 2001</t>
  </si>
  <si>
    <t>NW/Mugak/ELM/DiarioVasco</t>
  </si>
  <si>
    <t>2001-08-03T05:00:00Z</t>
  </si>
  <si>
    <t>jumped from court house window in Vienna (A), asylum claim had been rejected (Mar 7, 2001)</t>
  </si>
  <si>
    <t>Event at Vienna on Mar 07, 2001</t>
  </si>
  <si>
    <t>MNS/Malmoe</t>
  </si>
  <si>
    <t>2001-07-21T00:00:00Z</t>
  </si>
  <si>
    <t>2001 -- 7</t>
  </si>
  <si>
    <t>asylum seeker, died as result of conditions of detention in Turkey  (Jul 21, 2001)</t>
  </si>
  <si>
    <t>Event at Turkey on Jul 21, 2001</t>
  </si>
  <si>
    <t>2001-07-18T00:00:00Z</t>
  </si>
  <si>
    <t>fell from window in refugee centre in Mespelbrunn (D) for fear of deportation (Jul 18, 2001)</t>
  </si>
  <si>
    <t>Mespelbrunn, Germany</t>
  </si>
  <si>
    <t>Event at Mespelbrunn, Germany on Jul 18, 2001</t>
  </si>
  <si>
    <t>2001-07-15T00:00:00Z</t>
  </si>
  <si>
    <t>shot dead by Turkish border police (TR/Syria) when refugees bus refused to stop (Jul 15, 2001)</t>
  </si>
  <si>
    <t>Event at Syria on Jul 15, 2001</t>
  </si>
  <si>
    <t>Found on a beach in Los Lances, Tarifa in an abandoned boat, 2 bodies on board (Jul 16, 2001)</t>
  </si>
  <si>
    <t>Event at Tarifa on Jul 15, 2001</t>
  </si>
  <si>
    <t>http://www.elpais.com/articulo/espana/inmigrantes/papeles/mueren/intentaban/alcanzar/costas/Tarifa/elpepiesp/20010716elpepinac_13/Tes</t>
  </si>
  <si>
    <t>2001-07-14T00:00:00Z</t>
  </si>
  <si>
    <t>drowned, vessel collided with rocks near Tarifa (E) attempting to escape police (Jul 14, 2001). From Del Grande's data set (translated): A boat crashing against the rocks of La Caleta, in Tarifa, 4 men drown (Jul 16, 2001)</t>
  </si>
  <si>
    <t>Event at Tarifa on Jul 14, 2001</t>
  </si>
  <si>
    <t>died after inhalation of toxic chemicals inside small boat near Tarifa (E) (Jul 14, 2001)</t>
  </si>
  <si>
    <t>2001-07-13T00:00:00Z</t>
  </si>
  <si>
    <t>Turkish police shoot on a minibus load of immigrants who refuse to stop at a checkpoint in the region of Hatay, near Syria. 2 people are killed and 7 injured (Jul 14, 2001)</t>
  </si>
  <si>
    <t>Event at Syria on Jul 13, 2001</t>
  </si>
  <si>
    <t>http://www.turkishdailynews.com.tr/archives.php?id=24163</t>
  </si>
  <si>
    <t>2001-07-12T00:00:00Z</t>
  </si>
  <si>
    <t>drowned, body found on a beach in Tarifa (E) (Jul 12, 2001)</t>
  </si>
  <si>
    <t>Event at Tarifa on Jul 12, 2001</t>
  </si>
  <si>
    <t>Statewatch/MUGAK</t>
  </si>
  <si>
    <t>2001-07-11T00:00:00Z</t>
  </si>
  <si>
    <t>A man died in hospital in Catania landed in Sicily on July 2 and wounded in the head with an oar by traffickers (Jul 12, 2001)</t>
  </si>
  <si>
    <t>Event at Catania on Jul 11, 2001</t>
  </si>
  <si>
    <t>2001-07-10T00:00:00Z</t>
  </si>
  <si>
    <t>drowned near Bodrum in Turkey when smugglers boat capsized   (Jul 10, 2001)</t>
  </si>
  <si>
    <t>Event at Bodrum on Jul 10, 2001</t>
  </si>
  <si>
    <t>drowned, when vessel capsized near Bodrum at South-West cost of Turkey (Jul 10, 2001)</t>
  </si>
  <si>
    <t>MNS/VK/AFP</t>
  </si>
  <si>
    <t>2001-07-09T00:00:00Z</t>
  </si>
  <si>
    <t>3 bodies recovered off the coast of Dubrovnik, between Scoglitti and Marina di Ragusa (Jul 10, 2001)</t>
  </si>
  <si>
    <t>Event at Scoglitti on Jul 09, 2001</t>
  </si>
  <si>
    <t>2001-07-08T00:00:00Z</t>
  </si>
  <si>
    <t>Ragusa: 4 people thrown overboard by traffickers drown trying to swim to the coast (Jul 9, 2001)</t>
  </si>
  <si>
    <t>Event at Ragusa on Jul 08, 2001</t>
  </si>
  <si>
    <t>http://www.repubblica.it/2004/a/sezioni/cronaca/clandestini/cronotra/cronotra.html</t>
  </si>
  <si>
    <t>2001-07-04T00:00:00Z</t>
  </si>
  <si>
    <t>A frozen to death on the border crossings between Bulgaria and Greece (Jul 5, 2001)</t>
  </si>
  <si>
    <t>Event at Bulgaria on Jul 04, 2001</t>
  </si>
  <si>
    <t>2001-06-27T00:00:00Z</t>
  </si>
  <si>
    <t>2Q2001</t>
  </si>
  <si>
    <t>2001 -- 6</t>
  </si>
  <si>
    <t>died in a dinghy near Tarifa (E) on the way from Morocco to Spain (Jun 27, 2001)</t>
  </si>
  <si>
    <t>Event at Tarifa on Jun 27, 2001</t>
  </si>
  <si>
    <t>Rescued a boat with 62 passengers in the waters of Tarifa, 1 died on board (Jun 28, 2001)</t>
  </si>
  <si>
    <t>http://www.elpais.com/articulo/espana/Rescatada/patera/deriva/Tarifa/62/africanos/cadaver/elpepiesp/20010628elpepinac_22/Tes</t>
  </si>
  <si>
    <t>2001-06-26T00:00:00Z</t>
  </si>
  <si>
    <t>died of inhalation of toxic gas coming from the boat s motor, on the way to Spain (Jun 26, 2001)</t>
  </si>
  <si>
    <t>Event at Spanish Coast on Jun 26, 2001</t>
  </si>
  <si>
    <t>Mugak/GARA/MNS</t>
  </si>
  <si>
    <t>2001-06-23T00:00:00Z</t>
  </si>
  <si>
    <t>suicide of asylum seeker in Gimo reception Centre (S) (Jun 23, 2001)</t>
  </si>
  <si>
    <t>Gimo, Sweden</t>
  </si>
  <si>
    <t>Event at Gimo, Sweden on Jun 23, 2001</t>
  </si>
  <si>
    <t>2001-06-17T00:00:00Z</t>
  </si>
  <si>
    <t>Tucked away in the undercarriage of a plane at Gatwick, man rushes to the opening of the truck from a height of several hundred meters (Jun 18, 2001)</t>
  </si>
  <si>
    <t>gatwick</t>
  </si>
  <si>
    <t>Event at Gatwick on Jun 17, 2001</t>
  </si>
  <si>
    <t>http://www.telegraph.co.uk/news/main.jhtml?xml=/news/2000/12/26/nstow26.xml</t>
  </si>
  <si>
    <t>2001-06-15T00:00:00Z</t>
  </si>
  <si>
    <t>drowned, jumped into sea from vessel when detected and hit his head, on way to Spain (Jun 15, 2001)</t>
  </si>
  <si>
    <t>Event at Spanish Coast on Jun 15, 2001</t>
  </si>
  <si>
    <t>2001-06-14T00:00:00Z</t>
  </si>
  <si>
    <t>A boat hits a rocky islet of Chtapodia, in the Cyclades, and sinks, 6 drowned (Jun 15, 2001)</t>
  </si>
  <si>
    <t>Chtapodia, greece</t>
  </si>
  <si>
    <t>Event at Chtapodia, Greece on Jun 14, 2001</t>
  </si>
  <si>
    <t>2001-06-13T00:00:00Z</t>
  </si>
  <si>
    <t>stowaway, frozen to death in wheelbay on flight from Bahrein to Heatrow airport (GB) (Jun 13, 2001)</t>
  </si>
  <si>
    <t>bahrein</t>
  </si>
  <si>
    <t>Event at Bahrein on Jun 13, 2001</t>
  </si>
  <si>
    <t>reportedly drowned, when vessel hit a rocky islet near Mykonos (GR) and sank (Jun 13, 2001)</t>
  </si>
  <si>
    <t>mykonos</t>
  </si>
  <si>
    <t>Event at Mykonos on Jun 13, 2001</t>
  </si>
  <si>
    <t>drowned when vessel hit a rocky islet near Mykonos (GR) and sank (Jun 13, 2001)</t>
  </si>
  <si>
    <t>Landing in Frigole, Lecce, a man dies for head injury during the trip, slamming against the side of a boat (Jun 14, 2001)</t>
  </si>
  <si>
    <t>Event at Lecce on Jun 13, 2001</t>
  </si>
  <si>
    <t>stowaway, fell in carpark in Richmond from wheelbay of plane Bahrein-London (GB) (Jun 13, 2001). From Del Grande's data set (translated): London Heathrow Airport. Found the body of a man frozen in the undercarriage of a plane took off from Bahrain, where he traveled secretly (Jun 14, 2001)</t>
  </si>
  <si>
    <t>Event at Heathrow on Jun 13, 2001</t>
  </si>
  <si>
    <t>OBV/IRR</t>
  </si>
  <si>
    <t>2001-06-10T00:00:00Z</t>
  </si>
  <si>
    <t>Found on a beach of Tarifa the corpse of a drowned man (Jun 11, 2001)</t>
  </si>
  <si>
    <t>Event at Tarifa on Jun 10, 2001</t>
  </si>
  <si>
    <t>http://www.elpais.com/articulo/espana/Guardia/Civil/encuentra/cadaver/inmigrante/Tarifa/interceptar/papeles/elpepuesp/20010611elpepunac_2/Tes</t>
  </si>
  <si>
    <t>drowned, after vessel capsized near the South-West coast of Turkey (Jun 10, 2001)</t>
  </si>
  <si>
    <t>Event at Turkey To Greece on Jun 10, 2001</t>
  </si>
  <si>
    <t>MNS/DPA</t>
  </si>
  <si>
    <t>hit by a car while escaping police who forced Afghani/Pakistani refugees into a bus (Jun 10, 2001)</t>
  </si>
  <si>
    <t>Event at Turkey on Jun 10, 2001</t>
  </si>
  <si>
    <t>2001-06-09T00:00:00Z</t>
  </si>
  <si>
    <t>They die in Trani, Bari, 12 people, thrown overboard by traffickers. The survivors are 22. (Jun 10, 2001)</t>
  </si>
  <si>
    <t>Event at Bari on Jun 09, 2001</t>
  </si>
  <si>
    <t>2001-06-08T00:00:00Z</t>
  </si>
  <si>
    <t>stowaway, found dead in a cargo ship in Sevilla (E) (Jun 8, 2001)</t>
  </si>
  <si>
    <t>Event at Sevilla on Jun 08, 2001</t>
  </si>
  <si>
    <t>2001-06-04T00:00:00Z</t>
  </si>
  <si>
    <t>killed in car accident, car fell into river in north-west Romania heading for H (Jun 4, 2001)</t>
  </si>
  <si>
    <t>Romania to Hungary</t>
  </si>
  <si>
    <t>Event at Romania To Hungary on Jun 04, 2001</t>
  </si>
  <si>
    <t>2001-06-03T00:00:00Z</t>
  </si>
  <si>
    <t>died after falling from a cliff, trying to flee from the Guardia Civil near Tarifa (E) (Jun 3, 2001)</t>
  </si>
  <si>
    <t>Event at Tarifa on Jun 03, 2001</t>
  </si>
  <si>
    <t>MNS/Mugak/EP</t>
  </si>
  <si>
    <t>2001-05-31T00:00:00Z</t>
  </si>
  <si>
    <t>2001 -- 5</t>
  </si>
  <si>
    <t>drowned, arts found on the beach of Bolonia, Tarifa (E) (May 31, 2001)</t>
  </si>
  <si>
    <t>Event at Tarifa on May 31, 2001</t>
  </si>
  <si>
    <t>Gara/Diario Vasco</t>
  </si>
  <si>
    <t>2001-05-29T00:00:00Z</t>
  </si>
  <si>
    <t>reportedly drowned, near Fuerte Ventura (E) after patrol boat intercepted vessel (May 29, 2001). From Del Grande's data set (translated): The Civil Guard rescues boat 2 miles from the island of Fuerteventura, in the Canary Islands. Passengers stand up to greet the rescue, but in doing so the boat capsizes. 15 die in drowning (Jun 1, 2001)</t>
  </si>
  <si>
    <t>Event at Fuerteventura on May 29, 2001</t>
  </si>
  <si>
    <t>MNS/IRR/Mugak/EP/AFP</t>
  </si>
  <si>
    <t>http://www.elpais.com/articulo/espana/inmigrantes/ahogan/iban/ser/abordados/Guardia/Civil/elpepiesp/20010601elpepinac_7/Tes</t>
  </si>
  <si>
    <t>2001-05-28T00:00:00Z</t>
  </si>
  <si>
    <t>died of severe burns after fire in asylum seekers centre in Werdau (D) (May 28, 2001)</t>
  </si>
  <si>
    <t>Werdau, germany</t>
  </si>
  <si>
    <t>Event at Werdau, Germany on May 28, 2001</t>
  </si>
  <si>
    <t>2001-05-24T00:00:00Z</t>
  </si>
  <si>
    <t>Two dead along the coast of Spain, one in Cadiz and one in Fuerteventura, in the Canary Islands (May 25, 2001)</t>
  </si>
  <si>
    <t>Event at Fuerteventura on May 24, 2001</t>
  </si>
  <si>
    <t>http://www.elpais.com/articulo/espana/inmigrantes/muertos/78/detenidos/costas/Cadiz/Fuerteventura/elpepiesp/20010525elpepinac_45/Tes</t>
  </si>
  <si>
    <t>2001-05-23T00:00:00Z</t>
  </si>
  <si>
    <t>reportedly drowned, found dead on beach near Melilla (E/MA) (May 23, 2001)</t>
  </si>
  <si>
    <t>Event at Melilla on May 23, 2001</t>
  </si>
  <si>
    <t>drowned after small boat capsized near Cadiz (E) (May 23, 2001)</t>
  </si>
  <si>
    <t>Event at Cadiz on May 23, 2001</t>
  </si>
  <si>
    <t>MNS/ELM</t>
  </si>
  <si>
    <t>2001-05-22T00:00:00Z</t>
  </si>
  <si>
    <t>suicide, found hanging after arrest in Soto del Real (E) (May 22, 2001)</t>
  </si>
  <si>
    <t>Soto del Real, spain</t>
  </si>
  <si>
    <t>Event at Soto Del Real, Spain on May 22, 2001</t>
  </si>
  <si>
    <t>2001-05-21T00:00:00Z</t>
  </si>
  <si>
    <t>died in marked minefield, crossed into Greece from Turkey via Evros river (May 21, 2001). From Del Grande's data set (translated): After the victims of the previous day, the remains of two other victims of landmines are found in the fields of Evros (May 22, 2001)</t>
  </si>
  <si>
    <t>Event at Evros on May 21, 2001</t>
  </si>
  <si>
    <t>Athens News Agency</t>
  </si>
  <si>
    <t>2001-05-20T00:00:00Z</t>
  </si>
  <si>
    <t>died in minefield in Greece trying to cross the Turkish-Greek border (May 20, 2001). From Del Grande's data set (translated): 3 dead and one seriously injured in a minefield greek-Turkish border Evros (May 21, 2001)</t>
  </si>
  <si>
    <t>Event at Evros on May 20, 2001</t>
  </si>
  <si>
    <t>DPA/Athens News Agency</t>
  </si>
  <si>
    <t>http://www.turkishdailynews.com.tr/archives.php?id=23415</t>
  </si>
  <si>
    <t>suicide in refugee centre De Lier (NL) after rejection of asylum application, Kurd  (May 20, 2001)</t>
  </si>
  <si>
    <t>De Lier, netherlands</t>
  </si>
  <si>
    <t>Event at De Lier, Netherlands on May 20, 2001</t>
  </si>
  <si>
    <t>PRIME</t>
  </si>
  <si>
    <t>2001-05-17T00:00:00Z</t>
  </si>
  <si>
    <t>The Libyan authorities announced that they had found in the desert near Murzuq, 93 corpses in a state of decomposition. They were part of a group party from Niger on May 8 and got stuck in the desert after an engine failure the truck they were traveling in 165. The survivors are 25. Another 47 people are reported missing, surely death within a few kilometers (May 18, 2001)</t>
  </si>
  <si>
    <t>Event at Libyan on May 17, 2001</t>
  </si>
  <si>
    <t>http://www.lemonde.fr/cgi-bin/ACHATS/acheter.cgi?offre=ARCHIVES&amp;type_item=ART_ARCH_30J&amp;objet_id=705829</t>
  </si>
  <si>
    <t>2001-05-12T00:00:00Z</t>
  </si>
  <si>
    <t>body found in wheelbay of Iranian plane at Teheran airport  (May 12, 2001)</t>
  </si>
  <si>
    <t>teheran</t>
  </si>
  <si>
    <t>Event at Teheran on May 12, 2001</t>
  </si>
  <si>
    <t>2001-05-08T00:00:00Z</t>
  </si>
  <si>
    <t>drowned in the attempt to swim to the beach of the Greek island of Evia (May 8, 2001)</t>
  </si>
  <si>
    <t>Event at Evia on May 08, 2001</t>
  </si>
  <si>
    <t>2001-05-07T00:00:00Z</t>
  </si>
  <si>
    <t>1 body found along the coast of Tarifa (May 8, 2001)</t>
  </si>
  <si>
    <t>Event at Tarifa on May 07, 2001</t>
  </si>
  <si>
    <t>http://www.elpais.com/articulo/espana/Otros/165/inmigrantes/buscan/futuro/patera/elpepiesp/20010509elpepinac_23/Tes</t>
  </si>
  <si>
    <t>2001-05-06T00:00:00Z</t>
  </si>
  <si>
    <t>frozen, trying to cross the snow covered border between Bulgaria and Northern Greece (May 6, 2001)</t>
  </si>
  <si>
    <t>Event at Bulgaria on May 06, 2001</t>
  </si>
  <si>
    <t>2001-05-03T00:00:00Z</t>
  </si>
  <si>
    <t>1 body found in the ship's hold cargo Epic game from New Guinea with a cargo of timber (May 4, 2001)</t>
  </si>
  <si>
    <t>Event at Italy on May 03, 2001</t>
  </si>
  <si>
    <t>2001-05-02T00:00:00Z</t>
  </si>
  <si>
    <t>stowaway, found dead near Madrid (E) in container coming from Casablanca (MA) (May 2, 2001)</t>
  </si>
  <si>
    <t>Event at Casablanca on May 02, 2001</t>
  </si>
  <si>
    <t>2001-05-01T00:00:00Z</t>
  </si>
  <si>
    <t>drowned near Tarifa (E) when small boat capsized trying to reach Spain (May 1, 2001)</t>
  </si>
  <si>
    <t>Event at Tarifa on May 01, 2001</t>
  </si>
  <si>
    <t>MNS/NW/ELM/EP/Gara/DiarioVasco</t>
  </si>
  <si>
    <t>drowned near Tarifa (E) after small boat capsized trying to reach Spain (May 1, 2001)</t>
  </si>
  <si>
    <t>drowned near Tarifa (E) after small boat capsized in attempt to reach Spain (May 1, 2001)</t>
  </si>
  <si>
    <t>drowned after small boat capsized near Tarifa (E), on the way to Spain (May 1, 2001)</t>
  </si>
  <si>
    <t>2001-04-25T00:00:00Z</t>
  </si>
  <si>
    <t>2001 -- 4</t>
  </si>
  <si>
    <t>Two dead in Calais trying to hide under the direct trains Channel in England (Apr 26, 2001)</t>
  </si>
  <si>
    <t>Event at Calais on Apr 25, 2001</t>
  </si>
  <si>
    <t>British Broadcasting Corporation</t>
  </si>
  <si>
    <t>http://www.hambastegi.org/internationalnews/news043001.htm</t>
  </si>
  <si>
    <t>2001-04-17T00:00:00Z</t>
  </si>
  <si>
    <t>drowned, fell into a water-filled quarry near Putzkau (D/CZ) trying to escape police control (Apr 17, 2001)</t>
  </si>
  <si>
    <t>Putzkau</t>
  </si>
  <si>
    <t>Event at Putzkau on Apr 17, 2001</t>
  </si>
  <si>
    <t>EIS/NW/LausitzerRundschau/FreiePresse/MNS/IRR/ARI</t>
  </si>
  <si>
    <t>2001-04-16T00:00:00Z</t>
  </si>
  <si>
    <t>frozen to death at Belles mountain (BG/GR) trying to walk to Greece (Apr 16, 2001). From Del Grande's data set (translated): 4 dead, frozen to death on the passes of the mountains of Belasicas, trying to walk across the border between Bulgaria and Greece. According to authorities, 30 migrants have died since 1994 in these mountains (Apr 17, 2001)</t>
  </si>
  <si>
    <t>Event at Bulgaria on Apr 16, 2001</t>
  </si>
  <si>
    <t>2001-04-13T00:00:00Z</t>
  </si>
  <si>
    <t>One person dies electrocuted while trying to climb over the fences of the terminal of the Channel Tunnel near Calais (Apr 14, 2001)</t>
  </si>
  <si>
    <t>Event at Calais on Apr 13, 2001</t>
  </si>
  <si>
    <t>http://www.liberation.fr/societe/2001/04/13/la-mort-du-migrant-inconnu_361175</t>
  </si>
  <si>
    <t>2001-04-02T00:00:00Z</t>
  </si>
  <si>
    <t>drowned after shipwreck occured 1 month before, bodies found near Tarifa (E) (Apr 2, 2001). From Del Grande's data set (translated): A young man just landed in Tarifa died by falling into a ravine 10 meters deep while he was fleeing from the Guardia Civil (Apr 7, 2001)</t>
  </si>
  <si>
    <t>Event at Tarifa on Apr 02, 2001</t>
  </si>
  <si>
    <t>MNS/EP</t>
  </si>
  <si>
    <t>http://www.elpais.com/articulo/espana/Muere/magrebi/huir/control/judicial/elpepiesp/20010407elpepinac_11/Tes</t>
  </si>
  <si>
    <t>2001-03-28T00:00:00Z</t>
  </si>
  <si>
    <t>1Q2001</t>
  </si>
  <si>
    <t>2001 -- 3</t>
  </si>
  <si>
    <t>skeleton found in minefield between Greek-Turkish border (Mar 28, 2001)</t>
  </si>
  <si>
    <t>Event at Turkey To Greece on Mar 28, 2001</t>
  </si>
  <si>
    <t>expelled Turk, died in minefield at GR/TR border returning to Germany after torture (Mar 28, 2001)</t>
  </si>
  <si>
    <t>2001-03-27T00:00:00Z</t>
  </si>
  <si>
    <t>reportedly drowned while trying to swim ashore, body found on a beach near Tarifa (E)  (Mar 27, 2001)</t>
  </si>
  <si>
    <t>Event at Tarifa on Mar 27, 2001</t>
  </si>
  <si>
    <t>2001-03-26T00:00:00Z</t>
  </si>
  <si>
    <t>died after being hit by a truck while leaving Drunten detention centre (NL) in confused state (Mar 26, 2001)</t>
  </si>
  <si>
    <t>Drunten, netherland</t>
  </si>
  <si>
    <t>Event at Drunten, Netherland on Mar 26, 2001</t>
  </si>
  <si>
    <t>NOS</t>
  </si>
  <si>
    <t>2001-03-23T00:00:00Z</t>
  </si>
  <si>
    <t>died after boat of Italian navy crushed their boat in the Canal Otranto (I) (Mar 23, 2001)</t>
  </si>
  <si>
    <t>Event at Otranto on Mar 23, 2001</t>
  </si>
  <si>
    <t>GARA</t>
  </si>
  <si>
    <t>2001-03-22T00:00:00Z</t>
  </si>
  <si>
    <t>drowned on his way to E, found in advanced state of decomposition near Tarifa (E) (Mar 22, 2001). From Del Grande's data set (translated): Found the bodies of 2 boys and 2 girls on the beaches of Tarifa (Mar 22, 2001)</t>
  </si>
  <si>
    <t>Event at Tarifa on Mar 22, 2001</t>
  </si>
  <si>
    <t>EP/GARA</t>
  </si>
  <si>
    <t>http://www.elpais.com/articulo/espana/Hallados/cadaveres/inmigrantes/costa/Tarifa/elpepiesp/20010322elpepinac_18/Tes</t>
  </si>
  <si>
    <t>stowaway, found dead on motorway near Darro (E) preportedly fallen from lorry (Mar 22, 2001). From Del Grande's data set (translated): A young man falls from the truck in which he was traveling tucked away on the A-340 in Darro, Granada, and bleeds to death on the asphalt (Mar 24, 2001)</t>
  </si>
  <si>
    <t>darro</t>
  </si>
  <si>
    <t>Event at Darro on Mar 22, 2001</t>
  </si>
  <si>
    <t>http://www.elpais.com/articulo/espana/Muere/magrebi/viajaba/bajos/camion/elpepiesp/20010324elpepinac_6/Tes</t>
  </si>
  <si>
    <t>2001-03-21T00:00:00Z</t>
  </si>
  <si>
    <t>killed by Morroccan refugee who did not want to be deported from jail in Almeria (E)  (Mar 21, 2001)</t>
  </si>
  <si>
    <t>Event at Almeria on Mar 21, 2001</t>
  </si>
  <si>
    <t>2001-03-20T00:00:00Z</t>
  </si>
  <si>
    <t>drowned on their way to Spain, found near Tarifa (E) (Mar 20, 2001)</t>
  </si>
  <si>
    <t>Event at Tarifa on Mar 20, 2001</t>
  </si>
  <si>
    <t>drowned after boat crushed, bodies washed ashore along beach near Tarifa (E)  (Mar 20, 2001)</t>
  </si>
  <si>
    <t>MNS/DiarioVasco/Gara</t>
  </si>
  <si>
    <t>drowned, found dead on beach near Tarifa (E) after boat was collided (Mar 20, 2001)</t>
  </si>
  <si>
    <t>2001-03-17T00:00:00Z</t>
  </si>
  <si>
    <t>Recovered a dead body in front of a backdrop of the island of Pantelleria (Mar 18, 2001)</t>
  </si>
  <si>
    <t>Event at Pantelleria on Mar 17, 2001</t>
  </si>
  <si>
    <t>2001-03-15T00:00:00Z</t>
  </si>
  <si>
    <t>drowned near the coast of Melilla (E/MA) after being forced overboard by smuggler (Mar 15, 2001). From Del Grande's data set (translated): Thrown into the sea from a small boat off the coast of Melilla, 1 dead (Mar 18, 2001)</t>
  </si>
  <si>
    <t>Event at Melilla on Mar 15, 2001</t>
  </si>
  <si>
    <t>http://www.elmundo.es/elmundo/2001/03/16/sociedad/984739056.html</t>
  </si>
  <si>
    <t>2001-03-04T00:00:00Z</t>
  </si>
  <si>
    <t>Madrid, discovered a corpse inside a container left from Casablanca, Morocco (Mar 5, 2001)</t>
  </si>
  <si>
    <t>Event at Casablanca on Mar 04, 2001</t>
  </si>
  <si>
    <t>Recovered the bodies of two men drowned off the coast of Tarifa (Mar 5, 2001)</t>
  </si>
  <si>
    <t>Event at Tarifa on Mar 04, 2001</t>
  </si>
  <si>
    <t>http://www.elpais.com/articulo/espana/Guardia/Civil/recupera/cadaveres/costa/Tarifa/elpepiesp/20010305elpepinac_19/Tes</t>
  </si>
  <si>
    <t>2001-02-28T00:00:00Z</t>
  </si>
  <si>
    <t>2001 -- 2</t>
  </si>
  <si>
    <t>died in a van accident near Murcia (E), were undocumented migrant workers (Feb 28, 2001)</t>
  </si>
  <si>
    <t>Event at Murcia on Feb 28, 2001</t>
  </si>
  <si>
    <t>2001-02-25T00:00:00Z</t>
  </si>
  <si>
    <t>A truck party to Libya is lost in the desert to avoid border controls of Tidjeri. Three people are able to raise the alarm, but help arrives the Libyan army is only 40 survivors. The Niger police recovered 23 bodies. Another 27 people were buried in the sand by the 40 survivors (Feb 26, 2001)</t>
  </si>
  <si>
    <t>Event at Libyan on Feb 25, 2001</t>
  </si>
  <si>
    <t>Le Monde diplomatique</t>
  </si>
  <si>
    <t>2001-02-21T00:00:00Z</t>
  </si>
  <si>
    <t>died after insufficiant medical care at asylum seekers centre Waddingxveen (NL) (Feb 21, 2001)</t>
  </si>
  <si>
    <t>Waddingxveen, netherland</t>
  </si>
  <si>
    <t>Event at Waddingxveen, Netherland on Feb 21, 2001</t>
  </si>
  <si>
    <t>2001-02-18T00:00:00Z</t>
  </si>
  <si>
    <t>died in refugee centre in Wien, stabbed during a massive fight not stopped by guards (Feb 18, 2001)</t>
  </si>
  <si>
    <t>Event at Wien on Feb 18, 2001</t>
  </si>
  <si>
    <t>stowaway, froze to death in wheelbay on flight from Gatwick (GB) to USA (Feb 18, 2001)</t>
  </si>
  <si>
    <t>Event at Gatwick on Feb 18, 2001</t>
  </si>
  <si>
    <t>NCADC/INexile/Telegraph/IRR</t>
  </si>
  <si>
    <t>2001-02-10T00:00:00Z</t>
  </si>
  <si>
    <t>2 bodies recovered in an advanced state of decomposition on the beaches of Tarifa, perhaps drowned in the sinking of the last week (Feb 11, 2001)</t>
  </si>
  <si>
    <t>Event at Tarifa on Feb 10, 2001</t>
  </si>
  <si>
    <t>http://www.elpais.com/articulo/espana/RECUPERADOS/CADaVERES/COSTA/TARIFA/elpepiesp/20010211elpepinac_2/Tes</t>
  </si>
  <si>
    <t>2001-02-07T00:00:00Z</t>
  </si>
  <si>
    <t>2 dead in the hold of a freighter turkish party from Tunisia and landed in Brindisi, where were hidden, probably killed by the fumes of the cargo oil sanza (Feb 8, 2001)</t>
  </si>
  <si>
    <t>Event at Brindisi on Feb 07, 2001</t>
  </si>
  <si>
    <t>2001-02-05T00:00:00Z</t>
  </si>
  <si>
    <t>Recovered the bodies of 10 men drowned in a shipwreck in the waters of Tarifa, another 20 people are reported missing (Feb 6, 2001)</t>
  </si>
  <si>
    <t>Event at Tarifa on Feb 05, 2001</t>
  </si>
  <si>
    <t>http://www.elpais.com/articulo/espana/inmigrantes/mueren/naufragio/embarcacion/frente/playa/Tarifa/elpepiesp/20010206elpepinac_6/Tes</t>
  </si>
  <si>
    <t>2001-02-01T00:00:00Z</t>
  </si>
  <si>
    <t>Refugee dies under a train in Eurotunnel Calais terminal (Feb 1, 2001)</t>
  </si>
  <si>
    <t>Event at Calais on Feb 01, 2001</t>
  </si>
  <si>
    <t>2001-12-31T00:00:00Z</t>
  </si>
  <si>
    <t>4Q2001</t>
  </si>
  <si>
    <t>2001 -- 12</t>
  </si>
  <si>
    <t>drowned trying to cross the Iranian-Turkish border near Ert√ºl√º (TR) (Dec 31, 2001)</t>
  </si>
  <si>
    <t>Event at Iran on Dec 31, 2001</t>
  </si>
  <si>
    <t>died of hypothermia, found dead in mountains near Turkish-Iranian border (Dec 31, 2001)</t>
  </si>
  <si>
    <t>Spits/VK/MNS/HRFT/BBC/NCAs/IstitutoInnocenti/NCAs</t>
  </si>
  <si>
    <t>According to a report by Human Rights Watch, November 2001 to January 2002, at least 4 migrants were killed by Turkish police along the border with Iran frozen to death and 26 others were killed on the border crossings (Jan 1, 2002)</t>
  </si>
  <si>
    <t>Hrw</t>
  </si>
  <si>
    <t>http://hrw.org/backgrounder/refugees/uk/conditions.htm</t>
  </si>
  <si>
    <t>drowned, dead bodies discovered by Spanish police near Cabo de Gata (E) (Dec 31, 2001)</t>
  </si>
  <si>
    <t>Event at Gata on Dec 31, 2001</t>
  </si>
  <si>
    <t>Man dies frozen to death trying to walk across the border between Turkey and Greece in Edirne (Jan 1, 2002)</t>
  </si>
  <si>
    <t>Event at Edirne on Dec 31, 2001</t>
  </si>
  <si>
    <t>drowned, forced by smugglers to cross river March (SK-A) by swimming (Dec 31, 2001)</t>
  </si>
  <si>
    <t>Slovakia to Slovakia</t>
  </si>
  <si>
    <t>Event at Slovakia To Slovakia on Dec 31, 2001</t>
  </si>
  <si>
    <t>Der Standard</t>
  </si>
  <si>
    <t>electrocuted on top of a train in the Channel Tunnel heading for the GB (Dec 31, 2001). From Del Grande's data set (translated): Man electrocuted by an electric discharge over a train tunnel under the Channel to England (Jan 1, 2002)</t>
  </si>
  <si>
    <t>Event at England on Dec 31, 2001</t>
  </si>
  <si>
    <t>https://www.irr.org.uk/</t>
  </si>
  <si>
    <t>suicide, jumped off a bridge in Tyneside (GB) in fear of deportation (Dec 31, 2001)</t>
  </si>
  <si>
    <t>Tyneside, UK</t>
  </si>
  <si>
    <t>Event at Tyneside, Uk on Dec 31, 2001</t>
  </si>
  <si>
    <t>CARF/IRR/NCADC/ERB</t>
  </si>
  <si>
    <t>2001-12-26T00:00:00Z</t>
  </si>
  <si>
    <t>drowned, trying to clandestinely get onboard a merchant ship anchored near Ceuta (E/MA) (Dec 26, 2001). From Del Grande's data set (translated): Boy drowned trying to board a freighter anchored in the port of Ceuta (Dec 27, 2001)</t>
  </si>
  <si>
    <t>Event at Ceuta on Dec 26, 2001</t>
  </si>
  <si>
    <t>http://www.elpais.com/articulo/espana/Hogueras/frio/Tarifa/viaje/patera/elpepiesp/20011228elpepinac_13/Tes</t>
  </si>
  <si>
    <t>2001-12-24T00:00:00Z</t>
  </si>
  <si>
    <t>London Gatwick Airport. Found the bodies of two men frozen in undercarriage of a British Airways plane which were hidden (Dec 25, 2001)</t>
  </si>
  <si>
    <t>Event at Gatwick on Dec 24, 2001</t>
  </si>
  <si>
    <t>http://news.bbc.co.uk/2/hi/americas/1123773.stm</t>
  </si>
  <si>
    <t>He died of hypothermia a man hidden in the hold of a freighter Ivorian direct to Holland (Dec 25, 2001)</t>
  </si>
  <si>
    <t>Event at Netherland on Dec 24, 2001</t>
  </si>
  <si>
    <t>http://www.volkskrant.nl/</t>
  </si>
  <si>
    <t>2001-12-22T00:00:00Z</t>
  </si>
  <si>
    <t>died in minefield in Northern Greece trying to cross the Turkish-Greek border (Dec 22, 2001). From Del Grande's data set (translated): Found the remains of a man killed by an explosion in the mine fields between Gemisti and Gefyra, at the border between Turkey and Greece (Sep 29, 2001)</t>
  </si>
  <si>
    <t>Event at Gemisti on Dec 22, 2001</t>
  </si>
  <si>
    <t>2001-12-16T00:00:00Z</t>
  </si>
  <si>
    <t>drowned, found dead on a beach in Punta Aceituno, Canary Islands (E) (Dec 16, 2001). From Del Grande's data set (translated): Found the bodies of two drowned men on the beach in Punta Aceituno, Fuerteventura, in the Canary Islands (Dec 18, 2001)</t>
  </si>
  <si>
    <t>Event at Fuerteventura on Dec 16, 2001</t>
  </si>
  <si>
    <t>http://www.elpais.com/articulo/espana/inmigrantes/mueren/ahogados/Canarias/elpepiesp/20011218elpepinac_18/Tes</t>
  </si>
  <si>
    <t>2001-12-11T00:00:00Z</t>
  </si>
  <si>
    <t>found dead  in a Spanish police station while in detention (Dec 11, 2001)</t>
  </si>
  <si>
    <t>Event at Spain on Dec 11, 2001</t>
  </si>
  <si>
    <t>Livorno suffocated in trucks where they were hidden, 4 dead (Dec 12, 2001)</t>
  </si>
  <si>
    <t>Event at Livorno on Dec 11, 2001</t>
  </si>
  <si>
    <t>2001-12-09T00:00:00Z</t>
  </si>
  <si>
    <t>Shipwreck off the coast of Fuerteventura, in the Canary Islands. Suspended the search for the missing 7 (Dec 10, 2001)</t>
  </si>
  <si>
    <t>Event at Fuerteventura on Dec 09, 2001</t>
  </si>
  <si>
    <t>http://www.elpais.com/articulo/espana/Intensa/busqueda/Canarias/magrebies/dados/desaparecidos/elpepiesp/20011210elpepinac_11/Tes</t>
  </si>
  <si>
    <t>2001-12-08T00:00:00Z</t>
  </si>
  <si>
    <t>drowned, decomposing bodies washed ashore in Cabestrante in El Ejido (E) (Dec 8, 2001)</t>
  </si>
  <si>
    <t>El Ejido, spain</t>
  </si>
  <si>
    <t>Event at El Ejido, Spain on Dec 08, 2001</t>
  </si>
  <si>
    <t>Suffocated in containers where they were hidden, 8 dead (Dec 9, 2001)</t>
  </si>
  <si>
    <t>Ireland</t>
  </si>
  <si>
    <t>Event at Ireland on Dec 08, 2001</t>
  </si>
  <si>
    <t>2001-12-06T00:00:00Z</t>
  </si>
  <si>
    <t>Sinks near Cesme small raft live in Greece, 3 killed (Dec 7, 2001)</t>
  </si>
  <si>
    <t>Event at Cesme on Dec 06, 2001</t>
  </si>
  <si>
    <t>http://www.ekathimerini.com/4dcgi/news/content.asp?aid=11378</t>
  </si>
  <si>
    <t>2001-12-05T00:00:00Z</t>
  </si>
  <si>
    <t>drowned, body washed ashore along the coast of Tarifa (E) (Dec 5, 2001)</t>
  </si>
  <si>
    <t>Event at Tarifa on Dec 05, 2001</t>
  </si>
  <si>
    <t>Mugak/Gara</t>
  </si>
  <si>
    <t>2001-12-04T00:00:00Z</t>
  </si>
  <si>
    <t>body found near Tarifa (E) (Dec 4, 2001)</t>
  </si>
  <si>
    <t>Event at Tarifa on Dec 04, 2001</t>
  </si>
  <si>
    <t>2001-12-03T00:00:00Z</t>
  </si>
  <si>
    <t>electrocuted trying to get on board a Eurostar train at Calais (F) (Dec 3, 2001)</t>
  </si>
  <si>
    <t>Event at Calais on Dec 03, 2001</t>
  </si>
  <si>
    <t>2001-12-02T00:00:00Z</t>
  </si>
  <si>
    <t>Boat rescued off Cesvos, 2 dead, 4 missing (Dec 3, 2001)</t>
  </si>
  <si>
    <t>Cesvos, greece</t>
  </si>
  <si>
    <t>Event at Cesvos, Greece on Dec 02, 2001</t>
  </si>
  <si>
    <t>http://www.ekathimerini.com/4dcgi/news/content.asp?aid=8791</t>
  </si>
  <si>
    <t>2001-11-30T00:00:00Z</t>
  </si>
  <si>
    <t>2001 -- 11</t>
  </si>
  <si>
    <t>died of severe burns after fire in asylum seekers centre in Eschwege (D) (Nov 30, 2001)</t>
  </si>
  <si>
    <t>Eschwege, germany</t>
  </si>
  <si>
    <t>Event at Eschwege, Germany on Nov 30, 2001</t>
  </si>
  <si>
    <t>2001-11-27T00:00:00Z</t>
  </si>
  <si>
    <t>drowned, thrown off a boat near Fuerteventura (E) (Nov 27, 2001). From Del Grande's data set (translated): Drowned a boy thrown into the sea from the rail of the boat on which he was traveling off the coast of Fuerteventura, in the Canary Islands (Nov 29, 2001)</t>
  </si>
  <si>
    <t>Event at Fuerteventura on Nov 27, 2001</t>
  </si>
  <si>
    <t>http://www.elpais.com/articulo/espana/Muere/joven/magrebi/arrojado/patera/Fuerteventura/elpepiesp/20011129elpepinac_17/Tes</t>
  </si>
  <si>
    <t>2001-11-24T00:00:00Z</t>
  </si>
  <si>
    <t>drowned, found floating off the coast of Ceuta (E/MA) (Nov 24, 2001)</t>
  </si>
  <si>
    <t>Event at Ceuta on Nov 24, 2001</t>
  </si>
  <si>
    <t>fell from 3rd floor in London (GB) as immigration officials attempted to detain him (Nov 24, 2001)</t>
  </si>
  <si>
    <t>Event at London on Nov 24, 2001</t>
  </si>
  <si>
    <t>CARF/NCADC/IRR</t>
  </si>
  <si>
    <t>stowaway, died of hypothermia in ramp of cargo ship between Ivory Coast//NL (Nov 24, 2001)</t>
  </si>
  <si>
    <t>Africa to Netherland</t>
  </si>
  <si>
    <t>Event at Africa To Netherland on Nov 24, 2001</t>
  </si>
  <si>
    <t>AmsStadsblad/VK</t>
  </si>
  <si>
    <t>2001-11-21T00:00:00Z</t>
  </si>
  <si>
    <t>died in police custody (Brixton-GB) after being arrested, handcuffed and assaulted. (Nov 21, 2001)</t>
  </si>
  <si>
    <t>Brixton, uk</t>
  </si>
  <si>
    <t>Event at Brixton, Uk on Nov 21, 2001</t>
  </si>
  <si>
    <t>IRR/INDgb</t>
  </si>
  <si>
    <t>2001-11-11T00:00:00Z</t>
  </si>
  <si>
    <t>stowaways, found dead inside container in port Livorno (I) on way to Canada (Nov 11, 2001)</t>
  </si>
  <si>
    <t>Event at Livorno on Nov 11, 2001</t>
  </si>
  <si>
    <t>MNS/AFP/NCADC/DPA/NCADC</t>
  </si>
  <si>
    <t>stowaways, died inside cargo container on vessel on way from Italy to Canada (Nov 11, 2001)</t>
  </si>
  <si>
    <t>Livorno</t>
  </si>
  <si>
    <t>2001-11-08T00:00:00Z</t>
  </si>
  <si>
    <t>Two died in a shipwreck off the coast of Majicavo, Mayotte (Nov 9, 2001)</t>
  </si>
  <si>
    <t>Event at Mayotte on Nov 08, 2001</t>
  </si>
  <si>
    <t>2001-11-06T00:00:00Z</t>
  </si>
  <si>
    <t>Shipwreck off the coast of Bodrum, 5 dead, 12 missing (Nov 7, 2001)</t>
  </si>
  <si>
    <t>Event at Bodrum on Nov 06, 2001</t>
  </si>
  <si>
    <t>http://www.ekathimerini.com/4dcgi/news/content.asp?aid=10706</t>
  </si>
  <si>
    <t>2001-11-05T00:00:00Z</t>
  </si>
  <si>
    <t>reportedly drowned on his way to Spain, body found on a beach in Tarifa (E) (Nov 5, 2001)</t>
  </si>
  <si>
    <t>Event at Tarifa on Nov 05, 2001</t>
  </si>
  <si>
    <t>MNS/ELM/PUB</t>
  </si>
  <si>
    <t>Capsizes off the coast of the Turkish boat heading to Greece, 5 dead (Nov 6, 2001)</t>
  </si>
  <si>
    <t>Event at Greece on Nov 05, 2001</t>
  </si>
  <si>
    <t>drowned when raft sank near Puglia (I) (Nov 5, 2001)</t>
  </si>
  <si>
    <t>Event at Puglia on Nov 05, 2001</t>
  </si>
  <si>
    <t>reportedly drowned, trying to cross the river Morava, border between CZ/SK (Nov 5, 2001)</t>
  </si>
  <si>
    <t>Kopčany</t>
  </si>
  <si>
    <t>Event at Morava on Nov 05, 2001</t>
  </si>
  <si>
    <t>AP/IRR/Der Standard</t>
  </si>
  <si>
    <t xml:space="preserve"> http://zpravy.idnes.cz/bezenci-u-sebe-nemeli-ani-doklady-dou-/krimi.aspx?c=A010709_162530_zlin_cernakr_boh</t>
  </si>
  <si>
    <t>drowned, trying to cross the river Morava, border between Czechia and Slovakia (Nov 5, 2001)</t>
  </si>
  <si>
    <t>morava</t>
  </si>
  <si>
    <t>2001-10-29T00:00:00Z</t>
  </si>
  <si>
    <t>2001 -- 10</t>
  </si>
  <si>
    <t>stowaway, fallen from lorry and rolled onto motorway from B to Calais (F) (Oct 29, 2001). From Del Grande's data set (translated): It falls under the truck which was traveling on the highway hidden for Calais, France, and died crushed (Oct 30, 2001)</t>
  </si>
  <si>
    <t>Event at Calais on Oct 29, 2001</t>
  </si>
  <si>
    <t>2001-10-27T00:00:00Z</t>
  </si>
  <si>
    <t>stowaway, crushed by trailer of lorry he hid under going from MA to Algeciras (E) (Oct 27, 2001). From Del Grande's data set (translated): Hidden under a truck embarked in Tangier, Morocco, a boy dies crushed by the wheels of the truck at the Port of Algeciras (Oct 28, 2001)</t>
  </si>
  <si>
    <t>Event at Algeciras on Oct 27, 2001</t>
  </si>
  <si>
    <t>http://www.elpais.com/articulo/espana/Muere/magrebi/arrollado/camion/cuyos/bajos/viajaba/elpepiesp/20011029elpepinac_20/Tes</t>
  </si>
  <si>
    <t>2001-10-25T00:00:00Z</t>
  </si>
  <si>
    <t>Dinghy is shipwrecked off the coast of Kos, 1 dead (Oct 26, 2001)</t>
  </si>
  <si>
    <t>Event at Kos on Oct 25, 2001</t>
  </si>
  <si>
    <t>http://www.ekathimerini.com/4dcgi/news/content.asp?aid=10475</t>
  </si>
  <si>
    <t>2001-10-24T00:00:00Z</t>
  </si>
  <si>
    <t>Shipwreck of a kwassa kwassa party from Anjouan to Mayotte: 25 dead (Oct 25, 2001)</t>
  </si>
  <si>
    <t>Event at Mayotte on Oct 24, 2001</t>
  </si>
  <si>
    <t>drowned, near Guben (D) trying to swim accross river Neisse (PL-D)  (Oct 24, 2001). From Del Grande's data set (translated): Found the body of a man who drowned trying to cross the river Neisse border between Poland and Germany, in Guben (Oct 25, 2001)</t>
  </si>
  <si>
    <t>Event at Neisse on Oct 24, 2001</t>
  </si>
  <si>
    <t>http://www.ari-berlin.org/</t>
  </si>
  <si>
    <t>2001-10-22T00:00:00Z</t>
  </si>
  <si>
    <t>drowned in the Strait of Gibraltar, in attempt to swim to Spain from MA (Oct 22, 2001)</t>
  </si>
  <si>
    <t>Event at Gibraltar on Oct 22, 2001</t>
  </si>
  <si>
    <t>2001-10-17T00:00:00Z</t>
  </si>
  <si>
    <t>Kwassa kwassa party Mayotte sinks a couple of miles from the coast of Anjouan, 15 dead (Oct 18, 2001)</t>
  </si>
  <si>
    <t>Event at Mayotte on Oct 17, 2001</t>
  </si>
  <si>
    <t>died after jumping off a bridge onto a train at the French end of Channel Tunnel  (Oct 17, 2001)</t>
  </si>
  <si>
    <t>Calais, france</t>
  </si>
  <si>
    <t>Event at Calais, France on Oct 17, 2001</t>
  </si>
  <si>
    <t>2001-10-14T00:00:00Z</t>
  </si>
  <si>
    <t>died from exhaustion in hold of vessel from Turkey to Italy, reportedly pregnant (Oct 14, 2001)</t>
  </si>
  <si>
    <t>Turkey to Italy</t>
  </si>
  <si>
    <t>Event at Turkey To Italy on Oct 14, 2001</t>
  </si>
  <si>
    <t>Found the body of a man in the ship's hold Akcan I, docked in the port of Crotone (Oct 15, 2001)</t>
  </si>
  <si>
    <t>Event at Crotone on Oct 14, 2001</t>
  </si>
  <si>
    <t>2001-10-06T00:00:00Z</t>
  </si>
  <si>
    <t>drowned near the southern coast of Sicily (I), reportedly thrown overboard by traffickers (Oct 6, 2001)</t>
  </si>
  <si>
    <t>Event at Sicily on Oct 06, 2001</t>
  </si>
  <si>
    <t>MNS/NW DPA/Vita/TL</t>
  </si>
  <si>
    <t>2001-10-05T00:00:00Z</t>
  </si>
  <si>
    <t>Shipwreck off Mliha a kwassa kwassa party from Anjouan to Mayotte, 7 dead (Oct 6, 2001)</t>
  </si>
  <si>
    <t>Event at Mayotte on Oct 05, 2001</t>
  </si>
  <si>
    <t>drowned after dinghy loaded with migrants sunk near Trani (I) (Oct 5, 2001)</t>
  </si>
  <si>
    <t>trani</t>
  </si>
  <si>
    <t>Event at Trani on Oct 05, 2001</t>
  </si>
  <si>
    <t>IRR/Vita/TL/LS</t>
  </si>
  <si>
    <t>2001-10-01T00:00:00Z</t>
  </si>
  <si>
    <t>bodies found in advanced state of decomposition near Tarifa (E) (Oct 1, 2001)</t>
  </si>
  <si>
    <t>Event at Tarifa on Oct 01, 2001</t>
  </si>
  <si>
    <t>2001-01-24T00:00:00Z</t>
  </si>
  <si>
    <t>2001 -- 1</t>
  </si>
  <si>
    <t>reportedly drowned, boat missing after drifting off Spanish coast near Almeria (E) (Jan 24, 2001)</t>
  </si>
  <si>
    <t>Event at Almeria on Jan 24, 2001</t>
  </si>
  <si>
    <t>2001-01-21T00:00:00Z</t>
  </si>
  <si>
    <t>drowned after reportedly colliding border guard patrol ship near Tarifa (Jan 21, 2001). From Del Grande's data set (translated): Sinking a boat in the waters of Tarifa, 1 dead and 5 missing at sea (Jan 22, 2001)</t>
  </si>
  <si>
    <t>Event at Tarifa on Jan 21, 2001</t>
  </si>
  <si>
    <t>http://www.elpais.com/archivo/buscando.html</t>
  </si>
  <si>
    <t>2001-01-20T00:00:00Z</t>
  </si>
  <si>
    <t>1 body found, 5 reportedly drowned after small boat capsized near Tarifa (E) (Jan 20, 2001)</t>
  </si>
  <si>
    <t>Event at Tarifa on Jan 20, 2001</t>
  </si>
  <si>
    <t>2001-01-19T00:00:00Z</t>
  </si>
  <si>
    <t>stowaway, found on ferry from Oostende (B) to Dover (GB), jumped from ship (Jan 19, 2001). From Del Grande's data set (translated): Discovered on the ferry which was traveling hidden, dives into the sea and drowns (Jan 20, 2001)</t>
  </si>
  <si>
    <t>Event at Dover on Jan 19, 2001</t>
  </si>
  <si>
    <t>2001-01-17T00:00:00Z</t>
  </si>
  <si>
    <t>suicide, found hanged in asylum hostel in Leicester (GB) after his asylum  claim was refused (Jan 17, 2001)</t>
  </si>
  <si>
    <t>Event at Leicester on Jan 17, 2001</t>
  </si>
  <si>
    <t>CARF/MNS/Statewatch/IRR/NCADC/IRN</t>
  </si>
  <si>
    <t>2001-01-11T00:00:00Z</t>
  </si>
  <si>
    <t>drowned, trying to swim from deserted Island ashore near Aegean coast (TR) (Jan 11, 2001)</t>
  </si>
  <si>
    <t>Event at Aegean on Jan 11, 2001</t>
  </si>
  <si>
    <t>WB</t>
  </si>
  <si>
    <t>reportedly drowned, trying to reach Greece from Turkey with a dinghy (Jan 11, 2001)</t>
  </si>
  <si>
    <t>Event at Turkey To Greece on Jan 11, 2001</t>
  </si>
  <si>
    <t>drowned trying to reach Greece from Turkey with a dinghy (Jan 11, 2001)</t>
  </si>
  <si>
    <t>Kurds, drowned in Southern Adriatic (I) being dumped in sea by smugglers (Jan 11, 2001)</t>
  </si>
  <si>
    <t>Southern Adriatic</t>
  </si>
  <si>
    <t>Event at Southern Adriatic on Jan 11, 2001</t>
  </si>
  <si>
    <t>Kurd, pregnant, drowned in Southern Adriatic (I) being dumped in sea by smugglers (Jan 11, 2001)</t>
  </si>
  <si>
    <t>2001-01-10T00:00:00Z</t>
  </si>
  <si>
    <t>died trying to escape out of a hospital window in Milan (I) having no correct papers (Jan 10, 2001)</t>
  </si>
  <si>
    <t>Event at Milan on Jan 10, 2001</t>
  </si>
  <si>
    <t>2001-01-08T00:00:00Z</t>
  </si>
  <si>
    <t>died during boat trip on old defective vessel from Turkey to Greece (Jan 8, 2001)</t>
  </si>
  <si>
    <t>Event at Turkey To Greece on Jan 08, 2001</t>
  </si>
  <si>
    <t>2001-01-07T00:00:00Z</t>
  </si>
  <si>
    <t>drowned, reportedly his boat capsized and sunk near Fuerteventura (E) (Jan 7, 2001)</t>
  </si>
  <si>
    <t>Event at Fuerteventura on Jan 07, 2001</t>
  </si>
  <si>
    <t>2001-01-06T00:00:00Z</t>
  </si>
  <si>
    <t>reportedly drowned, after struggle to keep afloat in small vessel near Almeria (E) (Jan 6, 2001)</t>
  </si>
  <si>
    <t>Event at Almeria on Jan 06, 2001</t>
  </si>
  <si>
    <t>reportedly dead, forced to walk back and forth between the Turkish/Greek borders (Jan 6, 2001)</t>
  </si>
  <si>
    <t>Event at Turkey To Greece on Jan 06, 2001</t>
  </si>
  <si>
    <t>drowned, forced to cross back over a river towards Greece by Turkish soldiers (Jan 6, 2001)</t>
  </si>
  <si>
    <t>2001-01-05T00:00:00Z</t>
  </si>
  <si>
    <t>drowned, found at the beach of Banhos ¬¨¬∞rabes near Bolonia/Cadiz (E) (Jan 5, 2001)</t>
  </si>
  <si>
    <t>Event at Cadiz on Jan 05, 2001</t>
  </si>
  <si>
    <t>2001-01-04T00:00:00Z</t>
  </si>
  <si>
    <t>died in Granges (CH), suffocated during deportation to Nigeria (Jan 4, 2001)</t>
  </si>
  <si>
    <t>Event at Niger on Jan 04, 2001</t>
  </si>
  <si>
    <t>AugenAuf/CCSI/SOS-CH/BAZ/LeTemps/AI/MNS/NOB/Statewatch/IRR/AFP/Vivre/MUGAK/NCADC</t>
  </si>
  <si>
    <t>died of cardiac problems, after fleeing Germany to go to France in fear of deportation (Jan 4, 2001)</t>
  </si>
  <si>
    <t>Event at France on Jan 04, 2001</t>
  </si>
  <si>
    <t>2001-01-02T00:00:00Z</t>
  </si>
  <si>
    <t>Found the body of a man in an advanced state of decomposition on a beach in Tarifa (Jan 3, 2001)</t>
  </si>
  <si>
    <t>Event at Tarifa on Jan 02, 2001</t>
  </si>
  <si>
    <t>http://www.elpais.com/articulo/espana/Hallado/cadaver/indocumentado/Tarifa/elpepiesp/20010103elpepinac_16/Tes</t>
  </si>
  <si>
    <t>kurd, rejected asylum seeker shot trying to escape police in J√∂nk√∂ping (S)  (Jan 2, 2001)</t>
  </si>
  <si>
    <t>J√∂nk√∂ping, Sweden</t>
  </si>
  <si>
    <t>Event at J√∂Nk√∂Ping, Sweden on Jan 02, 2001</t>
  </si>
  <si>
    <t>2001-01-01T00:00:00Z</t>
  </si>
  <si>
    <t>murdered after they failed to pay smugglers on their way from Hungary to Austria (Jan 1, 2001)</t>
  </si>
  <si>
    <t>Event at Austria on Jan 01, 2001</t>
  </si>
  <si>
    <t>stowaway, hit mortally trying to jump on freight train through Channel tunnel(GB/F) (Jan 1, 2001)</t>
  </si>
  <si>
    <t>Event at Calais, France on Jan 01, 2001</t>
  </si>
  <si>
    <t>Kurd, rejected asylum seeker shot by policeman in J√∂nk√∂ping (S) trying to escape (Jan 1, 2001)</t>
  </si>
  <si>
    <t>Event at J√∂Nk√∂Ping, Sweden on Jan 01, 2001</t>
  </si>
  <si>
    <t>2000-09-28T00:00:00Z</t>
  </si>
  <si>
    <t>3Q2000</t>
  </si>
  <si>
    <t>2000 -- 9</t>
  </si>
  <si>
    <t>stowaway, froze to dead in wheelbay of Lufthansa airplane at Frankfurt (D) airport (Sep 28, 2000). From Del Grande's data set (translated): Frankfurt Airport. Found the bodies of two men frozen in undercarriage of a Lufthansa cargo departed from Malaysia (Oct 4, 2000)</t>
  </si>
  <si>
    <t>Event at Frankfurt on Sep 28, 2000</t>
  </si>
  <si>
    <t>taz/IRR/ARI/BBC</t>
  </si>
  <si>
    <t>http://news.bbc.co.uk/2/hi/asia-pacific/956274.stm</t>
  </si>
  <si>
    <t>2000-09-21T00:00:00Z</t>
  </si>
  <si>
    <t>Party from Hamchako, Anjouan, a kwassa kwassa is shipwrecked off the coast of Anjouan, on the route to Mayotte: 12 dead (Sep 22, 2000)</t>
  </si>
  <si>
    <t>Event at Mayotte on Sep 21, 2000</t>
  </si>
  <si>
    <t>2000-09-18T00:00:00Z</t>
  </si>
  <si>
    <t>suicide, jumped from church tower in Villach (A) afraid of deportation (Sep 18, 2000)</t>
  </si>
  <si>
    <t>Villach, Austria</t>
  </si>
  <si>
    <t>Event at Villach, Austria on Sep 18, 2000</t>
  </si>
  <si>
    <t>der Standard</t>
  </si>
  <si>
    <t>2000-09-16T00:00:00Z</t>
  </si>
  <si>
    <t>Upturned boat stranded off the coast of Skhirat, was directed in Spain, 1 dead and 9 missing (Sep 17, 2000)</t>
  </si>
  <si>
    <t>Skhirat, Morocco</t>
  </si>
  <si>
    <t>Event at Skhirat, Morocco on Sep 16, 2000</t>
  </si>
  <si>
    <t>2000-09-15T00:00:00Z</t>
  </si>
  <si>
    <t>stowaways, suffocated in container on ship in the harbour of Korinthos (GR) (Sep 15, 2000). From Del Grande's data set (translated): At the port of Korinthos, in a container just downloaded, are found the bodies of three dead men (Sep 16, 2000)</t>
  </si>
  <si>
    <t>korinthos</t>
  </si>
  <si>
    <t>Event at Korinthos on Sep 15, 2000</t>
  </si>
  <si>
    <t>taz/IRN</t>
  </si>
  <si>
    <t>http://www.hambastegi.org/internationalnews/septnews.htm</t>
  </si>
  <si>
    <t>2000-09-11T00:00:00Z</t>
  </si>
  <si>
    <t>drowned after their boat was crushed on the way to Spain, bodies found near Cadiz (E) (Sep 11, 2000)</t>
  </si>
  <si>
    <t>Event at Cadiz on Sep 11, 2000</t>
  </si>
  <si>
    <t>Diario Vasco</t>
  </si>
  <si>
    <t>2000-09-10T00:00:00Z</t>
  </si>
  <si>
    <t>Roma, killed after participating in return project to village of origin near Pristina (XZ) (Sep 10, 2000)</t>
  </si>
  <si>
    <t>pristina, kosovo</t>
  </si>
  <si>
    <t>Event at Pristina, Kosovo on Sep 10, 2000</t>
  </si>
  <si>
    <t>ERRC</t>
  </si>
  <si>
    <t>2000-09-05T00:00:00Z</t>
  </si>
  <si>
    <t>Shipwreck in the Strait, off the coast of Ceuta, 2 dead and 7 missing (Sep 6, 2000)</t>
  </si>
  <si>
    <t>Event at Ceuta on Sep 05, 2000</t>
  </si>
  <si>
    <t>http://www.elpais.com/articulo/espana/ESPAnA/ESPAnA/MARRUECOS/ESPAnA/aFRICA/muertos/desaparecidos/naufragar/patera/Estrecho/elpepiesp/20000906elpepinac_18/Tes</t>
  </si>
  <si>
    <t>2000-09-01T00:00:00Z</t>
  </si>
  <si>
    <t>reportedly drowned, small boat disappeared on Adriatic Sea near Italy (Sep 1, 2000)</t>
  </si>
  <si>
    <t>Albania to Italy</t>
  </si>
  <si>
    <t>Event at Albania To Italy on Sep 01, 2000</t>
  </si>
  <si>
    <t>Giuliano News Chronicle</t>
  </si>
  <si>
    <t>2000-08-31T00:00:00Z</t>
  </si>
  <si>
    <t>2000 -- 8</t>
  </si>
  <si>
    <t>2 killed in minefields along the Evros River at the border with Turkey, Kipi. Attempting to cross the border on foot (Sep 1, 2000)</t>
  </si>
  <si>
    <t>Event at Evros on Aug 31, 2000</t>
  </si>
  <si>
    <t>http://www.hri.org/cgi-bin/brief?/news/greek/mpab/2000/00-09-01.mpab.html#09</t>
  </si>
  <si>
    <t>2000-08-29T00:00:00Z</t>
  </si>
  <si>
    <t>fell to death from 6th floor window, trying to escape detention in Berlin K√∂penick (D) (Aug 29, 2000)</t>
  </si>
  <si>
    <t>Event at Berlin on Aug 29, 2000</t>
  </si>
  <si>
    <t>ARI/FRBer/Liga f√ºr Mr./MNS/taz</t>
  </si>
  <si>
    <t>2000-08-28T00:00:00Z</t>
  </si>
  <si>
    <t>killed in minefield on Greek-Turkish border trying to cross illegally (Aug 28, 2000). From Del Grande's data set (translated): An explosion in a minefield along the border turkish near Kipoi ago 1 dead. Death on the mines of the north-eastern border 7 people in 1999 (Aug 29, 2000)</t>
  </si>
  <si>
    <t>kipoi</t>
  </si>
  <si>
    <t>Event at Kipoi on Aug 28, 2000</t>
  </si>
  <si>
    <t>drowned in river Sava (HR/BH) trying to travel illegally to Western Europe (Aug 28, 2000). From Del Grande's data set (translated): 12 men drowned trying to cross the Sava River to cross the border with Croatia (Aug 29, 2000)</t>
  </si>
  <si>
    <t>Event at Sava on Aug 28, 2000</t>
  </si>
  <si>
    <t>MNS/AFP/taz/IFIR</t>
  </si>
  <si>
    <t>http://www.hambastegi.org/internationalnews/augustnews.htm</t>
  </si>
  <si>
    <t>2000-08-27T00:00:00Z</t>
  </si>
  <si>
    <t>drowned, when fisher boat sank near Isola Capo Rizzuto (I) (Aug 27, 2000)</t>
  </si>
  <si>
    <t>Event at Capo on Aug 27, 2000</t>
  </si>
  <si>
    <t>reportedly drowned in river Oder (D/PL) near Genschmar (Aug 27, 2000). From Del Grande's data set (translated): Found the body of a man who drowned trying to cross the Oder River on the border between Poland and Germany, to Genschmar (Aug 28, 2000)</t>
  </si>
  <si>
    <t>genschmar</t>
  </si>
  <si>
    <t>Event at Genschmar on Aug 27, 2000</t>
  </si>
  <si>
    <t>German Government</t>
  </si>
  <si>
    <t>2000-08-25T00:00:00Z</t>
  </si>
  <si>
    <t>missing, reportedly drowned near Kos (GR), after small boat capsized (Aug 25, 2000)</t>
  </si>
  <si>
    <t>Event at Kos on Aug 25, 2000</t>
  </si>
  <si>
    <t>AFP/AP/BBC</t>
  </si>
  <si>
    <t>drowned near Kos (GR), when small boat capsized (Aug 25, 2000). From Del Grande's data set (translated): It overturns a boat in the waters of the island of Kos, 8 dead, 16 missing in sea (Aug 27, 2000)</t>
  </si>
  <si>
    <t>http://news.bbc.co.uk/2/hi/europe/897937.stm</t>
  </si>
  <si>
    <t>2000-08-12T00:00:00Z</t>
  </si>
  <si>
    <t>drowned, dinghy sunk decomposing bodies washed ashore in Almeria (E) (Aug 12, 2000)</t>
  </si>
  <si>
    <t>Almeria</t>
  </si>
  <si>
    <t>Event at Almeria on Aug 12, 2000</t>
  </si>
  <si>
    <t>InformeRaxen</t>
  </si>
  <si>
    <t>2000-08-11T00:00:00Z</t>
  </si>
  <si>
    <t>26 died in a shipwreck off the coast of Mayotte (Aug 12, 2000)</t>
  </si>
  <si>
    <t>Event at Mayotte on Aug 11, 2000</t>
  </si>
  <si>
    <t>drowned on his way to Spain, found near Ceuta (E/MA) (Aug 11, 2000)</t>
  </si>
  <si>
    <t>Event at Ceuta on Aug 11, 2000</t>
  </si>
  <si>
    <t>DiariodeNoticias</t>
  </si>
  <si>
    <t>Shipwreck off the coast of Almeria, 4 dead bodies recovered (Aug 12, 2000)</t>
  </si>
  <si>
    <t>Event at Almeria on Aug 11, 2000</t>
  </si>
  <si>
    <t>http://www.elmundo.es/elmundo/2000/08/12/sociedad/966101717.html</t>
  </si>
  <si>
    <t>suicide, hanged himself with shoelaces in detention centre Hannover-Langenhagen (D) (Aug 11, 2000)</t>
  </si>
  <si>
    <t>Event at Langenhagen on Aug 11, 2000</t>
  </si>
  <si>
    <t>Morgengr./Statewatch/FR-NieSa/ProAsyl/IRR/HRS</t>
  </si>
  <si>
    <t>2000-08-08T00:00:00Z</t>
  </si>
  <si>
    <t>Bari thrown overboard by smugglers during the landing. 2 dead, 2 missing (Aug 9, 2000)</t>
  </si>
  <si>
    <t>Event at Bari on Aug 08, 2000</t>
  </si>
  <si>
    <t>Shipwreck off the coast of Sada, Mayotte: 10 dead (Aug 9, 2000)</t>
  </si>
  <si>
    <t>Event at Sada on Aug 08, 2000</t>
  </si>
  <si>
    <t>2000-08-07T00:00:00Z</t>
  </si>
  <si>
    <t>Shipwreck off Soulou, Mayotte, 10 dead (Aug 8, 2000)</t>
  </si>
  <si>
    <t>Event at Mayotte on Aug 07, 2000</t>
  </si>
  <si>
    <t>Shipwreck off the coast of Anjouan, on routes to the French island of Mayotte, 9 dead (Aug 8, 2000)</t>
  </si>
  <si>
    <t>missing, reportedly forced by traffickers to jump into Adriatic Sea near Bari (I) (Aug 7, 2000)</t>
  </si>
  <si>
    <t>Event at Bari on Aug 07, 2000</t>
  </si>
  <si>
    <t>drowned, reportedly forced by traffickers to jump into Adriatic Sea near Bari (I) (Aug 7, 2000)</t>
  </si>
  <si>
    <t>2000-08-06T00:00:00Z</t>
  </si>
  <si>
    <t>He died crushed a young man hiding under a truck along the N-340 towards Malaga (Aug 7, 2000)</t>
  </si>
  <si>
    <t>Event at Malaga on Aug 06, 2000</t>
  </si>
  <si>
    <t>http://www.elpais.com/articulo/espana/ESPAnA/ESPAnA/MARRUECOS/Muere/aplastado/inmigrante/viajaba/bajos/camion/elpepiesp/20000807elpepinac_16/Tes</t>
  </si>
  <si>
    <t>died after being left alone on Italian shore by traffickers fleeing police (Aug 6, 2000)</t>
  </si>
  <si>
    <t>Event at Italian Coast on Aug 06, 2000</t>
  </si>
  <si>
    <t>2000-08-03T00:00:00Z</t>
  </si>
  <si>
    <t>Party from Domoni (Anjouan) a kwassa-kwassa is shipwrecked off the coast of Mayotte, 6 dead (Aug 4, 2000)</t>
  </si>
  <si>
    <t>Event at Mayotte on Aug 03, 2000</t>
  </si>
  <si>
    <t>crushed to death by truck in Sussex (GB) trying to immigrate to Britain illegally (Aug 3, 2000)</t>
  </si>
  <si>
    <t>Sussex, UK</t>
  </si>
  <si>
    <t>Event at Sussex, Uk on Aug 03, 2000</t>
  </si>
  <si>
    <t>VK/No Pasaran/IRR/NCRM</t>
  </si>
  <si>
    <t>2000-08-02T00:00:00Z</t>
  </si>
  <si>
    <t>reportedly drowned, body found in water purification plant Frankfurt Oder (D) (Aug 2, 2000)</t>
  </si>
  <si>
    <t>Event at Frankfurt on Aug 02, 2000</t>
  </si>
  <si>
    <t>2000-07-29T00:00:00Z</t>
  </si>
  <si>
    <t>2000 -- 7</t>
  </si>
  <si>
    <t>suicide, laid down in the middle of a highway in Germany for fear of deportation (Jul 29, 2000)</t>
  </si>
  <si>
    <t>Event at Germany on Jul 29, 2000</t>
  </si>
  <si>
    <t>2000-07-26T00:00:00Z</t>
  </si>
  <si>
    <t>reportedly drowned, missing  near Arinaga (E) trying to go to Spain from Morocco (Jul 26, 2000)</t>
  </si>
  <si>
    <t>arinaga</t>
  </si>
  <si>
    <t>Event at Arinaga on Jul 26, 2000</t>
  </si>
  <si>
    <t>2000-07-23T00:00:00Z</t>
  </si>
  <si>
    <t>found near Ceuta (E/MA), reportedly drowned trying to reach Spain (Jul 23, 2000). From Del Grande's data set (translated): Shipwrecked boat heading to Spain in the waters of Ceuta. Found the body of a woman (Jul 24, 2000)</t>
  </si>
  <si>
    <t>Event at Ceuta on Jul 23, 2000</t>
  </si>
  <si>
    <t>http://www.elpais.com/articulo/espana/ESPAnA/Hallado/cadaver/Ceuta/naufragio/expedicion/elpepiesp/20000724elpepinac_2/Tes</t>
  </si>
  <si>
    <t>found dead near Tarifa (E), reportedly drowned trying to reach Spain (Jul 23, 2000)</t>
  </si>
  <si>
    <t>Event at Tarifa on Jul 23, 2000</t>
  </si>
  <si>
    <t>taz/MNS/VK</t>
  </si>
  <si>
    <t>Landings in Algeciras, 4 drowned (Jul 24, 2000)</t>
  </si>
  <si>
    <t>Event at Algeciras on Jul 23, 2000</t>
  </si>
  <si>
    <t>drowned, after falling into the Adriatic Sea (I) in a collision with a police boat (Jul 23, 2000). From Del Grande's data set (translated): 4 drowned in Otranto, in Apulia, after a collision between a boat and a boat of the Guardia di Finanza (Jul 24, 2000)</t>
  </si>
  <si>
    <t>Event at Otranto on Jul 23, 2000</t>
  </si>
  <si>
    <t>http://www.elmundo.es/elmundo/2000/07/24/sociedad/964424403.html</t>
  </si>
  <si>
    <t>2000-07-22T00:00:00Z</t>
  </si>
  <si>
    <t>found dead near Ceuta (E/MA), drowned trying to reach Spain (Jul 22, 2000)</t>
  </si>
  <si>
    <t>Event at Ceuta on Jul 22, 2000</t>
  </si>
  <si>
    <t>MNS/DiariodeNavarra/EP/Mugak</t>
  </si>
  <si>
    <t>drowned near Algeciras (E) after shipwreck of a boat carrying other 36 migrants (Jul 22, 2000)</t>
  </si>
  <si>
    <t>Event at Algeciras on Jul 22, 2000</t>
  </si>
  <si>
    <t>DiariodeNoticias/EP</t>
  </si>
  <si>
    <t>2000-07-21T00:00:00Z</t>
  </si>
  <si>
    <t>found dead near Tarifa (E), reportedly drowned trying to reach Spain (Jul 21, 2000)</t>
  </si>
  <si>
    <t>Event at Tarifa on Jul 21, 2000</t>
  </si>
  <si>
    <t>2000-07-17T00:00:00Z</t>
  </si>
  <si>
    <t>drowned, body found floating in state of decomposition off the coast of Barbate (E) (Jul 17, 2000)</t>
  </si>
  <si>
    <t>Event at Barbate on Jul 17, 2000</t>
  </si>
  <si>
    <t>2000-07-16T00:00:00Z</t>
  </si>
  <si>
    <t>died, kept on Lanarca airport (CY) for 11 days while being denied proper medical care (Jul 16, 2000)</t>
  </si>
  <si>
    <t>Larnaca airport</t>
  </si>
  <si>
    <t>Event at Larnaca Airport on Jul 16, 2000</t>
  </si>
  <si>
    <t>ISAGC</t>
  </si>
  <si>
    <t>2000-07-12T00:00:00Z</t>
  </si>
  <si>
    <t>reportedly drowned near Bojador, Canary Islands (E) (Jul 12, 2000)</t>
  </si>
  <si>
    <t>bojador</t>
  </si>
  <si>
    <t>Event at Bojador on Jul 12, 2000</t>
  </si>
  <si>
    <t>ELM/Mugak/ABC/Raz</t>
  </si>
  <si>
    <t>drowned near Bojador, Canary Islands (E) (Jul 12, 2000)</t>
  </si>
  <si>
    <t>2000-07-09T00:00:00Z</t>
  </si>
  <si>
    <t>Found the body of a migrant to the sides of the N-340 in Almeria, probably died after being abandoned on the road where the truck was traveling (Jul 10, 2000)</t>
  </si>
  <si>
    <t>Event at Almeria on Jul 09, 2000</t>
  </si>
  <si>
    <t>http://www.elpais.com/articulo/espana/ESPAnA/MARRUECOS/Hallado/cadaver/magrebi/cuneta/Almeria/elpepiesp/20000710elpepinac_12/Tes</t>
  </si>
  <si>
    <t>Lecce: a landing boat, dead baby of 9 months, falling sugliscogli (Jul 10, 2000)</t>
  </si>
  <si>
    <t>Event at Lecce on Jul 09, 2000</t>
  </si>
  <si>
    <t>2000-07-07T00:00:00Z</t>
  </si>
  <si>
    <t>died of injuries, jumping out of police van near Gy√∂r (H) trying to escape deportation (Jul 7, 2000)</t>
  </si>
  <si>
    <t>Gyor, Hungary</t>
  </si>
  <si>
    <t>Event at Gyor, Hungary on Jul 07, 2000</t>
  </si>
  <si>
    <t>2000-07-06T00:00:00Z</t>
  </si>
  <si>
    <t>20 killed in two separate wrecks off the coast of Mayotte (Jul 7, 2000)</t>
  </si>
  <si>
    <t>Event at Mayotte on Jul 06, 2000</t>
  </si>
  <si>
    <t>2000-07-04T00:00:00Z</t>
  </si>
  <si>
    <t>reportedly drowned, missing after small boat capsized near Tarifa (E) (Jul 4, 2000)</t>
  </si>
  <si>
    <t>Event at Tarifa on Jul 04, 2000</t>
  </si>
  <si>
    <t>drowned, when small boat capsized near Tarifa (E) (Jul 4, 2000)</t>
  </si>
  <si>
    <t>drowned, bodies found in advanced state of decomposition near Tarifa (E) (Jul 4, 2000)</t>
  </si>
  <si>
    <t>reportedly drowned in river Oder (D/PL) near Kienitz (Jul 4, 2000). From Del Grande's data set (translated): Found the body of a man who drowned trying to cross the Oder River on the border between Poland and Germany, in Gross Breesen (Jul 10, 2000)</t>
  </si>
  <si>
    <t>kienitz</t>
  </si>
  <si>
    <t>Event at Kienitz on Jul 04, 2000</t>
  </si>
  <si>
    <t>2000-07-03T00:00:00Z</t>
  </si>
  <si>
    <t>disappeared after being 'released' from detention centre in Berlin (D) (Jul 3, 2000)</t>
  </si>
  <si>
    <t>Event at Berlin on Jul 03, 2000</t>
  </si>
  <si>
    <t>2000-06-30T00:00:00Z</t>
  </si>
  <si>
    <t>2Q2000</t>
  </si>
  <si>
    <t>2000 -- 6</t>
  </si>
  <si>
    <t>died after fire caused by rebellion in detention centre Seraino Vulpitta di Trappani (I) (Jun 30, 2000)</t>
  </si>
  <si>
    <t>trappani</t>
  </si>
  <si>
    <t>Event at Trappani on Jun 30, 2000</t>
  </si>
  <si>
    <t>ILM/CDS</t>
  </si>
  <si>
    <t>died in van accident trying to reach Thessaloniki (GR) from Turkey (Jun 30, 2000)</t>
  </si>
  <si>
    <t>Event at Thessaloniki on Jun 30, 2000</t>
  </si>
  <si>
    <t>2000-06-22T00:00:00Z</t>
  </si>
  <si>
    <t>asylum seeker, committed suicide in Dublin (IRL) for fear of deportation (Jun 22, 2000)</t>
  </si>
  <si>
    <t>Event at Dublin on Jun 22, 2000</t>
  </si>
  <si>
    <t>Irish Times</t>
  </si>
  <si>
    <t>2000-06-18T00:00:00Z</t>
  </si>
  <si>
    <t>suffocated in sealed trailer of a truck on ferry from Zeebrugge (B) to Dover (GB) (Jun 18, 2000)</t>
  </si>
  <si>
    <t>Event at Dover on Jun 18, 2000</t>
  </si>
  <si>
    <t>VK/Parool/dpa/AP/Mugak/Reuters/AP/NBK/NCADC/Open</t>
  </si>
  <si>
    <t>2000-06-13T00:00:00Z</t>
  </si>
  <si>
    <t>Shipwreck off the island Mohli, on routes to Mayotte, in the Indian Ocean, 19 dead (Jun 14, 2000)</t>
  </si>
  <si>
    <t>Event at Mayotte on Jun 13, 2000</t>
  </si>
  <si>
    <t>2000-06-11T00:00:00Z</t>
  </si>
  <si>
    <t>run over by truck on N-340 near San Roque (E) after disembarking illegaly from dinghy (Jun 11, 2000)</t>
  </si>
  <si>
    <t>San Roque, Spain</t>
  </si>
  <si>
    <t>Event at San Roque, Spain on Jun 11, 2000</t>
  </si>
  <si>
    <t>EP/ELM</t>
  </si>
  <si>
    <t>2000-06-07T00:00:00Z</t>
  </si>
  <si>
    <t>stowaway, crushed to death in back of a truck on his way to Spain (Jun 7, 2000)</t>
  </si>
  <si>
    <t>Event at Spain on Jun 07, 2000</t>
  </si>
  <si>
    <t>2000-06-05T00:00:00Z</t>
  </si>
  <si>
    <t>drowned, forced by traffickers to jump into Adriatic Sea near Otranto (I) (Jun 5, 2000)</t>
  </si>
  <si>
    <t>Event at Otranto on Jun 05, 2000</t>
  </si>
  <si>
    <t>MNS/taz</t>
  </si>
  <si>
    <t>Landing along the coasts of Lecce, 2 dead (Jun 6, 2000)</t>
  </si>
  <si>
    <t>Event at Lecce on Jun 05, 2000</t>
  </si>
  <si>
    <t>2000-06-04T00:00:00Z</t>
  </si>
  <si>
    <t>suicide, at the asylum seekers transit station (detention) at Frankfurt (D) airport (Jun 4, 2000)</t>
  </si>
  <si>
    <t>Event at Frankfurt on Jun 04, 2000</t>
  </si>
  <si>
    <t>taz/Pax Christi/FR/IRR/MNS</t>
  </si>
  <si>
    <t>Stockholm Airport. Found the bodies of two men frozen to death in the undercarriage of a plane departed from Dominican Republic (Jun 5, 2000)</t>
  </si>
  <si>
    <t>Event at Stockholm on Jun 04, 2000</t>
  </si>
  <si>
    <t>http://news.bbc.co.uk/2/hi/americas/778048.stm</t>
  </si>
  <si>
    <t>2000-06-02T00:00:00Z</t>
  </si>
  <si>
    <t>died during deportation, jumped out of ferry which should have deported him; Bari (I) (Jun 2, 2000)</t>
  </si>
  <si>
    <t>Event at Bari on Jun 02, 2000</t>
  </si>
  <si>
    <t>ILM</t>
  </si>
  <si>
    <t>2000-05-29T00:00:00Z</t>
  </si>
  <si>
    <t>2000 -- 5</t>
  </si>
  <si>
    <t>died of burns and crushed head after falling from underneath lorry near Rinconcillo (E) (May 29, 2000)</t>
  </si>
  <si>
    <t>Rinconcillo, Spain</t>
  </si>
  <si>
    <t>Event at Rinconcillo, Spain on May 29, 2000</t>
  </si>
  <si>
    <t>2000-05-20T00:00:00Z</t>
  </si>
  <si>
    <t>A young migrant detained by the police station on Lanzarote, in the Canary Islands. he was beaten. (May 21, 2000)</t>
  </si>
  <si>
    <t>Event at Lanzarote on May 20, 2000</t>
  </si>
  <si>
    <t>http://www.elpais.com/articulo/espana/FONSECA/_ANTONIO_AUGUSTO_/GUINEANO_FALLECIDO/CANARIAS/ESPAnA/aFRICA/guineano/muere/comisaria/Arrecife/ser/arrestado/cuerpo/presenta/huellas/golpes/denuncia/familia/elpepiesp/20000521elpepinac_9/Tes</t>
  </si>
  <si>
    <t>2000-05-18T00:00:00Z</t>
  </si>
  <si>
    <t>drowned after vessel sank in the Straits of Gibraltar near Tarifa (E) (May 18, 2000)</t>
  </si>
  <si>
    <t>Event at Tarifa on May 18, 2000</t>
  </si>
  <si>
    <t>I Care/Town Crier</t>
  </si>
  <si>
    <t>2000-05-16T00:00:00Z</t>
  </si>
  <si>
    <t>asylum seeker, died due to lack of medical attention in 'pension detention' in Gols (A) (May 16, 2000)</t>
  </si>
  <si>
    <t>Gols, Austria</t>
  </si>
  <si>
    <t>Event at Gols, Austria on May 16, 2000</t>
  </si>
  <si>
    <t>2000-05-15T00:00:00Z</t>
  </si>
  <si>
    <t>The Turkish police opened fire on a group of migrants in Dogubayazit, near Agri, while they were crossing the border illegally with Iran. 9 dead and 5 injured (May 16, 2000)</t>
  </si>
  <si>
    <t>Event at Dogubayazit on May 15, 2000</t>
  </si>
  <si>
    <t>Ananova</t>
  </si>
  <si>
    <t>http://www.icare.to/archivemay2000.html</t>
  </si>
  <si>
    <t>2000-05-13T00:00:00Z</t>
  </si>
  <si>
    <t>reportedly drowned trying to cross the Strait of Gibraltar (E) (May 13, 2000)</t>
  </si>
  <si>
    <t>Event at Gibraltar on May 13, 2000</t>
  </si>
  <si>
    <t>I Care/The Entertainer Online</t>
  </si>
  <si>
    <t>missing, reportedly drowned after boat carrying immigrants sank near Cadiz (E) (May 13, 2000)</t>
  </si>
  <si>
    <t>Event at Cadiz on May 13, 2000</t>
  </si>
  <si>
    <t>I Care/The Entertainer Online/ABC/Raz</t>
  </si>
  <si>
    <t>drowned after their boat sank near Cadiz (E) (May 13, 2000)</t>
  </si>
  <si>
    <t>2000-05-12T00:00:00Z</t>
  </si>
  <si>
    <t>Inflatable Party from Morocco crashing against the rocks in Tarifa, 6 dead (May 13, 2000)</t>
  </si>
  <si>
    <t>Event at Tarifa on May 12, 2000</t>
  </si>
  <si>
    <t>http://www.elpais.com/articulo/espana/ESPAnA/inmigrantes/mueren/ahogados/Tarifa/elpepiesp/20000513elpepinac_11/Tes</t>
  </si>
  <si>
    <t>2000-05-11T00:00:00Z</t>
  </si>
  <si>
    <t>reportedly fell out of a truck in front of a car near El Ejido (E) (May 11, 2000)</t>
  </si>
  <si>
    <t>El Ejido, Spain</t>
  </si>
  <si>
    <t>Event at El Ejido, Spain on May 11, 2000</t>
  </si>
  <si>
    <t>http://elpais.com/diario/2000/12/06/espana/976057207_850215.html</t>
  </si>
  <si>
    <t>2000-05-10T00:00:00Z</t>
  </si>
  <si>
    <t>reportedly drowned in river Sava (HR/BH)  when small boat capsized (May 10, 2000). From Del Grande's data set (translated): Sink two boats of migrants into Italy, in the waters of the Sava river, at the border between Bosnia and Croatia, 7 dead and 4 missing, including a girl (May 31, 2000)</t>
  </si>
  <si>
    <t>Event at Sava on May 10, 2000</t>
  </si>
  <si>
    <t>http://www.balkanpeace.org/index.php?index=article&amp;articleid=11459</t>
  </si>
  <si>
    <t>2000-05-08T00:00:00Z</t>
  </si>
  <si>
    <t>reportedly drowned in Moroccan territorial waters, on way to Spain (May 8, 2000)</t>
  </si>
  <si>
    <t>Event at Morocco on May 08, 2000</t>
  </si>
  <si>
    <t>MNS/GARA</t>
  </si>
  <si>
    <t>drowned in Moroccan territorial waters, trying to reach Spain in small boat (May 8, 2000)</t>
  </si>
  <si>
    <t>2000-05-07T00:00:00Z</t>
  </si>
  <si>
    <t>drowned, after ship sank near Tanger (E), authorities did not help in rescue (May 7, 2000)</t>
  </si>
  <si>
    <t>Event at Tanger on May 07, 2000</t>
  </si>
  <si>
    <t>reportedly drowned while trying to reach Spain (May 7, 2000)</t>
  </si>
  <si>
    <t>Event at Marocco To Spain on May 07, 2000</t>
  </si>
  <si>
    <t>Shipwreck in the Straits of Gibraltar, on routes to Cadiz, 3 dead and 11 missing (May 8, 2000)</t>
  </si>
  <si>
    <t>Event at Cadiz on May 07, 2000</t>
  </si>
  <si>
    <t>http://www.elpais.com/articulo/espana/ESPAnA/ESPAnA/MARRUECOS/muertos/once/desaparecidos/nuevo/naufragio/Estrecho/Gibraltar/elpepiesp/20000508elpepinac_27/Tes</t>
  </si>
  <si>
    <t>A dead man in a minefield along the Evros River, the border between Turkey and Greece, while crossing the border on foot (May 8, 2000)</t>
  </si>
  <si>
    <t>Event at Evros on May 07, 2000</t>
  </si>
  <si>
    <t>Athen News</t>
  </si>
  <si>
    <t>http://www.icbl.org/lm/2000/greece#fnB3641</t>
  </si>
  <si>
    <t>2000-05-06T00:00:00Z</t>
  </si>
  <si>
    <t>Found the body of a man who drowned trying to cross the Oder River on the border between Poland and Germany, in Kienitz (May 7, 2000)</t>
  </si>
  <si>
    <t>Event at Kienitz on May 06, 2000</t>
  </si>
  <si>
    <t>2000-05-04T00:00:00Z</t>
  </si>
  <si>
    <t>A boat heading to the Canary Islands in the waters of Laayoun capsizes, 12 dead (May 5, 2000)</t>
  </si>
  <si>
    <t>Event at Laayoun on May 04, 2000</t>
  </si>
  <si>
    <t>http://www.elpais.com/articulo/espana/ESPAnA/docena/ahogados/naufragar/barca/frente/costas/Sahara/elpepiesp/20000505elpepinac_16/Tes</t>
  </si>
  <si>
    <t>missing, reportedly drowned after collision with coast guards near Otranto (I) (May 4, 2000). From Del Grande's data set (translated): Lecce: an inflatable boat rammed by police at 4 km from the coast. 2 dead, at least 10 missing (May 4, 2000)</t>
  </si>
  <si>
    <t>Event at Otranto on May 04, 2000</t>
  </si>
  <si>
    <t>Giuliano News Chronicle/LS/Vita/TL</t>
  </si>
  <si>
    <t>drowned after their small boat collided with coast guards near Otranto (I) (May 4, 2000)</t>
  </si>
  <si>
    <t>taz/Giuliano News Chronicle/AFP/IRR</t>
  </si>
  <si>
    <t>2000-05-01T00:00:00Z</t>
  </si>
  <si>
    <t>Found the body of a man who drowned trying to cross the river Neisse border between Poland and Germany, to Porajov (May 2, 2000)</t>
  </si>
  <si>
    <t>Event at Neisse on May 01, 2000</t>
  </si>
  <si>
    <t>2000-04-30T00:00:00Z</t>
  </si>
  <si>
    <t>2000 -- 4</t>
  </si>
  <si>
    <t>drowned, near Tarifa (E) trying to reach Spain swimming from a dinghy  (Apr 30, 2000). From Del Grande's data set (translated): Found the bodies of two young men drowned in a shipwreck near Tarifa (Apr 30, 2000)</t>
  </si>
  <si>
    <t>Event at Tarifa on Apr 30, 2000</t>
  </si>
  <si>
    <t>http://www.elpais.com/articulo/espana/ESPAnA/ESPAnA/MARRUECOS/Rescatado/naufrago/hallados/cadaveres/Estrecho/elpepiesp/20000430elpepinac_8/Tes</t>
  </si>
  <si>
    <t>Shipwreck in the stormy waters of the Strait of Gibraltar. One survivor, 1 body recovered and 20 missing (May 1, 2000)</t>
  </si>
  <si>
    <t>Event at Gibraltar on Apr 30, 2000</t>
  </si>
  <si>
    <t>http://www.elpais.com/articulo/espana/ESPAnA/Busqueda/infructuosa/inmigrantes/naufragio/Estrecho/elpepiesp/20000501elpepinac_5/Tes</t>
  </si>
  <si>
    <t>Found on the sides of a street in Cadiz the corpse of a migrant died under the wheels of the truck in which he was traveling hidden (May 1, 2000)</t>
  </si>
  <si>
    <t>Event at Cadiz on Apr 30, 2000</t>
  </si>
  <si>
    <t>http://www.elpais.com/articulo/espana/ESPAnA/Hallado/cadaver/papeles/atropellado/Cadiz/elpepiesp/20000501elpepinac_4/Tes</t>
  </si>
  <si>
    <t>died after he hit his head when boat driver tried to escape the border police near Otranto (I) (Apr 30, 2000)</t>
  </si>
  <si>
    <t>Event at Otranto on Apr 30, 2000</t>
  </si>
  <si>
    <t>2000-04-29T00:00:00Z</t>
  </si>
  <si>
    <t>drowned, found dead 550 meters from Ceuta (E/MA) (Apr 29, 2000)</t>
  </si>
  <si>
    <t>Event at Ceuta on Apr 29, 2000</t>
  </si>
  <si>
    <t>fell from underside truck, run over by car disembarking ferry in Algeciras (E)   (Apr 29, 2000)</t>
  </si>
  <si>
    <t>Event at Algeciras on Apr 29, 2000</t>
  </si>
  <si>
    <t>reportedly drowned, after ship sank near Cadiz (E) (Apr 29, 2000)</t>
  </si>
  <si>
    <t>Event at Cadiz on Apr 29, 2000</t>
  </si>
  <si>
    <t>drowned, found near Malaga (E) after ship wreckage near Cadiz (E) (Apr 29, 2000)</t>
  </si>
  <si>
    <t>2000-04-28T00:00:00Z</t>
  </si>
  <si>
    <t>drowned when small boat sank in storm near Tarifa (E) on way to Spain (Apr 28, 2000)</t>
  </si>
  <si>
    <t>Event at Tarifa on Apr 28, 2000</t>
  </si>
  <si>
    <t>drowned, body found in advanced state of decomposition near Tarifa (E) (Apr 28, 2000)</t>
  </si>
  <si>
    <t>2000-04-23T00:00:00Z</t>
  </si>
  <si>
    <t>He died at the hospital in Lecce Man seriously injured after being thrown overboard by traffickers in the land along the coasts of Lecce on April 19 (Apr 24, 2000)</t>
  </si>
  <si>
    <t>Event at Lecce on Apr 23, 2000</t>
  </si>
  <si>
    <t>2000-04-22T00:00:00Z</t>
  </si>
  <si>
    <t>found dead floating in Evros river (GR/TR) reportedly trying to cross border  (Apr 22, 2000). From Del Grande's data set (translated): Recovered in the waters of the Evros River at the border between Turkey and Greece, the body of a drowned man (Apr 23, 2000)</t>
  </si>
  <si>
    <t>Event at Evros on Apr 22, 2000</t>
  </si>
  <si>
    <t>stabbed to death in Netherlands by compratiot asylum seeker for fear of deportation (Apr 22, 2000)</t>
  </si>
  <si>
    <t>Event at Netherlands on Apr 22, 2000</t>
  </si>
  <si>
    <t>suicide after killing compatriot asylum seeker in fear of deportation in NL (Apr 22, 2000)</t>
  </si>
  <si>
    <t>Event at Netherland on Apr 22, 2000</t>
  </si>
  <si>
    <t>2000-04-21T00:00:00Z</t>
  </si>
  <si>
    <t>drowned, found dead 200 meters from Melilla (E/MA) (Apr 21, 2000)</t>
  </si>
  <si>
    <t>Event at Melilla on Apr 21, 2000</t>
  </si>
  <si>
    <t>2000-04-19T00:00:00Z</t>
  </si>
  <si>
    <t>Found in Lanzarote the corpse of a drowned woman during the landing of the first day (Apr 20, 2000)</t>
  </si>
  <si>
    <t>Event at Lanzarote on Apr 19, 2000</t>
  </si>
  <si>
    <t>http://www.elpais.com/articulo/espana/ESPAnA/Hallado/cadaver/subsahariana/desaparecida/aguas/Lanzarote/elpepiesp/20000420elpepinac_8/Tes</t>
  </si>
  <si>
    <t>2000-04-18T00:00:00Z</t>
  </si>
  <si>
    <t>Landing along the coasts of Lecce, 1 dead (Apr 19, 2000)</t>
  </si>
  <si>
    <t>Event at Lecce on Apr 18, 2000</t>
  </si>
  <si>
    <t>Kurd, drowned when smugglers tried to escape border police near Italian coast (Apr 18, 2000)</t>
  </si>
  <si>
    <t>Event at Italian Coast on Apr 18, 2000</t>
  </si>
  <si>
    <t>2000-04-14T00:00:00Z</t>
  </si>
  <si>
    <t>reportedly drowned, after boat sank near the Canary Islands (E) (Apr 14, 2000)</t>
  </si>
  <si>
    <t>Event at Canary on Apr 14, 2000</t>
  </si>
  <si>
    <t>AFP/MNS/Diario Vasco</t>
  </si>
  <si>
    <t>drowned (one woman pregnant) when boat sank near the Canary Islands (E) (Apr 14, 2000). From Del Grande's data set (translated): 2 women die, one of them pregnant, during a landing in Lanzarote, Canary Islands (Apr 16, 2000)</t>
  </si>
  <si>
    <t>Event at Lanzarote on Apr 14, 2000</t>
  </si>
  <si>
    <t>AFP/MNS/Diario Vasco/TAZ</t>
  </si>
  <si>
    <t>http://www.elpais.com/articulo/espana/CANARIAS/ESPAnA/ESPAnA/aFRICA/mujeres/embarazada/mueren/intentar/alcanzar/patera/costa/canaria/elpepiesp/20000416elpepinac_13/Tes</t>
  </si>
  <si>
    <t>2 found dead young hidden in a truck directly in Spain just landed in the port of Almeria (Apr 15, 2000)</t>
  </si>
  <si>
    <t>Event at Almeria on Apr 14, 2000</t>
  </si>
  <si>
    <t>http://www.elpais.com/articulo/espana/Hallados/muertos/inmigrantes/camion/puerto/Almeria/elpepiesp/20000415elpepinac_16/Tes</t>
  </si>
  <si>
    <t>2000-04-13T00:00:00Z</t>
  </si>
  <si>
    <t>stowaways, found dead in the trailer of a truck at the port of Almeria (E) (Apr 13, 2000)</t>
  </si>
  <si>
    <t>Event at Almeria on Apr 13, 2000</t>
  </si>
  <si>
    <t>AFP/EP</t>
  </si>
  <si>
    <t>Hidden in the hold of a freighter Moroccan, 2 men fall into the sea between the docks of Genoa, 1 dead (Apr 14, 2000)</t>
  </si>
  <si>
    <t>genoa</t>
  </si>
  <si>
    <t>Event at Genoa on Apr 13, 2000</t>
  </si>
  <si>
    <t>reportedly drowned in river Oder (D/PL) near Lebus (Apr 13, 2000). From Del Grande's data set (translated): Found the body of a man who drowned trying to cross the Oder River on the border between Germany and Poland, in Lubusz (Apr 14, 2000)</t>
  </si>
  <si>
    <t>Event at Poland on Apr 13, 2000</t>
  </si>
  <si>
    <t>2000-04-12T00:00:00Z</t>
  </si>
  <si>
    <t>stowaway, drowned, jumped from ship to avoid border control in port of Genova (I) (Apr 12, 2000)</t>
  </si>
  <si>
    <t>Event at Genova on Apr 12, 2000</t>
  </si>
  <si>
    <t>Giuliano News Chronicle/ANSA</t>
  </si>
  <si>
    <t>2000-04-11T00:00:00Z</t>
  </si>
  <si>
    <t>drowned, bodies found on a beach near Castillejos (E) (Apr 11, 2000)</t>
  </si>
  <si>
    <t>castillejos</t>
  </si>
  <si>
    <t>Event at Castillejos on Apr 11, 2000</t>
  </si>
  <si>
    <t>ELM/GARA/MNS</t>
  </si>
  <si>
    <t>reportedly drowned, found in Spanish territorial waters near Ceuta (E/MA) (Apr 11, 2000). From Del Grande's data set (translated): Shipwreck in the waters of Ceuta, found the body of one drowned (Apr 13, 2000)</t>
  </si>
  <si>
    <t>Event at Ceuta on Apr 11, 2000</t>
  </si>
  <si>
    <t>MNS/GARA/ELM</t>
  </si>
  <si>
    <t>http://www.elpais.com/articulo/espana/ESPAnA/muerto/superviviente/naufragar/patera/costa/ceuti/elpepiesp/20000413elpepinac_19/Tes</t>
  </si>
  <si>
    <t>died of toxic gas near Tarifa (E) trying to cross the Strait of Gibraltar in small boat (Apr 11, 2000)</t>
  </si>
  <si>
    <t>Event at Tarifa on Apr 11, 2000</t>
  </si>
  <si>
    <t>2000-04-09T00:00:00Z</t>
  </si>
  <si>
    <t>stowaway, died when lorry hit a bridge near Cheb (CZ) (Apr 9, 2000)</t>
  </si>
  <si>
    <t>Cheb, cz</t>
  </si>
  <si>
    <t>Event at Cheb, Cz on Apr 09, 2000</t>
  </si>
  <si>
    <t>VK/taz/NOS teletext/DPA</t>
  </si>
  <si>
    <t>2000-04-05T00:00:00Z</t>
  </si>
  <si>
    <t>suicide, rejected asylum seeker set himself on fire in refugee home R√ºsselsheim (D) (Apr 5, 2000)</t>
  </si>
  <si>
    <t>Rosselsheim, germnay</t>
  </si>
  <si>
    <t>Event at Rosselsheim, Germnay on Apr 05, 2000</t>
  </si>
  <si>
    <t>stowaways, found dead in undercarriage of airplane at Stockholm (S) airport (Apr 5, 2000)</t>
  </si>
  <si>
    <t>Event at Stockholm on Apr 05, 2000</t>
  </si>
  <si>
    <t>taz/ICARE/Ananova/MNS</t>
  </si>
  <si>
    <t>2000-04-04T00:00:00Z</t>
  </si>
  <si>
    <t>died in police custody in Wien (A) after being arrested for illegal stay (Apr 4, 2000)</t>
  </si>
  <si>
    <t>Event at Wien on Apr 04, 2000</t>
  </si>
  <si>
    <t>SOS/Menschenrechte/Malmoe</t>
  </si>
  <si>
    <t>2000-04-03T00:00:00Z</t>
  </si>
  <si>
    <t>Rescued off the coast of Almeria 5 guys adrift on a raft. One of them dies before reaching the port of Carboneras (Apr 4, 2000)</t>
  </si>
  <si>
    <t>Event at Carboneras on Apr 03, 2000</t>
  </si>
  <si>
    <t>http://www.elpais.com/articulo/espana/ESPAnA/ESPAnA/MARRUECOS/magrebi/muere/pasar/varios/dias/deriva/patera/elpepiesp/20000404elpepinac_28/Tes</t>
  </si>
  <si>
    <t>2000-04-02T00:00:00Z</t>
  </si>
  <si>
    <t>body found near Olbernhaus near D/CZ border (Apr 2, 2000)</t>
  </si>
  <si>
    <t>Olbernhaus, germany</t>
  </si>
  <si>
    <t>Event at Olbernhaus, Germany on Apr 02, 2000</t>
  </si>
  <si>
    <t>2000-03-31T00:00:00Z</t>
  </si>
  <si>
    <t>1Q2000</t>
  </si>
  <si>
    <t>2000 -- 3</t>
  </si>
  <si>
    <t>drowned trying to reach Spain crossing the Strait of Gibraltar in small boat (Mar 31, 2000)</t>
  </si>
  <si>
    <t>Event at Gibraltar on Mar 31, 2000</t>
  </si>
  <si>
    <t>2000-03-24T00:00:00Z</t>
  </si>
  <si>
    <t>found dead, floating near the port of Ceuta (E/MA) (Mar 24, 2000)</t>
  </si>
  <si>
    <t>Event at Ceuta on Mar 24, 2000</t>
  </si>
  <si>
    <t>Kurds, drowned near the island of Kos (GR) reportedly after vessel capsized (Mar 24, 2000). From Del Grande's data set (translated): Boat capsizes in the waters of Kos, 8 dead, including 3 children (Mar 25, 2000)</t>
  </si>
  <si>
    <t>Event at Kos on Mar 24, 2000</t>
  </si>
  <si>
    <t>http://www.hri.org/news/greek/apeen/2000/00-03-25.apeen.html#05</t>
  </si>
  <si>
    <t>2000-03-23T00:00:00Z</t>
  </si>
  <si>
    <t>drowned on their way to Spain, found near Cadiz (E) (Mar 23, 2000)</t>
  </si>
  <si>
    <t>Event at Cadiz on Mar 23, 2000</t>
  </si>
  <si>
    <t>body found near Nassau-Frauenstein near D/CZ border (Mar 23, 2000)</t>
  </si>
  <si>
    <t>Nassau-Frauenstein, germany</t>
  </si>
  <si>
    <t>Event at Nassau-Frauenstein, Germany on Mar 23, 2000</t>
  </si>
  <si>
    <t>2000-03-22T00:00:00Z</t>
  </si>
  <si>
    <t>died in a refugee centre in Gy√∂r (H) under suspicious circumstances (Mar 22, 2000)</t>
  </si>
  <si>
    <t>Event at Gyor, Hungary on Mar 22, 2000</t>
  </si>
  <si>
    <t>MGHR/Hungary</t>
  </si>
  <si>
    <t>2000-03-21T00:00:00Z</t>
  </si>
  <si>
    <t>drowned after small boat capsized near Ceuta (E/MA) (Mar 21, 2000). From Del Grande's data set (translated): Sinking a boat bound for Ceuta, 3 men drown (Mar 23, 2000)</t>
  </si>
  <si>
    <t>Event at Ceuta on Mar 21, 2000</t>
  </si>
  <si>
    <t>http://www.elpais.com/articulo/espana/Mueren/subsaharianos/naufragar/balsa/neumatica/intentaban/llegar/Ceuta/elpepiesp/20000323elpepinac_46/Tes</t>
  </si>
  <si>
    <t>reportedly drowned trying to cross the river Morava (A/SK), trying to reach A (Mar 21, 2000). From Del Grande's data set (translated): Man drowns crossing the Morava River at the border between Slovakia and Austria (Mar 22, 2000)</t>
  </si>
  <si>
    <t>Event at Morava on Mar 21, 2000</t>
  </si>
  <si>
    <t>Salzburger Nachrichten</t>
  </si>
  <si>
    <t>http://www.salzburg.com/nwas/index.php</t>
  </si>
  <si>
    <t>2000-03-19T00:00:00Z</t>
  </si>
  <si>
    <t>drowned, reportedly trying to cross the sea to Italy, body found off the coast of Brindisi (I)  (Mar 19, 2000)</t>
  </si>
  <si>
    <t>Event at Brindisi on Mar 19, 2000</t>
  </si>
  <si>
    <t>2000-03-13T00:00:00Z</t>
  </si>
  <si>
    <t>died after fire caused by rebellion in detention centre Seraino Vulpitta di Trappani (I) (Mar 13, 2000)</t>
  </si>
  <si>
    <t>Event at Trappani on Mar 13, 2000</t>
  </si>
  <si>
    <t>ANSA/ILM/CDS</t>
  </si>
  <si>
    <t>2000-03-11T00:00:00Z</t>
  </si>
  <si>
    <t>shot dead on beach of Tarifa, Cadiz (E) by police while disembarking small boat (Mar 11, 2000)</t>
  </si>
  <si>
    <t>Event at Tarifa on Mar 11, 2000</t>
  </si>
  <si>
    <t>EP/ELM/LV/MNS/Diario/VSF/MUGAK</t>
  </si>
  <si>
    <t>suicide, hanged himself in his house in Salzwedel (D) for fear of deportation (Mar 11, 2000)</t>
  </si>
  <si>
    <t>Salzwedel, Germany</t>
  </si>
  <si>
    <t>Event at Salzwedel, Germany on Mar 11, 2000</t>
  </si>
  <si>
    <t>2000-03-10T00:00:00Z</t>
  </si>
  <si>
    <t>It overturns a boat load of immigrants into the Danube River, on the border between Slovakia and Austria, 4 dead (Mar 11, 2000)</t>
  </si>
  <si>
    <t>Event at Slovakia on Mar 10, 2000</t>
  </si>
  <si>
    <t>https://www.irr.org.uk/cgi-bin/news/open.pl?id=626</t>
  </si>
  <si>
    <t>2000-03-08T00:00:00Z</t>
  </si>
  <si>
    <t>drowned on his way to Spain, found near Bahia Plata (E) (Mar 8, 2000)</t>
  </si>
  <si>
    <t>Bahia Plata, Spain</t>
  </si>
  <si>
    <t>Event at Bahia Plata, Spain on Mar 08, 2000</t>
  </si>
  <si>
    <t>2000-03-07T00:00:00Z</t>
  </si>
  <si>
    <t>Found the body of a man who drowned trying to cross the Oder River on the border between Poland and Germany in Frankfurt (Mar 8, 2000)</t>
  </si>
  <si>
    <t>Event at Frankfurt on Mar 07, 2000</t>
  </si>
  <si>
    <t>2000-03-05T00:00:00Z</t>
  </si>
  <si>
    <t>Tucked away on a ship that was entering the port of Bari a man diving into the sea and drowns (Mar 6, 2000)</t>
  </si>
  <si>
    <t>Event at Bari on Mar 05, 2000</t>
  </si>
  <si>
    <t>2000-03-04T00:00:00Z</t>
  </si>
  <si>
    <t>drowned near El Ayhun (MA) after small boat capsized on way to Canaries (E) (Mar 4, 2000)</t>
  </si>
  <si>
    <t>Event at Canaries on Mar 04, 2000</t>
  </si>
  <si>
    <t>2000-03-03T00:00:00Z</t>
  </si>
  <si>
    <t>died after being rescued from small boat by border police near coast of Almeria (E) (Mar 3, 2000)</t>
  </si>
  <si>
    <t>Event at Almeria on Mar 03, 2000</t>
  </si>
  <si>
    <t>2000-02-29T00:00:00Z</t>
  </si>
  <si>
    <t>2000 -- 2</t>
  </si>
  <si>
    <t>drowned, bodies washed ashore near Cadiz (E) (Feb 29, 2000)</t>
  </si>
  <si>
    <t>Event at Cadiz on Feb 29, 2000</t>
  </si>
  <si>
    <t>died after hit his head when forced out of the boat by smugglers near Otranto (I) (Feb 29, 2000)</t>
  </si>
  <si>
    <t>Event at Otranto on Feb 29, 2000</t>
  </si>
  <si>
    <t>died in Mannheim prison (D) because of lack of medical treatment (Feb 29, 2000)</t>
  </si>
  <si>
    <t>Mannheim, germany</t>
  </si>
  <si>
    <t>Event at Mannheim, Germany on Feb 29, 2000</t>
  </si>
  <si>
    <t>2000-02-27T00:00:00Z</t>
  </si>
  <si>
    <t>died after their boat was pursued by Italian coast guards (Feb 27, 2000)</t>
  </si>
  <si>
    <t>Event at Italian Coast on Feb 27, 2000</t>
  </si>
  <si>
    <t>2000-02-18T00:00:00Z</t>
  </si>
  <si>
    <t>drowned, after ship wreckage near Canary Islands (E) (Feb 18, 2000)</t>
  </si>
  <si>
    <t>Event at Canary on Feb 18, 2000</t>
  </si>
  <si>
    <t>2000-02-15T00:00:00Z</t>
  </si>
  <si>
    <t>Recovered the bodies of two drowned along the coast of Lecce (Feb 16, 2000)</t>
  </si>
  <si>
    <t>Event at Lecce on Feb 15, 2000</t>
  </si>
  <si>
    <t>2000-02-14T00:00:00Z</t>
  </si>
  <si>
    <t>drowned on their way to Spain, found near Bolonia (E) (Feb 14, 2000). From Del Grande's data set (translated): Found on the beach of Bolonia, the bodies of two drowned men (Feb 15, 2000)</t>
  </si>
  <si>
    <t>bolonia</t>
  </si>
  <si>
    <t>Event at Bolonia on Feb 14, 2000</t>
  </si>
  <si>
    <t>DiarioVasco</t>
  </si>
  <si>
    <t>http://www.diariovasco.com/</t>
  </si>
  <si>
    <t>suicide, because of bad living conditions in asylum centre near Allbruck (D) (Feb 14, 2000)</t>
  </si>
  <si>
    <t>Allbruck, germany</t>
  </si>
  <si>
    <t>Event at Allbruck, Germany on Feb 14, 2000</t>
  </si>
  <si>
    <t>SAGA/ARI</t>
  </si>
  <si>
    <t>2000-02-09T00:00:00Z</t>
  </si>
  <si>
    <t>died after jumping out of fast driving train in Germany in fear of deportation (Feb 9, 2000)</t>
  </si>
  <si>
    <t>Event at Germany on Feb 09, 2000</t>
  </si>
  <si>
    <t>DPA/IRR</t>
  </si>
  <si>
    <t>2000-02-04T00:00:00Z</t>
  </si>
  <si>
    <t>found dead at shore in Scicli (I), reportedly thrown overboard as stowaways (Feb 4, 2000)</t>
  </si>
  <si>
    <t>scicli</t>
  </si>
  <si>
    <t>Event at Scicli on Feb 04, 2000</t>
  </si>
  <si>
    <t>died in a detention centre in Wien (A) after being beaten by police (Feb 4, 2000)</t>
  </si>
  <si>
    <t>Event at Wien on Feb 04, 2000</t>
  </si>
  <si>
    <t>AFP/AHDA/I Care/Malmoe</t>
  </si>
  <si>
    <t>reportedly drowned in river Nei√üe (D/PL) near Porajow (Feb 4, 2000)</t>
  </si>
  <si>
    <t>Porajow, poland</t>
  </si>
  <si>
    <t>Event at Porajow, Poland on Feb 04, 2000</t>
  </si>
  <si>
    <t>2000-12-31T00:00:00Z</t>
  </si>
  <si>
    <t>4Q2000</t>
  </si>
  <si>
    <t>2000 -- 12</t>
  </si>
  <si>
    <t>stowaways, reportedly drowned when freighter sunk in stormy sea near Antalya (TR) (Dec 31, 2000). From Del Grande's data set (translated): Live in Greece, sinking a few miles from Kemer Georgian cargo ship Pati; 9 bodies recovered, at least 50 missing (Jan 1, 2001)</t>
  </si>
  <si>
    <t>antalya</t>
  </si>
  <si>
    <t>Event at Antalya on Dec 31, 2000</t>
  </si>
  <si>
    <t>DPA/Reu/MNS/Morgengr./MN/NW/LaOpini‚àö√µn</t>
  </si>
  <si>
    <t>http://archives.cnn.com/2001/WORLD/europe/01/03/ship.turkey/</t>
  </si>
  <si>
    <t>stowaways, drowned when ship sunk in stormy waters near Antalya (TR) (Dec 31, 2000)</t>
  </si>
  <si>
    <t>La Opini‚àö√µn</t>
  </si>
  <si>
    <t>drowned in Aegean sea on their way from Turkey to the Greek island Lesbos (GR) (Dec 31, 2000)</t>
  </si>
  <si>
    <t>Event at Lesbos on Dec 31, 2000</t>
  </si>
  <si>
    <t>Den Blanken</t>
  </si>
  <si>
    <t>drowned in Aegean sea on his way from Turkey to the Greek island Lesbos (GR) (Dec 31, 2000)</t>
  </si>
  <si>
    <t>stowaways, found suffocated in the hull of a ship in Brindisi (I) (Dec 31, 2000)</t>
  </si>
  <si>
    <t>Event at Brindisi on Dec 31, 2000</t>
  </si>
  <si>
    <t>suicide, hang himself from a bed sheet in deportation custody in Schaffhausen (CH) (Dec 31, 2000)</t>
  </si>
  <si>
    <t>Schaffhausen, Switzerland</t>
  </si>
  <si>
    <t>Event at Schaffhausen, Switzerland on Dec 31, 2000</t>
  </si>
  <si>
    <t>suicide, jumped in front of train in Den Bosch (NL) (Dec 31, 2000)</t>
  </si>
  <si>
    <t>Den Bosch, Netherland</t>
  </si>
  <si>
    <t>Event at Den Bosch, Netherland on Dec 31, 2000</t>
  </si>
  <si>
    <t>2000-12-30T00:00:00Z</t>
  </si>
  <si>
    <t>froze to death at Belles mountain (GR/BG) trying to reach Greece illegally (Dec 30, 2000). From Del Grande's data set (translated): Trying to enter illegally in Greece, a girl dies frozen to death on foot through the passes of the mountains Belles, the Bulgarian border (Dec 31, 2000)</t>
  </si>
  <si>
    <t>Event at Bulgaria on Dec 30, 2000</t>
  </si>
  <si>
    <t>2000-12-26T00:00:00Z</t>
  </si>
  <si>
    <t>died of hypothermia in the mountains near Ceuta (E/MA) on his way to Spain (Dec 26, 2000). From Del Grande's data set (translated): He died of hypothermia a migrant camped in the mountains of Bel Younesh, waiting to jump the border fence in Ceuta (Dec 27, 2000)</t>
  </si>
  <si>
    <t>Event at Ceuta on Dec 26, 2000</t>
  </si>
  <si>
    <t>Recovered a dead body of a fisherman on the beach of Cerano, Brindisi (Dec 27, 2000)</t>
  </si>
  <si>
    <t>Event at Brindisi on Dec 26, 2000</t>
  </si>
  <si>
    <t>2000-12-24T00:00:00Z</t>
  </si>
  <si>
    <t>stowaway, fell out of undercarriage of British Airways plane near Gatwick airport (GB) (Dec 24, 2000). From Del Grande's data set (translated): Tucked away in the undercarriage of a plane at Gatwick dies frozen to death. The body rushes to the opening of the truck during the landing and was found in a field in Rudgwick (Dec 24, 2000)</t>
  </si>
  <si>
    <t>Event at Gatwick on Dec 24, 2000</t>
  </si>
  <si>
    <t>MNS/Parool/Telegraph</t>
  </si>
  <si>
    <t>2000-12-23T00:00:00Z</t>
  </si>
  <si>
    <t>stowaway, fell out of undercarriage of British Airways plane near Gatwick airport (GB) (Dec 23, 2000). From Del Grande's data set (translated): Tucked away in the undercarriage of a plane at Gatwick dies frozen to death. The body rushes to the opening of the truck during the landing and was found in a field in Rudgwick (Dec 24, 2000)</t>
  </si>
  <si>
    <t>Event at Gatwick on Dec 23, 2000</t>
  </si>
  <si>
    <t>2000-12-21T00:00:00Z</t>
  </si>
  <si>
    <t>Found on the beaches of Tarifa bodies of drowned 8 castaways (Dec 22, 2000)</t>
  </si>
  <si>
    <t>Event at Tarifa on Dec 21, 2000</t>
  </si>
  <si>
    <t>http://www.elpais.com/articulo/espana/ESPAnA/ESPAnA/MARRUECOS/Hallado/cadaver/magrebi/costa/Tarifa/elpepiesp/20001222elpepinac_11/Tes</t>
  </si>
  <si>
    <t>2000-12-20T00:00:00Z</t>
  </si>
  <si>
    <t>reportedly drowned after shipwreck near Tarifa (E) trying to reach Spain (Dec 20, 2000)</t>
  </si>
  <si>
    <t>Event at Tarifa on Dec 20, 2000</t>
  </si>
  <si>
    <t>reportedly drowned, forced off by smuggler near Otranto (I), woman was pregnant (Dec 20, 2000)</t>
  </si>
  <si>
    <t>Event at Otranto on Dec 20, 2000</t>
  </si>
  <si>
    <t>Kurd, drowned after being forced overboard by smuggler near Otranto (I)  (Dec 20, 2000)</t>
  </si>
  <si>
    <t>Landing in Alimini near Otranto, 1 dead and 2 missing (Dec 21, 2000)</t>
  </si>
  <si>
    <t>burned alive in car crash near Thessaloniki (GR) trying to enter Greece illegally (Dec 20, 2000). From Del Grande's data set (translated): Two men dead in the charred closed hood of a car in which they were hidden and who has had a car accident on fire, near Thessaloniki along the Macedonian border (Dec 21, 2000)</t>
  </si>
  <si>
    <t>Event at Thessaloniki on Dec 20, 2000</t>
  </si>
  <si>
    <t>drowned, found on beach of Bolonia (E) (Dec 20, 2000)</t>
  </si>
  <si>
    <t>Event at Bolonia on Dec 20, 2000</t>
  </si>
  <si>
    <t>suicide, found hanged in Nelson, Lancashire (GB) after his asylum claim was refused (Dec 20, 2000)</t>
  </si>
  <si>
    <t>Event at Nelson, Uk on Dec 20, 2000</t>
  </si>
  <si>
    <t>CARF/IRR/NCADC</t>
  </si>
  <si>
    <t>2000-12-18T00:00:00Z</t>
  </si>
  <si>
    <t>Six men traveling without a visa in a car, near the Croatian border the driver escapes a roadblock, police car chases, shoots and kills the man at the helm (Dec 19, 2000)</t>
  </si>
  <si>
    <t>croatia</t>
  </si>
  <si>
    <t>Event at Croatia on Dec 18, 2000</t>
  </si>
  <si>
    <t>suicide, hanged himself after having received deportation order (NL) (Dec 18, 2000)</t>
  </si>
  <si>
    <t>Event at Netherland on Dec 18, 2000</t>
  </si>
  <si>
    <t>IFIR</t>
  </si>
  <si>
    <t>2000-12-17T00:00:00Z</t>
  </si>
  <si>
    <t>died of heart failure during deportation from Budapest International Airport (H) (Dec 17, 2000)</t>
  </si>
  <si>
    <t>Budapest International Airport</t>
  </si>
  <si>
    <t>Event at Budapest International Airport on Dec 17, 2000</t>
  </si>
  <si>
    <t>Reu/UNHCR/MNS/MGHR/IRR/HHC/MUGAK/NCADC</t>
  </si>
  <si>
    <t>2000-12-16T00:00:00Z</t>
  </si>
  <si>
    <t>drowned,  found dead near Tarifa (E) (Dec 16, 2000). From Del Grande's data set (translated): Found the bodies of three men drowned, 2 in Tarifa and one in Ceuta (Dec 16, 2000)</t>
  </si>
  <si>
    <t>Event at Tarifa on Dec 16, 2000</t>
  </si>
  <si>
    <t>ELM</t>
  </si>
  <si>
    <t>http://www.elpais.com/articulo/espana/HERMOSO_POVES/_FERNANDO_/SUBDELEGADO_DEL_GOBIERNO_EN_ALMERiA/ESPAnA/ESPAnA/MARRUECOS/PARTIDO_SOCIALISTA_OBRERO_ESPAnOL_/PSOE/Cadaveres/detenidos/elpepiesp/20001216elpepinac_4/Tes</t>
  </si>
  <si>
    <t>2000-12-15T00:00:00Z</t>
  </si>
  <si>
    <t>died of cold and exhaustion after having reached the coast of Ceuta swimming (E/MA) (Dec 15, 2000). From Del Grande's data set (translated): A man drowned in an attempt to swim to the beaches of Ceuta (Dec 17, 2000)</t>
  </si>
  <si>
    <t>Event at Ceuta on Dec 15, 2000</t>
  </si>
  <si>
    <t>MNS/ELM/ DiarioVasco</t>
  </si>
  <si>
    <t>http://www.elpais.com/articulo/espana/ESPAnA/ESPAnA/MARRUECOS/Muere/magrebi/Ceuta/tratar/llegar/nado/costa/elpepiesp/20001217elpepinac_16/Tes</t>
  </si>
  <si>
    <t>drowned, found dead at the coast near Tarifa (E) in advanced state of decomposition (Dec 15, 2000)</t>
  </si>
  <si>
    <t>Event at Tarifa on Dec 15, 2000</t>
  </si>
  <si>
    <t>drowned, body found on a beach near Tarifa (E) (Dec 15, 2000)</t>
  </si>
  <si>
    <t>reportedly drowned, found at beach near Algeciras (E) (Dec 15, 2000)</t>
  </si>
  <si>
    <t>Event at Algeciras on Dec 15, 2000</t>
  </si>
  <si>
    <t>2000-12-14T00:00:00Z</t>
  </si>
  <si>
    <t>reportedly drowned after boat with 27 people sank off near Gulf of Almeria (E) (Dec 14, 2000)</t>
  </si>
  <si>
    <t>Event at Almeria on Dec 14, 2000</t>
  </si>
  <si>
    <t>ELM/GARA</t>
  </si>
  <si>
    <t>suicide - jumped from train</t>
  </si>
  <si>
    <t>suicide, jumped out of train window near railway station Thyrow (D) (Dec 14, 2000)</t>
  </si>
  <si>
    <t>Thyrow, Germany</t>
  </si>
  <si>
    <t>Event at Thyrow, Germany on Dec 14, 2000</t>
  </si>
  <si>
    <t>Man dies asphyxiated traveling for hours hidden in the trunk of a car to enter illegally in Sweden (Dec 15, 2000)</t>
  </si>
  <si>
    <t>Event at Sweden on Dec 14, 2000</t>
  </si>
  <si>
    <t>Direct in Germany, a man dying of starvation through the desert on the border between Kazakhstan and Russia (Dec 15, 2000)</t>
  </si>
  <si>
    <t>Russia</t>
  </si>
  <si>
    <t>Event at Russia on Dec 14, 2000</t>
  </si>
  <si>
    <t>2000-12-13T00:00:00Z</t>
  </si>
  <si>
    <t>drowned, found dead in Spanish territorial waters near Ceuta (E/MA) (Dec 13, 2000)</t>
  </si>
  <si>
    <t>Event at Ceuta on Dec 13, 2000</t>
  </si>
  <si>
    <t>drowned, found dead near the coast of Tarifa (E) (Dec 13, 2000)</t>
  </si>
  <si>
    <t>Event at Tarifa on Dec 13, 2000</t>
  </si>
  <si>
    <t>2000-12-09T00:00:00Z</t>
  </si>
  <si>
    <t>Found on the beaches of Tarifa the bodies of 3 young drowned (Dec 10, 2000)</t>
  </si>
  <si>
    <t>Event at Tarifa on Dec 09, 2000</t>
  </si>
  <si>
    <t>http://www.elpais.com/articulo/espana/ESPAnA/ESPAnA/aFRICA/Guardia/Civil/halla/aguas/Tarifa/cadaveres/inmigrantes/elpepiesp/20001210elpepinac_16/Tes</t>
  </si>
  <si>
    <t>2000-12-08T00:00:00Z</t>
  </si>
  <si>
    <t>Found the bodies of four men drowned in the waters of Ceuta and Castillejos, probably victims of a shipwreck that you do not know anything. Since January 2000, according to official sources, the bodies recovered in the waters of Ceuta are 17 (Dec 9, 2000)</t>
  </si>
  <si>
    <t>Event at Ceuta on Dec 08, 2000</t>
  </si>
  <si>
    <t>http://www.elpais.com/articulo/espana/MARRUECOS/ESPAnA/ESPAnA/MARRUECOS/Desmantelada/red/inmigracion/ilegal/120/detenidos/Marruecos/elpepiesp/20001209elpepinac_22/Tes</t>
  </si>
  <si>
    <t>2000-12-07T00:00:00Z</t>
  </si>
  <si>
    <t>found dead floating near Almeria (E) reportedly trying to reach Spain (Dec 7, 2000)</t>
  </si>
  <si>
    <t>Event at Almeria on Dec 07, 2000</t>
  </si>
  <si>
    <t>2000-12-05T00:00:00Z</t>
  </si>
  <si>
    <t>Probably killed by truck in which they were hiding to land in Spain, 2 men die hit by two cars, one in Cadiz and the other in Almeria (Dec 6, 2000)</t>
  </si>
  <si>
    <t>Event at Cadiz on Dec 05, 2000</t>
  </si>
  <si>
    <t>http://www.elpais.com/articulo/espana/ESPAnA/EUROPA_ORIENTAL/ESPAnA/MARRUECOS/marroqui/lituano/arrollados/sendos/accidentes/Cadiz/Almeria/elpepiesp/20001206elpepinac_7/Tes</t>
  </si>
  <si>
    <t>2000-12-04T00:00:00Z</t>
  </si>
  <si>
    <t>drowned, when dinghy hit a reef and sank near Tarifa (E) (Dec 4, 2000)</t>
  </si>
  <si>
    <t>Event at Tarifa on Dec 04, 2000</t>
  </si>
  <si>
    <t>He died asphyxiated by the gas motor on the boat which was traveling towards Tarifa (Dec 5, 2000)</t>
  </si>
  <si>
    <t>http://www.elpais.com/articulo/espana/ESPAnA/ESPAnA/MARRUECOS/magrebi/muere/asfixiado/gases/motor/barca/iba/otros/31/indocumentados/elpepiesp/20001205elpepinac_11/Tes</t>
  </si>
  <si>
    <t>died by jumping into 300 metre deep gorge trying to flee border police in Greece (Dec 4, 2000)</t>
  </si>
  <si>
    <t>Event at Albania To Greece on Dec 04, 2000</t>
  </si>
  <si>
    <t>2000-12-03T00:00:00Z</t>
  </si>
  <si>
    <t>Shipwreck 4 km from the coast of Anjouan, a kwassa kwassa direct Mayotte: 17 dead (Dec 4, 2000)</t>
  </si>
  <si>
    <t>Event at Mayotte on Dec 03, 2000</t>
  </si>
  <si>
    <t>2000-12-02T00:00:00Z</t>
  </si>
  <si>
    <t>A young man just landed in Tarifa is killed by a shot of an officer of the Civil Guard (Dec 3, 2000)</t>
  </si>
  <si>
    <t>Event at Tarifa on Dec 02, 2000</t>
  </si>
  <si>
    <t>http://www.elpais.com/articulo/espana/CaDIZ/TARIFA_/CaDIZ/ESPAnA/ESPAnA/MARRUECOS/GUARDIA_CIVIL/magrebi/muere/disparo/guardia/civil/desembarcar/patera/Tarifa/elpepiesp/20001204elpepinac_1/Tes</t>
  </si>
  <si>
    <t>2000-11-30T00:00:00Z</t>
  </si>
  <si>
    <t>2000 -- 11</t>
  </si>
  <si>
    <t>died of exhaustion in hospital, Melilla (E/MA), caught in storm trying to go to Spain (Nov 30, 2000)</t>
  </si>
  <si>
    <t>Event at Melilla on Nov 30, 2000</t>
  </si>
  <si>
    <t>2000-11-27T00:00:00Z</t>
  </si>
  <si>
    <t>died of pneumonia in K√§rnten (A), dispute of responsibility within government (Nov 27, 2000)</t>
  </si>
  <si>
    <t>K√∂rnten, Austria</t>
  </si>
  <si>
    <t>Event at K√∂Rnten, Austria on Nov 27, 2000</t>
  </si>
  <si>
    <t>RosaAntifa/Format/DerStandard/DieGr√ºnen/DPA/Malmoe</t>
  </si>
  <si>
    <t>2000-11-24T00:00:00Z</t>
  </si>
  <si>
    <t>floating near Ceuta (E/MA), drowned trying to enter Spanish fortified enclave by water (Nov 24, 2000). From Del Grande's data set (translated): Found the body of a young man drowned trying to swim to the beaches of Ceuta (Nov 26, 2000)</t>
  </si>
  <si>
    <t>Event at Ceuta on Nov 24, 2000</t>
  </si>
  <si>
    <t>http://www.elpais.com/articulo/espana/CEUTA/ESPAnA/ESPAnA/aFRICA/Guardia/Civil/halla/cadaver/inmigrante/Ceuta/elpepiesp/20001126elpepinac_19/Tes</t>
  </si>
  <si>
    <t>2000-11-19T00:00:00Z</t>
  </si>
  <si>
    <t>2 men drown trying to cross the Sava River to cross the border with Croatia (Nov 20, 2000)</t>
  </si>
  <si>
    <t>Event at Sava on Nov 19, 2000</t>
  </si>
  <si>
    <t>Ohr</t>
  </si>
  <si>
    <t>http://www.ohr.int/ohr-dept/presso/bh-media-rep/summaries-tv/rtrs/default.asp?content_id=2431</t>
  </si>
  <si>
    <t>2000-11-16T00:00:00Z</t>
  </si>
  <si>
    <t>stowaway, died after he was run over by the lorry he was hiding in in Dover (GB) (Nov 16, 2000). From Del Grande's data set (translated): It falls under the truck which was traveling hidden and died under the wheels of the vehicle, in Dover (Nov 17, 2000)</t>
  </si>
  <si>
    <t>Event at Dover on Nov 16, 2000</t>
  </si>
  <si>
    <t>2000-11-14T00:00:00Z</t>
  </si>
  <si>
    <t>shot by Turkish border guards trying to enter Turkey illegally from Iran (Nov 14, 2000). From Del Grande's data set (translated): Two men killed by gunfire Turkish police on the border with Iran, in the province of Van (Nov 15, 2000)</t>
  </si>
  <si>
    <t>van province, turkey</t>
  </si>
  <si>
    <t>Event at Van Province, Turkey on Nov 14, 2000</t>
  </si>
  <si>
    <t>2000-11-12T00:00:00Z</t>
  </si>
  <si>
    <t>Mayotte. Young throws herself from the ship "Ville de Sima" returnee who was in Anjouan and drowns (Nov 13, 2000)</t>
  </si>
  <si>
    <t>Event at Mayotte on Nov 12, 2000</t>
  </si>
  <si>
    <t>2000-11-11T00:00:00Z</t>
  </si>
  <si>
    <t>suicide, for fear of deportation in Kriftelk (D), authorities denied his psychotic condition (Nov 11, 2000)</t>
  </si>
  <si>
    <t>Kriftelk, Germany</t>
  </si>
  <si>
    <t>Event at Kriftelk, Germany on Nov 11, 2000</t>
  </si>
  <si>
    <t>2000-11-10T00:00:00Z</t>
  </si>
  <si>
    <t>drowned on his way to Spain, body found dead near Tarifa (E) (Nov 10, 2000)</t>
  </si>
  <si>
    <t>Event at Tarifa on Nov 10, 2000</t>
  </si>
  <si>
    <t>2000-11-01T00:00:00Z</t>
  </si>
  <si>
    <t>Recovered on the beaches of Tarifa the corpse of a drowned man (Nov 2, 2000)</t>
  </si>
  <si>
    <t>Event at Tarifa on Nov 01, 2000</t>
  </si>
  <si>
    <t>http://www.elpais.com/articulo/espana/ESPAnA/Recuperado/cadaver/magrebi/detenidos/33/inmigrantes/clandestinos/costa/Tarifa/elpepiesp/20001102elpepinac_15/Tes</t>
  </si>
  <si>
    <t>2000-10-31T00:00:00Z</t>
  </si>
  <si>
    <t>2000 -- 10</t>
  </si>
  <si>
    <t>Man killed by Greek police in Kastoria, the border between Greece and Albania. A driving a car loaded with illegal immigrants, had not stopped at the checkpoint (Nov 1, 2000)</t>
  </si>
  <si>
    <t>Event at Kastoria on Oct 31, 2000</t>
  </si>
  <si>
    <t>http://web.amnesty.org/library/index/engeur250222002</t>
  </si>
  <si>
    <t>2000-10-29T00:00:00Z</t>
  </si>
  <si>
    <t>Shipwreck on the routes between Anjouan and Mayotte, in the Indian Ocean: 11 dead (Oct 30, 2000)</t>
  </si>
  <si>
    <t>Event at Mayotte on Oct 29, 2000</t>
  </si>
  <si>
    <t>drowned, bodies found off coast of Ragusa (I), reportedly thrown overboard by traffickers (Oct 29, 2000)</t>
  </si>
  <si>
    <t>Event at Ragusa on Oct 29, 2000</t>
  </si>
  <si>
    <t>killed by border guards, caught trying to escape from bordercamp Szombathely (H)  (Oct 29, 2000)</t>
  </si>
  <si>
    <t>Szombathely, Hungary</t>
  </si>
  <si>
    <t>Event at Szombathely, Hungary on Oct 29, 2000</t>
  </si>
  <si>
    <t>2000-10-28T00:00:00Z</t>
  </si>
  <si>
    <t>burned in fire in refugee centre in Hamburg (D) (Oct 28, 2000)</t>
  </si>
  <si>
    <t>Event at Hamburg on Oct 28, 2000</t>
  </si>
  <si>
    <t>2000-10-25T00:00:00Z</t>
  </si>
  <si>
    <t>kurdish stowaway, found suffocated in container of Greek ship (Oct 25, 2000). From Del Grande's data set (translated): He died suffocated a man hiding in a container on board a Greek ship (Oct 26, 2000)</t>
  </si>
  <si>
    <t>Event at Greece To Italy on Oct 25, 2000</t>
  </si>
  <si>
    <t>1 dead, 3 hospitalized in serious condition in hospital of Vieste (Foggia), were hidden in a container on a Greek ship direct to Ancona (Oct 26, 2000)</t>
  </si>
  <si>
    <t>Event at Ancona on Oct 25, 2000</t>
  </si>
  <si>
    <t>2000-10-23T00:00:00Z</t>
  </si>
  <si>
    <t>found dead on beach near Tarifa (E) trying to cross the Strait of Gibraltar (Oct 23, 2000). From Del Grande's data set (translated): Found the bodies of two migrants drowned, and Almeria to Tarifa (Oct 25, 2000)</t>
  </si>
  <si>
    <t>Event at Tarifa on Oct 23, 2000</t>
  </si>
  <si>
    <t>http://www.elpais.com/articulo/espana/ESPAnA/Hallados/cadaveres/inmigrantes/costa/andaluza/elpepiesp/20001025elpepinac_3/Tes</t>
  </si>
  <si>
    <t>found dead on beach near Almeria (E) trying to cross the Strait of Gibraltar (Oct 23, 2000)</t>
  </si>
  <si>
    <t>Event at Almeria on Oct 23, 2000</t>
  </si>
  <si>
    <t>2000-10-21T00:00:00Z</t>
  </si>
  <si>
    <t>died in van accident near Thessalonoki (GR) (Oct 21, 2000)</t>
  </si>
  <si>
    <t>Thessalonoki, Greece</t>
  </si>
  <si>
    <t>Event at Thessalonoki, Greece on Oct 21, 2000</t>
  </si>
  <si>
    <t>2000-10-17T00:00:00Z</t>
  </si>
  <si>
    <t>kurds, found dead at edge of motorway, Foggia (I) reportedly suffocated in van (Oct 17, 2000). From Del Grande's data set (translated): Foggia: asphyxiated on the truck where they were hidden and thrown in the street, 6 dead (Oct 19, 2000)</t>
  </si>
  <si>
    <t>Event at Foggia on Oct 17, 2000</t>
  </si>
  <si>
    <t>kurd, found dead at edge of motorway near Foggia (I) reportedly suffocated in van (Oct 17, 2000)</t>
  </si>
  <si>
    <t>2000-10-12T00:00:00Z</t>
  </si>
  <si>
    <t>died in isolation cell of detention centre Steenokerzeel (B) after trying to escape (Oct 12, 2000)</t>
  </si>
  <si>
    <t>Steenokerzeel, Belgium</t>
  </si>
  <si>
    <t>Event at Steenokerzeel, Belgium on Oct 12, 2000</t>
  </si>
  <si>
    <t>MRAX/MNS/Statewatch/IRR</t>
  </si>
  <si>
    <t>2000-10-06T00:00:00Z</t>
  </si>
  <si>
    <t>reportedly drowned in river Oder (D/PL) near Gro√ü Breesen (Oct 6, 2000)</t>
  </si>
  <si>
    <t>breesen</t>
  </si>
  <si>
    <t>Event at Breesen on Oct 06, 2000</t>
  </si>
  <si>
    <t>2000-10-04T00:00:00Z</t>
  </si>
  <si>
    <t>shot by Turkish border police, trying to cross Turkish/Iranian border illegally (Oct 4, 2000)</t>
  </si>
  <si>
    <t>Event at Iran on Oct 04, 2000</t>
  </si>
  <si>
    <t>taz/DPA/AFP</t>
  </si>
  <si>
    <t>2000-10-03T00:00:00Z</t>
  </si>
  <si>
    <t>Tucked away in a truck to get to Germany, a man dies in a car accident (Oct 4, 2000)</t>
  </si>
  <si>
    <t>Czech Republic</t>
  </si>
  <si>
    <t>Event at Czech Republic on Oct 03, 2000</t>
  </si>
  <si>
    <t>Deutsche Press Agentur</t>
  </si>
  <si>
    <t>http://www.dpa.de/</t>
  </si>
  <si>
    <t>2000-10-02T00:00:00Z</t>
  </si>
  <si>
    <t>died after fire caused by rebellion in the detention centre Vulpitta in Trapani (I) (Oct 2, 2000)</t>
  </si>
  <si>
    <t>Event at Trapani on Oct 02, 2000</t>
  </si>
  <si>
    <t>MP/ARCI/L.B.CPT/GdV/quibla/INDi</t>
  </si>
  <si>
    <t>2000-01-29T00:00:00Z</t>
  </si>
  <si>
    <t>2000 -- 1</t>
  </si>
  <si>
    <t>suicide, jumped out of 8th floor window in Frankfurt a. M. (D) in fear of deportation (Jan 29, 2000)</t>
  </si>
  <si>
    <t>Event at Frankfurt on Jan 29, 2000</t>
  </si>
  <si>
    <t>2000-01-24T00:00:00Z</t>
  </si>
  <si>
    <t>hanged himself in refugee home in Singen (D) because of disgraceful treatment/lodging (Jan 24, 2000)</t>
  </si>
  <si>
    <t>Singen, germany</t>
  </si>
  <si>
    <t>Event at Singen, Germany on Jan 24, 2000</t>
  </si>
  <si>
    <t>2000-01-23T00:00:00Z</t>
  </si>
  <si>
    <t>suicide, hanged himself in Harmondsworth detention centre (GB) in fear of deportation (Jan 23, 2000)</t>
  </si>
  <si>
    <t>Event at Harmondsworth on Jan 23, 2000</t>
  </si>
  <si>
    <t>2000-01-17T00:00:00Z</t>
  </si>
  <si>
    <t>suicide through intoxication in JVA Landshut (D) (Jan 17, 2000)</t>
  </si>
  <si>
    <t>Landshut, germany</t>
  </si>
  <si>
    <t>Event at Landshut, Germany on Jan 17, 2000</t>
  </si>
  <si>
    <t>IMEDANA</t>
  </si>
  <si>
    <t>2000-01-13T00:00:00Z</t>
  </si>
  <si>
    <t>froze to death in the Belles mountains (BG/GR) trying to enter Greece (Jan 13, 2000). From Del Grande's data set (translated): 20 young women crossing the border on foot along the Bulgarian mountain Belles, but can not find who had to wait for them, in three days of waiting froze to death two women (Jan 17, 2000)</t>
  </si>
  <si>
    <t>Event at Bulgaria on Jan 13, 2000</t>
  </si>
  <si>
    <t>2000-01-12T00:00:00Z</t>
  </si>
  <si>
    <t>drowned, tried to escape repatriation by jumping from the ferry 'Vega' in Brindisi (I) (Jan 12, 2000). From Del Grande's data set (translated): Man drowns in an attempt to escape during the expulsion, jumping from the ship "Vega" in Brindisi (Jan 13, 2000)</t>
  </si>
  <si>
    <t>Event at Vega on Jan 12, 2000</t>
  </si>
  <si>
    <t>died after fire caused by rebellion in detention centre Seraino Vulpitta di Trappani (I) (Jan 12, 2000)</t>
  </si>
  <si>
    <t>Event at Trappani on Jan 12, 2000</t>
  </si>
  <si>
    <t>tried to escape deportation by jumping from merchant ship 'Jolly Rubino' in Genova (I) (Jan 12, 2000). From Del Grande's data set (translated): Man drowns in an attempt to escape during the expulsion, jumping from the merchant ship "Jolly Rubino" in Genoa (Jan 13, 2000)</t>
  </si>
  <si>
    <t>Event at Genova on Jan 12, 2000</t>
  </si>
  <si>
    <t>2000-01-11T00:00:00Z</t>
  </si>
  <si>
    <t>drowned on his way to Spain, found near Ceuta (E/MA) (Jan 11, 2000)</t>
  </si>
  <si>
    <t>Event at Ceuta on Jan 11, 2000</t>
  </si>
  <si>
    <t>drowned, bodies found near Ceuta (E/MA) (Jan 11, 2000)</t>
  </si>
  <si>
    <t>VSF</t>
  </si>
  <si>
    <t>died of exhaustion in desert crossing the Russian-Kazakh border on way to Germany (Jan 11, 2000)</t>
  </si>
  <si>
    <t>Asia to Russia</t>
  </si>
  <si>
    <t>Event at Asia To Russia on Jan 11, 2000</t>
  </si>
  <si>
    <t>no medical care, seriously ill in border prison Amsterdam South-East (NL) (Jan 11, 2000)</t>
  </si>
  <si>
    <t>Event at Amsterdam on Jan 11, 2000</t>
  </si>
  <si>
    <t>asylum seeker, committed suicide in Stockholm (S) in desperation (Jan 11, 2000)</t>
  </si>
  <si>
    <t>Event at Stockholm on Jan 11, 2000</t>
  </si>
  <si>
    <t>N√§tverket mot rasism</t>
  </si>
  <si>
    <t>stowaway, died by asphyxiation trying to enter Sweden illegally in boot of car (Jan 11, 2000)</t>
  </si>
  <si>
    <t>Event at Sweden on Jan 11, 2000</t>
  </si>
  <si>
    <t>2000-01-10T00:00:00Z</t>
  </si>
  <si>
    <t>drowned while trying to cross the Strait of Gibraltar, body found near Tarifa (E)  (Jan 10, 2000)</t>
  </si>
  <si>
    <t>Event at Tarifa on Jan 10, 2000</t>
  </si>
  <si>
    <t>drowned attempting to swim 23 km to Patelleria (I) after their small boat capsized (Jan 10, 2000)</t>
  </si>
  <si>
    <t>Patelleria, italy</t>
  </si>
  <si>
    <t>Event at Patelleria, Italy on Jan 10, 2000</t>
  </si>
  <si>
    <t>fatally injured by border guard in Messopotamia area of Kastoria (GR-AL border) (Jan 10, 2000)</t>
  </si>
  <si>
    <t>Event at Kastoria on Jan 10, 2000</t>
  </si>
  <si>
    <t>GHM/OMCT</t>
  </si>
  <si>
    <t>leader of a group of refugees in border town Florina shot dead by Greek police (Jan 10, 2000)</t>
  </si>
  <si>
    <t>florina</t>
  </si>
  <si>
    <t>Event at Florina on Jan 10, 2000</t>
  </si>
  <si>
    <t>died after car accident, trying to escape border guards near Reitzenhain (CZ-D) (Jan 10, 2000)</t>
  </si>
  <si>
    <t>Reitzenhain, germany</t>
  </si>
  <si>
    <t>Event at Reitzenhain, Germany on Jan 10, 2000</t>
  </si>
  <si>
    <t>2000-01-08T00:00:00Z</t>
  </si>
  <si>
    <t>killed in minefield on Greek-Turkish border trying to cross illegally (Jan 8, 2000). From Del Grande's data set (translated): An explosion in a minefield along the border turkish near Kipoi ago 1 dead. Death on the mines of the north-eastern border 7 people in 1999 (Aug 29, 2000)</t>
  </si>
  <si>
    <t>Event at Kipoi on Jan 08, 2000</t>
  </si>
  <si>
    <t>2000-01-07T00:00:00Z</t>
  </si>
  <si>
    <t>found dead, reportedly drowned while trying to reach Spain (Jan 7, 2000)</t>
  </si>
  <si>
    <t>Event at Marocco To Spain on Jan 07, 2000</t>
  </si>
  <si>
    <t>drowned when Turkish boat with 31 immigrants capsized in the Aegean Sea  (Jan 7, 2000)</t>
  </si>
  <si>
    <t>Event at Aegean on Jan 07, 2000</t>
  </si>
  <si>
    <t>ICARE</t>
  </si>
  <si>
    <t>2000-01-06T00:00:00Z</t>
  </si>
  <si>
    <t>found dead in Fuerteventura (E), reportedlydrowned trying to reach the Canary Isl. (Jan 6, 2000)</t>
  </si>
  <si>
    <t>Event at Fuerteventura on Jan 06, 2000</t>
  </si>
  <si>
    <t>found dead near Tarifa (E), reportedly drowned trying to reach Spain (Jan 6, 2000)</t>
  </si>
  <si>
    <t>Event at Tarifa on Jan 06, 2000</t>
  </si>
  <si>
    <t>Flips a truck they were traveling hidden 80 people, Komotini near the border with Turkey, 6 dead and 30 injured (Jan 7, 2000)</t>
  </si>
  <si>
    <t>komotini</t>
  </si>
  <si>
    <t>Event at Komotini on Jan 06, 2000</t>
  </si>
  <si>
    <t>2000-01-05T00:00:00Z</t>
  </si>
  <si>
    <t>stowaways found dead on Maltese freighter, reportedly suffocated or poisoned (Jan 5, 2000)</t>
  </si>
  <si>
    <t>Event at Africa To Spain on Jan 05, 2000</t>
  </si>
  <si>
    <t>Found in Tarifa the bodies of 8 young people drowned in a shipwreck (Jan 6, 2000)</t>
  </si>
  <si>
    <t>Event at Tarifa on Jan 05, 2000</t>
  </si>
  <si>
    <t>http://www.elpais.com/articulo/espana/ESPAnA/Recuperado/cadaver/magrebi/ahogado/aguas/Tarifa/elpepiesp/20000106elpepinac_23/Tes</t>
  </si>
  <si>
    <t>Landing in Lecce, who died a young man who had slammed his head violently against the hull during the trip (Jan 6, 2000)</t>
  </si>
  <si>
    <t>Event at Lecce on Jan 05, 2000</t>
  </si>
  <si>
    <t>2000-01-04T00:00:00Z</t>
  </si>
  <si>
    <t>semi-decomposed body, found on coast of Ceuta (E/MA) (Jan 4, 2000)</t>
  </si>
  <si>
    <t>Event at Ceuta on Jan 04, 2000</t>
  </si>
  <si>
    <t>drowned after boat carrying 20 immigrants sank near Tarifa (E), others missing (Jan 4, 2000). From Del Grande's data set (translated): Found the bodies of two men drowned after being marooned in the sea along the coast of Tarifa by the owner of the boat who had boarded in Morocco (Jan 5, 2000)</t>
  </si>
  <si>
    <t>Event at Tarifa on Jan 04, 2000</t>
  </si>
  <si>
    <t>http://www.elpais.com/articulo/espana/ESPAnA/Hallados/costa/Tarifa/cadaveres/inmigrantes/ahogados/elpepiesp/20000105elpepinac_11/Tes</t>
  </si>
  <si>
    <t>found dead in Cadiz (E) reportedly hit by van in which he travelled to Spain (Jan 4, 2000)</t>
  </si>
  <si>
    <t>Event at Cadiz on Jan 04, 2000</t>
  </si>
  <si>
    <t>drowned in river Sava (HR/BH) trying to travel illegally to Western Europe (Jan 4, 2000). From Del Grande's data set (translated): 12 men drowned trying to cross the Sava River to cross the border with Croatia (Aug 29, 2000)</t>
  </si>
  <si>
    <t>Event at Sava on Jan 04, 2000</t>
  </si>
  <si>
    <t>died in minefield in Nea Vissa region (GR) near Turkish border (Jan 4, 2000)</t>
  </si>
  <si>
    <t>Event at Vissa on Jan 04, 2000</t>
  </si>
  <si>
    <t>2000-01-03T00:00:00Z</t>
  </si>
  <si>
    <t>found dead near Ceuta (E/MA), reportedly drowned while trying to reach Spain (Jan 3, 2000)</t>
  </si>
  <si>
    <t>Event at Ceuta on Jan 03, 2000</t>
  </si>
  <si>
    <t>missing, reportedly drowned trying to cross the Strait of Gibraltar in small boat (Jan 3, 2000)</t>
  </si>
  <si>
    <t>Event at Gibraltar on Jan 03, 2000</t>
  </si>
  <si>
    <t>drowned while trying to cross the strait of Gibraltar in a small boat (Jan 3, 2000)</t>
  </si>
  <si>
    <t>Landing in Vieste (Foggia), 1 young man bangs his head on the way down from the hull and dies (Jan 4, 2000)</t>
  </si>
  <si>
    <t>Event at Foggia on Jan 03, 2000</t>
  </si>
  <si>
    <t>suicide in Liverpool (GB), after her asylum claim was rejected, mother of 3 children (Jan 3, 2000)</t>
  </si>
  <si>
    <t>Event at Liverpool on Jan 03, 2000</t>
  </si>
  <si>
    <t>IRR/CARF/NCADC</t>
  </si>
  <si>
    <t>2000-01-02T00:00:00Z</t>
  </si>
  <si>
    <t>downed, bodies found in Strait of Otranto (I), reportedly trying to cross illegaly (Jan 2, 2000)</t>
  </si>
  <si>
    <t>Event at Otranto on Jan 02, 2000</t>
  </si>
  <si>
    <t>homeless migrant, died in fire in empty carriage he slept in at Napels (I) train station (Jan 2, 2000)</t>
  </si>
  <si>
    <t>Event at Napels on Jan 02, 2000</t>
  </si>
  <si>
    <t>died in fire in factory (undocumented workers' home) in Legnano (I) (Jan 2, 2000)</t>
  </si>
  <si>
    <t>legnano</t>
  </si>
  <si>
    <t>Event at Legnano on Jan 02, 2000</t>
  </si>
  <si>
    <t>Kurd, suicide in Weil im Sch√∂nbuch (D) for fear of deportation (Jan 2, 2000)</t>
  </si>
  <si>
    <t>sch√∂nbuch</t>
  </si>
  <si>
    <t>Event at Sch√∂Nbuch on Jan 02, 2000</t>
  </si>
  <si>
    <t>Kurd, suicide in Kirchheim/Teck (D) for fear of deportation (Jan 2, 2000)</t>
  </si>
  <si>
    <t>Event at Kirchheim on Jan 02, 2000</t>
  </si>
  <si>
    <t>murdered in GB after being placed in a prison cell with a known violent racist (Jan 2, 2000)</t>
  </si>
  <si>
    <t>great britain</t>
  </si>
  <si>
    <t>Event at Great Britain on Jan 02, 2000</t>
  </si>
  <si>
    <t>IRR/BBC/Mojuk/GuardianUn/zahidmubarekinquiry/Statewatch/Inquest</t>
  </si>
  <si>
    <t>2000-01-01T00:00:00Z</t>
  </si>
  <si>
    <t>missing, reportedly drowned after small boat capsized near El Ayun (MA)  (Jan 1, 2000)</t>
  </si>
  <si>
    <t>Event at Ayun on Jan 01, 2000</t>
  </si>
  <si>
    <t>sans-papier', died of acute asthma being afraid of going to doctor in Corsica (F) (Jan 1, 2000)</t>
  </si>
  <si>
    <t>corsica</t>
  </si>
  <si>
    <t>Event at Corsica on Jan 01, 2000</t>
  </si>
  <si>
    <t>No Pasaran</t>
  </si>
  <si>
    <t>Egyptian police force allegedly shot a migrant and seriously injured another while in custody after being caught on the beach.</t>
  </si>
  <si>
    <t>Alexandria, Egypt</t>
  </si>
  <si>
    <t>Migrant shot in Egypt in 2014</t>
  </si>
  <si>
    <t>Middle East Eye</t>
  </si>
  <si>
    <t>35 Sikhs from Afghanistan, including 13 children and one dead man, were found hiding -and trapped- in a shipping container arriving at Tilbury's seaport from Zeebrugge.</t>
  </si>
  <si>
    <t>One man died in a container</t>
  </si>
  <si>
    <t>http://www.bbc.com/news/uk-28827133</t>
  </si>
  <si>
    <t xml:space="preserve">, </t>
  </si>
  <si>
    <t>17.9, 0.7</t>
  </si>
  <si>
    <t>21.1, 22.5</t>
  </si>
  <si>
    <t>26.33, 17.22</t>
  </si>
  <si>
    <t>26.7, -15</t>
  </si>
  <si>
    <t>27.82, -14.04</t>
  </si>
  <si>
    <t>30, 34</t>
  </si>
  <si>
    <t>31, 27</t>
  </si>
  <si>
    <t>31, 27.09</t>
  </si>
  <si>
    <t>31, 27.1</t>
  </si>
  <si>
    <t>31.1, 27</t>
  </si>
  <si>
    <t>31.1, 27.1</t>
  </si>
  <si>
    <t>31.26, 34.19</t>
  </si>
  <si>
    <t>31.540432, 30.861969</t>
  </si>
  <si>
    <t>31.61, 30.77</t>
  </si>
  <si>
    <t>31.797583, 14.053676</t>
  </si>
  <si>
    <t>32.07, 31.05</t>
  </si>
  <si>
    <t>32.189, 4.3962</t>
  </si>
  <si>
    <t>32.55, 14.668</t>
  </si>
  <si>
    <t>32.6, 15.4</t>
  </si>
  <si>
    <t>32.6853649, 25.9012421</t>
  </si>
  <si>
    <t>32.7610953, 12.6998942</t>
  </si>
  <si>
    <t>32.8, 12.61</t>
  </si>
  <si>
    <t>32.81, 12.45</t>
  </si>
  <si>
    <t>32.8304, 11.616</t>
  </si>
  <si>
    <t>32.8708471, 12.0631696</t>
  </si>
  <si>
    <t>32.88, 13.7</t>
  </si>
  <si>
    <t>32.90608, 12.443467</t>
  </si>
  <si>
    <t>32.952, 12.907</t>
  </si>
  <si>
    <t>32.97, 24.53</t>
  </si>
  <si>
    <t>33, 12.2</t>
  </si>
  <si>
    <t>33.1, 12.6</t>
  </si>
  <si>
    <t>33.1328706, 12.2549685</t>
  </si>
  <si>
    <t>33.2286864, 12.033724</t>
  </si>
  <si>
    <t>33.29, 14.93</t>
  </si>
  <si>
    <t>33.31, 13.71</t>
  </si>
  <si>
    <t>33.3572511, 11.3470785</t>
  </si>
  <si>
    <t>33.4625958, 13.1328688</t>
  </si>
  <si>
    <t>33.52, 12.69</t>
  </si>
  <si>
    <t>33.5259117, 8.0491191</t>
  </si>
  <si>
    <t>33.5784085, 11.9031222</t>
  </si>
  <si>
    <t>34.0593093, 12.3110937</t>
  </si>
  <si>
    <t>34.4, 14.1</t>
  </si>
  <si>
    <t>34.4, 14.11</t>
  </si>
  <si>
    <t>35, 14</t>
  </si>
  <si>
    <t>35, 17</t>
  </si>
  <si>
    <t>35,1, 17,1</t>
  </si>
  <si>
    <t>35.28, -2.93</t>
  </si>
  <si>
    <t>35.3626838, 15.9465353</t>
  </si>
  <si>
    <t>35.45, 12.39</t>
  </si>
  <si>
    <t>35.4811424, 12.5794085</t>
  </si>
  <si>
    <t>35.5, 11.98</t>
  </si>
  <si>
    <t>35.8, 36.4</t>
  </si>
  <si>
    <t>35.8150919, 36.3123961</t>
  </si>
  <si>
    <t>35.843, -5.397</t>
  </si>
  <si>
    <t>35.89473, -5.32132</t>
  </si>
  <si>
    <t>35.9, -5.3</t>
  </si>
  <si>
    <t>35.9, -5.31</t>
  </si>
  <si>
    <t>35.9, -5.5</t>
  </si>
  <si>
    <t>35.9157, -5.40833</t>
  </si>
  <si>
    <t>35.9395293, 10.8791731</t>
  </si>
  <si>
    <t>36.05, 27.99</t>
  </si>
  <si>
    <t>36.09, 26.57</t>
  </si>
  <si>
    <t>36.1, -2.7</t>
  </si>
  <si>
    <t>36.14, 29.62</t>
  </si>
  <si>
    <t>36.15, 29.51</t>
  </si>
  <si>
    <t>36.155, 29.584</t>
  </si>
  <si>
    <t>36.1553629, 29.4271815</t>
  </si>
  <si>
    <t>36.1914269, 36.7084276</t>
  </si>
  <si>
    <t>36.3, 18.9</t>
  </si>
  <si>
    <t>36.5, 26.5</t>
  </si>
  <si>
    <t>36.5174058, -6.4323074</t>
  </si>
  <si>
    <t>36.55, 28.22</t>
  </si>
  <si>
    <t>36.59, 27.89</t>
  </si>
  <si>
    <t>36.64, 14.85</t>
  </si>
  <si>
    <t>36.65, 37.04</t>
  </si>
  <si>
    <t>36.67, 37.15</t>
  </si>
  <si>
    <t>36.7, 37</t>
  </si>
  <si>
    <t>36.74585, -2.65693</t>
  </si>
  <si>
    <t>36.8, 26.7</t>
  </si>
  <si>
    <t>36.8, 27.2</t>
  </si>
  <si>
    <t>36.85, 36.83</t>
  </si>
  <si>
    <t>36.89, 27.182</t>
  </si>
  <si>
    <t>36.9, 26.9</t>
  </si>
  <si>
    <t>36.9, 27.9</t>
  </si>
  <si>
    <t>36.99, 35.26</t>
  </si>
  <si>
    <t>37, 16</t>
  </si>
  <si>
    <t>37, 16.4</t>
  </si>
  <si>
    <t>37, 27</t>
  </si>
  <si>
    <t>37.01, 27.12</t>
  </si>
  <si>
    <t>37.0211, 27.151</t>
  </si>
  <si>
    <t>37.0502, 27.223749</t>
  </si>
  <si>
    <t>37.1, 27</t>
  </si>
  <si>
    <t>37.1, 27.2</t>
  </si>
  <si>
    <t>37.16, 26.97</t>
  </si>
  <si>
    <t>37.2, 26.8</t>
  </si>
  <si>
    <t>37.2, 27</t>
  </si>
  <si>
    <t>37.2768876, 10.8044894</t>
  </si>
  <si>
    <t>37.29, 27.16</t>
  </si>
  <si>
    <t>37.2912498, 13.2358149</t>
  </si>
  <si>
    <t>37.29721, 27.135624</t>
  </si>
  <si>
    <t>37.299, 27.167</t>
  </si>
  <si>
    <t>37.3, 13.4</t>
  </si>
  <si>
    <t>37.3, 26.58</t>
  </si>
  <si>
    <t>37.3, 27.2</t>
  </si>
  <si>
    <t>37.46, 15.09</t>
  </si>
  <si>
    <t>37.465, 26.967</t>
  </si>
  <si>
    <t>37.4653524, 26.9676859</t>
  </si>
  <si>
    <t>37.4798643, 2.4963183</t>
  </si>
  <si>
    <t>37.5, 11.9</t>
  </si>
  <si>
    <t>37.6, 25.2</t>
  </si>
  <si>
    <t>37.6, 26.3</t>
  </si>
  <si>
    <t>37.68, 26.94</t>
  </si>
  <si>
    <t>37.7, 17.2</t>
  </si>
  <si>
    <t>37.7, 26.8</t>
  </si>
  <si>
    <t>37.7, 26.9</t>
  </si>
  <si>
    <t>37.7, 27.01</t>
  </si>
  <si>
    <t>37.71, 26.8</t>
  </si>
  <si>
    <t>37.711, 26.8</t>
  </si>
  <si>
    <t>37.713446, 26.7753292</t>
  </si>
  <si>
    <t>37.75, 26.96</t>
  </si>
  <si>
    <t>37.75, 26.97</t>
  </si>
  <si>
    <t>37.8, 12.6</t>
  </si>
  <si>
    <t>37.8136546, 23.8362307</t>
  </si>
  <si>
    <t>37.8391619, 23.4804105</t>
  </si>
  <si>
    <t>37.845, 23.76</t>
  </si>
  <si>
    <t>37.87, 27.18</t>
  </si>
  <si>
    <t>37.882, 24.013</t>
  </si>
  <si>
    <t>38.086, 23.98</t>
  </si>
  <si>
    <t>38.1, 26.8</t>
  </si>
  <si>
    <t>38.11, 26.19</t>
  </si>
  <si>
    <t>38.25, 27.73</t>
  </si>
  <si>
    <t>38.3, 26.1</t>
  </si>
  <si>
    <t>38.3, 26.2</t>
  </si>
  <si>
    <t>38.3204079, 26.2969054</t>
  </si>
  <si>
    <t>38.3760672, 25.7167902</t>
  </si>
  <si>
    <t>38.41, 27.08</t>
  </si>
  <si>
    <t>38.63, 26.72</t>
  </si>
  <si>
    <t>38.8, 26.4</t>
  </si>
  <si>
    <t>38.9633049, 20.7539809</t>
  </si>
  <si>
    <t>39, 26.191</t>
  </si>
  <si>
    <t>39, 26.19101</t>
  </si>
  <si>
    <t>39, 26.1911</t>
  </si>
  <si>
    <t>39, 26.2</t>
  </si>
  <si>
    <t>39, 26.21</t>
  </si>
  <si>
    <t>39.027, 16.699</t>
  </si>
  <si>
    <t>39.09, 26.53</t>
  </si>
  <si>
    <t>39.1, 26.19</t>
  </si>
  <si>
    <t>39.1, 26.191</t>
  </si>
  <si>
    <t>39.1, 26.2</t>
  </si>
  <si>
    <t>39.1, 26.21</t>
  </si>
  <si>
    <t>39.11, 26.191</t>
  </si>
  <si>
    <t>39.2, 26.8</t>
  </si>
  <si>
    <t>39.2200767, 9.0264574</t>
  </si>
  <si>
    <t>39.3, 26.4</t>
  </si>
  <si>
    <t>39.366, 26.67</t>
  </si>
  <si>
    <t>39.4, 26.1</t>
  </si>
  <si>
    <t>39.44, 26.39</t>
  </si>
  <si>
    <t>39.5, 26.4</t>
  </si>
  <si>
    <t>39.5, 26.9</t>
  </si>
  <si>
    <t>39.6, 26.5</t>
  </si>
  <si>
    <t>40, 26.4</t>
  </si>
  <si>
    <t>40, 30</t>
  </si>
  <si>
    <t>40.08, 8.98</t>
  </si>
  <si>
    <t>40.1, 26.4</t>
  </si>
  <si>
    <t>40.2712228, 22.4930176</t>
  </si>
  <si>
    <t>40.7014, 26.02</t>
  </si>
  <si>
    <t>40.85, 25.85</t>
  </si>
  <si>
    <t>41, 22.4</t>
  </si>
  <si>
    <t>41.07824, 1.13346</t>
  </si>
  <si>
    <t>41.1, 16.9</t>
  </si>
  <si>
    <t>41.1223, 22.4402</t>
  </si>
  <si>
    <t>41.122493, 22.510477</t>
  </si>
  <si>
    <t>41.5, 26.53</t>
  </si>
  <si>
    <t>41.9, 27.5</t>
  </si>
  <si>
    <t>41.97, 27.51</t>
  </si>
  <si>
    <t>42.24, 21.7</t>
  </si>
  <si>
    <t>42.3453, 27.1638</t>
  </si>
  <si>
    <t>42.42, 22.49</t>
  </si>
  <si>
    <t>42.683, 44.3347</t>
  </si>
  <si>
    <t>43.2, 44.6</t>
  </si>
  <si>
    <t>43.56, 13.57</t>
  </si>
  <si>
    <t>45.1, 5.3</t>
  </si>
  <si>
    <t>45.257, 19.1235</t>
  </si>
  <si>
    <t>46.1174981, 19.5601164</t>
  </si>
  <si>
    <t>46.1675227, 20.0005179,14</t>
  </si>
  <si>
    <t>46.1861871, 20.031235199</t>
  </si>
  <si>
    <t>46.232789, 20.1404686</t>
  </si>
  <si>
    <t>47.5054954, 18.5903625</t>
  </si>
  <si>
    <t>48, 11.6</t>
  </si>
  <si>
    <t>48, 16.8</t>
  </si>
  <si>
    <t>48.4, 2.22</t>
  </si>
  <si>
    <t>49.3511, 8.1968</t>
  </si>
  <si>
    <t>49.634, -1.668</t>
  </si>
  <si>
    <t>50.0351, 8.5735</t>
  </si>
  <si>
    <t>50.6392547, 11.3581621</t>
  </si>
  <si>
    <t>50.736744, 2.243632</t>
  </si>
  <si>
    <t>50.9010024, 4.4833857</t>
  </si>
  <si>
    <t>50.92, 1.78</t>
  </si>
  <si>
    <t>50.92, 1.82</t>
  </si>
  <si>
    <t>50.9279, 1.7875</t>
  </si>
  <si>
    <t>50.95, 1.86</t>
  </si>
  <si>
    <t>50.951, 1.86</t>
  </si>
  <si>
    <t>50.951, 1.861</t>
  </si>
  <si>
    <t>50.9544, 1.8628</t>
  </si>
  <si>
    <t>51.00283, 2.1078</t>
  </si>
  <si>
    <t>51.0157, 2.2589</t>
  </si>
  <si>
    <t>51.761, -1.246</t>
  </si>
  <si>
    <t>51.971453, 7.6240971</t>
  </si>
  <si>
    <t>52.1, 4.7</t>
  </si>
  <si>
    <t>52.5072, 13.144</t>
  </si>
  <si>
    <t>52.8128, -1.70278</t>
  </si>
  <si>
    <t>59.2549613, 18.0629447</t>
  </si>
  <si>
    <t>61.21, 17.12</t>
  </si>
  <si>
    <t>62.635, 8.1646</t>
  </si>
  <si>
    <t>66.9, 29.02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</si>
</sst>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quot;-&quot;mm&quot;-&quot;dd&quot;T00:00:00Z&quot;"/>
  </numFmts>
  <fonts count="18">
    <font>
      <sz val="10.0"/>
      <color rgb="FF000000"/>
      <name val="Arial"/>
    </font>
    <font>
      <b/>
      <sz val="18.0"/>
    </font>
    <font/>
    <font>
      <b/>
    </font>
    <font>
      <sz val="10.0"/>
      <name val="Arial"/>
    </font>
    <font>
      <color rgb="FF000000"/>
    </font>
    <font>
      <name val="Arial"/>
    </font>
    <font>
      <color rgb="FF000000"/>
      <name val="Arial"/>
    </font>
    <font>
      <sz val="10.0"/>
      <color rgb="FF333333"/>
      <name val="Arial"/>
    </font>
    <font>
      <u/>
      <color rgb="FF000000"/>
      <name val="Arial"/>
    </font>
    <font>
      <u/>
      <sz val="10.0"/>
      <color rgb="FF0000FF"/>
      <name val="Arial"/>
    </font>
    <font>
      <u/>
      <color rgb="FF0000FF"/>
    </font>
    <font>
      <sz val="10.0"/>
      <color rgb="FF000000"/>
    </font>
    <font>
      <sz val="10.0"/>
      <color rgb="FF000000"/>
      <name val="KasaBbatosb"/>
    </font>
    <font>
      <u/>
      <sz val="11.0"/>
      <color rgb="FF0000FF"/>
    </font>
    <font>
      <color rgb="FF222222"/>
    </font>
    <font>
      <sz val="9.0"/>
    </font>
    <font>
      <sz val="10.0"/>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shrinkToFit="0" wrapText="0"/>
    </xf>
    <xf borderId="0" fillId="0" fontId="4" numFmtId="0" xfId="0" applyAlignment="1" applyFont="1">
      <alignment readingOrder="0" shrinkToFit="0" wrapText="0"/>
    </xf>
    <xf borderId="0" fillId="0" fontId="4" numFmtId="164" xfId="0" applyAlignment="1" applyFont="1" applyNumberFormat="1">
      <alignment shrinkToFit="0" wrapText="0"/>
    </xf>
    <xf borderId="0" fillId="0" fontId="4" numFmtId="0" xfId="0" applyAlignment="1" applyFont="1">
      <alignment readingOrder="0" shrinkToFit="0" wrapText="1"/>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shrinkToFit="0" vertical="bottom" wrapText="0"/>
    </xf>
    <xf borderId="0" fillId="0" fontId="7" numFmtId="165" xfId="0" applyAlignment="1" applyFont="1" applyNumberFormat="1">
      <alignment horizontal="right" readingOrder="0"/>
    </xf>
    <xf borderId="0" fillId="0" fontId="7" numFmtId="0" xfId="0" applyAlignment="1" applyFont="1">
      <alignment horizontal="left" readingOrder="0"/>
    </xf>
    <xf borderId="0" fillId="0" fontId="6" numFmtId="0" xfId="0" applyAlignment="1" applyFont="1">
      <alignment horizontal="right" readingOrder="0" shrinkToFit="0" vertical="bottom" wrapText="1"/>
    </xf>
    <xf borderId="0" fillId="0" fontId="8" numFmtId="0" xfId="0" applyAlignment="1" applyFont="1">
      <alignment readingOrder="0"/>
    </xf>
    <xf borderId="0" fillId="2" fontId="7" numFmtId="0" xfId="0" applyAlignment="1" applyFill="1" applyFont="1">
      <alignment readingOrder="0"/>
    </xf>
    <xf borderId="0" fillId="2" fontId="9" numFmtId="0" xfId="0" applyAlignment="1" applyFont="1">
      <alignment readingOrder="0"/>
    </xf>
    <xf borderId="0" fillId="0" fontId="10" numFmtId="0" xfId="0" applyAlignment="1" applyFont="1">
      <alignment readingOrder="0" shrinkToFit="0" wrapText="0"/>
    </xf>
    <xf borderId="0" fillId="0" fontId="6" numFmtId="0" xfId="0" applyAlignment="1" applyFont="1">
      <alignment horizontal="right" shrinkToFit="0" vertical="bottom" wrapText="1"/>
    </xf>
    <xf borderId="0" fillId="2" fontId="7" numFmtId="0" xfId="0" applyAlignment="1" applyFont="1">
      <alignment horizontal="left" readingOrder="0"/>
    </xf>
    <xf borderId="0" fillId="0" fontId="8" numFmtId="0" xfId="0" applyAlignment="1" applyFont="1">
      <alignment readingOrder="0"/>
    </xf>
    <xf borderId="0" fillId="2" fontId="7" numFmtId="165" xfId="0" applyAlignment="1" applyFont="1" applyNumberFormat="1">
      <alignment horizontal="right" readingOrder="0"/>
    </xf>
    <xf borderId="0" fillId="0" fontId="11" numFmtId="0" xfId="0" applyAlignment="1" applyFont="1">
      <alignment readingOrder="0" shrinkToFit="0" wrapText="0"/>
    </xf>
    <xf borderId="0" fillId="0" fontId="2" numFmtId="0" xfId="0" applyAlignment="1" applyFont="1">
      <alignment readingOrder="0" shrinkToFit="0" wrapText="0"/>
    </xf>
    <xf borderId="0" fillId="0" fontId="0" numFmtId="0" xfId="0" applyAlignment="1" applyFont="1">
      <alignment readingOrder="0"/>
    </xf>
    <xf borderId="0" fillId="2" fontId="0" numFmtId="0" xfId="0" applyAlignment="1" applyFont="1">
      <alignment readingOrder="0"/>
    </xf>
    <xf borderId="0" fillId="0" fontId="0" numFmtId="0" xfId="0" applyAlignment="1" applyFont="1">
      <alignment readingOrder="0" shrinkToFit="0" wrapText="0"/>
    </xf>
    <xf borderId="0" fillId="0" fontId="4" numFmtId="165" xfId="0" applyAlignment="1" applyFont="1" applyNumberFormat="1">
      <alignment readingOrder="0" shrinkToFit="0" wrapText="0"/>
    </xf>
    <xf borderId="0" fillId="0" fontId="6" numFmtId="0" xfId="0" applyAlignment="1" applyFont="1">
      <alignment readingOrder="0" vertical="bottom"/>
    </xf>
    <xf borderId="0" fillId="0" fontId="6" numFmtId="0" xfId="0" applyAlignment="1" applyFont="1">
      <alignment vertical="bottom"/>
    </xf>
    <xf borderId="0" fillId="2" fontId="12" numFmtId="0" xfId="0" applyAlignment="1" applyFont="1">
      <alignment readingOrder="0"/>
    </xf>
    <xf borderId="0" fillId="2" fontId="13" numFmtId="0" xfId="0" applyAlignment="1" applyFont="1">
      <alignment readingOrder="0"/>
    </xf>
    <xf borderId="0" fillId="0" fontId="4" numFmtId="165" xfId="0" applyAlignment="1" applyFont="1" applyNumberFormat="1">
      <alignment readingOrder="0" shrinkToFit="0" wrapText="0"/>
    </xf>
    <xf borderId="0" fillId="2" fontId="14" numFmtId="0" xfId="0" applyAlignment="1" applyFont="1">
      <alignment readingOrder="0"/>
    </xf>
    <xf borderId="0" fillId="0" fontId="4" numFmtId="164" xfId="0" applyAlignment="1" applyFont="1" applyNumberFormat="1">
      <alignment readingOrder="0" shrinkToFit="0" wrapText="0"/>
    </xf>
    <xf borderId="0" fillId="0" fontId="6" numFmtId="0" xfId="0" applyAlignment="1" applyFont="1">
      <alignment shrinkToFit="0" vertical="bottom" wrapText="0"/>
    </xf>
    <xf borderId="0" fillId="0" fontId="15" numFmtId="0" xfId="0" applyAlignment="1" applyFont="1">
      <alignment readingOrder="0"/>
    </xf>
    <xf borderId="0" fillId="0" fontId="5" numFmtId="0" xfId="0" applyAlignment="1" applyFont="1">
      <alignment readingOrder="0"/>
    </xf>
    <xf borderId="0" fillId="2" fontId="16"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xf>
    <xf borderId="0" fillId="0" fontId="0" numFmtId="0" xfId="0" applyAlignment="1" applyFont="1">
      <alignment shrinkToFit="0" wrapText="0"/>
    </xf>
    <xf borderId="0" fillId="2" fontId="12" numFmtId="0" xfId="0" applyAlignment="1" applyFont="1">
      <alignment horizontal="left" readingOrder="0"/>
    </xf>
    <xf borderId="0" fillId="3" fontId="4" numFmtId="0" xfId="0" applyAlignment="1" applyFill="1" applyFont="1">
      <alignment readingOrder="0" shrinkToFit="0" wrapText="0"/>
    </xf>
    <xf borderId="0" fillId="0" fontId="5" numFmtId="0" xfId="0" applyFont="1"/>
    <xf borderId="0" fillId="0" fontId="2" numFmtId="0" xfId="0" applyFont="1"/>
    <xf borderId="1" fillId="0" fontId="3" numFmtId="0" xfId="0" applyAlignment="1" applyBorder="1" applyFont="1">
      <alignment readingOrder="0"/>
    </xf>
    <xf borderId="1" fillId="0" fontId="2" numFmtId="0" xfId="0" applyAlignment="1" applyBorder="1" applyFont="1">
      <alignment readingOrder="0"/>
    </xf>
    <xf borderId="1" fillId="0" fontId="4" numFmtId="0" xfId="0" applyAlignment="1" applyBorder="1" applyFont="1">
      <alignment shrinkToFit="0" wrapText="0"/>
    </xf>
    <xf borderId="1" fillId="0" fontId="4" numFmtId="0" xfId="0" applyAlignment="1" applyBorder="1" applyFont="1">
      <alignment readingOrder="0" shrinkToFit="0" wrapText="0"/>
    </xf>
    <xf borderId="1" fillId="2" fontId="17" numFmtId="0" xfId="0" applyAlignment="1" applyBorder="1" applyFont="1">
      <alignment readingOrder="0"/>
    </xf>
    <xf borderId="0" fillId="2" fontId="17" numFmtId="0" xfId="0" applyAlignment="1" applyFont="1">
      <alignment readingOrder="0"/>
    </xf>
    <xf borderId="0" fillId="0" fontId="5" numFmtId="0" xfId="0" applyFont="1"/>
    <xf borderId="0" fillId="0" fontId="4"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B4194" sheet="Events"/>
  </cacheSource>
  <cacheFields>
    <cacheField name="Event_id" numFmtId="0">
      <sharedItems containsString="0" containsBlank="1" containsNumber="1" containsInteger="1">
        <m/>
        <n v="81067.0"/>
        <n v="80997.0"/>
        <n v="80995.0"/>
        <n v="80309.0"/>
        <n v="80323.0"/>
        <n v="79134.0"/>
        <n v="78862.0"/>
        <n v="78860.0"/>
        <n v="78861.0"/>
        <n v="78478.0"/>
        <n v="78476.0"/>
        <n v="78306.0"/>
        <n v="78172.0"/>
        <n v="78114.0"/>
        <n v="78112.0"/>
        <n v="78096.0"/>
        <n v="77230.0"/>
        <n v="77186.0"/>
        <n v="76897.0"/>
        <n v="77628.0"/>
        <n v="76892.0"/>
        <n v="76382.0"/>
        <n v="76888.0"/>
        <n v="76304.0"/>
        <n v="76102.0"/>
        <n v="75654.0"/>
        <n v="75619.0"/>
        <n v="77409.0"/>
        <n v="70800.0"/>
        <n v="72728.0"/>
        <n v="57511.0"/>
        <n v="57360.0"/>
        <n v="57331.0"/>
        <n v="57302.0"/>
        <n v="57234.0"/>
        <n v="72730.0"/>
        <n v="72732.0"/>
        <n v="72734.0"/>
        <n v="56657.0"/>
        <n v="72736.0"/>
        <n v="56633.0"/>
        <n v="63119.0"/>
        <n v="56549.0"/>
        <n v="72738.0"/>
        <n v="56520.0"/>
        <n v="56524.0"/>
        <n v="72740.0"/>
        <n v="56597.0"/>
        <n v="56101.0"/>
        <n v="55859.0"/>
        <n v="72742.0"/>
        <n v="55669.0"/>
        <n v="55995.0"/>
        <n v="55520.0"/>
        <n v="72744.0"/>
        <n v="55439.0"/>
        <n v="55429.0"/>
        <n v="55421.0"/>
        <n v="55447.0"/>
        <n v="72746.0"/>
        <n v="55272.0"/>
        <n v="55194.0"/>
        <n v="72748.0"/>
        <n v="55002.0"/>
        <n v="55402.0"/>
        <n v="55000.0"/>
        <n v="63083.0"/>
        <n v="54845.0"/>
        <n v="72750.0"/>
        <n v="54570.0"/>
        <n v="72752.0"/>
        <n v="54563.0"/>
        <n v="54536.0"/>
        <n v="54514.0"/>
        <n v="54491.0"/>
        <n v="54501.0"/>
        <n v="54498.0"/>
        <n v="54496.0"/>
        <n v="54493.0"/>
        <n v="55164.0"/>
        <n v="72754.0"/>
        <n v="72756.0"/>
        <n v="54510.0"/>
        <n v="54511.0"/>
        <n v="72758.0"/>
        <n v="54513.0"/>
        <n v="54503.0"/>
        <n v="54505.0"/>
        <n v="54508.0"/>
        <n v="54504.0"/>
        <n v="54057.0"/>
        <n v="54054.0"/>
        <n v="72760.0"/>
        <n v="72764.0"/>
        <n v="54019.0"/>
        <n v="62892.0"/>
        <n v="53772.0"/>
        <n v="53707.0"/>
        <n v="54542.0"/>
        <n v="74815.0"/>
        <n v="74032.0"/>
        <n v="73828.0"/>
        <n v="72866.0"/>
        <n v="72766.0"/>
        <n v="72703.0"/>
        <n v="75444.0"/>
        <n v="72654.0"/>
        <n v="72657.0"/>
        <n v="72567.0"/>
        <n v="70812.0"/>
        <n v="76208.0"/>
        <n v="64794.0"/>
        <n v="72722.0"/>
        <n v="72724.0"/>
        <n v="58376.0"/>
        <n v="72726.0"/>
        <n v="51989.0"/>
        <n v="54047.0"/>
        <n v="33791.0"/>
        <n v="69744.0"/>
        <n v="33792.0"/>
        <n v="33794.0"/>
        <n v="33793.0"/>
        <n v="53703.0"/>
        <n v="53702.0"/>
        <n v="53701.0"/>
        <n v="63112.0"/>
        <n v="33795.0"/>
        <n v="33796.0"/>
        <n v="53700.0"/>
        <n v="33797.0"/>
        <n v="53697.0"/>
        <n v="53698.0"/>
        <n v="53699.0"/>
        <n v="33798.0"/>
        <n v="33799.0"/>
        <n v="69694.0"/>
        <n v="33800.0"/>
        <n v="33802.0"/>
        <n v="33801.0"/>
        <n v="69733.0"/>
        <n v="33803.0"/>
        <n v="54509.0"/>
        <n v="53696.0"/>
        <n v="53769.0"/>
        <n v="33804.0"/>
        <n v="54053.0"/>
        <n v="33806.0"/>
        <n v="33805.0"/>
        <n v="69705.0"/>
        <n v="53695.0"/>
        <n v="33807.0"/>
        <n v="33808.0"/>
        <n v="69757.0"/>
        <n v="53706.0"/>
        <n v="53704.0"/>
        <n v="53705.0"/>
        <n v="72762.0"/>
        <n v="33789.0"/>
        <n v="33790.0"/>
        <n v="69715.0"/>
        <n v="33809.0"/>
        <n v="53690.0"/>
        <n v="33810.0"/>
        <n v="54052.0"/>
        <n v="54051.0"/>
        <n v="33830.0"/>
        <n v="33831.0"/>
        <n v="33832.0"/>
        <n v="33833.0"/>
        <n v="33834.0"/>
        <n v="33835.0"/>
        <n v="33836.0"/>
        <n v="33837.0"/>
        <n v="33838.0"/>
        <n v="33876.0"/>
        <n v="33839.0"/>
        <n v="33840.0"/>
        <n v="33841.0"/>
        <n v="33842.0"/>
        <n v="33843.0"/>
        <n v="33844.0"/>
        <n v="33847.0"/>
        <n v="33845.0"/>
        <n v="33846.0"/>
        <n v="33849.0"/>
        <n v="33848.0"/>
        <n v="33850.0"/>
        <n v="33851.0"/>
        <n v="33852.0"/>
        <n v="33853.0"/>
        <n v="77194.0"/>
        <n v="33854.0"/>
        <n v="33855.0"/>
        <n v="33856.0"/>
        <n v="33857.0"/>
        <n v="33858.0"/>
        <n v="33859.0"/>
        <n v="33862.0"/>
        <n v="33861.0"/>
        <n v="33860.0"/>
        <n v="33863.0"/>
        <n v="33864.0"/>
        <n v="33865.0"/>
        <n v="33866.0"/>
        <n v="33868.0"/>
        <n v="33867.0"/>
        <n v="33869.0"/>
        <n v="33870.0"/>
        <n v="33871.0"/>
        <n v="33872.0"/>
        <n v="33873.0"/>
        <n v="33874.0"/>
        <n v="33875.0"/>
        <n v="33877.0"/>
        <n v="33878.0"/>
        <n v="33879.0"/>
        <n v="33880.0"/>
        <n v="33881.0"/>
        <n v="33882.0"/>
        <n v="33883.0"/>
        <n v="33884.0"/>
        <n v="33885.0"/>
        <n v="33888.0"/>
        <n v="33887.0"/>
        <n v="33886.0"/>
        <n v="33889.0"/>
        <n v="33891.0"/>
        <n v="33890.0"/>
        <n v="33811.0"/>
        <n v="33812.0"/>
        <n v="33813.0"/>
        <n v="33814.0"/>
        <n v="33815.0"/>
        <n v="33816.0"/>
        <n v="62883.0"/>
        <n v="33817.0"/>
        <n v="54050.0"/>
        <n v="54049.0"/>
        <n v="33819.0"/>
        <n v="33818.0"/>
        <n v="33820.0"/>
        <n v="33821.0"/>
        <n v="33822.0"/>
        <n v="33823.0"/>
        <n v="69726.0"/>
        <n v="33824.0"/>
        <n v="33825.0"/>
        <n v="33826.0"/>
        <n v="33827.0"/>
        <n v="33828.0"/>
        <n v="33829.0"/>
        <n v="33892.0"/>
        <n v="33893.0"/>
        <n v="33895.0"/>
        <n v="33894.0"/>
        <n v="33896.0"/>
        <n v="33897.0"/>
        <n v="33898.0"/>
        <n v="33899.0"/>
        <n v="33900.0"/>
        <n v="33903.0"/>
        <n v="33902.0"/>
        <n v="33901.0"/>
        <n v="33905.0"/>
        <n v="33904.0"/>
        <n v="33906.0"/>
        <n v="33908.0"/>
        <n v="33909.0"/>
        <n v="33907.0"/>
        <n v="33910.0"/>
        <n v="33947.0"/>
        <n v="33946.0"/>
        <n v="33948.0"/>
        <n v="33949.0"/>
        <n v="33950.0"/>
        <n v="33951.0"/>
        <n v="33952.0"/>
        <n v="33953.0"/>
        <n v="33954.0"/>
        <n v="33955.0"/>
        <n v="33956.0"/>
        <n v="33957.0"/>
        <n v="33958.0"/>
        <n v="33959.0"/>
        <n v="33960.0"/>
        <n v="33961.0"/>
        <n v="33962.0"/>
        <n v="33963.0"/>
        <n v="33965.0"/>
        <n v="33966.0"/>
        <n v="33967.0"/>
        <n v="33968.0"/>
        <n v="33969.0"/>
        <n v="33970.0"/>
        <n v="33971.0"/>
        <n v="33972.0"/>
        <n v="33973.0"/>
        <n v="33974.0"/>
        <n v="33976.0"/>
        <n v="33977.0"/>
        <n v="33975.0"/>
        <n v="33978.0"/>
        <n v="33982.0"/>
        <n v="33981.0"/>
        <n v="33979.0"/>
        <n v="33980.0"/>
        <n v="33983.0"/>
        <n v="33985.0"/>
        <n v="33986.0"/>
        <n v="33984.0"/>
        <n v="33987.0"/>
        <n v="33988.0"/>
        <n v="33989.0"/>
        <n v="33990.0"/>
        <n v="33991.0"/>
        <n v="33992.0"/>
        <n v="33993.0"/>
        <n v="33994.0"/>
        <n v="33995.0"/>
        <n v="33997.0"/>
        <n v="33996.0"/>
        <n v="33998.0"/>
        <n v="33964.0"/>
        <n v="34000.0"/>
        <n v="33999.0"/>
        <n v="34001.0"/>
        <n v="54037.0"/>
        <n v="34003.0"/>
        <n v="34004.0"/>
        <n v="34002.0"/>
        <n v="34005.0"/>
        <n v="34006.0"/>
        <n v="34007.0"/>
        <n v="34008.0"/>
        <n v="53708.0"/>
        <n v="34009.0"/>
        <n v="34010.0"/>
        <n v="34011.0"/>
        <n v="34012.0"/>
        <n v="34013.0"/>
        <n v="34015.0"/>
        <n v="34014.0"/>
        <n v="34016.0"/>
        <n v="34017.0"/>
        <n v="34018.0"/>
        <n v="34019.0"/>
        <n v="34020.0"/>
        <n v="34022.0"/>
        <n v="34021.0"/>
        <n v="34024.0"/>
        <n v="34023.0"/>
        <n v="34025.0"/>
        <n v="34026.0"/>
        <n v="34027.0"/>
        <n v="34028.0"/>
        <n v="34029.0"/>
        <n v="34030.0"/>
        <n v="34031.0"/>
        <n v="34033.0"/>
        <n v="34032.0"/>
        <n v="34034.0"/>
        <n v="34035.0"/>
        <n v="34036.0"/>
        <n v="34037.0"/>
        <n v="54048.0"/>
        <n v="34038.0"/>
        <n v="34039.0"/>
        <n v="34040.0"/>
        <n v="34041.0"/>
        <n v="34042.0"/>
        <n v="34043.0"/>
        <n v="34044.0"/>
        <n v="34045.0"/>
        <n v="34046.0"/>
        <n v="34047.0"/>
        <n v="33913.0"/>
        <n v="33912.0"/>
        <n v="33911.0"/>
        <n v="33914.0"/>
        <n v="33915.0"/>
        <n v="33916.0"/>
        <n v="33917.0"/>
        <n v="33918.0"/>
        <n v="33919.0"/>
        <n v="33920.0"/>
        <n v="33921.0"/>
        <n v="33923.0"/>
        <n v="33922.0"/>
        <n v="33924.0"/>
        <n v="33925.0"/>
        <n v="33926.0"/>
        <n v="33927.0"/>
        <n v="33928.0"/>
        <n v="33929.0"/>
        <n v="33930.0"/>
        <n v="33931.0"/>
        <n v="33932.0"/>
        <n v="33933.0"/>
        <n v="33934.0"/>
        <n v="33935.0"/>
        <n v="33936.0"/>
        <n v="33937.0"/>
        <n v="33938.0"/>
        <n v="33939.0"/>
        <n v="33941.0"/>
        <n v="33940.0"/>
        <n v="33942.0"/>
        <n v="33945.0"/>
        <n v="33944.0"/>
        <n v="33943.0"/>
        <n v="34048.0"/>
        <n v="34049.0"/>
        <n v="34050.0"/>
        <n v="34051.0"/>
        <n v="34052.0"/>
        <n v="34053.0"/>
        <n v="34054.0"/>
        <n v="34056.0"/>
        <n v="34055.0"/>
        <n v="34057.0"/>
        <n v="34058.0"/>
        <n v="34059.0"/>
        <n v="34060.0"/>
        <n v="34061.0"/>
        <n v="34063.0"/>
        <n v="34062.0"/>
        <n v="34064.0"/>
        <n v="34065.0"/>
        <n v="34066.0"/>
        <n v="34067.0"/>
        <n v="53691.0"/>
        <n v="34097.0"/>
        <n v="34098.0"/>
        <n v="34099.0"/>
        <n v="34100.0"/>
        <n v="34101.0"/>
        <n v="34103.0"/>
        <n v="34102.0"/>
        <n v="34104.0"/>
        <n v="34105.0"/>
        <n v="34106.0"/>
        <n v="34107.0"/>
        <n v="34108.0"/>
        <n v="34109.0"/>
        <n v="34111.0"/>
        <n v="34110.0"/>
        <n v="34112.0"/>
        <n v="34113.0"/>
        <n v="34114.0"/>
        <n v="34115.0"/>
        <n v="34116.0"/>
        <n v="34117.0"/>
        <n v="34118.0"/>
        <n v="34119.0"/>
        <n v="34120.0"/>
        <n v="34121.0"/>
        <n v="34122.0"/>
        <n v="34124.0"/>
        <n v="34123.0"/>
        <n v="34125.0"/>
        <n v="63097.0"/>
        <n v="34126.0"/>
        <n v="34127.0"/>
        <n v="34129.0"/>
        <n v="34128.0"/>
        <n v="34130.0"/>
        <n v="34131.0"/>
        <n v="34132.0"/>
        <n v="34133.0"/>
        <n v="34134.0"/>
        <n v="34135.0"/>
        <n v="34136.0"/>
        <n v="34137.0"/>
        <n v="34138.0"/>
        <n v="34139.0"/>
        <n v="54045.0"/>
        <n v="34141.0"/>
        <n v="34140.0"/>
        <n v="34142.0"/>
        <n v="34143.0"/>
        <n v="34144.0"/>
        <n v="34145.0"/>
        <n v="34147.0"/>
        <n v="34146.0"/>
        <n v="34148.0"/>
        <n v="34149.0"/>
        <n v="34150.0"/>
        <n v="34151.0"/>
        <n v="34152.0"/>
        <n v="34153.0"/>
        <n v="34154.0"/>
        <n v="34155.0"/>
        <n v="34156.0"/>
        <n v="34157.0"/>
        <n v="34158.0"/>
        <n v="34159.0"/>
        <n v="34160.0"/>
        <n v="34161.0"/>
        <n v="34068.0"/>
        <n v="34069.0"/>
        <n v="34070.0"/>
        <n v="34071.0"/>
        <n v="34072.0"/>
        <n v="34073.0"/>
        <n v="34074.0"/>
        <n v="34075.0"/>
        <n v="34076.0"/>
        <n v="34077.0"/>
        <n v="34078.0"/>
        <n v="34079.0"/>
        <n v="34080.0"/>
        <n v="34081.0"/>
        <n v="34082.0"/>
        <n v="34084.0"/>
        <n v="34083.0"/>
        <n v="34086.0"/>
        <n v="34085.0"/>
        <n v="34087.0"/>
        <n v="34088.0"/>
        <n v="34089.0"/>
        <n v="34090.0"/>
        <n v="34091.0"/>
        <n v="34092.0"/>
        <n v="34093.0"/>
        <n v="34094.0"/>
        <n v="34095.0"/>
        <n v="34096.0"/>
        <n v="34162.0"/>
        <n v="34163.0"/>
        <n v="34165.0"/>
        <n v="34164.0"/>
        <n v="34167.0"/>
        <n v="34166.0"/>
        <n v="34168.0"/>
        <n v="34171.0"/>
        <n v="34169.0"/>
        <n v="34170.0"/>
        <n v="34174.0"/>
        <n v="34173.0"/>
        <n v="34172.0"/>
        <n v="34175.0"/>
        <n v="34176.0"/>
        <n v="34214.0"/>
        <n v="34215.0"/>
        <n v="34216.0"/>
        <n v="34217.0"/>
        <n v="34218.0"/>
        <n v="34219.0"/>
        <n v="34220.0"/>
        <n v="34222.0"/>
        <n v="34221.0"/>
        <n v="34223.0"/>
        <n v="34224.0"/>
        <n v="34225.0"/>
        <n v="34226.0"/>
        <n v="34227.0"/>
        <n v="34228.0"/>
        <n v="34229.0"/>
        <n v="34230.0"/>
        <n v="34231.0"/>
        <n v="34232.0"/>
        <n v="34234.0"/>
        <n v="34233.0"/>
        <n v="34235.0"/>
        <n v="34236.0"/>
        <n v="34237.0"/>
        <n v="34238.0"/>
        <n v="34239.0"/>
        <n v="34240.0"/>
        <n v="34241.0"/>
        <n v="34242.0"/>
        <n v="34243.0"/>
        <n v="34246.0"/>
        <n v="34245.0"/>
        <n v="34244.0"/>
        <n v="34247.0"/>
        <n v="34248.0"/>
        <n v="34249.0"/>
        <n v="34250.0"/>
        <n v="34251.0"/>
        <n v="34252.0"/>
        <n v="34253.0"/>
        <n v="34254.0"/>
        <n v="34255.0"/>
        <n v="34256.0"/>
        <n v="34257.0"/>
        <n v="34258.0"/>
        <n v="34259.0"/>
        <n v="34260.0"/>
        <n v="34261.0"/>
        <n v="34262.0"/>
        <n v="34264.0"/>
        <n v="34263.0"/>
        <n v="54537.0"/>
        <n v="34265.0"/>
        <n v="34266.0"/>
        <n v="34267.0"/>
        <n v="34268.0"/>
        <n v="34269.0"/>
        <n v="34270.0"/>
        <n v="34272.0"/>
        <n v="34271.0"/>
        <n v="34273.0"/>
        <n v="34274.0"/>
        <n v="34275.0"/>
        <n v="34276.0"/>
        <n v="34277.0"/>
        <n v="34278.0"/>
        <n v="34279.0"/>
        <n v="34280.0"/>
        <n v="34283.0"/>
        <n v="34282.0"/>
        <n v="34284.0"/>
        <n v="34281.0"/>
        <n v="34285.0"/>
        <n v="34286.0"/>
        <n v="34287.0"/>
        <n v="36504.0"/>
        <n v="34288.0"/>
        <n v="34289.0"/>
        <n v="34290.0"/>
        <n v="34293.0"/>
        <n v="34292.0"/>
        <n v="34291.0"/>
        <n v="34294.0"/>
        <n v="34295.0"/>
        <n v="34296.0"/>
        <n v="34297.0"/>
        <n v="34299.0"/>
        <n v="34298.0"/>
        <n v="34300.0"/>
        <n v="34301.0"/>
        <n v="34302.0"/>
        <n v="34303.0"/>
        <n v="34304.0"/>
        <n v="34305.0"/>
        <n v="34307.0"/>
        <n v="34306.0"/>
        <n v="34308.0"/>
        <n v="34309.0"/>
        <n v="34310.0"/>
        <n v="34312.0"/>
        <n v="34311.0"/>
        <n v="34314.0"/>
        <n v="34313.0"/>
        <n v="34315.0"/>
        <n v="34179.0"/>
        <n v="34177.0"/>
        <n v="34178.0"/>
        <n v="34180.0"/>
        <n v="34181.0"/>
        <n v="34182.0"/>
        <n v="34183.0"/>
        <n v="34184.0"/>
        <n v="34185.0"/>
        <n v="34186.0"/>
        <n v="34187.0"/>
        <n v="34188.0"/>
        <n v="34189.0"/>
        <n v="34190.0"/>
        <n v="34191.0"/>
        <n v="34192.0"/>
        <n v="34193.0"/>
        <n v="34195.0"/>
        <n v="34194.0"/>
        <n v="34196.0"/>
        <n v="34197.0"/>
        <n v="34198.0"/>
        <n v="34199.0"/>
        <n v="34200.0"/>
        <n v="34201.0"/>
        <n v="34203.0"/>
        <n v="34202.0"/>
        <n v="34204.0"/>
        <n v="34207.0"/>
        <n v="34206.0"/>
        <n v="34205.0"/>
        <n v="34208.0"/>
        <n v="34209.0"/>
        <n v="34210.0"/>
        <n v="34211.0"/>
        <n v="34212.0"/>
        <n v="34213.0"/>
        <n v="34316.0"/>
        <n v="34317.0"/>
        <n v="34318.0"/>
        <n v="34319.0"/>
        <n v="34320.0"/>
        <n v="34323.0"/>
        <n v="34322.0"/>
        <n v="34321.0"/>
        <n v="34325.0"/>
        <n v="34324.0"/>
        <n v="34326.0"/>
        <n v="34327.0"/>
        <n v="34328.0"/>
        <n v="34329.0"/>
        <n v="34330.0"/>
        <n v="34331.0"/>
        <n v="34332.0"/>
        <n v="34333.0"/>
        <n v="34334.0"/>
        <n v="34335.0"/>
        <n v="34336.0"/>
        <n v="34337.0"/>
        <n v="34400.0"/>
        <n v="34401.0"/>
        <n v="34402.0"/>
        <n v="34403.0"/>
        <n v="34405.0"/>
        <n v="34404.0"/>
        <n v="34406.0"/>
        <n v="34407.0"/>
        <n v="34408.0"/>
        <n v="34409.0"/>
        <n v="34410.0"/>
        <n v="34411.0"/>
        <n v="34412.0"/>
        <n v="34413.0"/>
        <n v="34414.0"/>
        <n v="34415.0"/>
        <n v="34417.0"/>
        <n v="34416.0"/>
        <n v="34419.0"/>
        <n v="34418.0"/>
        <n v="34420.0"/>
        <n v="34421.0"/>
        <n v="34422.0"/>
        <n v="34423.0"/>
        <n v="34424.0"/>
        <n v="34425.0"/>
        <n v="34426.0"/>
        <n v="34427.0"/>
        <n v="34428.0"/>
        <n v="34429.0"/>
        <n v="34430.0"/>
        <n v="34431.0"/>
        <n v="34432.0"/>
        <n v="34433.0"/>
        <n v="34435.0"/>
        <n v="34434.0"/>
        <n v="69751.0"/>
        <n v="34436.0"/>
        <n v="34439.0"/>
        <n v="34438.0"/>
        <n v="34437.0"/>
        <n v="34440.0"/>
        <n v="34441.0"/>
        <n v="34443.0"/>
        <n v="34442.0"/>
        <n v="34444.0"/>
        <n v="34445.0"/>
        <n v="34447.0"/>
        <n v="34446.0"/>
        <n v="34448.0"/>
        <n v="34450.0"/>
        <n v="34449.0"/>
        <n v="34451.0"/>
        <n v="34452.0"/>
        <n v="34453.0"/>
        <n v="34454.0"/>
        <n v="34455.0"/>
        <n v="34456.0"/>
        <n v="34457.0"/>
        <n v="34458.0"/>
        <n v="34459.0"/>
        <n v="34460.0"/>
        <n v="34461.0"/>
        <n v="34462.0"/>
        <n v="34463.0"/>
        <n v="34464.0"/>
        <n v="34466.0"/>
        <n v="34465.0"/>
        <n v="34468.0"/>
        <n v="34467.0"/>
        <n v="34469.0"/>
        <n v="34470.0"/>
        <n v="34471.0"/>
        <n v="34473.0"/>
        <n v="34472.0"/>
        <n v="34474.0"/>
        <n v="34475.0"/>
        <n v="34476.0"/>
        <n v="34477.0"/>
        <n v="34478.0"/>
        <n v="34479.0"/>
        <n v="34480.0"/>
        <n v="34481.0"/>
        <n v="34482.0"/>
        <n v="34484.0"/>
        <n v="34485.0"/>
        <n v="34483.0"/>
        <n v="34486.0"/>
        <n v="34488.0"/>
        <n v="34487.0"/>
        <n v="34490.0"/>
        <n v="34489.0"/>
        <n v="34491.0"/>
        <n v="34493.0"/>
        <n v="34494.0"/>
        <n v="34492.0"/>
        <n v="34496.0"/>
        <n v="34495.0"/>
        <n v="34497.0"/>
        <n v="34498.0"/>
        <n v="34499.0"/>
        <n v="34350.0"/>
        <n v="34501.0"/>
        <n v="34500.0"/>
        <n v="34502.0"/>
        <n v="34503.0"/>
        <n v="34504.0"/>
        <n v="34506.0"/>
        <n v="34505.0"/>
        <n v="34508.0"/>
        <n v="34507.0"/>
        <n v="34509.0"/>
        <n v="34510.0"/>
        <n v="34511.0"/>
        <n v="34512.0"/>
        <n v="34513.0"/>
        <n v="34516.0"/>
        <n v="34515.0"/>
        <n v="34514.0"/>
        <n v="34517.0"/>
        <n v="34518.0"/>
        <n v="34519.0"/>
        <n v="34520.0"/>
        <n v="34522.0"/>
        <n v="34521.0"/>
        <n v="34524.0"/>
        <n v="34523.0"/>
        <n v="34525.0"/>
        <n v="34526.0"/>
        <n v="34529.0"/>
        <n v="34527.0"/>
        <n v="34530.0"/>
        <n v="34531.0"/>
        <n v="34528.0"/>
        <n v="34532.0"/>
        <n v="34534.0"/>
        <n v="34533.0"/>
        <n v="34535.0"/>
        <n v="34539.0"/>
        <n v="34536.0"/>
        <n v="34537.0"/>
        <n v="34538.0"/>
        <n v="34540.0"/>
        <n v="34541.0"/>
        <n v="34542.0"/>
        <n v="34543.0"/>
        <n v="34545.0"/>
        <n v="34544.0"/>
        <n v="34546.0"/>
        <n v="34547.0"/>
        <n v="34548.0"/>
        <n v="34554.0"/>
        <n v="34553.0"/>
        <n v="34551.0"/>
        <n v="34550.0"/>
        <n v="34549.0"/>
        <n v="34552.0"/>
        <n v="34555.0"/>
        <n v="34556.0"/>
        <n v="34557.0"/>
        <n v="34558.0"/>
        <n v="34559.0"/>
        <n v="34560.0"/>
        <n v="34561.0"/>
        <n v="34562.0"/>
        <n v="34563.0"/>
        <n v="34564.0"/>
        <n v="34566.0"/>
        <n v="34565.0"/>
        <n v="34567.0"/>
        <n v="34568.0"/>
        <n v="34569.0"/>
        <n v="34570.0"/>
        <n v="34571.0"/>
        <n v="34572.0"/>
        <n v="34573.0"/>
        <n v="34574.0"/>
        <n v="34575.0"/>
        <n v="34576.0"/>
        <n v="34577.0"/>
        <n v="34578.0"/>
        <n v="34579.0"/>
        <n v="34580.0"/>
        <n v="34581.0"/>
        <n v="34582.0"/>
        <n v="34583.0"/>
        <n v="34584.0"/>
        <n v="34585.0"/>
        <n v="34586.0"/>
        <n v="34587.0"/>
        <n v="34588.0"/>
        <n v="34590.0"/>
        <n v="34589.0"/>
        <n v="34591.0"/>
        <n v="34592.0"/>
        <n v="34593.0"/>
        <n v="34594.0"/>
        <n v="34595.0"/>
        <n v="34596.0"/>
        <n v="34597.0"/>
        <n v="34598.0"/>
        <n v="34338.0"/>
        <n v="34340.0"/>
        <n v="34339.0"/>
        <n v="34341.0"/>
        <n v="34342.0"/>
        <n v="34343.0"/>
        <n v="34344.0"/>
        <n v="34345.0"/>
        <n v="34346.0"/>
        <n v="34347.0"/>
        <n v="34348.0"/>
        <n v="34349.0"/>
        <n v="34351.0"/>
        <n v="34352.0"/>
        <n v="34354.0"/>
        <n v="34353.0"/>
        <n v="34355.0"/>
        <n v="34356.0"/>
        <n v="34357.0"/>
        <n v="34358.0"/>
        <n v="34359.0"/>
        <n v="34361.0"/>
        <n v="34360.0"/>
        <n v="34362.0"/>
        <n v="34363.0"/>
        <n v="34365.0"/>
        <n v="34364.0"/>
        <n v="34367.0"/>
        <n v="34366.0"/>
        <n v="34368.0"/>
        <n v="34369.0"/>
        <n v="34370.0"/>
        <n v="34371.0"/>
        <n v="34373.0"/>
        <n v="34372.0"/>
        <n v="34374.0"/>
        <n v="34376.0"/>
        <n v="34377.0"/>
        <n v="34375.0"/>
        <n v="34378.0"/>
        <n v="34379.0"/>
        <n v="34380.0"/>
        <n v="34381.0"/>
        <n v="34382.0"/>
        <n v="34383.0"/>
        <n v="34384.0"/>
        <n v="34385.0"/>
        <n v="34386.0"/>
        <n v="34387.0"/>
        <n v="34388.0"/>
        <n v="34389.0"/>
        <n v="34391.0"/>
        <n v="34392.0"/>
        <n v="34390.0"/>
        <n v="34396.0"/>
        <n v="34395.0"/>
        <n v="34394.0"/>
        <n v="34393.0"/>
        <n v="34399.0"/>
        <n v="34397.0"/>
        <n v="34398.0"/>
        <n v="34599.0"/>
        <n v="34600.0"/>
        <n v="34601.0"/>
        <n v="34602.0"/>
        <n v="34603.0"/>
        <n v="34604.0"/>
        <n v="34605.0"/>
        <n v="34607.0"/>
        <n v="34606.0"/>
        <n v="34608.0"/>
        <n v="34609.0"/>
        <n v="34610.0"/>
        <n v="34611.0"/>
        <n v="34612.0"/>
        <n v="34613.0"/>
        <n v="34614.0"/>
        <n v="34616.0"/>
        <n v="34615.0"/>
        <n v="34617.0"/>
        <n v="34618.0"/>
        <n v="34619.0"/>
        <n v="34622.0"/>
        <n v="34623.0"/>
        <n v="34621.0"/>
        <n v="34620.0"/>
        <n v="34626.0"/>
        <n v="34625.0"/>
        <n v="34624.0"/>
        <n v="34627.0"/>
        <n v="34628.0"/>
        <n v="34630.0"/>
        <n v="34631.0"/>
        <n v="34629.0"/>
        <n v="34632.0"/>
        <n v="34633.0"/>
        <n v="34634.0"/>
        <n v="34635.0"/>
        <n v="34636.0"/>
        <n v="34637.0"/>
        <n v="34638.0"/>
        <n v="34639.0"/>
        <n v="34643.0"/>
        <n v="34642.0"/>
        <n v="34646.0"/>
        <n v="34641.0"/>
        <n v="34645.0"/>
        <n v="34644.0"/>
        <n v="34640.0"/>
        <n v="34647.0"/>
        <n v="53692.0"/>
        <n v="34707.0"/>
        <n v="34706.0"/>
        <n v="34709.0"/>
        <n v="34708.0"/>
        <n v="34710.0"/>
        <n v="34711.0"/>
        <n v="34713.0"/>
        <n v="34712.0"/>
        <n v="34714.0"/>
        <n v="34715.0"/>
        <n v="34716.0"/>
        <n v="34717.0"/>
        <n v="34718.0"/>
        <n v="34719.0"/>
        <n v="34721.0"/>
        <n v="34720.0"/>
        <n v="34722.0"/>
        <n v="34723.0"/>
        <n v="34725.0"/>
        <n v="34724.0"/>
        <n v="34726.0"/>
        <n v="34727.0"/>
        <n v="34728.0"/>
        <n v="34730.0"/>
        <n v="34729.0"/>
        <n v="34731.0"/>
        <n v="34732.0"/>
        <n v="34733.0"/>
        <n v="34734.0"/>
        <n v="34736.0"/>
        <n v="34735.0"/>
        <n v="34737.0"/>
        <n v="34738.0"/>
        <n v="34740.0"/>
        <n v="34739.0"/>
        <n v="34741.0"/>
        <n v="34742.0"/>
        <n v="34745.0"/>
        <n v="34743.0"/>
        <n v="34744.0"/>
        <n v="34746.0"/>
        <n v="34748.0"/>
        <n v="34749.0"/>
        <n v="34747.0"/>
        <n v="34754.0"/>
        <n v="34751.0"/>
        <n v="34750.0"/>
        <n v="34752.0"/>
        <n v="34753.0"/>
        <n v="63125.0"/>
        <n v="34755.0"/>
        <n v="34756.0"/>
        <n v="34757.0"/>
        <n v="34758.0"/>
        <n v="34760.0"/>
        <n v="34759.0"/>
        <n v="34761.0"/>
        <n v="34763.0"/>
        <n v="34762.0"/>
        <n v="34766.0"/>
        <n v="34764.0"/>
        <n v="34767.0"/>
        <n v="34765.0"/>
        <n v="34770.0"/>
        <n v="34769.0"/>
        <n v="34768.0"/>
        <n v="34772.0"/>
        <n v="34771.0"/>
        <n v="34774.0"/>
        <n v="34773.0"/>
        <n v="34776.0"/>
        <n v="34775.0"/>
        <n v="34778.0"/>
        <n v="34777.0"/>
        <n v="34779.0"/>
        <n v="34780.0"/>
        <n v="34781.0"/>
        <n v="34782.0"/>
        <n v="34784.0"/>
        <n v="34783.0"/>
        <n v="34786.0"/>
        <n v="34785.0"/>
        <n v="34787.0"/>
        <n v="34788.0"/>
        <n v="34791.0"/>
        <n v="34790.0"/>
        <n v="34789.0"/>
        <n v="34794.0"/>
        <n v="34792.0"/>
        <n v="34793.0"/>
        <n v="34795.0"/>
        <n v="34797.0"/>
        <n v="34798.0"/>
        <n v="34796.0"/>
        <n v="34800.0"/>
        <n v="34799.0"/>
        <n v="34802.0"/>
        <n v="34801.0"/>
        <n v="34804.0"/>
        <n v="34803.0"/>
        <n v="34805.0"/>
        <n v="34806.0"/>
        <n v="34807.0"/>
        <n v="34808.0"/>
        <n v="34809.0"/>
        <n v="34810.0"/>
        <n v="34811.0"/>
        <n v="34813.0"/>
        <n v="34812.0"/>
        <n v="34814.0"/>
        <n v="34815.0"/>
        <n v="34816.0"/>
        <n v="34817.0"/>
        <n v="34818.0"/>
        <n v="34819.0"/>
        <n v="34820.0"/>
        <n v="34822.0"/>
        <n v="34823.0"/>
        <n v="34821.0"/>
        <n v="34824.0"/>
        <n v="34825.0"/>
        <n v="34826.0"/>
        <n v="34827.0"/>
        <n v="34828.0"/>
        <n v="34829.0"/>
        <n v="34831.0"/>
        <n v="34832.0"/>
        <n v="34830.0"/>
        <n v="34833.0"/>
        <n v="34834.0"/>
        <n v="34835.0"/>
        <n v="34836.0"/>
        <n v="34837.0"/>
        <n v="34838.0"/>
        <n v="34839.0"/>
        <n v="34840.0"/>
        <n v="34841.0"/>
        <n v="34842.0"/>
        <n v="34845.0"/>
        <n v="34843.0"/>
        <n v="34844.0"/>
        <n v="34846.0"/>
        <n v="34847.0"/>
        <n v="34848.0"/>
        <n v="34849.0"/>
        <n v="34850.0"/>
        <n v="34851.0"/>
        <n v="34853.0"/>
        <n v="34852.0"/>
        <n v="34854.0"/>
        <n v="34855.0"/>
        <n v="34856.0"/>
        <n v="34857.0"/>
        <n v="34858.0"/>
        <n v="34859.0"/>
        <n v="34861.0"/>
        <n v="34860.0"/>
        <n v="34862.0"/>
        <n v="34863.0"/>
        <n v="34864.0"/>
        <n v="34865.0"/>
        <n v="34866.0"/>
        <n v="34868.0"/>
        <n v="34867.0"/>
        <n v="34871.0"/>
        <n v="34870.0"/>
        <n v="34872.0"/>
        <n v="34869.0"/>
        <n v="34873.0"/>
        <n v="34874.0"/>
        <n v="34875.0"/>
        <n v="34877.0"/>
        <n v="34878.0"/>
        <n v="34876.0"/>
        <n v="34879.0"/>
        <n v="34880.0"/>
        <n v="34881.0"/>
        <n v="34882.0"/>
        <n v="34883.0"/>
        <n v="34884.0"/>
        <n v="34885.0"/>
        <n v="34886.0"/>
        <n v="34887.0"/>
        <n v="34888.0"/>
        <n v="34889.0"/>
        <n v="34890.0"/>
        <n v="34891.0"/>
        <n v="34892.0"/>
        <n v="34893.0"/>
        <n v="34894.0"/>
        <n v="34895.0"/>
        <n v="34896.0"/>
        <n v="34897.0"/>
        <n v="34898.0"/>
        <n v="34899.0"/>
        <n v="34900.0"/>
        <n v="34901.0"/>
        <n v="34648.0"/>
        <n v="34649.0"/>
        <n v="34650.0"/>
        <n v="34651.0"/>
        <n v="34652.0"/>
        <n v="34653.0"/>
        <n v="34654.0"/>
        <n v="34655.0"/>
        <n v="34656.0"/>
        <n v="34657.0"/>
        <n v="34658.0"/>
        <n v="34659.0"/>
        <n v="34660.0"/>
        <n v="34661.0"/>
        <n v="34662.0"/>
        <n v="34664.0"/>
        <n v="34665.0"/>
        <n v="34663.0"/>
        <n v="34666.0"/>
        <n v="34667.0"/>
        <n v="34668.0"/>
        <n v="34669.0"/>
        <n v="34671.0"/>
        <n v="34670.0"/>
        <n v="34672.0"/>
        <n v="34673.0"/>
        <n v="34674.0"/>
        <n v="34675.0"/>
        <n v="34677.0"/>
        <n v="34676.0"/>
        <n v="34679.0"/>
        <n v="34678.0"/>
        <n v="34680.0"/>
        <n v="34681.0"/>
        <n v="34683.0"/>
        <n v="34682.0"/>
        <n v="34684.0"/>
        <n v="34686.0"/>
        <n v="34685.0"/>
        <n v="34687.0"/>
        <n v="34688.0"/>
        <n v="34689.0"/>
        <n v="34690.0"/>
        <n v="34691.0"/>
        <n v="34692.0"/>
        <n v="34693.0"/>
        <n v="34694.0"/>
        <n v="34695.0"/>
        <n v="34698.0"/>
        <n v="34697.0"/>
        <n v="34696.0"/>
        <n v="34699.0"/>
        <n v="34700.0"/>
        <n v="34701.0"/>
        <n v="34702.0"/>
        <n v="34703.0"/>
        <n v="34704.0"/>
        <n v="34705.0"/>
        <n v="34902.0"/>
        <n v="34903.0"/>
        <n v="34905.0"/>
        <n v="34904.0"/>
        <n v="34906.0"/>
        <n v="34907.0"/>
        <n v="34908.0"/>
        <n v="34909.0"/>
        <n v="34910.0"/>
        <n v="34912.0"/>
        <n v="34911.0"/>
        <n v="34913.0"/>
        <n v="34914.0"/>
        <n v="34915.0"/>
        <n v="34916.0"/>
        <n v="34918.0"/>
        <n v="34917.0"/>
        <n v="34919.0"/>
        <n v="34921.0"/>
        <n v="34920.0"/>
        <n v="34924.0"/>
        <n v="34923.0"/>
        <n v="34922.0"/>
        <n v="34925.0"/>
        <n v="34926.0"/>
        <n v="34927.0"/>
        <n v="34928.0"/>
        <n v="34929.0"/>
        <n v="34930.0"/>
        <n v="34985.0"/>
        <n v="34986.0"/>
        <n v="34987.0"/>
        <n v="34988.0"/>
        <n v="34989.0"/>
        <n v="34990.0"/>
        <n v="34991.0"/>
        <n v="34992.0"/>
        <n v="34993.0"/>
        <n v="34994.0"/>
        <n v="34996.0"/>
        <n v="34995.0"/>
        <n v="34997.0"/>
        <n v="34998.0"/>
        <n v="34999.0"/>
        <n v="35000.0"/>
        <n v="35001.0"/>
        <n v="35003.0"/>
        <n v="35004.0"/>
        <n v="35005.0"/>
        <n v="35002.0"/>
        <n v="35006.0"/>
        <n v="35007.0"/>
        <n v="35010.0"/>
        <n v="35009.0"/>
        <n v="35011.0"/>
        <n v="35008.0"/>
        <n v="35012.0"/>
        <n v="35013.0"/>
        <n v="35014.0"/>
        <n v="35015.0"/>
        <n v="35016.0"/>
        <n v="35017.0"/>
        <n v="35018.0"/>
        <n v="35019.0"/>
        <n v="35020.0"/>
        <n v="35021.0"/>
        <n v="35022.0"/>
        <n v="35023.0"/>
        <n v="35026.0"/>
        <n v="35025.0"/>
        <n v="35024.0"/>
        <n v="35028.0"/>
        <n v="35027.0"/>
        <n v="35029.0"/>
        <n v="35030.0"/>
        <n v="35031.0"/>
        <n v="35033.0"/>
        <n v="35032.0"/>
        <n v="35034.0"/>
        <n v="35035.0"/>
        <n v="35036.0"/>
        <n v="35037.0"/>
        <n v="35038.0"/>
        <n v="35039.0"/>
        <n v="35040.0"/>
        <n v="35042.0"/>
        <n v="35041.0"/>
        <n v="35044.0"/>
        <n v="35043.0"/>
        <n v="35046.0"/>
        <n v="35047.0"/>
        <n v="35045.0"/>
        <n v="35048.0"/>
        <n v="35050.0"/>
        <n v="35049.0"/>
        <n v="35051.0"/>
        <n v="35052.0"/>
        <n v="35053.0"/>
        <n v="35055.0"/>
        <n v="35054.0"/>
        <n v="35057.0"/>
        <n v="35056.0"/>
        <n v="35058.0"/>
        <n v="35059.0"/>
        <n v="35060.0"/>
        <n v="35061.0"/>
        <n v="35063.0"/>
        <n v="35062.0"/>
        <n v="35065.0"/>
        <n v="35064.0"/>
        <n v="35066.0"/>
        <n v="35067.0"/>
        <n v="35068.0"/>
        <n v="35070.0"/>
        <n v="35069.0"/>
        <n v="35072.0"/>
        <n v="35071.0"/>
        <n v="35073.0"/>
        <n v="35074.0"/>
        <n v="35075.0"/>
        <n v="35077.0"/>
        <n v="35076.0"/>
        <n v="35078.0"/>
        <n v="35081.0"/>
        <n v="35080.0"/>
        <n v="35079.0"/>
        <n v="35082.0"/>
        <n v="35083.0"/>
        <n v="35084.0"/>
        <n v="35085.0"/>
        <n v="35086.0"/>
        <n v="35087.0"/>
        <n v="35088.0"/>
        <n v="35089.0"/>
        <n v="35090.0"/>
        <n v="35091.0"/>
        <n v="35092.0"/>
        <n v="35093.0"/>
        <n v="35094.0"/>
        <n v="35095.0"/>
        <n v="35096.0"/>
        <n v="35097.0"/>
        <n v="35098.0"/>
        <n v="35101.0"/>
        <n v="35100.0"/>
        <n v="35099.0"/>
        <n v="35102.0"/>
        <n v="35104.0"/>
        <n v="35103.0"/>
        <n v="35105.0"/>
        <n v="35106.0"/>
        <n v="35107.0"/>
        <n v="35108.0"/>
        <n v="35109.0"/>
        <n v="35110.0"/>
        <n v="35111.0"/>
        <n v="35112.0"/>
        <n v="35113.0"/>
        <n v="35114.0"/>
        <n v="35115.0"/>
        <n v="35116.0"/>
        <n v="35117.0"/>
        <n v="35118.0"/>
        <n v="35119.0"/>
        <n v="35121.0"/>
        <n v="35120.0"/>
        <n v="35122.0"/>
        <n v="35123.0"/>
        <n v="35126.0"/>
        <n v="35125.0"/>
        <n v="35124.0"/>
        <n v="35127.0"/>
        <n v="35128.0"/>
        <n v="35129.0"/>
        <n v="35130.0"/>
        <n v="35131.0"/>
        <n v="35133.0"/>
        <n v="35132.0"/>
        <n v="35134.0"/>
        <n v="35135.0"/>
        <n v="35136.0"/>
        <n v="35137.0"/>
        <n v="35140.0"/>
        <n v="35138.0"/>
        <n v="35139.0"/>
        <n v="35141.0"/>
        <n v="35142.0"/>
        <n v="35143.0"/>
        <n v="35145.0"/>
        <n v="35144.0"/>
        <n v="35146.0"/>
        <n v="35147.0"/>
        <n v="35148.0"/>
        <n v="35149.0"/>
        <n v="34932.0"/>
        <n v="34931.0"/>
        <n v="34933.0"/>
        <n v="34934.0"/>
        <n v="34936.0"/>
        <n v="34935.0"/>
        <n v="34937.0"/>
        <n v="34938.0"/>
        <n v="34939.0"/>
        <n v="34940.0"/>
        <n v="34941.0"/>
        <n v="34943.0"/>
        <n v="34942.0"/>
        <n v="34945.0"/>
        <n v="34944.0"/>
        <n v="34948.0"/>
        <n v="34947.0"/>
        <n v="34946.0"/>
        <n v="34950.0"/>
        <n v="34949.0"/>
        <n v="34953.0"/>
        <n v="34951.0"/>
        <n v="34952.0"/>
        <n v="34954.0"/>
        <n v="34955.0"/>
        <n v="34956.0"/>
        <n v="34958.0"/>
        <n v="34957.0"/>
        <n v="34959.0"/>
        <n v="34960.0"/>
        <n v="34963.0"/>
        <n v="34962.0"/>
        <n v="34961.0"/>
        <n v="34964.0"/>
        <n v="34965.0"/>
        <n v="34966.0"/>
        <n v="34968.0"/>
        <n v="34967.0"/>
        <n v="34969.0"/>
        <n v="34970.0"/>
        <n v="34971.0"/>
        <n v="34972.0"/>
        <n v="34973.0"/>
        <n v="34974.0"/>
        <n v="34976.0"/>
        <n v="34975.0"/>
        <n v="34978.0"/>
        <n v="34977.0"/>
        <n v="34979.0"/>
        <n v="34980.0"/>
        <n v="34981.0"/>
        <n v="34982.0"/>
        <n v="34983.0"/>
        <n v="34984.0"/>
        <n v="35151.0"/>
        <n v="35150.0"/>
        <n v="35152.0"/>
        <n v="35153.0"/>
        <n v="35154.0"/>
        <n v="35155.0"/>
        <n v="35156.0"/>
        <n v="35158.0"/>
        <n v="35157.0"/>
        <n v="35159.0"/>
        <n v="35160.0"/>
        <n v="35163.0"/>
        <n v="35162.0"/>
        <n v="35161.0"/>
        <n v="35164.0"/>
        <n v="35166.0"/>
        <n v="35165.0"/>
        <n v="35168.0"/>
        <n v="35170.0"/>
        <n v="35171.0"/>
        <n v="35169.0"/>
        <n v="35172.0"/>
        <n v="35167.0"/>
        <n v="35175.0"/>
        <n v="35174.0"/>
        <n v="35173.0"/>
        <n v="35176.0"/>
        <n v="35177.0"/>
        <n v="35179.0"/>
        <n v="35178.0"/>
        <n v="35180.0"/>
        <n v="35182.0"/>
        <n v="35181.0"/>
        <n v="53693.0"/>
        <n v="35239.0"/>
        <n v="35238.0"/>
        <n v="35240.0"/>
        <n v="35241.0"/>
        <n v="35242.0"/>
        <n v="35243.0"/>
        <n v="35244.0"/>
        <n v="35245.0"/>
        <n v="35246.0"/>
        <n v="35247.0"/>
        <n v="35248.0"/>
        <n v="35249.0"/>
        <n v="35252.0"/>
        <n v="35251.0"/>
        <n v="35250.0"/>
        <n v="35253.0"/>
        <n v="35254.0"/>
        <n v="35256.0"/>
        <n v="35255.0"/>
        <n v="35257.0"/>
        <n v="35258.0"/>
        <n v="35259.0"/>
        <n v="35260.0"/>
        <n v="35261.0"/>
        <n v="35262.0"/>
        <n v="35263.0"/>
        <n v="35264.0"/>
        <n v="35265.0"/>
        <n v="35266.0"/>
        <n v="35267.0"/>
        <n v="35268.0"/>
        <n v="35269.0"/>
        <n v="35270.0"/>
        <n v="35271.0"/>
        <n v="35272.0"/>
        <n v="35273.0"/>
        <n v="35274.0"/>
        <n v="35275.0"/>
        <n v="35276.0"/>
        <n v="35277.0"/>
        <n v="35278.0"/>
        <n v="35279.0"/>
        <n v="35280.0"/>
        <n v="35281.0"/>
        <n v="35282.0"/>
        <n v="35283.0"/>
        <n v="35284.0"/>
        <n v="35285.0"/>
        <n v="35286.0"/>
        <n v="35287.0"/>
        <n v="35288.0"/>
        <n v="35289.0"/>
        <n v="35290.0"/>
        <n v="35291.0"/>
        <n v="35293.0"/>
        <n v="35294.0"/>
        <n v="35292.0"/>
        <n v="35295.0"/>
        <n v="35297.0"/>
        <n v="35296.0"/>
        <n v="35298.0"/>
        <n v="35299.0"/>
        <n v="35300.0"/>
        <n v="35301.0"/>
        <n v="35302.0"/>
        <n v="35303.0"/>
        <n v="35304.0"/>
        <n v="35305.0"/>
        <n v="35306.0"/>
        <n v="35307.0"/>
        <n v="35308.0"/>
        <n v="35309.0"/>
        <n v="35310.0"/>
        <n v="35311.0"/>
        <n v="35312.0"/>
        <n v="35314.0"/>
        <n v="35313.0"/>
        <n v="35315.0"/>
        <n v="35316.0"/>
        <n v="35317.0"/>
        <n v="35318.0"/>
        <n v="35319.0"/>
        <n v="35320.0"/>
        <n v="35321.0"/>
        <n v="35324.0"/>
        <n v="35323.0"/>
        <n v="35322.0"/>
        <n v="35326.0"/>
        <n v="35327.0"/>
        <n v="35325.0"/>
        <n v="35328.0"/>
        <n v="35329.0"/>
        <n v="35330.0"/>
        <n v="35331.0"/>
        <n v="35332.0"/>
        <n v="35335.0"/>
        <n v="35334.0"/>
        <n v="35333.0"/>
        <n v="35336.0"/>
        <n v="35337.0"/>
        <n v="35338.0"/>
        <n v="35339.0"/>
        <n v="35340.0"/>
        <n v="35341.0"/>
        <n v="35343.0"/>
        <n v="35342.0"/>
        <n v="35344.0"/>
        <n v="35345.0"/>
        <n v="35346.0"/>
        <n v="35184.0"/>
        <n v="35183.0"/>
        <n v="35185.0"/>
        <n v="35187.0"/>
        <n v="35186.0"/>
        <n v="35189.0"/>
        <n v="35188.0"/>
        <n v="35190.0"/>
        <n v="35191.0"/>
        <n v="35192.0"/>
        <n v="35193.0"/>
        <n v="35195.0"/>
        <n v="35194.0"/>
        <n v="35196.0"/>
        <n v="35198.0"/>
        <n v="35197.0"/>
        <n v="35199.0"/>
        <n v="35200.0"/>
        <n v="35201.0"/>
        <n v="35202.0"/>
        <n v="35204.0"/>
        <n v="35203.0"/>
        <n v="35205.0"/>
        <n v="35206.0"/>
        <n v="35207.0"/>
        <n v="35208.0"/>
        <n v="35209.0"/>
        <n v="35210.0"/>
        <n v="35211.0"/>
        <n v="35212.0"/>
        <n v="35213.0"/>
        <n v="35215.0"/>
        <n v="35214.0"/>
        <n v="35216.0"/>
        <n v="35217.0"/>
        <n v="35218.0"/>
        <n v="35221.0"/>
        <n v="35220.0"/>
        <n v="35219.0"/>
        <n v="35222.0"/>
        <n v="35224.0"/>
        <n v="35223.0"/>
        <n v="35225.0"/>
        <n v="35226.0"/>
        <n v="35227.0"/>
        <n v="35229.0"/>
        <n v="35228.0"/>
        <n v="35230.0"/>
        <n v="35231.0"/>
        <n v="35232.0"/>
        <n v="35233.0"/>
        <n v="35235.0"/>
        <n v="35234.0"/>
        <n v="35237.0"/>
        <n v="35236.0"/>
        <n v="35348.0"/>
        <n v="35347.0"/>
        <n v="35349.0"/>
        <n v="35350.0"/>
        <n v="35351.0"/>
        <n v="35354.0"/>
        <n v="35356.0"/>
        <n v="35352.0"/>
        <n v="35353.0"/>
        <n v="35357.0"/>
        <n v="35358.0"/>
        <n v="35355.0"/>
        <n v="35359.0"/>
        <n v="35360.0"/>
        <n v="35361.0"/>
        <n v="35363.0"/>
        <n v="35364.0"/>
        <n v="35362.0"/>
        <n v="35365.0"/>
        <n v="53694.0"/>
        <n v="35438.0"/>
        <n v="35437.0"/>
        <n v="35436.0"/>
        <n v="35439.0"/>
        <n v="35441.0"/>
        <n v="35440.0"/>
        <n v="35442.0"/>
        <n v="35443.0"/>
        <n v="35444.0"/>
        <n v="35446.0"/>
        <n v="35445.0"/>
        <n v="35447.0"/>
        <n v="35448.0"/>
        <n v="35449.0"/>
        <n v="35451.0"/>
        <n v="35450.0"/>
        <n v="35452.0"/>
        <n v="35453.0"/>
        <n v="35454.0"/>
        <n v="35455.0"/>
        <n v="35456.0"/>
        <n v="35457.0"/>
        <n v="35458.0"/>
        <n v="35460.0"/>
        <n v="35459.0"/>
        <n v="35461.0"/>
        <n v="35462.0"/>
        <n v="35463.0"/>
        <n v="35466.0"/>
        <n v="35465.0"/>
        <n v="35464.0"/>
        <n v="35471.0"/>
        <n v="35470.0"/>
        <n v="35469.0"/>
        <n v="35467.0"/>
        <n v="35472.0"/>
        <n v="35468.0"/>
        <n v="35473.0"/>
        <n v="35474.0"/>
        <n v="35475.0"/>
        <n v="35477.0"/>
        <n v="35476.0"/>
        <n v="35478.0"/>
        <n v="35480.0"/>
        <n v="35479.0"/>
        <n v="35482.0"/>
        <n v="35481.0"/>
        <n v="35483.0"/>
        <n v="35486.0"/>
        <n v="35484.0"/>
        <n v="35487.0"/>
        <n v="35485.0"/>
        <n v="35488.0"/>
        <n v="35489.0"/>
        <n v="35490.0"/>
        <n v="35491.0"/>
        <n v="35494.0"/>
        <n v="35493.0"/>
        <n v="35492.0"/>
        <n v="35495.0"/>
        <n v="35496.0"/>
        <n v="35497.0"/>
        <n v="35498.0"/>
        <n v="35499.0"/>
        <n v="35500.0"/>
        <n v="35501.0"/>
        <n v="35502.0"/>
        <n v="35503.0"/>
        <n v="35504.0"/>
        <n v="35506.0"/>
        <n v="35505.0"/>
        <n v="35507.0"/>
        <n v="35509.0"/>
        <n v="35508.0"/>
        <n v="35510.0"/>
        <n v="35511.0"/>
        <n v="35512.0"/>
        <n v="35513.0"/>
        <n v="35514.0"/>
        <n v="35515.0"/>
        <n v="35516.0"/>
        <n v="35517.0"/>
        <n v="35518.0"/>
        <n v="35520.0"/>
        <n v="35519.0"/>
        <n v="35521.0"/>
        <n v="35522.0"/>
        <n v="35523.0"/>
        <n v="35524.0"/>
        <n v="35525.0"/>
        <n v="35526.0"/>
        <n v="35527.0"/>
        <n v="35528.0"/>
        <n v="35529.0"/>
        <n v="35530.0"/>
        <n v="35532.0"/>
        <n v="35531.0"/>
        <n v="35533.0"/>
        <n v="35534.0"/>
        <n v="35535.0"/>
        <n v="35536.0"/>
        <n v="35537.0"/>
        <n v="35539.0"/>
        <n v="35538.0"/>
        <n v="35540.0"/>
        <n v="35541.0"/>
        <n v="35542.0"/>
        <n v="35546.0"/>
        <n v="35545.0"/>
        <n v="35544.0"/>
        <n v="35543.0"/>
        <n v="35547.0"/>
        <n v="35548.0"/>
        <n v="35550.0"/>
        <n v="35549.0"/>
        <n v="35552.0"/>
        <n v="35551.0"/>
        <n v="35554.0"/>
        <n v="35553.0"/>
        <n v="35555.0"/>
        <n v="35556.0"/>
        <n v="35557.0"/>
        <n v="35559.0"/>
        <n v="35558.0"/>
        <n v="35560.0"/>
        <n v="35561.0"/>
        <n v="35562.0"/>
        <n v="35563.0"/>
        <n v="35565.0"/>
        <n v="35564.0"/>
        <n v="35566.0"/>
        <n v="35567.0"/>
        <n v="35568.0"/>
        <n v="35570.0"/>
        <n v="35569.0"/>
        <n v="35571.0"/>
        <n v="35572.0"/>
        <n v="35573.0"/>
        <n v="35574.0"/>
        <n v="35369.0"/>
        <n v="35366.0"/>
        <n v="35367.0"/>
        <n v="35368.0"/>
        <n v="35370.0"/>
        <n v="35371.0"/>
        <n v="35373.0"/>
        <n v="35372.0"/>
        <n v="35375.0"/>
        <n v="35374.0"/>
        <n v="35376.0"/>
        <n v="35379.0"/>
        <n v="35378.0"/>
        <n v="35377.0"/>
        <n v="35382.0"/>
        <n v="35380.0"/>
        <n v="35381.0"/>
        <n v="35384.0"/>
        <n v="35383.0"/>
        <n v="35385.0"/>
        <n v="35386.0"/>
        <n v="35388.0"/>
        <n v="35387.0"/>
        <n v="35390.0"/>
        <n v="35389.0"/>
        <n v="35391.0"/>
        <n v="35392.0"/>
        <n v="35395.0"/>
        <n v="35394.0"/>
        <n v="35393.0"/>
        <n v="35396.0"/>
        <n v="35397.0"/>
        <n v="35398.0"/>
        <n v="35400.0"/>
        <n v="35399.0"/>
        <n v="35401.0"/>
        <n v="35402.0"/>
        <n v="35403.0"/>
        <n v="35405.0"/>
        <n v="35404.0"/>
        <n v="35406.0"/>
        <n v="35407.0"/>
        <n v="35408.0"/>
        <n v="35409.0"/>
        <n v="35410.0"/>
        <n v="35411.0"/>
        <n v="35414.0"/>
        <n v="35413.0"/>
        <n v="35412.0"/>
        <n v="35415.0"/>
        <n v="35416.0"/>
        <n v="35417.0"/>
        <n v="35419.0"/>
        <n v="35418.0"/>
        <n v="35420.0"/>
        <n v="35422.0"/>
        <n v="35421.0"/>
        <n v="35423.0"/>
        <n v="35425.0"/>
        <n v="35424.0"/>
        <n v="35427.0"/>
        <n v="35426.0"/>
        <n v="35428.0"/>
        <n v="35429.0"/>
        <n v="35430.0"/>
        <n v="35432.0"/>
        <n v="35431.0"/>
        <n v="35433.0"/>
        <n v="35434.0"/>
        <n v="35435.0"/>
        <n v="35578.0"/>
        <n v="35575.0"/>
        <n v="35576.0"/>
        <n v="35577.0"/>
        <n v="35579.0"/>
        <n v="35580.0"/>
        <n v="35581.0"/>
        <n v="35582.0"/>
        <n v="35583.0"/>
        <n v="35584.0"/>
        <n v="35585.0"/>
        <n v="35587.0"/>
        <n v="35586.0"/>
        <n v="35588.0"/>
        <n v="35589.0"/>
        <n v="35591.0"/>
        <n v="35590.0"/>
        <n v="35592.0"/>
        <n v="35593.0"/>
        <n v="35597.0"/>
        <n v="35595.0"/>
        <n v="35599.0"/>
        <n v="35598.0"/>
        <n v="35596.0"/>
        <n v="35594.0"/>
        <n v="35600.0"/>
        <n v="35602.0"/>
        <n v="35603.0"/>
        <n v="35601.0"/>
        <n v="35604.0"/>
        <n v="35605.0"/>
        <n v="35606.0"/>
        <n v="35607.0"/>
        <n v="35608.0"/>
        <n v="35609.0"/>
        <n v="35610.0"/>
        <n v="35659.0"/>
        <n v="35660.0"/>
        <n v="35661.0"/>
        <n v="35662.0"/>
        <n v="35664.0"/>
        <n v="35663.0"/>
        <n v="35665.0"/>
        <n v="35666.0"/>
        <n v="35667.0"/>
        <n v="35668.0"/>
        <n v="35669.0"/>
        <n v="35670.0"/>
        <n v="35671.0"/>
        <n v="35672.0"/>
        <n v="35673.0"/>
        <n v="35674.0"/>
        <n v="35675.0"/>
        <n v="35676.0"/>
        <n v="35677.0"/>
        <n v="35679.0"/>
        <n v="35678.0"/>
        <n v="35680.0"/>
        <n v="35681.0"/>
        <n v="35682.0"/>
        <n v="35683.0"/>
        <n v="35684.0"/>
        <n v="35685.0"/>
        <n v="35686.0"/>
        <n v="35687.0"/>
        <n v="35688.0"/>
        <n v="35689.0"/>
        <n v="35690.0"/>
        <n v="35691.0"/>
        <n v="35692.0"/>
        <n v="35693.0"/>
        <n v="35695.0"/>
        <n v="35694.0"/>
        <n v="35697.0"/>
        <n v="35696.0"/>
        <n v="35699.0"/>
        <n v="35698.0"/>
        <n v="35700.0"/>
        <n v="35701.0"/>
        <n v="35702.0"/>
        <n v="35703.0"/>
        <n v="35704.0"/>
        <n v="35705.0"/>
        <n v="35706.0"/>
        <n v="35708.0"/>
        <n v="35707.0"/>
        <n v="35709.0"/>
        <n v="35710.0"/>
        <n v="35713.0"/>
        <n v="35712.0"/>
        <n v="35711.0"/>
        <n v="35714.0"/>
        <n v="35715.0"/>
        <n v="35716.0"/>
        <n v="35718.0"/>
        <n v="35717.0"/>
        <n v="35720.0"/>
        <n v="35719.0"/>
        <n v="35721.0"/>
        <n v="35722.0"/>
        <n v="35723.0"/>
        <n v="35724.0"/>
        <n v="35726.0"/>
        <n v="35725.0"/>
        <n v="35727.0"/>
        <n v="35728.0"/>
        <n v="35729.0"/>
        <n v="35730.0"/>
        <n v="35731.0"/>
        <n v="35732.0"/>
        <n v="35733.0"/>
        <n v="35734.0"/>
        <n v="35735.0"/>
        <n v="35737.0"/>
        <n v="35736.0"/>
        <n v="35741.0"/>
        <n v="35739.0"/>
        <n v="35740.0"/>
        <n v="35738.0"/>
        <n v="35742.0"/>
        <n v="35743.0"/>
        <n v="35744.0"/>
        <n v="35745.0"/>
        <n v="35746.0"/>
        <n v="35747.0"/>
        <n v="35748.0"/>
        <n v="35749.0"/>
        <n v="35750.0"/>
        <n v="35751.0"/>
        <n v="35752.0"/>
        <n v="35753.0"/>
        <n v="35754.0"/>
        <n v="35756.0"/>
        <n v="35755.0"/>
        <n v="35757.0"/>
        <n v="35758.0"/>
        <n v="35612.0"/>
        <n v="35611.0"/>
        <n v="35613.0"/>
        <n v="35614.0"/>
        <n v="35617.0"/>
        <n v="35615.0"/>
        <n v="35616.0"/>
        <n v="35618.0"/>
        <n v="35619.0"/>
        <n v="35620.0"/>
        <n v="35621.0"/>
        <n v="35622.0"/>
        <n v="35623.0"/>
        <n v="35625.0"/>
        <n v="35624.0"/>
        <n v="35626.0"/>
        <n v="35627.0"/>
        <n v="35628.0"/>
        <n v="35629.0"/>
        <n v="35630.0"/>
        <n v="35631.0"/>
        <n v="35632.0"/>
        <n v="35633.0"/>
        <n v="35634.0"/>
        <n v="35636.0"/>
        <n v="35635.0"/>
        <n v="35637.0"/>
        <n v="35640.0"/>
        <n v="35639.0"/>
        <n v="35638.0"/>
        <n v="35641.0"/>
        <n v="35642.0"/>
        <n v="35645.0"/>
        <n v="35644.0"/>
        <n v="35643.0"/>
        <n v="35646.0"/>
        <n v="35649.0"/>
        <n v="35648.0"/>
        <n v="35647.0"/>
        <n v="35651.0"/>
        <n v="35652.0"/>
        <n v="35650.0"/>
        <n v="35653.0"/>
        <n v="35654.0"/>
        <n v="35655.0"/>
        <n v="35657.0"/>
        <n v="35656.0"/>
        <n v="35658.0"/>
        <n v="35762.0"/>
        <n v="35761.0"/>
        <n v="35760.0"/>
        <n v="35759.0"/>
        <n v="35763.0"/>
        <n v="35764.0"/>
        <n v="35767.0"/>
        <n v="35769.0"/>
        <n v="35765.0"/>
        <n v="35766.0"/>
        <n v="35770.0"/>
        <n v="35768.0"/>
        <n v="35771.0"/>
        <n v="35772.0"/>
        <n v="35773.0"/>
        <n v="35775.0"/>
        <n v="35774.0"/>
        <n v="35776.0"/>
        <n v="35777.0"/>
        <n v="35781.0"/>
        <n v="35780.0"/>
        <n v="35779.0"/>
        <n v="35778.0"/>
        <n v="35782.0"/>
        <n v="35784.0"/>
        <n v="35783.0"/>
        <n v="35786.0"/>
        <n v="35785.0"/>
        <n v="35787.0"/>
        <n v="35789.0"/>
        <n v="35788.0"/>
        <n v="35790.0"/>
        <n v="35792.0"/>
        <n v="35791.0"/>
        <n v="35794.0"/>
        <n v="35793.0"/>
        <n v="35796.0"/>
        <n v="35795.0"/>
        <n v="35797.0"/>
        <n v="35798.0"/>
        <n v="35801.0"/>
        <n v="35799.0"/>
        <n v="35800.0"/>
        <n v="35805.0"/>
        <n v="35802.0"/>
        <n v="35803.0"/>
        <n v="35804.0"/>
        <n v="35806.0"/>
        <n v="35808.0"/>
        <n v="35809.0"/>
        <n v="35807.0"/>
        <n v="35811.0"/>
        <n v="35810.0"/>
        <n v="35812.0"/>
        <n v="35813.0"/>
        <n v="35815.0"/>
        <n v="35814.0"/>
        <n v="35817.0"/>
        <n v="35816.0"/>
        <n v="35819.0"/>
        <n v="35818.0"/>
        <n v="35880.0"/>
        <n v="35882.0"/>
        <n v="35881.0"/>
        <n v="35883.0"/>
        <n v="35884.0"/>
        <n v="35885.0"/>
        <n v="35886.0"/>
        <n v="35887.0"/>
        <n v="35888.0"/>
        <n v="35889.0"/>
        <n v="35890.0"/>
        <n v="35891.0"/>
        <n v="35892.0"/>
        <n v="35893.0"/>
        <n v="35894.0"/>
        <n v="35895.0"/>
        <n v="35896.0"/>
        <n v="35897.0"/>
        <n v="35898.0"/>
        <n v="35899.0"/>
        <n v="35900.0"/>
        <n v="35902.0"/>
        <n v="35901.0"/>
        <n v="35903.0"/>
        <n v="35905.0"/>
        <n v="35904.0"/>
        <n v="35906.0"/>
        <n v="35907.0"/>
        <n v="35908.0"/>
        <n v="35909.0"/>
        <n v="35911.0"/>
        <n v="35910.0"/>
        <n v="35913.0"/>
        <n v="35912.0"/>
        <n v="35914.0"/>
        <n v="35915.0"/>
        <n v="35916.0"/>
        <n v="35917.0"/>
        <n v="35920.0"/>
        <n v="35919.0"/>
        <n v="35918.0"/>
        <n v="35921.0"/>
        <n v="35922.0"/>
        <n v="35924.0"/>
        <n v="35923.0"/>
        <n v="35927.0"/>
        <n v="35926.0"/>
        <n v="35925.0"/>
        <n v="35928.0"/>
        <n v="35929.0"/>
        <n v="35930.0"/>
        <n v="35931.0"/>
        <n v="35932.0"/>
        <n v="35933.0"/>
        <n v="35935.0"/>
        <n v="35934.0"/>
        <n v="35936.0"/>
        <n v="35937.0"/>
        <n v="35938.0"/>
        <n v="35939.0"/>
        <n v="35940.0"/>
        <n v="35941.0"/>
        <n v="35942.0"/>
        <n v="35943.0"/>
        <n v="35944.0"/>
        <n v="35945.0"/>
        <n v="35946.0"/>
        <n v="35948.0"/>
        <n v="35947.0"/>
        <n v="35949.0"/>
        <n v="35950.0"/>
        <n v="35951.0"/>
        <n v="35952.0"/>
        <n v="35954.0"/>
        <n v="35953.0"/>
        <n v="35956.0"/>
        <n v="35955.0"/>
        <n v="35957.0"/>
        <n v="35958.0"/>
        <n v="35959.0"/>
        <n v="35960.0"/>
        <n v="35961.0"/>
        <n v="35962.0"/>
        <n v="35963.0"/>
        <n v="35964.0"/>
        <n v="35965.0"/>
        <n v="35966.0"/>
        <n v="35967.0"/>
        <n v="35968.0"/>
        <n v="35969.0"/>
        <n v="35970.0"/>
        <n v="35972.0"/>
        <n v="35973.0"/>
        <n v="35971.0"/>
        <n v="35974.0"/>
        <n v="35975.0"/>
        <n v="35976.0"/>
        <n v="35977.0"/>
        <n v="35978.0"/>
        <n v="35979.0"/>
        <n v="35980.0"/>
        <n v="35981.0"/>
        <n v="35983.0"/>
        <n v="35982.0"/>
        <n v="35984.0"/>
        <n v="35824.0"/>
        <n v="35822.0"/>
        <n v="35821.0"/>
        <n v="35820.0"/>
        <n v="35823.0"/>
        <n v="35825.0"/>
        <n v="35826.0"/>
        <n v="35827.0"/>
        <n v="35828.0"/>
        <n v="35830.0"/>
        <n v="35829.0"/>
        <n v="35831.0"/>
        <n v="35832.0"/>
        <n v="35833.0"/>
        <n v="35834.0"/>
        <n v="35836.0"/>
        <n v="35835.0"/>
        <n v="35837.0"/>
        <n v="35838.0"/>
        <n v="35839.0"/>
        <n v="35840.0"/>
        <n v="35841.0"/>
        <n v="35843.0"/>
        <n v="35842.0"/>
        <n v="35844.0"/>
        <n v="35845.0"/>
        <n v="35846.0"/>
        <n v="35848.0"/>
        <n v="35847.0"/>
        <n v="35851.0"/>
        <n v="35852.0"/>
        <n v="35850.0"/>
        <n v="35849.0"/>
        <n v="35853.0"/>
        <n v="35854.0"/>
        <n v="35855.0"/>
        <n v="35857.0"/>
        <n v="35856.0"/>
        <n v="35858.0"/>
        <n v="35859.0"/>
        <n v="35860.0"/>
        <n v="35861.0"/>
        <n v="35862.0"/>
        <n v="35864.0"/>
        <n v="35863.0"/>
        <n v="35865.0"/>
        <n v="35866.0"/>
        <n v="35867.0"/>
        <n v="35868.0"/>
        <n v="35869.0"/>
        <n v="35870.0"/>
        <n v="35871.0"/>
        <n v="35872.0"/>
        <n v="35873.0"/>
        <n v="35874.0"/>
        <n v="35876.0"/>
        <n v="35875.0"/>
        <n v="35878.0"/>
        <n v="35877.0"/>
        <n v="35879.0"/>
        <n v="35985.0"/>
        <n v="35986.0"/>
        <n v="35987.0"/>
        <n v="35988.0"/>
        <n v="35989.0"/>
        <n v="35990.0"/>
        <n v="35991.0"/>
        <n v="35992.0"/>
        <n v="35993.0"/>
        <n v="35994.0"/>
        <n v="36001.0"/>
        <n v="35997.0"/>
        <n v="36000.0"/>
        <n v="35996.0"/>
        <n v="36002.0"/>
        <n v="35999.0"/>
        <n v="35998.0"/>
        <n v="35995.0"/>
        <n v="36003.0"/>
        <n v="36008.0"/>
        <n v="36005.0"/>
        <n v="36004.0"/>
        <n v="36009.0"/>
        <n v="36007.0"/>
        <n v="36006.0"/>
        <n v="36010.0"/>
        <n v="36015.0"/>
        <n v="36014.0"/>
        <n v="36011.0"/>
        <n v="36013.0"/>
        <n v="36012.0"/>
        <n v="36020.0"/>
        <n v="36018.0"/>
        <n v="36017.0"/>
        <n v="36016.0"/>
        <n v="36019.0"/>
        <n v="36021.0"/>
        <n v="36024.0"/>
        <n v="36023.0"/>
        <n v="36026.0"/>
        <n v="36025.0"/>
        <n v="36022.0"/>
        <n v="36027.0"/>
        <n v="36028.0"/>
        <n v="36029.0"/>
        <n v="36032.0"/>
        <n v="36031.0"/>
        <n v="36033.0"/>
        <n v="36030.0"/>
        <n v="36087.0"/>
        <n v="36088.0"/>
        <n v="36089.0"/>
        <n v="36090.0"/>
        <n v="36092.0"/>
        <n v="36091.0"/>
        <n v="36094.0"/>
        <n v="36093.0"/>
        <n v="36095.0"/>
        <n v="36097.0"/>
        <n v="36096.0"/>
        <n v="36098.0"/>
        <n v="36099.0"/>
        <n v="36100.0"/>
        <n v="36102.0"/>
        <n v="36101.0"/>
        <n v="36105.0"/>
        <n v="36104.0"/>
        <n v="36103.0"/>
        <n v="36106.0"/>
        <n v="36107.0"/>
        <n v="36108.0"/>
        <n v="36109.0"/>
        <n v="36110.0"/>
        <n v="36112.0"/>
        <n v="36111.0"/>
        <n v="36114.0"/>
        <n v="36113.0"/>
        <n v="36115.0"/>
        <n v="36116.0"/>
        <n v="36117.0"/>
        <n v="36118.0"/>
        <n v="36119.0"/>
        <n v="36120.0"/>
        <n v="36121.0"/>
        <n v="36123.0"/>
        <n v="36122.0"/>
        <n v="36124.0"/>
        <n v="36125.0"/>
        <n v="36199.0"/>
        <n v="36126.0"/>
        <n v="36127.0"/>
        <n v="36129.0"/>
        <n v="36128.0"/>
        <n v="36131.0"/>
        <n v="36130.0"/>
        <n v="36132.0"/>
        <n v="36133.0"/>
        <n v="36134.0"/>
        <n v="36136.0"/>
        <n v="36135.0"/>
        <n v="36137.0"/>
        <n v="36138.0"/>
        <n v="36139.0"/>
        <n v="36141.0"/>
        <n v="36140.0"/>
        <n v="36142.0"/>
        <n v="36143.0"/>
        <n v="36144.0"/>
        <n v="36145.0"/>
        <n v="36146.0"/>
        <n v="36151.0"/>
        <n v="36149.0"/>
        <n v="36148.0"/>
        <n v="36147.0"/>
        <n v="36150.0"/>
        <n v="36153.0"/>
        <n v="36154.0"/>
        <n v="36155.0"/>
        <n v="36156.0"/>
        <n v="36157.0"/>
        <n v="36158.0"/>
        <n v="36159.0"/>
        <n v="36160.0"/>
        <n v="36161.0"/>
        <n v="36162.0"/>
        <n v="36163.0"/>
        <n v="36165.0"/>
        <n v="36164.0"/>
        <n v="36166.0"/>
        <n v="36167.0"/>
        <n v="36168.0"/>
        <n v="36169.0"/>
        <n v="36170.0"/>
        <n v="36171.0"/>
        <n v="36172.0"/>
        <n v="36173.0"/>
        <n v="36174.0"/>
        <n v="36175.0"/>
        <n v="36176.0"/>
        <n v="36180.0"/>
        <n v="36179.0"/>
        <n v="36178.0"/>
        <n v="36177.0"/>
        <n v="36181.0"/>
        <n v="36182.0"/>
        <n v="36183.0"/>
        <n v="36184.0"/>
        <n v="36185.0"/>
        <n v="36187.0"/>
        <n v="36186.0"/>
        <n v="36188.0"/>
        <n v="36189.0"/>
        <n v="36190.0"/>
        <n v="36191.0"/>
        <n v="36192.0"/>
        <n v="36193.0"/>
        <n v="36196.0"/>
        <n v="36195.0"/>
        <n v="36194.0"/>
        <n v="36197.0"/>
        <n v="36198.0"/>
        <n v="36200.0"/>
        <n v="36201.0"/>
        <n v="36202.0"/>
        <n v="36203.0"/>
        <n v="36204.0"/>
        <n v="36205.0"/>
        <n v="36206.0"/>
        <n v="36207.0"/>
        <n v="36208.0"/>
        <n v="36209.0"/>
        <n v="36505.0"/>
        <n v="36039.0"/>
        <n v="36036.0"/>
        <n v="36034.0"/>
        <n v="36037.0"/>
        <n v="36035.0"/>
        <n v="36038.0"/>
        <n v="36040.0"/>
        <n v="36041.0"/>
        <n v="36042.0"/>
        <n v="36044.0"/>
        <n v="36043.0"/>
        <n v="36045.0"/>
        <n v="36046.0"/>
        <n v="36048.0"/>
        <n v="36047.0"/>
        <n v="36049.0"/>
        <n v="36051.0"/>
        <n v="36050.0"/>
        <n v="36052.0"/>
        <n v="36053.0"/>
        <n v="36054.0"/>
        <n v="36055.0"/>
        <n v="36056.0"/>
        <n v="36057.0"/>
        <n v="36058.0"/>
        <n v="36060.0"/>
        <n v="36061.0"/>
        <n v="36062.0"/>
        <n v="36063.0"/>
        <n v="36065.0"/>
        <n v="36064.0"/>
        <n v="36066.0"/>
        <n v="36067.0"/>
        <n v="36072.0"/>
        <n v="36068.0"/>
        <n v="36070.0"/>
        <n v="36071.0"/>
        <n v="36069.0"/>
        <n v="36073.0"/>
        <n v="36074.0"/>
        <n v="36075.0"/>
        <n v="36076.0"/>
        <n v="36077.0"/>
        <n v="36078.0"/>
        <n v="36079.0"/>
        <n v="36080.0"/>
        <n v="36082.0"/>
        <n v="36081.0"/>
        <n v="36083.0"/>
        <n v="36084.0"/>
        <n v="36085.0"/>
        <n v="36086.0"/>
        <n v="36210.0"/>
        <n v="36211.0"/>
        <n v="36212.0"/>
        <n v="36213.0"/>
        <n v="36214.0"/>
        <n v="36215.0"/>
        <n v="36219.0"/>
        <n v="36216.0"/>
        <n v="36218.0"/>
        <n v="36217.0"/>
        <n v="36220.0"/>
        <n v="36221.0"/>
        <n v="36222.0"/>
        <n v="36225.0"/>
        <n v="36224.0"/>
        <n v="36223.0"/>
        <n v="36226.0"/>
        <n v="36227.0"/>
        <n v="36228.0"/>
        <n v="36229.0"/>
        <n v="36230.0"/>
        <n v="36232.0"/>
        <n v="36233.0"/>
        <n v="36231.0"/>
        <n v="36305.0"/>
        <n v="36306.0"/>
        <n v="36307.0"/>
        <n v="36308.0"/>
        <n v="36309.0"/>
        <n v="36310.0"/>
        <n v="36311.0"/>
        <n v="36312.0"/>
        <n v="36313.0"/>
        <n v="36314.0"/>
        <n v="36315.0"/>
        <n v="36317.0"/>
        <n v="36316.0"/>
        <n v="36318.0"/>
        <n v="36319.0"/>
        <n v="36321.0"/>
        <n v="36320.0"/>
        <n v="36322.0"/>
        <n v="36324.0"/>
        <n v="36325.0"/>
        <n v="36323.0"/>
        <n v="36326.0"/>
        <n v="36328.0"/>
        <n v="36327.0"/>
        <n v="36330.0"/>
        <n v="36329.0"/>
        <n v="36332.0"/>
        <n v="36331.0"/>
        <n v="36333.0"/>
        <n v="36334.0"/>
        <n v="36335.0"/>
        <n v="36336.0"/>
        <n v="36337.0"/>
        <n v="36338.0"/>
        <n v="36339.0"/>
        <n v="36343.0"/>
        <n v="36342.0"/>
        <n v="36340.0"/>
        <n v="36341.0"/>
        <n v="36345.0"/>
        <n v="36344.0"/>
        <n v="36346.0"/>
        <n v="36347.0"/>
        <n v="36348.0"/>
        <n v="36350.0"/>
        <n v="36349.0"/>
        <n v="36351.0"/>
        <n v="36352.0"/>
        <n v="36353.0"/>
        <n v="36354.0"/>
        <n v="36357.0"/>
        <n v="36356.0"/>
        <n v="36355.0"/>
        <n v="36358.0"/>
        <n v="36359.0"/>
        <n v="36360.0"/>
        <n v="36361.0"/>
        <n v="36362.0"/>
        <n v="36363.0"/>
        <n v="36364.0"/>
        <n v="36365.0"/>
        <n v="36366.0"/>
        <n v="36368.0"/>
        <n v="36367.0"/>
        <n v="36370.0"/>
        <n v="36369.0"/>
        <n v="36371.0"/>
        <n v="36372.0"/>
        <n v="36373.0"/>
        <n v="36374.0"/>
        <n v="36375.0"/>
        <n v="36376.0"/>
        <n v="36379.0"/>
        <n v="36378.0"/>
        <n v="36377.0"/>
        <n v="36380.0"/>
        <n v="36381.0"/>
        <n v="36382.0"/>
        <n v="36384.0"/>
        <n v="36383.0"/>
        <n v="36387.0"/>
        <n v="36388.0"/>
        <n v="36386.0"/>
        <n v="36385.0"/>
        <n v="36389.0"/>
        <n v="36390.0"/>
        <n v="36392.0"/>
        <n v="36391.0"/>
        <n v="36393.0"/>
        <n v="36397.0"/>
        <n v="36394.0"/>
        <n v="36395.0"/>
        <n v="36396.0"/>
        <n v="36398.0"/>
        <n v="36400.0"/>
        <n v="36401.0"/>
        <n v="36399.0"/>
        <n v="36403.0"/>
        <n v="36402.0"/>
        <n v="36404.0"/>
        <n v="36405.0"/>
        <n v="36406.0"/>
        <n v="36407.0"/>
        <n v="36408.0"/>
        <n v="36409.0"/>
        <n v="36410.0"/>
        <n v="36411.0"/>
        <n v="36414.0"/>
        <n v="36413.0"/>
        <n v="36412.0"/>
        <n v="36417.0"/>
        <n v="36415.0"/>
        <n v="36416.0"/>
        <n v="36418.0"/>
        <n v="36420.0"/>
        <n v="36421.0"/>
        <n v="36419.0"/>
        <n v="36422.0"/>
        <n v="36424.0"/>
        <n v="36423.0"/>
        <n v="36425.0"/>
        <n v="36426.0"/>
        <n v="36427.0"/>
        <n v="36428.0"/>
        <n v="36429.0"/>
        <n v="36430.0"/>
        <n v="36432.0"/>
        <n v="36431.0"/>
        <n v="36433.0"/>
        <n v="36434.0"/>
        <n v="36435.0"/>
        <n v="36436.0"/>
        <n v="36437.0"/>
        <n v="36438.0"/>
        <n v="36439.0"/>
        <n v="36440.0"/>
        <n v="36441.0"/>
        <n v="36442.0"/>
        <n v="36443.0"/>
        <n v="36444.0"/>
        <n v="36445.0"/>
        <n v="36448.0"/>
        <n v="36446.0"/>
        <n v="36447.0"/>
        <n v="36449.0"/>
        <n v="36450.0"/>
        <n v="36451.0"/>
        <n v="36452.0"/>
        <n v="36453.0"/>
        <n v="36454.0"/>
        <n v="36456.0"/>
        <n v="36455.0"/>
        <n v="36457.0"/>
        <n v="36238.0"/>
        <n v="36236.0"/>
        <n v="36235.0"/>
        <n v="36234.0"/>
        <n v="36237.0"/>
        <n v="36239.0"/>
        <n v="36240.0"/>
        <n v="36241.0"/>
        <n v="36243.0"/>
        <n v="36242.0"/>
        <n v="36244.0"/>
        <n v="36245.0"/>
        <n v="36246.0"/>
        <n v="36252.0"/>
        <n v="36251.0"/>
        <n v="36250.0"/>
        <n v="36247.0"/>
        <n v="36248.0"/>
        <n v="36249.0"/>
        <n v="36253.0"/>
        <n v="36254.0"/>
        <n v="36255.0"/>
        <n v="36256.0"/>
        <n v="36257.0"/>
        <n v="36258.0"/>
        <n v="36260.0"/>
        <n v="36259.0"/>
        <n v="36261.0"/>
        <n v="36264.0"/>
        <n v="36265.0"/>
        <n v="36262.0"/>
        <n v="36263.0"/>
        <n v="36266.0"/>
        <n v="36267.0"/>
        <n v="36268.0"/>
        <n v="36269.0"/>
        <n v="36270.0"/>
        <n v="36271.0"/>
        <n v="36274.0"/>
        <n v="36272.0"/>
        <n v="36273.0"/>
        <n v="36275.0"/>
        <n v="36276.0"/>
        <n v="36277.0"/>
        <n v="36278.0"/>
        <n v="36279.0"/>
        <n v="36280.0"/>
        <n v="36281.0"/>
        <n v="36282.0"/>
        <n v="36283.0"/>
        <n v="36284.0"/>
        <n v="36285.0"/>
        <n v="36287.0"/>
        <n v="36288.0"/>
        <n v="36289.0"/>
        <n v="36290.0"/>
        <n v="36291.0"/>
        <n v="36292.0"/>
        <n v="36294.0"/>
        <n v="36293.0"/>
        <n v="36296.0"/>
        <n v="36295.0"/>
        <n v="36297.0"/>
        <n v="36299.0"/>
        <n v="36298.0"/>
        <n v="36300.0"/>
        <n v="36301.0"/>
        <n v="36302.0"/>
        <n v="36303.0"/>
        <n v="36304.0"/>
        <n v="36458.0"/>
        <n v="36459.0"/>
        <n v="36460.0"/>
        <n v="36461.0"/>
        <n v="36462.0"/>
        <n v="36464.0"/>
        <n v="36463.0"/>
        <n v="36465.0"/>
        <n v="36469.0"/>
        <n v="36468.0"/>
        <n v="36467.0"/>
        <n v="36470.0"/>
        <n v="36466.0"/>
        <n v="36471.0"/>
        <n v="36474.0"/>
        <n v="36473.0"/>
        <n v="36475.0"/>
        <n v="36476.0"/>
        <n v="36472.0"/>
        <n v="36477.0"/>
        <n v="36479.0"/>
        <n v="36478.0"/>
        <n v="36481.0"/>
        <n v="36482.0"/>
        <n v="36480.0"/>
        <n v="36485.0"/>
        <n v="36483.0"/>
        <n v="36484.0"/>
        <n v="36490.0"/>
        <n v="36487.0"/>
        <n v="36489.0"/>
        <n v="36488.0"/>
        <n v="36486.0"/>
        <n v="36493.0"/>
        <n v="36494.0"/>
        <n v="36492.0"/>
        <n v="36491.0"/>
        <n v="36495.0"/>
        <n v="36497.0"/>
        <n v="36498.0"/>
        <n v="36496.0"/>
        <n v="36500.0"/>
        <n v="36499.0"/>
        <n v="36501.0"/>
        <n v="36503.0"/>
        <n v="36502.0"/>
        <n v="70806.0"/>
        <n v="56344.0"/>
      </sharedItems>
    </cacheField>
    <cacheField name="cause_of_death" numFmtId="0">
      <sharedItems containsBlank="1">
        <s v="shot by the police"/>
        <s v="drowned"/>
        <s v="stabbed"/>
        <s v="unknown"/>
        <s v="exposure"/>
        <s v="died in a sewer"/>
        <s v="murdered"/>
        <s v="burns or suffocation"/>
        <s v="hit by a truck"/>
        <s v="hit by a car"/>
        <s v="illness"/>
        <s v="bombed"/>
        <s v="killed"/>
        <s v="shot"/>
        <s v="suicide"/>
        <s v="ran over by a truck"/>
        <s v="fell off a train"/>
        <s v="shot by border police"/>
        <s v="wounded"/>
        <s v="disappeared"/>
        <s v="starved"/>
        <s v="hypothermia"/>
        <s v="suffocation"/>
        <s v="car accident"/>
        <s v="tortured"/>
        <s v="asphyxiated"/>
        <s v="electrocuted"/>
        <s v="burned"/>
        <s v="hit by a train"/>
        <s v="natural causes"/>
        <s v="police violence"/>
        <s v="crushed by a wooden pallet in a truck"/>
        <s v="intoxicated"/>
        <s v="run over by a car"/>
        <s v="run over by a train"/>
        <s v="fall"/>
        <s v="heart failure"/>
        <s v="lack of medical care"/>
        <s v="run over by a truck"/>
        <s v="exhaustion"/>
        <s v="died from dehydration"/>
        <s v="run over by a bus"/>
        <s v="drowned or thirst"/>
        <s v="crushed"/>
        <s v="suffocated or drowned"/>
        <s v="run over"/>
        <s v="exhaustion or thirst"/>
        <s v="hypothermia and dehydration"/>
        <s v="died (presumably) from ill treatments"/>
        <s v="died in childbirth"/>
        <s v="suicide - jumped in water"/>
        <s v="suicide - other"/>
        <s v="frozen"/>
        <s v="suicide - hanged"/>
        <s v="suicide - put on fire"/>
        <s v="burned or asphyxiated due to arson attack"/>
        <s v="heat exhaustion"/>
        <s v="suicide - under train"/>
        <s v="suicide - jumped from building"/>
        <s v="executed"/>
        <s v="killed by bomb"/>
        <s v="suicide - hungerstrike"/>
        <s v="bled to death due to barbed wire"/>
        <s v="blown in minefield"/>
        <s v="died because of dangerous undeclared work"/>
        <s v="starved or died from dehydration"/>
        <s v="died of suddent infant death"/>
        <s v="died of kidney failure"/>
        <s v="wrong medical treatment, overdose"/>
        <s v="died of a shock"/>
        <s v="died after a fight"/>
        <s v="attacked by animals"/>
        <s v="suicide - jumped from train"/>
        <m/>
      </sharedItems>
    </cacheField>
    <cacheField name="CartoDB_Cause_of_death" numFmtId="0">
      <sharedItems containsBlank="1">
        <s v="authorities related death"/>
        <s v="drowning or exhaustion related death"/>
        <s v="malicious intent related death / manslaughter"/>
        <s v="unknown - supposedly exhaustion related death"/>
        <s v="other"/>
        <s v="violent accidental death (transport, blown in minefield...)"/>
        <s v="suicide"/>
        <m/>
      </sharedItems>
    </cacheField>
    <cacheField name="dataset" numFmtId="0">
      <sharedItems containsBlank="1">
        <m/>
        <s v="SZ"/>
        <s v="Del grande"/>
        <s v="Puls"/>
        <s v="United"/>
      </sharedItems>
    </cacheField>
    <cacheField name="date">
      <sharedItems containsDate="1" containsBlank="1" containsMixedTypes="1">
        <d v="2016-06-20T00:00:00Z"/>
        <d v="2016-06-16T00:00:00Z"/>
        <d v="2016-06-12T00:00:00Z"/>
        <d v="2016-06-02T00:00:00Z"/>
        <d v="2016-06-07T00:00:00Z"/>
        <d v="2016-06-09T00:00:00Z"/>
        <d v="2016-06-01T00:00:00Z"/>
        <d v="2016-06-03T00:00:00Z"/>
        <d v="2016-05-30T00:00:00Z"/>
        <d v="2016-05-29T00:00:00Z"/>
        <d v="2016-05-28T00:00:00Z"/>
        <d v="2016-05-26T00:00:00Z"/>
        <d v="2016-05-25T00:00:00Z"/>
        <d v="2016-05-27T00:00:00Z"/>
        <d v="2016-05-22T00:00:00Z"/>
        <d v="2016-05-19T00:00:00Z"/>
        <d v="2016-05-16T00:00:00Z"/>
        <d v="2016-05-12T00:00:00Z"/>
        <d v="2016-05-09T00:00:00Z"/>
        <d v="2016-05-05T00:00:00Z"/>
        <d v="2016-04-29T00:00:00Z"/>
        <d v="2016-04-30T00:00:00Z"/>
        <d v="2016-04-26T00:00:00Z"/>
        <d v="2016-04-21T00:00:00Z"/>
        <d v="2016-04-22T00:00:00Z"/>
        <d v="2016-04-18T00:00:00Z"/>
        <d v="2016-04-20T00:00:00Z"/>
        <d v="2016-04-15T00:00:00Z"/>
        <d v="2016-04-13T00:00:00Z"/>
        <d v="2016-04-14T00:00:00Z"/>
        <d v="2016-04-11T00:00:00Z"/>
        <d v="2016-03-25T00:00:00Z"/>
        <d v="2016-04-09T00:00:00Z"/>
        <d v="2016-04-03T00:00:00Z"/>
        <d v="2016-04-01T00:00:00Z"/>
        <d v="2016-03-31T00:00:00Z"/>
        <d v="2016-03-30T00:00:00Z"/>
        <d v="2016-03-28T00:00:00Z"/>
        <d v="2016-03-21T00:00:00Z"/>
        <d v="2016-03-24T00:00:00Z"/>
        <d v="2016-03-23T00:00:00Z"/>
        <d v="2016-03-20T00:00:00Z"/>
        <d v="2016-03-19T00:00:00Z"/>
        <d v="2016-03-18T00:00:00Z"/>
        <d v="2016-03-14T00:00:00Z"/>
        <d v="2016-03-16T00:00:00Z"/>
        <d v="2016-03-13T00:00:00Z"/>
        <d v="2016-03-11T00:00:00Z"/>
        <d v="2016-03-09T00:00:00Z"/>
        <d v="2016-03-06T00:00:00Z"/>
        <d v="2016-03-05T00:00:00Z"/>
        <d v="2016-03-02T00:00:00Z"/>
        <d v="2016-03-01T00:00:00Z"/>
        <d v="2016-02-23T00:00:00Z"/>
        <d v="2016-02-17T00:00:00Z"/>
        <d v="2016-02-19T00:00:00Z"/>
        <d v="2016-02-14T00:00:00Z"/>
        <d v="2016-02-01T00:00:00Z"/>
        <d v="2016-02-08T00:00:00Z"/>
        <d v="2016-02-10T00:00:00Z"/>
        <d v="2016-02-07T00:00:00Z"/>
        <d v="2016-02-02T00:00:00Z"/>
        <d v="2016-01-31T00:00:00Z"/>
        <d v="2016-01-30T00:00:00Z"/>
        <d v="2016-01-29T00:00:00Z"/>
        <d v="2016-01-28T00:00:00Z"/>
        <d v="2016-01-27T00:00:00Z"/>
        <d v="2016-01-26T00:00:00Z"/>
        <d v="2016-01-25T00:00:00Z"/>
        <d v="2016-01-24T00:00:00Z"/>
        <d v="2016-01-23T00:00:00Z"/>
        <d v="2016-01-22T00:00:00Z"/>
        <d v="2016-01-21T00:00:00Z"/>
        <d v="2016-01-20T00:00:00Z"/>
        <d v="2016-01-18T00:00:00Z"/>
        <d v="2016-01-17T00:00:00Z"/>
        <d v="2016-01-16T00:00:00Z"/>
        <d v="2016-01-15T00:00:00Z"/>
        <d v="2016-01-05T00:00:00Z"/>
        <d v="2016-01-11T00:00:00Z"/>
        <d v="2016-01-08T00:00:00Z"/>
        <d v="2016-01-09T00:00:00Z"/>
        <d v="2016-01-04T00:00:00Z"/>
        <s v="2016-01-02T00:00:00Z"/>
        <s v="2015-12-28T00:00:00Z"/>
        <s v="2015-12-26T00:00:00Z"/>
        <s v="2015-12-25T00:00:00Z"/>
        <s v="2015-12-22T00:00:00Z"/>
        <s v="2015-12-24T00:00:00Z"/>
        <s v="2015-12-23T00:00:00Z"/>
        <s v="2015-12-21T00:00:00Z"/>
        <s v="2012-12-16T00:00:00Z"/>
        <s v="2013-06-10T00:00:00Z"/>
        <s v="2015-12-18T00:00:00Z"/>
        <s v="2015-12-19T00:00:00Z"/>
        <s v="2015-12-16T00:00:00Z"/>
        <s v="2015-12-15T00:00:00Z"/>
        <s v="2015-12-14T00:00:00Z"/>
        <s v="2015-12-10T00:00:00Z"/>
        <s v="2015-12-08T00:00:00Z"/>
        <s v="2015-12-07T00:00:00Z"/>
        <s v="2015-12-09T00:00:00Z"/>
        <s v="2015-11-30T00:00:00Z"/>
        <s v="2015-12-03T00:00:00Z"/>
        <s v="2015-12-01T00:00:00Z"/>
        <s v="2015-11-27T00:00:00Z"/>
        <s v="2015-11-23T00:00:00Z"/>
        <s v="2015-11-22T00:00:00Z"/>
        <s v="2015-11-24T00:00:00Z"/>
        <s v="2015-11-19T00:00:00Z"/>
        <s v="2015-11-20T00:00:00Z"/>
        <s v="2015-11-17T00:00:00Z"/>
        <s v="2015-11-18T00:00:00Z"/>
        <s v="2015-11-13T00:00:00Z"/>
        <s v="2015-11-15T00:00:00Z"/>
        <s v="2015-11-11T00:00:00Z"/>
        <s v="2015-11-06T00:00:00Z"/>
        <s v="2015-11-07T00:00:00Z"/>
        <s v="2015-11-05T00:00:00Z"/>
        <s v="2015-11-03T00:00:00Z"/>
        <s v="2015-11-01T00:00:00Z"/>
        <s v="2015-10-29T00:00:00Z"/>
        <s v="2015-10-31T00:00:00Z"/>
        <s v="2015-10-28T00:00:00Z"/>
        <s v="2015-10-26T00:00:00Z"/>
        <s v="2015-10-25T00:00:00Z"/>
        <s v="2015-10-24T00:00:00Z"/>
        <s v="2015-10-21T00:00:00Z"/>
        <s v="2015-10-22T00:00:00Z"/>
        <s v="2015-10-17T00:00:00Z"/>
        <s v="2015-10-16T00:00:00Z"/>
        <s v="2015-10-18T00:00:00Z"/>
        <s v="2015-10-14T00:00:00Z"/>
        <s v="2015-10-15T00:00:00Z"/>
        <s v="2015-10-11T00:00:00Z"/>
        <s v="2015-10-09T00:00:00Z"/>
        <s v="2015-10-03T00:00:00Z"/>
        <s v="2015-10-04T00:00:00Z"/>
        <s v="2015-10-05T00:00:00Z"/>
        <s v="2015-09-30T00:00:00Z"/>
        <s v="2015-09-29T00:00:00Z"/>
        <s v="2015-09-25T00:00:00Z"/>
        <s v="2015-09-27T00:00:00Z"/>
        <s v="2015-09-24T00:00:00Z"/>
        <s v="2015-09-22T00:00:00Z"/>
        <s v="2015-09-20T00:00:00Z"/>
        <s v="2015-09-19T00:00:00Z"/>
        <s v="2015-09-18T00:00:00Z"/>
        <s v="2015-09-17T00:00:00Z"/>
        <s v="2015-09-15T00:00:00Z"/>
        <s v="2015-09-14T00:00:00Z"/>
        <s v="2015-09-13T00:00:00Z"/>
        <s v="2015-09-10T00:00:00Z"/>
        <s v="2015-09-06T00:00:00Z"/>
        <s v="2015-09-04T00:00:00Z"/>
        <s v="2015-09-03T00:00:00Z"/>
        <s v="2015-09-05T00:00:00Z"/>
        <s v="2015-09-02T00:00:00Z"/>
        <s v="2015-08-30T00:00:00Z"/>
        <s v="2015-08-29T00:00:00Z"/>
        <s v="2015-08-27T00:00:00Z"/>
        <s v="2015-08-25T00:00:00Z"/>
        <s v="2015-08-26T00:00:00Z"/>
        <s v="2015-08-24T00:00:00Z"/>
        <s v="2015-08-16T00:00:00Z"/>
        <s v="2015-08-19T00:00:00Z"/>
        <s v="2015-08-18T00:00:00Z"/>
        <s v="2015-08-15T00:00:00Z"/>
        <s v="2015-08-11T00:00:00Z"/>
        <s v="2015-08-06T00:00:00Z"/>
        <s v="2015-08-03T00:00:00Z"/>
        <s v="2015-08-02T00:00:00Z"/>
        <s v="2015-07-07T00:00:00Z"/>
        <s v="2015-07-13T00:00:00Z"/>
        <s v="2015-07-15T00:00:00Z"/>
        <s v="2015-07-01T00:00:00Z"/>
        <s v="2015-07-09T00:00:00Z"/>
        <s v="2015-07-23T00:00:00Z"/>
        <s v="2015-07-20T00:00:00Z"/>
        <s v="2015-07-24T00:00:00Z"/>
        <s v="2015-07-28T00:00:00Z"/>
        <s v="2015-07-29T00:00:00Z"/>
        <s v="2015-06-16T00:00:00Z"/>
        <s v="2015-06-23T00:00:00Z"/>
        <s v="2015-06-24T00:00:00Z"/>
        <s v="2015-06-29T00:00:00Z"/>
        <s v="2015-06-15T00:00:00Z"/>
        <s v="2015-06-14T00:00:00Z"/>
        <s v="2015-06-01T00:00:00Z"/>
        <s v="2015-05-31T00:00:00Z"/>
        <s v="2015-05-29T00:00:00Z"/>
        <s v="2015-05-25T00:00:00Z"/>
        <s v="2015-05-23T00:00:00Z"/>
        <s v="2015-05-12T00:00:00Z"/>
        <s v="2015-05-05T00:00:00Z"/>
        <s v="2015-05-03T00:00:00Z"/>
        <s v="2015-05-02T00:00:00Z"/>
        <s v="2015-04-24T00:00:00Z"/>
        <s v="2015-04-22T00:00:00Z"/>
        <s v="2015-04-20T00:00:00Z"/>
        <s v="2015-04-19T02:00:00Z"/>
        <s v="2015-04-17T00:00:00Z"/>
        <s v="2015-04-16T00:00:00Z"/>
        <s v="2015-04-14T00:00:00Z"/>
        <s v="2015-04-13T02:00:00Z"/>
        <s v="2015-04-12T00:00:00Z"/>
        <s v="2015-04-11T00:00:00Z"/>
        <s v="2015-04-10T00:00:00Z"/>
        <s v="2015-04-07T00:00:00Z"/>
        <s v="2015-03-17T00:00:00Z"/>
        <s v="2015-03-09T00:00:00Z"/>
        <s v="2015-03-04T00:00:00Z"/>
        <s v="2015-02-26T00:00:00Z"/>
        <s v="2015-02-13T00:00:00Z"/>
        <s v="2015-02-10T00:00:00Z"/>
        <s v="2015-02-09T00:00:00Z"/>
        <s v="2015-01-30T00:00:00Z"/>
        <s v="2015-01-22T00:00:00Z"/>
        <s v="2015-01-20T00:00:00Z"/>
        <s v="2015-01-05T00:00:00Z"/>
        <s v="2014-09-30T00:00:00Z"/>
        <s v="2014-09-29T00:00:00Z"/>
        <s v="2014-09-22T00:00:00Z"/>
        <s v="2014-09-15T00:00:00Z"/>
        <s v="2014-09-14T00:00:00Z"/>
        <s v="2014-09-13T00:00:00Z"/>
        <s v="2014-09-12T00:00:00Z"/>
        <s v="2014-09-10T00:00:00Z"/>
        <s v="2014-08-31T00:00:00Z"/>
        <s v="2014-08-30T00:00:00Z"/>
        <s v="2014-08-29T00:00:00Z"/>
        <s v="2014-08-27T00:00:00Z"/>
        <s v="2014-08-24T00:00:00Z"/>
        <s v="2014-08-23T00:00:00Z"/>
        <s v="2014-08-22T00:00:00Z"/>
        <s v="2014-08-21T00:00:00Z"/>
        <s v="2014-08-14T05:00:00Z"/>
        <s v="2014-08-02T05:00:00Z"/>
        <s v="2014-07-30T00:00:00Z"/>
        <s v="2014-07-28T05:00:00Z"/>
        <s v="2014-07-22T05:00:00Z"/>
        <s v="2014-07-19T05:00:00Z"/>
        <s v="2014-07-19T00:00:00Z"/>
        <s v="2014-07-18T05:00:00Z"/>
        <s v="2014-07-17T05:00:00Z"/>
        <s v="2014-07-16T05:00:00Z"/>
        <s v="2014-07-14T00:00:00Z"/>
        <s v="2014-07-10T05:00:00Z"/>
        <s v="2014-07-05T05:00:00Z"/>
        <s v="2014-07-02T00:00:00Z"/>
        <s v="2014-07-01T05:00:00Z"/>
        <s v="2014-06-27T00:00:00Z"/>
        <s v="2014-06-23T00:00:00Z"/>
        <s v="2014-06-29T05:00:00Z"/>
        <s v="2014-06-28T05:00:00Z"/>
        <s v="2014-06-18T00:00:00Z"/>
        <s v="2014-06-15T05:00:00Z"/>
        <s v="2014-06-14T00:00:00Z"/>
        <s v="2014-06-13T05:00:00Z"/>
        <s v="2014-06-10T00:00:00Z"/>
        <s v="2014-06-07T05:00:00Z"/>
        <s v="2014-06-02T05:00:00Z"/>
        <s v="2014-05-29T00:00:00Z"/>
        <s v="2014-05-27T05:00:00Z"/>
        <s v="2014-05-12T00:00:00Z"/>
        <s v="2014-05-11T00:00:00Z"/>
        <s v="2014-05-06T05:00:00Z"/>
        <s v="2014-05-06T00:00:00Z"/>
        <s v="2014-05-04T05:00:00Z"/>
        <s v="2014-05-03T05:00:00Z"/>
        <s v="2014-05-01T05:00:00Z"/>
        <s v="2014-04-29T05:00:00Z"/>
        <s v="2014-04-08T05:00:00Z"/>
        <s v="2014-03-30T05:00:00Z"/>
        <s v="2014-03-18T00:00:00Z"/>
        <s v="2014-03-01T00:00:00Z"/>
        <s v="2014-02-27T00:00:00Z"/>
        <s v="2014-02-06T06:00:00Z"/>
        <s v="2014-02-04T06:00:00Z"/>
        <s v="2014-12-31T00:00:00Z"/>
        <s v="2014-12-23T00:00:00Z"/>
        <s v="2014-12-19T00:00:00Z"/>
        <s v="2014-12-12T00:00:00Z"/>
        <s v="2014-12-06T00:00:00Z"/>
        <s v="2014-12-05T00:00:00Z"/>
        <s v="2014-12-03T00:00:00Z"/>
        <s v="2014-11-28T00:00:00Z"/>
        <s v="2014-11-20T00:00:00Z"/>
        <s v="2014-11-06T00:00:00Z"/>
        <s v="2014-11-02T00:00:00Z"/>
        <s v="2014-11-01T00:00:00Z"/>
        <s v="2014-10-21T00:00:00Z"/>
        <s v="2014-10-10T00:00:00Z"/>
        <s v="2014-10-03T00:00:00Z"/>
        <s v="2014-10-02T00:00:00Z"/>
        <s v="2014-10-01T00:00:00Z"/>
        <s v="2014-01-19T00:00:00Z"/>
        <s v="2013-09-29T05:00:00Z"/>
        <s v="2013-09-29T00:00:00Z"/>
        <s v="2013-09-21T00:00:00Z"/>
        <s v="2013-09-18T00:00:00Z"/>
        <s v="2013-09-16T00:00:00Z"/>
        <s v="2013-09-12T00:00:00Z"/>
        <s v="2013-09-09T00:00:00Z"/>
        <s v="2013-09-07T00:00:00Z"/>
        <s v="2013-08-10T00:00:00Z"/>
        <s v="2013-08-09T00:00:00Z"/>
        <s v="2013-08-04T00:00:00Z"/>
        <s v="2013-07-31T00:00:00Z"/>
        <s v="2013-07-29T00:00:00Z"/>
        <s v="2013-07-27T00:00:00Z"/>
        <s v="2013-07-26T00:00:00Z"/>
        <s v="2013-07-25T00:00:00Z"/>
        <s v="2013-07-24T00:00:00Z"/>
        <s v="2013-06-19T00:00:00Z"/>
        <s v="2013-06-14T00:00:00Z"/>
        <s v="2013-05-31T05:00:00Z"/>
        <s v="2013-05-30T00:00:00Z"/>
        <s v="2013-05-29T05:00:40Z"/>
        <s v="2013-05-14T00:00:00Z"/>
        <s v="2013-05-01T05:00:00Z"/>
        <s v="2013-04-17T00:00:00Z"/>
        <s v="2013-03-30T00:00:00Z"/>
        <s v="2013-03-23T00:00:00Z"/>
        <s v="2013-03-15T00:00:00Z"/>
        <s v="2013-03-01T00:00:00Z"/>
        <s v="2013-12-13T00:00:00Z"/>
        <s v="2013-12-07T00:00:00Z"/>
        <s v="2013-11-16T00:00:00Z"/>
        <s v="2013-11-01T00:00:00Z"/>
        <s v="2013-10-11T00:00:00Z"/>
        <s v="2013-10-10T00:00:00Z"/>
        <s v="2013-10-02T00:00:00Z"/>
        <s v="2013-01-23T00:00:00Z"/>
        <s v="2013-01-21T00:00:00Z"/>
        <s v="2013-01-17T06:00:02Z"/>
        <s v="2013-01-13T00:00:00Z"/>
        <s v="2013-01-04T06:00:00Z"/>
        <s v="2012-09-30T00:00:00Z"/>
        <s v="2012-09-17T00:00:00Z"/>
        <s v="2012-09-16T00:00:00Z"/>
        <s v="2012-09-15T00:00:00Z"/>
        <s v="2012-09-13T00:00:00Z"/>
        <s v="2012-09-09T00:00:00Z"/>
        <s v="2012-09-08T00:00:00Z"/>
        <s v="2012-09-06T00:00:00Z"/>
        <s v="2012-09-04T05:00:00Z"/>
        <s v="2012-08-28T00:00:00Z"/>
        <s v="2012-08-25T00:00:00Z"/>
        <s v="2012-08-22T00:00:00Z"/>
        <s v="2012-08-18T00:00:00Z"/>
        <s v="2012-08-17T00:00:00Z"/>
        <s v="2012-08-15T00:00:00Z"/>
        <s v="2012-08-09T00:00:00Z"/>
        <s v="2012-08-08T00:00:00Z"/>
        <s v="2012-07-31T00:00:00Z"/>
        <s v="2012-07-29T00:00:00Z"/>
        <s v="2012-07-08T00:00:00Z"/>
        <s v="2012-07-01T00:00:00Z"/>
        <s v="2012-06-29T00:00:00Z"/>
        <s v="2012-06-28T00:00:00Z"/>
        <s v="2012-06-22T00:00:00Z"/>
        <s v="2012-06-18T00:00:00Z"/>
        <s v="2012-06-11T00:00:00Z"/>
        <s v="2012-06-08T00:00:00Z"/>
        <s v="2012-06-01T00:00:00Z"/>
        <s v="2012-05-25T00:00:00Z"/>
        <s v="2012-05-24T00:00:00Z"/>
        <s v="2012-05-18T00:00:00Z"/>
        <s v="2012-05-07T00:00:00Z"/>
        <s v="2012-05-06T00:00:00Z"/>
        <s v="2012-05-02T00:00:00Z"/>
        <s v="2012-04-30T00:00:00Z"/>
        <s v="2012-04-28T00:00:00Z"/>
        <s v="2012-04-27T00:00:00Z"/>
        <s v="2012-04-25T00:00:00Z"/>
        <s v="2012-04-03T00:00:00Z"/>
        <s v="2012-03-30T00:00:00Z"/>
        <s v="2012-03-28T00:00:00Z"/>
        <s v="2012-03-16T00:00:00Z"/>
        <s v="2012-03-15T00:00:00Z"/>
        <s v="2012-03-14T00:00:00Z"/>
        <s v="2012-02-29T00:00:00Z"/>
        <s v="2012-02-28T00:00:00Z"/>
        <s v="2012-02-20T00:00:00Z"/>
        <s v="2012-02-04T00:00:00Z"/>
        <s v="2012-02-02T00:00:00Z"/>
        <s v="2012-12-14T00:00:00Z"/>
        <s v="2012-12-12T00:00:00Z"/>
        <s v="2012-12-07T00:00:00Z"/>
        <s v="2012-12-06T00:00:00Z"/>
        <s v="2012-12-03T00:00:00Z"/>
        <s v="2012-12-02T00:00:00Z"/>
        <s v="2012-12-01T00:00:00Z"/>
        <s v="2012-11-30T00:00:00Z"/>
        <s v="2012-11-12T06:00:00Z"/>
        <s v="2012-11-08T00:00:00Z"/>
        <s v="2012-11-06T00:00:00Z"/>
        <s v="2012-11-05T00:00:00Z"/>
        <s v="2012-11-04T00:00:00Z"/>
        <s v="2012-11-03T00:00:00Z"/>
        <s v="2012-10-30T00:00:00Z"/>
        <s v="2012-10-28T00:00:00Z"/>
        <s v="2012-10-24T00:00:00Z"/>
        <s v="2012-10-22T00:00:00Z"/>
        <s v="2012-10-09T00:00:00Z"/>
        <s v="2012-10-06T00:00:00Z"/>
        <s v="2012-10-01T00:00:00Z"/>
        <s v="2012-01-31T00:00:00Z"/>
        <s v="2012-01-29T00:00:00Z"/>
        <s v="2012-01-28T00:00:00Z"/>
        <s v="2012-01-27T00:00:00Z"/>
        <s v="2012-01-24T00:00:00Z"/>
        <s v="2012-01-21T00:00:00Z"/>
        <s v="2012-01-19T00:00:00Z"/>
        <s v="2012-01-14T00:00:00Z"/>
        <s v="2012-01-09T00:00:00Z"/>
        <s v="2012-01-04T00:00:00Z"/>
        <s v="2012-01-03T00:00:00Z"/>
        <s v="2012-01-01T00:00:00Z"/>
        <s v="2011-09-27T00:00:00Z"/>
        <s v="2011-09-22T00:00:00Z"/>
        <s v="2011-09-20T00:00:00Z"/>
        <s v="2011-09-13T00:00:00Z"/>
        <s v="2011-09-12T00:00:00Z"/>
        <s v="2011-09-10T00:00:00Z"/>
        <s v="2011-09-05T00:00:00Z"/>
        <s v="2011-09-02T00:00:00Z"/>
        <s v="2011-09-01T00:00:00Z"/>
        <s v="2011-08-30T00:00:00Z"/>
        <s v="2011-08-23T00:00:00Z"/>
        <s v="2011-08-18T00:00:00Z"/>
        <s v="2011-08-17T00:00:00Z"/>
        <s v="2011-08-13T00:00:00Z"/>
        <s v="2011-08-11T00:00:00Z"/>
        <s v="2011-08-07T00:00:00Z"/>
        <s v="2011-08-03T00:00:00Z"/>
        <s v="2011-07-31T00:00:00Z"/>
        <s v="2011-07-28T00:00:00Z"/>
        <s v="2011-07-12T00:00:00Z"/>
        <s v="2011-07-11T00:00:00Z"/>
        <s v="2011-07-09T00:00:00Z"/>
        <s v="2011-07-06T00:00:00Z"/>
        <s v="2011-06-30T00:00:00Z"/>
        <s v="2011-06-28T00:00:00Z"/>
        <s v="2011-06-24T00:00:00Z"/>
        <s v="2011-06-23T00:00:00Z"/>
        <s v="2011-06-11T00:00:00Z"/>
        <s v="2011-06-04T00:00:00Z"/>
        <s v="2011-06-03T00:00:00Z"/>
        <s v="2011-06-02T00:00:00Z"/>
        <s v="2011-05-31T00:00:00Z"/>
        <s v="2011-05-28T00:00:00Z"/>
        <s v="2011-05-22T00:00:00Z"/>
        <s v="2011-05-21T00:00:00Z"/>
        <s v="2011-05-20T00:00:00Z"/>
        <s v="2011-05-18T00:00:00Z"/>
        <s v="2011-05-15T00:00:00Z"/>
        <s v="2011-05-11T05:00:00Z"/>
        <s v="2011-05-10T00:00:00Z"/>
        <s v="2011-05-09T00:00:00Z"/>
        <s v="2011-05-08T05:00:00Z"/>
        <s v="2011-05-08T00:00:00Z"/>
        <s v="2011-05-06T00:00:00Z"/>
        <s v="2011-05-04T00:00:00Z"/>
        <s v="2011-04-29T00:00:00Z"/>
        <s v="2011-04-18T00:00:00Z"/>
        <s v="2011-04-17T05:00:22Z"/>
        <s v="2011-04-16T00:00:00Z"/>
        <s v="2011-04-15T00:00:00Z"/>
        <s v="2011-04-12T00:00:00Z"/>
        <s v="2011-04-07T00:00:00Z"/>
        <s v="2011-04-02T00:00:00Z"/>
        <s v="2011-04-01T00:00:00Z"/>
        <s v="2011-03-31T00:00:00Z"/>
        <s v="2011-03-30T00:00:00Z"/>
        <s v="2011-03-28T00:00:00Z"/>
        <s v="2011-03-27T00:00:00Z"/>
        <s v="2011-03-26T00:00:00Z"/>
        <s v="2011-03-25T00:00:00Z"/>
        <s v="2011-03-24T00:00:00Z"/>
        <s v="2011-03-21T00:00:00Z"/>
        <s v="2011-03-17T00:00:00Z"/>
        <s v="2011-03-16T00:00:00Z"/>
        <s v="2011-03-13T00:00:00Z"/>
        <s v="2011-03-11T00:00:00Z"/>
        <s v="2011-03-05T00:00:00Z"/>
        <s v="2011-03-04T00:00:00Z"/>
        <s v="2011-03-03T00:00:00Z"/>
        <s v="2011-03-01T06:00:00Z"/>
        <s v="2011-02-26T00:00:00Z"/>
        <s v="2011-02-25T00:00:00Z"/>
        <s v="2011-02-24T00:00:00Z"/>
        <s v="2011-02-14T00:00:00Z"/>
        <s v="2011-02-07T00:00:00Z"/>
        <s v="2011-02-06T00:00:00Z"/>
        <s v="2011-02-05T00:00:00Z"/>
        <s v="2011-02-03T00:00:00Z"/>
        <s v="2011-02-02T00:00:00Z"/>
        <s v="2011-12-31T00:00:00Z"/>
        <s v="2011-12-29T00:00:00Z"/>
        <s v="2011-12-26T00:00:00Z"/>
        <s v="2011-12-23T00:00:00Z"/>
        <s v="2011-12-21T00:00:00Z"/>
        <s v="2011-12-19T00:00:00Z"/>
        <s v="2011-12-18T00:00:00Z"/>
        <s v="2011-12-06T00:00:00Z"/>
        <s v="2011-12-03T00:00:00Z"/>
        <s v="2011-12-01T00:00:00Z"/>
        <s v="2011-11-27T00:00:00Z"/>
        <s v="2011-11-26T00:00:00Z"/>
        <s v="2011-11-25T00:00:00Z"/>
        <s v="2011-11-23T00:00:00Z"/>
        <s v="2011-11-22T00:00:00Z"/>
        <s v="2011-11-09T00:00:00Z"/>
        <s v="2011-11-04T00:00:00Z"/>
        <s v="2011-11-03T00:00:00Z"/>
        <s v="2011-11-01T00:00:00Z"/>
        <s v="2011-10-30T00:00:00Z"/>
        <s v="2011-10-23T00:00:00Z"/>
        <s v="2011-10-22T00:00:00Z"/>
        <s v="2011-10-17T00:00:00Z"/>
        <s v="2011-10-12T00:00:00Z"/>
        <s v="2011-10-11T00:00:00Z"/>
        <s v="2011-10-04T00:00:00Z"/>
        <s v="2011-10-03T00:00:00Z"/>
        <s v="2011-01-30T00:00:00Z"/>
        <s v="2011-01-25T00:00:00Z"/>
        <s v="2011-01-22T00:00:00Z"/>
        <s v="2011-01-21T00:00:00Z"/>
        <s v="2011-01-17T00:00:00Z"/>
        <s v="2011-01-16T00:00:00Z"/>
        <s v="2011-01-15T00:00:00Z"/>
        <s v="2011-01-11T00:00:00Z"/>
        <s v="2011-01-09T00:00:00Z"/>
        <s v="2011-01-07T00:00:00Z"/>
        <s v="2011-01-06T00:00:00Z"/>
        <s v="2011-01-05T00:00:00Z"/>
        <s v="2011-01-03T00:00:00Z"/>
        <s v="2011-01-02T00:00:00Z"/>
        <s v="2011-01-01T00:00:00Z"/>
        <s v="2010-09-30T00:00:00Z"/>
        <s v="2010-09-20T00:00:00Z"/>
        <s v="2010-09-12T00:00:00Z"/>
        <s v="2010-09-10T00:00:00Z"/>
        <s v="2010-09-03T00:00:00Z"/>
        <s v="2010-08-30T00:00:00Z"/>
        <s v="2010-08-28T00:00:00Z"/>
        <s v="2010-08-27T00:00:00Z"/>
        <s v="2010-08-26T00:00:00Z"/>
        <s v="2010-08-24T00:00:00Z"/>
        <s v="2010-08-15T00:00:00Z"/>
        <s v="2010-08-14T00:00:00Z"/>
        <s v="2010-08-13T00:00:00Z"/>
        <s v="2010-08-08T00:00:00Z"/>
        <s v="2010-08-05T00:00:00Z"/>
        <s v="2010-08-03T00:00:00Z"/>
        <s v="2010-08-02T00:00:00Z"/>
        <s v="2010-07-28T00:00:00Z"/>
        <s v="2010-07-27T00:00:00Z"/>
        <s v="2010-07-24T00:00:00Z"/>
        <s v="2010-07-20T00:00:00Z"/>
        <s v="2010-07-11T00:00:00Z"/>
        <s v="2010-07-09T00:00:00Z"/>
        <s v="2010-07-07T00:00:00Z"/>
        <s v="2010-07-06T00:00:00Z"/>
        <s v="2010-07-03T00:00:00Z"/>
        <s v="2010-07-02T00:00:00Z"/>
        <s v="2010-06-30T00:00:00Z"/>
        <s v="2010-06-28T00:00:00Z"/>
        <s v="2010-06-26T00:00:00Z"/>
        <s v="2010-06-24T00:00:00Z"/>
        <s v="2010-05-29T00:00:00Z"/>
        <s v="2010-05-25T00:00:00Z"/>
        <s v="2010-05-12T00:00:00Z"/>
        <s v="2010-04-20T00:00:00Z"/>
        <s v="2010-04-19T00:00:00Z"/>
        <s v="2010-04-18T00:00:00Z"/>
        <s v="2010-04-17T00:00:00Z"/>
        <s v="2010-04-15T00:00:00Z"/>
        <s v="2010-04-14T00:00:00Z"/>
        <s v="2010-04-12T00:00:00Z"/>
        <s v="2010-04-02T00:00:00Z"/>
        <s v="2010-03-31T00:00:00Z"/>
        <s v="2010-03-29T00:00:00Z"/>
        <s v="2010-03-27T00:00:00Z"/>
        <s v="2010-03-26T00:00:00Z"/>
        <s v="2010-03-20T00:00:00Z"/>
        <s v="2010-03-16T00:00:00Z"/>
        <s v="2010-03-05T00:00:00Z"/>
        <s v="2010-03-04T00:00:00Z"/>
        <s v="2010-03-02T00:00:00Z"/>
        <s v="2010-02-22T00:00:00Z"/>
        <s v="2010-02-09T00:00:00Z"/>
        <s v="2010-02-05T00:00:00Z"/>
        <s v="2010-02-04T00:00:00Z"/>
        <s v="2010-02-03T00:00:00Z"/>
        <s v="2010-12-27T00:00:00Z"/>
        <s v="2010-12-19T00:00:00Z"/>
        <s v="2010-12-16T00:00:00Z"/>
        <s v="2010-12-11T00:00:00Z"/>
        <s v="2010-12-10T00:00:00Z"/>
        <s v="2010-12-09T00:00:00Z"/>
        <s v="2010-12-07T00:00:00Z"/>
        <s v="2010-12-01T00:00:00Z"/>
        <s v="2010-11-29T00:00:00Z"/>
        <s v="2010-11-28T00:00:00Z"/>
        <s v="2010-11-26T00:00:00Z"/>
        <s v="2010-11-22T00:00:00Z"/>
        <s v="2010-11-21T00:00:00Z"/>
        <s v="2010-11-15T00:00:00Z"/>
        <s v="2010-11-12T00:00:00Z"/>
        <s v="2010-11-11T00:00:00Z"/>
        <s v="2010-11-07T00:00:00Z"/>
        <s v="2010-11-06T00:00:00Z"/>
        <s v="2010-11-03T00:00:00Z"/>
        <s v="2010-11-02T00:00:00Z"/>
        <s v="2010-11-01T00:00:00Z"/>
        <s v="2010-10-30T00:00:00Z"/>
        <s v="2010-10-13T00:00:00Z"/>
        <s v="2010-10-03T00:00:00Z"/>
        <s v="2010-10-02T00:00:00Z"/>
        <s v="2010-01-15T00:00:00Z"/>
        <s v="2010-01-11T00:00:00Z"/>
        <s v="2010-01-10T00:00:00Z"/>
        <s v="2010-01-08T00:00:00Z"/>
        <s v="2010-01-07T00:00:00Z"/>
        <s v="2010-01-06T00:00:00Z"/>
        <s v="2010-01-05T00:00:00Z"/>
        <s v="2010-01-04T00:00:00Z"/>
        <s v="2010-01-03T00:00:00Z"/>
        <s v="2009-09-30T00:00:00Z"/>
        <s v="2009-09-22T00:00:00Z"/>
        <s v="2009-09-18T00:00:00Z"/>
        <s v="2009-09-15T00:00:00Z"/>
        <s v="2009-09-13T00:00:00Z"/>
        <s v="2009-09-11T00:00:00Z"/>
        <s v="2009-09-08T00:00:00Z"/>
        <s v="2009-09-07T00:00:00Z"/>
        <s v="2009-08-31T00:00:00Z"/>
        <s v="2009-08-28T00:00:00Z"/>
        <s v="2009-08-27T00:00:00Z"/>
        <s v="2009-08-26T00:00:00Z"/>
        <s v="2009-08-24T00:00:00Z"/>
        <s v="2009-08-23T00:00:00Z"/>
        <s v="2009-08-21T00:00:00Z"/>
        <s v="2009-08-19T00:00:00Z"/>
        <s v="2009-08-16T00:00:00Z"/>
        <s v="2009-08-15T00:00:00Z"/>
        <s v="2009-08-12T00:00:00Z"/>
        <s v="2009-08-10T00:00:00Z"/>
        <s v="2009-08-09T00:00:00Z"/>
        <s v="2009-08-08T00:00:00Z"/>
        <s v="2009-08-07T00:00:00Z"/>
        <s v="2009-08-06T00:00:00Z"/>
        <s v="2009-07-30T00:00:00Z"/>
        <s v="2009-07-26T00:00:00Z"/>
        <s v="2009-07-24T00:00:00Z"/>
        <s v="2009-07-23T00:00:00Z"/>
        <s v="2009-07-22T00:00:00Z"/>
        <s v="2009-07-21T00:00:00Z"/>
        <s v="2009-07-16T00:00:00Z"/>
        <s v="2009-07-14T00:00:00Z"/>
        <s v="2009-07-13T00:00:00Z"/>
        <s v="2009-07-04T00:00:00Z"/>
        <s v="2009-07-02T00:00:00Z"/>
        <s v="2009-06-30T00:00:00Z"/>
        <s v="2009-06-28T00:00:00Z"/>
        <s v="2009-06-27T00:00:00Z"/>
        <s v="2009-06-23T00:00:00Z"/>
        <s v="2009-06-22T00:00:00Z"/>
        <s v="2009-06-18T00:00:00Z"/>
        <s v="2009-06-16T00:00:00Z"/>
        <s v="2009-06-12T05:00:00Z"/>
        <s v="2009-06-10T00:00:00Z"/>
        <s v="2009-06-09T00:00:00Z"/>
        <s v="2009-06-07T00:00:00Z"/>
        <s v="2009-06-03T00:00:00Z"/>
        <s v="2009-06-02T00:00:00Z"/>
        <s v="2009-06-01T00:00:00Z"/>
        <s v="2009-05-26T00:00:00Z"/>
        <s v="2009-05-21T00:00:00Z"/>
        <s v="2009-05-18T00:00:00Z"/>
        <s v="2009-05-03T00:00:00Z"/>
        <s v="2009-05-01T00:00:00Z"/>
        <s v="2009-04-29T00:00:00Z"/>
        <s v="2009-04-22T00:00:00Z"/>
        <s v="2009-04-17T00:00:00Z"/>
        <s v="2009-04-15T00:00:00Z"/>
        <s v="2009-04-07T00:00:00Z"/>
        <s v="2009-04-05T00:00:00Z"/>
        <s v="2009-04-04T00:00:00Z"/>
        <s v="2009-04-02T00:00:00Z"/>
        <s v="2009-03-28T00:00:00Z"/>
        <s v="2009-03-25T00:00:00Z"/>
        <s v="2009-03-22T00:00:00Z"/>
        <s v="2009-03-21T00:00:00Z"/>
        <s v="2009-03-18T00:00:00Z"/>
        <s v="2009-03-16T00:00:00Z"/>
        <s v="2009-03-15T00:00:00Z"/>
        <s v="2009-03-07T00:00:00Z"/>
        <s v="2009-03-06T00:00:00Z"/>
        <s v="2009-03-05T00:00:00Z"/>
        <s v="2009-03-03T00:00:00Z"/>
        <s v="2009-02-28T00:00:00Z"/>
        <s v="2009-02-24T00:00:00Z"/>
        <s v="2009-02-20T00:00:00Z"/>
        <s v="2009-02-14T00:00:00Z"/>
        <s v="2009-02-01T00:00:00Z"/>
        <s v="2009-12-31T00:00:00Z"/>
        <s v="2009-12-30T00:00:00Z"/>
        <s v="2009-12-24T00:00:00Z"/>
        <s v="2009-12-17T00:00:00Z"/>
        <s v="2009-12-14T00:00:00Z"/>
        <s v="2009-12-12T00:00:00Z"/>
        <s v="2009-12-11T00:00:00Z"/>
        <s v="2009-12-10T00:00:00Z"/>
        <s v="2009-12-09T00:00:00Z"/>
        <s v="2009-12-08T00:00:00Z"/>
        <s v="2009-12-07T00:00:00Z"/>
        <s v="2009-12-06T00:00:00Z"/>
        <s v="2009-11-30T00:00:00Z"/>
        <s v="2009-11-23T00:00:00Z"/>
        <s v="2009-11-19T00:00:00Z"/>
        <s v="2009-11-17T00:00:00Z"/>
        <s v="2009-11-15T00:00:00Z"/>
        <s v="2009-11-13T00:00:00Z"/>
        <s v="2009-11-05T00:00:00Z"/>
        <s v="2009-11-01T00:00:00Z"/>
        <s v="2009-10-29T00:00:00Z"/>
        <s v="2009-10-28T00:00:00Z"/>
        <s v="2009-10-26T00:00:00Z"/>
        <s v="2009-10-25T00:00:00Z"/>
        <s v="2009-10-14T00:00:00Z"/>
        <s v="2009-10-09T00:00:00Z"/>
        <s v="2009-10-08T00:00:00Z"/>
        <s v="2009-10-07T00:00:00Z"/>
        <s v="2009-10-06T00:00:00Z"/>
        <s v="2009-01-30T00:00:00Z"/>
        <s v="2009-01-28T00:00:00Z"/>
        <s v="2009-01-27T00:00:00Z"/>
        <s v="2009-01-24T00:00:00Z"/>
        <s v="2009-01-21T00:00:00Z"/>
        <s v="2009-01-20T00:00:00Z"/>
        <s v="2009-01-18T00:00:00Z"/>
        <s v="2009-01-13T00:00:00Z"/>
        <s v="2009-01-12T00:00:00Z"/>
        <s v="2009-01-11T00:00:00Z"/>
        <s v="2009-01-10T00:00:00Z"/>
        <s v="2009-01-09T00:00:00Z"/>
        <s v="2009-01-07T00:00:00Z"/>
        <s v="2009-01-06T00:00:00Z"/>
        <s v="2009-01-05T00:00:00Z"/>
        <s v="2009-01-03T00:00:00Z"/>
        <s v="2009-01-02T00:00:00Z"/>
        <s v="2009-01-01T00:00:00Z"/>
        <s v="2008-09-30T00:00:00Z"/>
        <s v="2008-09-28T00:00:00Z"/>
        <s v="2008-09-26T00:00:00Z"/>
        <s v="2008-09-25T00:00:00Z"/>
        <s v="2008-09-23T00:00:00Z"/>
        <s v="2008-09-22T00:00:00Z"/>
        <s v="2008-09-21T00:00:00Z"/>
        <s v="2008-09-18T00:00:00Z"/>
        <s v="2008-09-11T00:00:00Z"/>
        <s v="2008-09-09T00:00:00Z"/>
        <s v="2008-09-08T00:00:00Z"/>
        <s v="2008-09-07T00:00:00Z"/>
        <s v="2008-09-06T00:00:00Z"/>
        <s v="2008-09-04T00:00:00Z"/>
        <s v="2008-09-03T00:00:00Z"/>
        <s v="2008-08-31T00:00:00Z"/>
        <s v="2008-08-29T00:00:00Z"/>
        <s v="2008-08-27T00:00:00Z"/>
        <s v="2008-08-25T00:00:00Z"/>
        <s v="2008-08-24T00:00:00Z"/>
        <s v="2008-08-23T00:00:00Z"/>
        <s v="2008-08-22T00:00:00Z"/>
        <s v="2008-08-20T00:00:00Z"/>
        <s v="2008-08-18T00:00:00Z"/>
        <s v="2008-08-17T00:00:00Z"/>
        <s v="2008-08-11T00:00:00Z"/>
        <s v="2008-08-08T00:00:00Z"/>
        <s v="2008-08-05T00:00:00Z"/>
        <s v="2008-08-04T00:00:00Z"/>
        <s v="2008-08-03T00:00:00Z"/>
        <s v="2008-08-01T00:00:00Z"/>
        <s v="2008-07-30T00:00:00Z"/>
        <s v="2008-07-29T00:00:00Z"/>
        <s v="2008-07-28T00:00:00Z"/>
        <s v="2008-07-24T00:00:00Z"/>
        <s v="2008-07-22T00:00:00Z"/>
        <s v="2008-07-21T00:00:00Z"/>
        <s v="2008-07-19T00:00:00Z"/>
        <s v="2008-07-18T00:00:00Z"/>
        <s v="2008-07-17T00:00:00Z"/>
        <s v="2008-07-15T00:00:00Z"/>
        <s v="2008-07-13T00:00:00Z"/>
        <s v="2008-07-12T00:00:00Z"/>
        <s v="2008-07-11T00:00:00Z"/>
        <s v="2008-07-10T00:00:00Z"/>
        <s v="2008-07-09T00:00:00Z"/>
        <s v="2008-07-08T00:00:00Z"/>
        <s v="2008-07-06T00:00:00Z"/>
        <s v="2008-07-05T00:00:00Z"/>
        <s v="2008-07-03T00:00:00Z"/>
        <s v="2008-06-29T00:00:00Z"/>
        <s v="2008-06-28T00:00:00Z"/>
        <s v="2008-06-27T00:00:00Z"/>
        <s v="2008-06-26T00:00:00Z"/>
        <s v="2008-06-25T00:00:00Z"/>
        <s v="2008-06-21T00:00:00Z"/>
        <s v="2008-06-20T00:00:00Z"/>
        <s v="2008-06-18T00:00:00Z"/>
        <s v="2008-06-17T00:00:00Z"/>
        <s v="2008-06-16T00:00:00Z"/>
        <s v="2008-06-14T00:00:00Z"/>
        <s v="2008-06-13T00:00:00Z"/>
        <s v="2008-06-11T00:00:00Z"/>
        <s v="2008-06-10T00:00:00Z"/>
        <s v="2008-06-09T00:00:00Z"/>
        <s v="2008-06-08T00:00:00Z"/>
        <s v="2008-06-06T05:00:00Z"/>
        <s v="2008-06-06T00:00:00Z"/>
        <s v="2008-06-05T00:00:00Z"/>
        <s v="2008-06-03T00:00:00Z"/>
        <s v="2008-06-01T00:00:00Z"/>
        <s v="2008-05-31T00:00:00Z"/>
        <s v="2008-05-30T00:00:00Z"/>
        <s v="2008-05-28T00:00:00Z"/>
        <s v="2008-05-27T00:00:00Z"/>
        <s v="2008-05-25T00:00:00Z"/>
        <s v="2008-05-24T00:00:00Z"/>
        <s v="2008-05-23T00:00:00Z"/>
        <s v="2008-05-22T00:00:00Z"/>
        <s v="2008-05-21T00:00:00Z"/>
        <s v="2008-05-19T00:00:00Z"/>
        <s v="2008-05-15T00:00:00Z"/>
        <s v="2008-05-10T00:00:00Z"/>
        <s v="2008-05-09T00:00:00Z"/>
        <s v="2008-05-08T00:00:00Z"/>
        <s v="2008-05-07T00:00:00Z"/>
        <s v="2008-05-05T00:00:00Z"/>
        <s v="2008-05-04T00:00:00Z"/>
        <s v="2008-05-02T00:00:00Z"/>
        <s v="2008-05-01T00:00:00Z"/>
        <s v="2008-04-30T00:00:00Z"/>
        <s v="2008-04-27T00:00:00Z"/>
        <s v="2008-04-24T00:00:00Z"/>
        <s v="2008-04-23T00:00:00Z"/>
        <s v="2008-04-22T00:00:00Z"/>
        <s v="2008-04-21T00:00:00Z"/>
        <s v="2008-04-20T00:00:00Z"/>
        <s v="2008-04-16T00:00:00Z"/>
        <s v="2008-04-14T00:00:00Z"/>
        <s v="2008-04-09T00:00:00Z"/>
        <s v="2008-04-08T00:00:00Z"/>
        <s v="2008-04-07T00:00:00Z"/>
        <s v="2008-04-06T00:00:00Z"/>
        <s v="2008-04-04T00:00:00Z"/>
        <s v="2008-04-03T00:00:00Z"/>
        <s v="2008-03-31T00:00:00Z"/>
        <s v="2008-03-29T00:00:00Z"/>
        <s v="2008-03-28T00:00:00Z"/>
        <s v="2008-03-26T00:00:00Z"/>
        <s v="2008-03-22T00:00:00Z"/>
        <s v="2008-03-18T00:00:00Z"/>
        <s v="2008-03-17T00:00:00Z"/>
        <s v="2008-03-13T00:00:00Z"/>
        <s v="2008-03-07T00:00:00Z"/>
        <s v="2008-03-04T00:00:00Z"/>
        <s v="2008-03-02T00:00:00Z"/>
        <s v="2008-03-01T00:00:00Z"/>
        <s v="2008-02-29T00:00:00Z"/>
        <s v="2008-02-24T00:00:00Z"/>
        <s v="2008-02-18T00:00:00Z"/>
        <s v="2008-02-17T00:00:00Z"/>
        <s v="2008-02-15T00:00:00Z"/>
        <s v="2008-02-14T00:00:00Z"/>
        <s v="2008-02-12T00:00:00Z"/>
        <s v="2008-02-11T00:00:00Z"/>
        <s v="2008-02-10T00:00:00Z"/>
        <s v="2008-02-09T00:00:00Z"/>
        <s v="2008-02-08T00:00:00Z"/>
        <s v="2008-02-07T00:00:00Z"/>
        <s v="2008-02-05T00:00:00Z"/>
        <s v="2008-02-02T00:00:00Z"/>
        <s v="2008-02-01T00:00:00Z"/>
        <s v="2008-12-31T00:00:00Z"/>
        <s v="2008-12-23T00:00:00Z"/>
        <s v="2008-12-17T00:00:00Z"/>
        <s v="2008-12-10T00:00:00Z"/>
        <s v="2008-12-09T00:00:00Z"/>
        <s v="2008-12-08T00:00:00Z"/>
        <s v="2008-12-07T00:00:00Z"/>
        <s v="2008-12-06T00:00:00Z"/>
        <s v="2008-12-05T00:00:00Z"/>
        <s v="2008-11-30T00:00:00Z"/>
        <s v="2008-11-27T00:00:00Z"/>
        <s v="2008-11-24T00:00:00Z"/>
        <s v="2008-11-20T00:00:00Z"/>
        <s v="2008-11-19T00:00:00Z"/>
        <s v="2008-11-18T00:00:00Z"/>
        <s v="2008-11-12T00:00:00Z"/>
        <s v="2008-11-10T00:00:00Z"/>
        <s v="2008-11-08T00:00:00Z"/>
        <s v="2008-11-06T00:00:00Z"/>
        <s v="2008-10-28T00:00:00Z"/>
        <s v="2008-10-26T00:00:00Z"/>
        <s v="2008-10-25T00:00:00Z"/>
        <s v="2008-10-23T00:00:00Z"/>
        <s v="2008-10-22T00:00:00Z"/>
        <s v="2008-10-21T00:00:00Z"/>
        <s v="2008-10-19T00:00:00Z"/>
        <s v="2008-10-18T00:00:00Z"/>
        <s v="2008-10-17T00:00:00Z"/>
        <s v="2008-10-15T00:00:00Z"/>
        <s v="2008-10-14T00:00:00Z"/>
        <s v="2008-10-13T00:00:00Z"/>
        <s v="2008-10-11T00:00:00Z"/>
        <s v="2008-10-10T00:00:00Z"/>
        <s v="2008-10-09T00:00:00Z"/>
        <s v="2008-10-08T00:00:00Z"/>
        <s v="2008-10-07T00:00:00Z"/>
        <s v="2008-10-06T00:00:00Z"/>
        <s v="2008-10-05T00:00:00Z"/>
        <s v="2008-10-04T00:00:00Z"/>
        <s v="2008-01-31T00:00:00Z"/>
        <s v="2008-01-29T00:00:00Z"/>
        <s v="2008-01-28T00:00:00Z"/>
        <s v="2008-01-22T00:00:00Z"/>
        <s v="2008-01-21T00:00:00Z"/>
        <s v="2008-01-14T00:00:00Z"/>
        <s v="2008-01-13T00:00:00Z"/>
        <s v="2008-01-12T00:00:00Z"/>
        <s v="2008-01-10T00:00:00Z"/>
        <s v="2008-01-09T00:00:00Z"/>
        <s v="2008-01-08T00:00:00Z"/>
        <s v="2008-01-07T00:00:00Z"/>
        <s v="2008-01-06T00:00:00Z"/>
        <s v="2008-01-05T00:00:00Z"/>
        <s v="2008-01-04T00:00:00Z"/>
        <s v="2008-01-03T00:00:00Z"/>
        <s v="2008-01-02T00:00:00Z"/>
        <s v="2008-01-01T00:00:00Z"/>
        <s v="2007-09-30T00:00:00Z"/>
        <s v="2007-09-25T00:00:00Z"/>
        <s v="2007-09-24T00:00:00Z"/>
        <s v="2007-09-23T00:00:00Z"/>
        <s v="2007-09-22T00:00:00Z"/>
        <s v="2007-09-20T00:00:00Z"/>
        <s v="2007-09-19T00:00:00Z"/>
        <s v="2007-09-18T00:00:00Z"/>
        <s v="2007-09-17T00:00:00Z"/>
        <s v="2007-09-16T00:00:00Z"/>
        <s v="2007-09-15T00:00:00Z"/>
        <s v="2007-09-14T00:00:00Z"/>
        <s v="2007-09-13T00:00:00Z"/>
        <s v="2007-09-12T00:00:00Z"/>
        <s v="2007-09-11T00:00:00Z"/>
        <s v="2007-09-10T00:00:00Z"/>
        <s v="2007-09-08T00:00:00Z"/>
        <s v="2007-09-07T00:00:00Z"/>
        <s v="2007-09-06T00:00:00Z"/>
        <s v="2007-09-05T00:00:00Z"/>
        <s v="2007-09-02T00:00:00Z"/>
        <s v="2007-08-31T00:00:00Z"/>
        <s v="2007-08-29T00:00:00Z"/>
        <s v="2007-08-28T00:00:00Z"/>
        <s v="2007-08-27T00:00:00Z"/>
        <s v="2007-08-24T00:00:00Z"/>
        <s v="2007-08-23T00:00:00Z"/>
        <s v="2007-08-22T00:00:00Z"/>
        <s v="2007-08-20T00:00:00Z"/>
        <s v="2007-08-19T00:00:00Z"/>
        <s v="2007-08-18T00:00:00Z"/>
        <s v="2007-08-16T00:00:00Z"/>
        <s v="2007-08-13T00:00:00Z"/>
        <s v="2007-08-12T00:00:00Z"/>
        <s v="2007-08-11T00:00:00Z"/>
        <s v="2007-08-10T00:00:00Z"/>
        <s v="2007-08-09T00:00:00Z"/>
        <s v="2007-08-08T00:00:00Z"/>
        <s v="2007-08-06T00:00:00Z"/>
        <s v="2007-08-03T00:00:00Z"/>
        <s v="2007-08-02T00:00:00Z"/>
        <s v="2007-08-01T00:00:00Z"/>
        <s v="2007-07-30T00:00:00Z"/>
        <s v="2007-07-29T00:00:00Z"/>
        <s v="2007-07-27T00:00:00Z"/>
        <s v="2007-07-26T00:00:00Z"/>
        <s v="2007-07-25T00:00:00Z"/>
        <s v="2007-07-24T00:00:00Z"/>
        <s v="2007-07-22T00:00:00Z"/>
        <s v="2007-07-21T00:00:00Z"/>
        <s v="2007-07-18T00:00:00Z"/>
        <s v="2007-07-17T00:00:00Z"/>
        <s v="2007-07-16T00:00:00Z"/>
        <s v="2007-07-15T00:00:00Z"/>
        <s v="2007-07-13T00:00:00Z"/>
        <s v="2007-07-11T00:00:00Z"/>
        <s v="2007-07-10T00:00:00Z"/>
        <s v="2007-07-08T00:00:00Z"/>
        <s v="2007-07-07T00:00:00Z"/>
        <s v="2007-07-06T00:00:00Z"/>
        <s v="2007-07-05T00:00:00Z"/>
        <s v="2007-07-04T00:00:00Z"/>
        <s v="2007-07-03T00:00:00Z"/>
        <s v="2007-07-02T00:00:00Z"/>
        <s v="2007-06-29T00:00:00Z"/>
        <s v="2007-06-28T00:00:00Z"/>
        <s v="2007-06-27T00:00:00Z"/>
        <s v="2007-06-26T00:00:00Z"/>
        <s v="2007-06-25T00:00:00Z"/>
        <s v="2007-06-21T00:00:00Z"/>
        <s v="2007-06-20T00:00:00Z"/>
        <s v="2007-06-19T00:00:00Z"/>
        <s v="2007-06-17T00:00:00Z"/>
        <s v="2007-06-15T00:00:00Z"/>
        <s v="2007-06-14T00:00:00Z"/>
        <s v="2007-06-13T00:00:00Z"/>
        <s v="2007-06-12T00:00:00Z"/>
        <s v="2007-06-10T00:00:00Z"/>
        <s v="2007-06-08T00:00:00Z"/>
        <s v="2007-06-04T00:00:00Z"/>
        <s v="2007-05-31T00:00:00Z"/>
        <s v="2007-05-30T00:00:00Z"/>
        <s v="2007-05-28T00:00:00Z"/>
        <s v="2007-05-21T00:00:00Z"/>
        <s v="2007-05-20T00:00:00Z"/>
        <s v="2007-05-19T00:00:00Z"/>
        <s v="2007-05-18T00:00:00Z"/>
        <s v="2007-05-17T00:00:00Z"/>
        <s v="2007-05-10T00:00:00Z"/>
        <s v="2007-05-06T00:00:00Z"/>
        <s v="2007-05-05T00:00:00Z"/>
        <s v="2007-04-29T00:00:00Z"/>
        <s v="2007-04-27T00:00:00Z"/>
        <s v="2007-04-26T00:00:00Z"/>
        <s v="2007-04-24T00:00:00Z"/>
        <s v="2007-04-22T00:00:00Z"/>
        <s v="2007-04-21T00:00:00Z"/>
        <s v="2007-04-20T00:00:00Z"/>
        <s v="2007-04-15T00:00:00Z"/>
        <s v="2007-04-11T00:00:00Z"/>
        <s v="2007-04-09T00:00:00Z"/>
        <s v="2007-04-08T00:00:00Z"/>
        <s v="2007-04-07T00:00:00Z"/>
        <s v="2007-04-06T00:00:00Z"/>
        <s v="2007-04-04T00:00:00Z"/>
        <s v="2007-04-03T00:00:00Z"/>
        <s v="2007-03-26T00:00:00Z"/>
        <s v="2007-03-25T00:00:00Z"/>
        <s v="2007-03-17T00:00:00Z"/>
        <s v="2007-03-16T00:00:00Z"/>
        <s v="2007-03-11T00:00:00Z"/>
        <s v="2007-03-07T00:00:00Z"/>
        <s v="2007-03-03T00:00:00Z"/>
        <s v="2007-02-20T00:00:00Z"/>
        <s v="2007-02-15T00:00:00Z"/>
        <s v="2007-02-12T00:00:00Z"/>
        <s v="2007-02-11T00:00:00Z"/>
        <s v="2007-02-10T00:00:00Z"/>
        <s v="2007-02-06T00:00:00Z"/>
        <s v="2007-02-02T00:00:00Z"/>
        <s v="2007-02-01T00:00:00Z"/>
        <s v="2007-12-31T00:00:00Z"/>
        <s v="2007-12-29T00:00:00Z"/>
        <s v="2007-12-27T00:00:00Z"/>
        <s v="2007-12-25T00:00:00Z"/>
        <s v="2007-12-24T00:00:00Z"/>
        <s v="2007-12-22T00:00:00Z"/>
        <s v="2007-12-18T00:00:00Z"/>
        <s v="2007-12-16T00:00:00Z"/>
        <s v="2007-12-12T00:00:00Z"/>
        <s v="2007-12-11T00:00:00Z"/>
        <s v="2007-12-09T00:00:00Z"/>
        <s v="2007-12-08T00:00:00Z"/>
        <s v="2007-12-05T00:00:00Z"/>
        <s v="2007-12-04T00:00:00Z"/>
        <s v="2007-12-03T00:00:00Z"/>
        <s v="2007-11-30T00:00:00Z"/>
        <s v="2007-11-28T00:00:00Z"/>
        <s v="2007-11-16T00:00:00Z"/>
        <s v="2007-11-15T00:00:00Z"/>
        <s v="2007-11-13T00:00:00Z"/>
        <s v="2007-11-12T00:00:00Z"/>
        <s v="2007-11-11T00:00:00Z"/>
        <s v="2007-11-09T00:00:00Z"/>
        <s v="2007-11-08T00:00:00Z"/>
        <s v="2007-11-05T00:00:00Z"/>
        <s v="2007-11-03T00:00:00Z"/>
        <s v="2007-10-28T00:00:00Z"/>
        <s v="2007-10-27T00:00:00Z"/>
        <s v="2007-10-23T00:00:00Z"/>
        <s v="2007-10-21T00:00:00Z"/>
        <s v="2007-10-17T00:00:00Z"/>
        <s v="2007-10-16T00:00:00Z"/>
        <s v="2007-10-15T00:00:00Z"/>
        <s v="2007-10-14T00:00:00Z"/>
        <s v="2007-10-13T00:00:00Z"/>
        <s v="2007-10-10T00:00:00Z"/>
        <s v="2007-10-09T00:00:00Z"/>
        <s v="2007-10-08T00:00:00Z"/>
        <s v="2007-01-29T00:00:00Z"/>
        <s v="2007-01-28T00:00:00Z"/>
        <s v="2007-01-21T00:00:00Z"/>
        <s v="2007-01-17T00:00:00Z"/>
        <s v="2007-01-16T00:00:00Z"/>
        <s v="2007-01-14T00:00:00Z"/>
        <s v="2007-01-13T00:00:00Z"/>
        <s v="2007-01-11T00:00:00Z"/>
        <s v="2007-01-10T00:00:00Z"/>
        <s v="2007-01-09T00:00:00Z"/>
        <s v="2007-01-08T00:00:00Z"/>
        <s v="2007-01-07T00:00:00Z"/>
        <s v="2007-01-06T00:00:00Z"/>
        <s v="2007-01-05T00:00:00Z"/>
        <s v="2007-01-03T00:00:00Z"/>
        <s v="2007-01-02T00:00:00Z"/>
        <s v="2007-01-01T00:00:00Z"/>
        <s v="2006-09-26T00:00:00Z"/>
        <s v="2006-09-25T00:00:00Z"/>
        <s v="2006-09-23T00:00:00Z"/>
        <s v="2006-09-22T00:00:00Z"/>
        <s v="2006-09-21T00:00:00Z"/>
        <s v="2006-09-20T00:00:00Z"/>
        <s v="2006-09-16T00:00:00Z"/>
        <s v="2006-09-15T00:00:00Z"/>
        <s v="2006-09-11T00:00:00Z"/>
        <s v="2006-09-08T00:00:00Z"/>
        <s v="2006-09-07T00:00:00Z"/>
        <s v="2006-09-06T00:00:00Z"/>
        <s v="2006-09-05T00:00:00Z"/>
        <s v="2006-09-04T00:00:00Z"/>
        <s v="2006-09-02T00:00:00Z"/>
        <s v="2006-09-01T00:00:00Z"/>
        <s v="2006-08-31T00:00:00Z"/>
        <s v="2006-08-29T00:00:00Z"/>
        <s v="2006-08-28T00:00:00Z"/>
        <s v="2006-08-27T00:00:00Z"/>
        <s v="2006-08-26T00:00:00Z"/>
        <s v="2006-08-25T00:00:00Z"/>
        <s v="2006-08-24T00:00:00Z"/>
        <s v="2006-08-23T00:00:00Z"/>
        <s v="2006-08-22T00:00:00Z"/>
        <s v="2006-08-21T00:00:00Z"/>
        <s v="2006-08-19T00:00:00Z"/>
        <s v="2006-08-18T00:00:00Z"/>
        <s v="2006-08-17T00:00:00Z"/>
        <s v="2006-08-16T00:00:00Z"/>
        <s v="2006-08-13T00:00:00Z"/>
        <s v="2006-08-11T00:00:00Z"/>
        <s v="2006-08-10T00:00:00Z"/>
        <s v="2006-08-09T00:00:00Z"/>
        <s v="2006-08-04T00:00:00Z"/>
        <s v="2006-08-03T00:00:00Z"/>
        <s v="2006-08-01T00:00:00Z"/>
        <s v="2006-07-31T00:00:00Z"/>
        <s v="2006-07-29T00:00:00Z"/>
        <s v="2006-07-28T00:00:00Z"/>
        <s v="2006-07-27T00:00:00Z"/>
        <s v="2006-07-26T00:00:00Z"/>
        <s v="2006-07-25T00:00:00Z"/>
        <s v="2006-07-24T00:00:00Z"/>
        <s v="2006-07-23T00:00:00Z"/>
        <s v="2006-07-22T00:00:00Z"/>
        <s v="2006-07-21T00:00:00Z"/>
        <s v="2006-07-20T00:00:00Z"/>
        <s v="2006-07-17T00:00:00Z"/>
        <s v="2006-07-15T00:00:00Z"/>
        <s v="2006-07-08T00:00:00Z"/>
        <s v="2006-07-06T00:00:00Z"/>
        <s v="2006-07-02T00:00:00Z"/>
        <s v="2006-06-30T00:00:00Z"/>
        <s v="2006-06-28T00:00:00Z"/>
        <s v="2006-06-26T00:00:00Z"/>
        <s v="2006-06-25T00:00:00Z"/>
        <s v="2006-06-21T00:00:00Z"/>
        <s v="2006-06-18T00:00:00Z"/>
        <s v="2006-06-11T00:00:00Z"/>
        <s v="2006-06-08T00:00:00Z"/>
        <s v="2006-06-07T00:00:00Z"/>
        <s v="2006-06-06T00:00:00Z"/>
        <s v="2006-06-05T00:00:00Z"/>
        <s v="2006-06-04T00:00:00Z"/>
        <s v="2006-06-03T00:00:00Z"/>
        <s v="2006-06-02T00:00:00Z"/>
        <s v="2006-05-29T00:00:00Z"/>
        <s v="2006-05-18T00:00:00Z"/>
        <s v="2006-05-17T00:00:00Z"/>
        <s v="2006-05-14T00:00:00Z"/>
        <s v="2006-05-12T00:00:00Z"/>
        <s v="2006-05-09T00:00:00Z"/>
        <s v="2006-05-08T00:00:00Z"/>
        <s v="2006-05-07T00:00:00Z"/>
        <s v="2006-05-06T00:00:00Z"/>
        <s v="2006-05-05T00:00:00Z"/>
        <s v="2006-05-02T00:00:00Z"/>
        <s v="2006-04-26T00:00:00Z"/>
        <s v="2006-04-24T00:00:00Z"/>
        <s v="2006-04-22T00:00:00Z"/>
        <s v="2006-04-13T00:00:00Z"/>
        <s v="2006-04-11T00:00:00Z"/>
        <s v="2006-04-07T00:00:00Z"/>
        <s v="2006-04-05T00:00:00Z"/>
        <s v="2006-04-03T00:00:00Z"/>
        <s v="2006-04-02T00:00:00Z"/>
        <s v="2006-03-31T00:00:00Z"/>
        <s v="2006-03-28T00:00:00Z"/>
        <s v="2006-03-17T00:00:00Z"/>
        <s v="2006-03-16T00:00:00Z"/>
        <s v="2006-03-15T00:00:00Z"/>
        <s v="2006-03-14T00:00:00Z"/>
        <s v="2006-03-12T00:00:00Z"/>
        <s v="2006-03-11T00:00:00Z"/>
        <s v="2006-03-08T00:00:00Z"/>
        <s v="2006-03-07T00:00:00Z"/>
        <s v="2006-03-06T00:00:00Z"/>
        <s v="2006-03-05T00:00:00Z"/>
        <s v="2006-03-04T00:00:00Z"/>
        <s v="2006-03-03T00:00:00Z"/>
        <s v="2006-02-26T00:00:00Z"/>
        <s v="2006-02-21T00:00:00Z"/>
        <s v="2006-02-20T00:00:00Z"/>
        <s v="2006-02-19T00:00:00Z"/>
        <s v="2006-02-18T00:00:00Z"/>
        <s v="2006-02-17T00:00:00Z"/>
        <s v="2006-02-14T00:00:00Z"/>
        <s v="2006-02-12T00:00:00Z"/>
        <s v="2006-02-11T00:00:00Z"/>
        <s v="2006-02-08T00:00:00Z"/>
        <s v="2006-02-07T00:00:00Z"/>
        <s v="2006-02-05T00:00:00Z"/>
        <s v="2006-02-04T00:00:00Z"/>
        <s v="2006-12-31T00:00:00Z"/>
        <s v="2006-12-30T00:00:00Z"/>
        <s v="2006-12-29T00:00:00Z"/>
        <s v="2006-12-23T00:00:00Z"/>
        <s v="2006-12-22T00:00:00Z"/>
        <s v="2006-12-20T00:00:00Z"/>
        <s v="2006-12-19T00:00:00Z"/>
        <s v="2006-12-15T00:00:00Z"/>
        <s v="2006-12-13T00:00:00Z"/>
        <s v="2006-12-12T00:00:00Z"/>
        <s v="2006-12-09T00:00:00Z"/>
        <s v="2006-12-08T00:00:00Z"/>
        <s v="2006-12-07T00:00:00Z"/>
        <s v="2006-12-06T00:00:00Z"/>
        <s v="2006-12-05T00:00:00Z"/>
        <s v="2006-12-02T00:00:00Z"/>
        <s v="2006-12-01T00:00:00Z"/>
        <s v="2006-11-29T00:00:00Z"/>
        <s v="2006-11-25T00:00:00Z"/>
        <s v="2006-11-20T00:00:00Z"/>
        <s v="2006-11-18T00:00:00Z"/>
        <s v="2006-11-11T00:00:00Z"/>
        <s v="2006-11-07T00:00:00Z"/>
        <s v="2006-11-04T00:00:00Z"/>
        <s v="2006-11-01T00:00:00Z"/>
        <s v="2006-10-31T00:00:00Z"/>
        <s v="2006-10-26T00:00:00Z"/>
        <s v="2006-10-25T00:00:00Z"/>
        <s v="2006-10-24T00:00:00Z"/>
        <s v="2006-10-23T00:00:00Z"/>
        <s v="2006-10-11T00:00:00Z"/>
        <s v="2006-10-09T00:00:00Z"/>
        <s v="2006-10-08T00:00:00Z"/>
        <s v="2006-10-05T00:00:00Z"/>
        <s v="2006-10-04T00:00:00Z"/>
        <s v="2006-10-01T00:00:00Z"/>
        <s v="2006-01-29T00:00:00Z"/>
        <s v="2006-01-23T00:00:00Z"/>
        <s v="2006-01-22T00:00:00Z"/>
        <s v="2006-01-20T00:00:00Z"/>
        <s v="2006-01-18T00:00:00Z"/>
        <s v="2006-01-11T00:00:00Z"/>
        <s v="2006-01-10T00:00:00Z"/>
        <s v="2006-01-09T00:00:00Z"/>
        <s v="2006-01-08T00:00:00Z"/>
        <s v="2006-01-07T00:00:00Z"/>
        <s v="2006-01-06T00:00:00Z"/>
        <s v="2006-01-05T00:00:00Z"/>
        <s v="2006-01-04T00:00:00Z"/>
        <s v="2006-01-03T00:00:00Z"/>
        <s v="2006-01-01T00:00:00Z"/>
        <s v="2005-09-30T00:00:00Z"/>
        <s v="2005-09-28T00:00:00Z"/>
        <s v="2005-09-27T00:00:00Z"/>
        <s v="2005-09-26T00:00:00Z"/>
        <s v="2005-09-23T00:00:00Z"/>
        <s v="2005-09-22T00:00:00Z"/>
        <s v="2005-09-20T00:00:00Z"/>
        <s v="2005-09-18T00:00:00Z"/>
        <s v="2005-09-14T00:00:00Z"/>
        <s v="2005-09-13T00:00:00Z"/>
        <s v="2005-09-12T00:00:00Z"/>
        <s v="2005-09-11T00:00:00Z"/>
        <s v="2005-09-10T00:00:00Z"/>
        <s v="2005-09-09T00:00:00Z"/>
        <s v="2005-09-03T00:00:00Z"/>
        <s v="2005-09-01T00:00:00Z"/>
        <s v="2005-08-28T00:00:00Z"/>
        <s v="2005-08-21T00:00:00Z"/>
        <s v="2005-08-18T00:00:00Z"/>
        <s v="2005-08-15T00:00:00Z"/>
        <s v="2005-08-12T00:00:00Z"/>
        <s v="2005-08-11T00:00:00Z"/>
        <s v="2005-08-07T00:00:00Z"/>
        <s v="2005-08-05T00:00:00Z"/>
        <s v="2005-08-04T00:00:00Z"/>
        <s v="2005-08-02T00:00:00Z"/>
        <s v="2005-08-01T00:00:00Z"/>
        <s v="2005-07-19T00:00:00Z"/>
        <s v="2005-07-12T00:00:00Z"/>
        <s v="2005-07-10T00:00:00Z"/>
        <s v="2005-07-06T00:00:00Z"/>
        <s v="2005-07-03T00:00:00Z"/>
        <s v="2005-07-01T00:00:00Z"/>
        <s v="2005-06-30T00:00:00Z"/>
        <s v="2005-06-26T00:00:00Z"/>
        <s v="2005-06-25T00:00:00Z"/>
        <s v="2005-06-22T00:00:00Z"/>
        <s v="2005-06-19T00:00:00Z"/>
        <s v="2005-06-18T00:00:00Z"/>
        <s v="2005-06-17T00:00:00Z"/>
        <s v="2005-06-16T00:00:00Z"/>
        <s v="2005-06-15T00:00:00Z"/>
        <s v="2005-06-14T00:00:00Z"/>
        <s v="2005-06-12T00:00:00Z"/>
        <s v="2005-06-09T00:00:00Z"/>
        <s v="2005-06-07T00:00:00Z"/>
        <s v="2005-06-03T00:00:00Z"/>
        <s v="2005-05-29T00:00:00Z"/>
        <s v="2005-05-28T00:00:00Z"/>
        <s v="2005-05-26T00:00:00Z"/>
        <s v="2005-05-25T00:00:00Z"/>
        <s v="2005-05-24T00:00:00Z"/>
        <s v="2005-05-15T00:00:00Z"/>
        <s v="2005-05-02T00:00:00Z"/>
        <s v="2005-04-30T00:00:00Z"/>
        <s v="2005-04-25T00:00:00Z"/>
        <s v="2005-04-24T00:00:00Z"/>
        <s v="2005-04-18T00:00:00Z"/>
        <s v="2005-04-14T00:00:00Z"/>
        <s v="2005-04-12T00:00:00Z"/>
        <s v="2005-04-11T00:00:00Z"/>
        <s v="2005-04-10T00:00:00Z"/>
        <s v="2005-04-09T00:00:00Z"/>
        <s v="2005-04-07T00:00:00Z"/>
        <s v="2005-04-03T00:00:00Z"/>
        <s v="2005-03-30T00:00:00Z"/>
        <s v="2005-03-24T00:00:00Z"/>
        <s v="2005-03-23T00:00:00Z"/>
        <s v="2005-03-11T00:00:00Z"/>
        <s v="2005-03-07T00:00:00Z"/>
        <s v="2005-03-06T00:00:00Z"/>
        <s v="2005-03-04T00:00:00Z"/>
        <s v="2005-02-26T00:00:00Z"/>
        <s v="2005-02-25T00:00:00Z"/>
        <s v="2005-02-24T00:00:00Z"/>
        <s v="2005-02-21T00:00:00Z"/>
        <s v="2005-02-20T00:00:00Z"/>
        <s v="2005-02-17T00:00:00Z"/>
        <s v="2005-02-13T00:00:00Z"/>
        <s v="2005-02-10T00:00:00Z"/>
        <s v="2005-02-06T00:00:00Z"/>
        <s v="2005-12-31T00:00:00Z"/>
        <s v="2005-12-29T00:00:00Z"/>
        <s v="2005-12-26T00:00:00Z"/>
        <s v="2005-12-24T00:00:00Z"/>
        <s v="2005-12-23T00:00:00Z"/>
        <s v="2005-12-20T00:00:00Z"/>
        <s v="2005-12-18T00:00:00Z"/>
        <s v="2005-12-10T00:00:00Z"/>
        <s v="2005-12-09T00:00:00Z"/>
        <s v="2005-12-04T00:00:00Z"/>
        <s v="2005-12-02T00:00:00Z"/>
        <s v="2005-11-29T00:00:00Z"/>
        <s v="2005-11-27T00:00:00Z"/>
        <s v="2005-11-26T00:00:00Z"/>
        <s v="2005-11-24T00:00:00Z"/>
        <s v="2005-11-23T00:00:00Z"/>
        <s v="2005-11-22T00:00:00Z"/>
        <s v="2005-11-18T00:00:00Z"/>
        <s v="2005-11-17T00:00:00Z"/>
        <s v="2005-11-14T00:00:00Z"/>
        <s v="2005-11-08T00:00:00Z"/>
        <s v="2005-11-04T00:00:00Z"/>
        <s v="2005-11-03T00:00:00Z"/>
        <s v="2005-11-02T00:00:00Z"/>
        <s v="2005-10-31T00:00:00Z"/>
        <s v="2005-10-30T00:00:00Z"/>
        <s v="2005-10-25T00:00:00Z"/>
        <s v="2005-10-24T00:00:00Z"/>
        <s v="2005-10-20T00:00:00Z"/>
        <s v="2005-10-17T00:00:00Z"/>
        <s v="2005-10-12T00:00:00Z"/>
        <s v="2005-10-11T00:00:00Z"/>
        <s v="2005-10-10T00:00:00Z"/>
        <s v="2005-10-08T00:00:00Z"/>
        <s v="2005-10-07T00:00:00Z"/>
        <s v="2005-10-05T00:00:00Z"/>
        <s v="2005-10-03T00:00:00Z"/>
        <s v="2005-01-31T00:00:00Z"/>
        <s v="2005-01-24T00:00:00Z"/>
        <s v="2005-01-22T00:00:00Z"/>
        <s v="2005-01-18T00:00:00Z"/>
        <s v="2005-01-09T00:00:00Z"/>
        <s v="2005-01-06T00:00:00Z"/>
        <s v="2005-01-05T00:00:00Z"/>
        <s v="2005-01-03T00:00:00Z"/>
        <s v="2005-01-02T00:00:00Z"/>
        <s v="2005-01-01T00:00:00Z"/>
        <s v="2004-09-30T00:00:00Z"/>
        <s v="2004-09-29T00:00:00Z"/>
        <s v="2004-09-28T00:00:00Z"/>
        <s v="2004-09-26T00:00:00Z"/>
        <s v="2004-09-25T00:00:00Z"/>
        <s v="2004-09-23T00:00:00Z"/>
        <s v="2004-09-20T00:00:00Z"/>
        <s v="2004-09-19T00:00:00Z"/>
        <s v="2004-09-14T00:00:00Z"/>
        <s v="2004-09-09T00:00:00Z"/>
        <s v="2004-09-08T00:00:00Z"/>
        <s v="2004-09-07T00:00:00Z"/>
        <s v="2004-09-06T00:00:00Z"/>
        <s v="2004-09-03T00:00:00Z"/>
        <s v="2004-09-02T00:00:00Z"/>
        <s v="2004-08-30T00:00:00Z"/>
        <s v="2004-08-29T00:00:00Z"/>
        <s v="2004-08-28T00:00:00Z"/>
        <s v="2004-08-24T00:00:00Z"/>
        <s v="2004-08-23T00:00:00Z"/>
        <s v="2004-08-22T00:00:00Z"/>
        <s v="2004-08-21T00:00:00Z"/>
        <s v="2004-08-20T00:00:00Z"/>
        <s v="2004-08-19T00:00:00Z"/>
        <s v="2004-08-16T00:00:00Z"/>
        <s v="2004-08-15T00:00:00Z"/>
        <s v="2004-08-14T00:00:00Z"/>
        <s v="2004-08-12T00:00:00Z"/>
        <s v="2004-08-09T00:00:00Z"/>
        <s v="2004-08-08T00:00:00Z"/>
        <s v="2004-08-07T00:00:00Z"/>
        <s v="2004-08-05T00:00:00Z"/>
        <s v="2004-08-02T00:00:00Z"/>
        <s v="2004-07-31T00:00:00Z"/>
        <s v="2004-07-30T00:00:00Z"/>
        <s v="2004-07-29T00:00:00Z"/>
        <s v="2004-07-27T00:00:00Z"/>
        <s v="2004-07-25T00:00:00Z"/>
        <s v="2004-07-22T00:00:00Z"/>
        <s v="2004-07-20T00:00:00Z"/>
        <s v="2004-07-18T00:00:00Z"/>
        <s v="2004-07-10T00:00:00Z"/>
        <s v="2004-07-07T00:00:00Z"/>
        <s v="2004-07-05T00:00:00Z"/>
        <s v="2004-07-04T00:00:00Z"/>
        <s v="2004-07-01T00:00:00Z"/>
        <s v="2004-06-28T00:00:00Z"/>
        <s v="2004-06-24T00:00:00Z"/>
        <s v="2004-06-23T00:00:00Z"/>
        <s v="2004-06-13T00:00:00Z"/>
        <s v="2004-06-06T00:00:00Z"/>
        <s v="2004-06-05T00:00:00Z"/>
        <s v="2004-06-01T00:00:00Z"/>
        <s v="2004-05-27T00:00:00Z"/>
        <s v="2004-05-24T00:00:00Z"/>
        <s v="2004-05-23T00:00:00Z"/>
        <s v="2004-05-22T00:00:00Z"/>
        <s v="2004-05-19T00:00:00Z"/>
        <s v="2004-05-18T00:00:00Z"/>
        <s v="2004-05-17T00:00:00Z"/>
        <s v="2004-05-16T00:00:00Z"/>
        <s v="2004-05-14T00:00:00Z"/>
        <s v="2004-05-07T00:00:00Z"/>
        <s v="2004-05-06T00:00:00Z"/>
        <s v="2004-05-05T00:00:00Z"/>
        <s v="2004-05-04T00:00:00Z"/>
        <s v="2004-05-01T00:00:00Z"/>
        <s v="2004-04-26T00:00:00Z"/>
        <s v="2004-04-22T00:00:00Z"/>
        <s v="2004-04-21T00:00:00Z"/>
        <s v="2004-04-18T00:00:00Z"/>
        <s v="2004-04-16T00:00:00Z"/>
        <s v="2004-04-11T00:00:00Z"/>
        <s v="2004-04-05T00:00:00Z"/>
        <s v="2004-04-03T00:00:00Z"/>
        <s v="2004-03-31T00:00:00Z"/>
        <s v="2004-03-28T00:00:00Z"/>
        <s v="2004-03-13T00:00:00Z"/>
        <s v="2004-03-09T00:00:00Z"/>
        <s v="2004-03-08T00:00:00Z"/>
        <s v="2004-02-29T00:00:00Z"/>
        <s v="2004-02-27T00:00:00Z"/>
        <s v="2004-02-25T00:00:00Z"/>
        <s v="2004-02-23T00:00:00Z"/>
        <s v="2004-02-21T00:00:00Z"/>
        <s v="2004-02-14T00:00:00Z"/>
        <s v="2004-02-09T00:00:00Z"/>
        <s v="2004-02-08T00:00:00Z"/>
        <s v="2004-02-07T00:00:00Z"/>
        <s v="2004-02-06T00:00:00Z"/>
        <s v="2004-02-04T00:00:00Z"/>
        <s v="2004-02-03T00:00:00Z"/>
        <s v="2004-12-31T00:00:00Z"/>
        <s v="2004-12-29T00:00:00Z"/>
        <s v="2004-12-25T00:00:00Z"/>
        <s v="2004-12-23T00:00:00Z"/>
        <s v="2004-12-22T00:00:00Z"/>
        <s v="2004-12-21T00:00:00Z"/>
        <s v="2004-12-20T00:00:00Z"/>
        <s v="2004-12-19T00:00:00Z"/>
        <s v="2004-12-17T00:00:00Z"/>
        <s v="2004-12-16T00:00:00Z"/>
        <s v="2004-12-15T00:00:00Z"/>
        <s v="2004-12-14T00:00:00Z"/>
        <s v="2004-12-13T00:00:00Z"/>
        <s v="2004-12-10T00:00:00Z"/>
        <s v="2004-12-06T00:00:00Z"/>
        <s v="2004-12-02T00:00:00Z"/>
        <s v="2004-11-29T00:00:00Z"/>
        <s v="2004-11-27T00:00:00Z"/>
        <s v="2004-11-26T00:00:00Z"/>
        <s v="2004-11-15T00:00:00Z"/>
        <s v="2004-11-13T00:00:00Z"/>
        <s v="2004-11-12T00:00:00Z"/>
        <s v="2004-11-11T00:00:00Z"/>
        <s v="2004-11-10T00:00:00Z"/>
        <s v="2004-11-08T00:00:00Z"/>
        <s v="2004-11-03T00:00:00Z"/>
        <s v="2004-11-01T00:00:00Z"/>
        <s v="2004-10-27T00:00:00Z"/>
        <s v="2004-10-22T00:00:00Z"/>
        <s v="2004-10-16T00:00:00Z"/>
        <s v="2004-10-14T00:00:00Z"/>
        <s v="2004-10-13T00:00:00Z"/>
        <s v="2004-10-11T00:00:00Z"/>
        <s v="2004-10-10T00:00:00Z"/>
        <s v="2004-10-08T00:00:00Z"/>
        <s v="2004-10-07T00:00:00Z"/>
        <s v="2004-10-06T00:00:00Z"/>
        <s v="2004-10-05T00:00:00Z"/>
        <s v="2004-10-04T00:00:00Z"/>
        <s v="2004-10-03T00:00:00Z"/>
        <s v="2004-10-02T00:00:00Z"/>
        <s v="2004-01-29T00:00:00Z"/>
        <s v="2004-01-28T00:00:00Z"/>
        <s v="2004-01-24T00:00:00Z"/>
        <s v="2004-01-23T00:00:00Z"/>
        <s v="2004-01-20T00:00:00Z"/>
        <s v="2004-01-17T00:00:00Z"/>
        <s v="2004-01-15T00:00:00Z"/>
        <s v="2004-01-11T00:00:00Z"/>
        <s v="2004-01-10T00:00:00Z"/>
        <s v="2004-01-09T00:00:00Z"/>
        <s v="2004-01-08T00:00:00Z"/>
        <s v="2004-01-07T00:00:00Z"/>
        <s v="2004-01-06T00:00:00Z"/>
        <s v="2004-01-05T00:00:00Z"/>
        <s v="2004-01-04T00:00:00Z"/>
        <s v="2004-01-03T00:00:00Z"/>
        <s v="2004-01-02T00:00:00Z"/>
        <s v="2004-01-01T00:00:00Z"/>
        <s v="2003-09-30T00:00:00Z"/>
        <s v="2003-09-28T00:00:00Z"/>
        <s v="2003-09-22T00:00:00Z"/>
        <s v="2003-09-17T00:00:00Z"/>
        <s v="2003-09-09T00:00:00Z"/>
        <s v="2003-09-08T00:00:00Z"/>
        <s v="2003-09-07T00:00:00Z"/>
        <s v="2003-09-06T00:00:00Z"/>
        <s v="2003-08-31T00:00:00Z"/>
        <s v="2003-08-30T00:00:00Z"/>
        <s v="2003-08-29T00:00:00Z"/>
        <s v="2003-08-25T00:00:00Z"/>
        <s v="2003-08-22T00:00:00Z"/>
        <s v="2003-08-17T00:00:00Z"/>
        <s v="2003-08-16T00:00:00Z"/>
        <s v="2003-08-13T00:00:00Z"/>
        <s v="2003-08-12T00:00:00Z"/>
        <s v="2003-08-02T00:00:00Z"/>
        <s v="2003-07-31T00:00:00Z"/>
        <s v="2003-07-30T00:00:00Z"/>
        <s v="2003-07-27T00:00:00Z"/>
        <s v="2003-07-26T00:00:00Z"/>
        <s v="2003-07-24T00:00:00Z"/>
        <s v="2003-07-18T00:00:00Z"/>
        <s v="2003-07-17T00:00:00Z"/>
        <s v="2003-07-14T00:00:00Z"/>
        <s v="2003-07-13T00:00:00Z"/>
        <s v="2003-07-10T00:00:00Z"/>
        <s v="2003-07-08T00:00:00Z"/>
        <s v="2003-07-04T00:00:00Z"/>
        <s v="2003-07-01T00:00:00Z"/>
        <s v="2003-06-28T00:00:00Z"/>
        <s v="2003-06-24T00:00:00Z"/>
        <s v="2003-06-22T00:00:00Z"/>
        <s v="2003-06-19T00:00:00Z"/>
        <s v="2003-06-18T00:00:00Z"/>
        <s v="2003-06-17T00:00:00Z"/>
        <s v="2003-06-15T00:00:00Z"/>
        <s v="2003-06-13T00:00:00Z"/>
        <s v="2003-06-10T00:00:00Z"/>
        <s v="2003-06-06T00:00:00Z"/>
        <s v="2003-06-05T00:00:00Z"/>
        <s v="2003-06-04T00:00:00Z"/>
        <s v="2003-06-02T00:00:00Z"/>
        <s v="2003-05-30T00:00:00Z"/>
        <s v="2003-05-16T00:00:00Z"/>
        <s v="2003-05-14T00:00:00Z"/>
        <s v="2003-05-05T00:00:00Z"/>
        <s v="2003-05-04T00:00:00Z"/>
        <s v="2003-04-25T00:00:00Z"/>
        <s v="2003-04-24T00:00:00Z"/>
        <s v="2003-04-09T00:00:00Z"/>
        <s v="2003-04-08T00:00:00Z"/>
        <s v="2003-03-31T00:00:00Z"/>
        <s v="2003-03-30T00:00:00Z"/>
        <s v="2003-03-25T00:00:00Z"/>
        <s v="2003-03-24T00:00:00Z"/>
        <s v="2003-03-10T00:00:00Z"/>
        <s v="2003-03-09T00:00:00Z"/>
        <s v="2003-03-08T00:00:00Z"/>
        <s v="2003-03-01T00:00:00Z"/>
        <s v="2003-02-27T00:00:00Z"/>
        <s v="2003-02-24T00:00:00Z"/>
        <s v="2003-02-23T00:00:00Z"/>
        <s v="2003-02-22T00:00:00Z"/>
        <s v="2003-02-21T00:00:00Z"/>
        <s v="2003-02-19T00:00:00Z"/>
        <s v="2003-02-11T00:00:00Z"/>
        <s v="2003-02-09T00:00:00Z"/>
        <s v="2003-02-08T00:00:00Z"/>
        <s v="2003-02-05T00:00:00Z"/>
        <s v="2003-02-04T00:00:00Z"/>
        <s v="2003-02-02T00:00:00Z"/>
        <s v="2003-12-31T00:00:00Z"/>
        <s v="2003-12-26T00:00:00Z"/>
        <s v="2003-12-19T00:00:00Z"/>
        <s v="2003-12-11T00:00:00Z"/>
        <s v="2003-12-04T00:00:00Z"/>
        <s v="2003-12-03T00:00:00Z"/>
        <s v="2003-12-02T00:00:00Z"/>
        <s v="2003-12-01T00:00:00Z"/>
        <s v="2003-11-30T00:00:00Z"/>
        <s v="2003-11-22T00:00:00Z"/>
        <s v="2003-11-15T00:00:00Z"/>
        <s v="2003-11-12T00:00:00Z"/>
        <s v="2003-11-10T00:00:00Z"/>
        <s v="2003-11-07T00:00:00Z"/>
        <s v="2003-11-06T00:00:00Z"/>
        <s v="2003-10-26T00:00:00Z"/>
        <s v="2003-10-25T00:00:00Z"/>
        <s v="2003-10-24T00:00:00Z"/>
        <s v="2003-10-21T00:00:00Z"/>
        <s v="2003-10-20T00:00:00Z"/>
        <s v="2003-10-19T00:00:00Z"/>
        <s v="2003-10-18T00:00:00Z"/>
        <s v="2003-10-17T00:00:00Z"/>
        <s v="2003-10-16T00:00:00Z"/>
        <s v="2003-10-10T00:00:00Z"/>
        <s v="2003-10-05T00:00:00Z"/>
        <s v="2003-10-04T00:00:00Z"/>
        <s v="2003-10-02T00:00:00Z"/>
        <s v="2003-01-31T00:00:00Z"/>
        <s v="2003-01-30T00:00:00Z"/>
        <s v="2003-01-22T00:00:00Z"/>
        <s v="2003-01-18T06:00:48Z"/>
        <s v="2003-01-18T00:00:00Z"/>
        <s v="2003-01-17T06:00:14Z"/>
        <s v="2003-01-17T00:00:00Z"/>
        <s v="2003-01-16T00:00:00Z"/>
        <s v="2003-01-15T00:00:00Z"/>
        <s v="2003-01-14T00:00:00Z"/>
        <s v="2003-01-13T00:00:00Z"/>
        <s v="2003-01-12T00:00:00Z"/>
        <s v="2003-01-11T00:00:00Z"/>
        <s v="2003-01-10T00:00:00Z"/>
        <s v="2003-01-09T00:00:00Z"/>
        <s v="2003-01-08T00:00:00Z"/>
        <s v="2003-01-07T00:00:00Z"/>
        <s v="2003-01-06T00:00:00Z"/>
        <s v="2003-01-05T00:00:00Z"/>
        <s v="2003-01-04T00:00:00Z"/>
        <s v="2003-01-03T00:00:00Z"/>
        <s v="2003-01-02T00:00:00Z"/>
        <s v="2003-01-01T00:00:00Z"/>
        <s v="2002-09-26T00:00:00Z"/>
        <s v="2002-09-25T00:00:00Z"/>
        <s v="2002-09-21T00:00:00Z"/>
        <s v="2002-09-15T00:00:00Z"/>
        <s v="2002-09-14T00:00:00Z"/>
        <s v="2002-09-13T00:00:00Z"/>
        <s v="2002-09-12T00:00:00Z"/>
        <s v="2002-09-07T00:00:00Z"/>
        <s v="2002-09-06T00:00:00Z"/>
        <s v="2002-09-04T00:00:00Z"/>
        <s v="2002-09-01T00:00:00Z"/>
        <s v="2002-08-31T00:00:00Z"/>
        <s v="2002-08-30T00:00:00Z"/>
        <s v="2002-08-27T00:00:00Z"/>
        <s v="2002-08-21T00:00:00Z"/>
        <s v="2002-08-18T00:00:00Z"/>
        <s v="2002-08-17T00:00:00Z"/>
        <s v="2002-08-09T00:00:00Z"/>
        <s v="2002-08-05T00:00:00Z"/>
        <s v="2002-08-03T00:00:00Z"/>
        <s v="2002-08-01T00:00:00Z"/>
        <s v="2002-07-29T00:00:00Z"/>
        <s v="2002-07-20T00:00:00Z"/>
        <s v="2002-07-10T00:00:00Z"/>
        <s v="2002-07-05T00:00:00Z"/>
        <s v="2002-07-04T00:00:00Z"/>
        <s v="2002-07-03T00:00:00Z"/>
        <s v="2002-07-02T00:00:00Z"/>
        <s v="2002-07-01T00:00:00Z"/>
        <s v="2002-06-27T00:00:00Z"/>
        <s v="2002-06-26T00:00:00Z"/>
        <s v="2002-06-23T00:00:00Z"/>
        <s v="2002-06-22T00:00:00Z"/>
        <s v="2002-06-18T00:00:00Z"/>
        <s v="2002-06-14T00:00:00Z"/>
        <s v="2002-06-11T00:00:00Z"/>
        <s v="2002-06-10T00:00:00Z"/>
        <s v="2002-06-07T00:00:00Z"/>
        <s v="2002-06-01T00:00:00Z"/>
        <s v="2002-05-30T00:00:00Z"/>
        <s v="2002-05-28T00:00:00Z"/>
        <s v="2002-05-25T00:00:00Z"/>
        <s v="2002-05-22T00:00:00Z"/>
        <s v="2002-05-21T00:00:00Z"/>
        <s v="2002-05-19T00:00:00Z"/>
        <s v="2002-05-15T00:00:00Z"/>
        <s v="2002-05-14T00:00:00Z"/>
        <s v="2002-05-12T00:00:00Z"/>
        <s v="2002-05-11T00:00:00Z"/>
        <s v="2002-05-08T00:00:00Z"/>
        <s v="2002-05-05T00:00:00Z"/>
        <s v="2002-04-23T00:00:00Z"/>
        <s v="2002-04-16T00:00:00Z"/>
        <s v="2002-04-14T00:00:00Z"/>
        <s v="2002-04-13T00:00:00Z"/>
        <s v="2002-04-08T00:00:00Z"/>
        <s v="2002-04-01T00:00:00Z"/>
        <s v="2002-03-31T00:00:00Z"/>
        <s v="2002-03-26T00:00:00Z"/>
        <s v="2002-03-25T00:00:00Z"/>
        <s v="2002-03-19T00:00:00Z"/>
        <s v="2002-03-14T00:00:00Z"/>
        <s v="2002-03-10T00:00:00Z"/>
        <s v="2002-03-06T00:00:00Z"/>
        <s v="2002-03-04T00:00:00Z"/>
        <s v="2002-03-01T00:00:00Z"/>
        <s v="2002-02-19T00:00:00Z"/>
        <s v="2002-02-17T00:00:00Z"/>
        <s v="2002-02-16T00:00:00Z"/>
        <s v="2002-02-14T00:00:00Z"/>
        <s v="2002-02-12T00:00:00Z"/>
        <s v="2002-02-11T00:00:00Z"/>
        <s v="2002-02-10T00:00:00Z"/>
        <s v="2002-02-09T00:00:00Z"/>
        <s v="2002-02-03T00:00:00Z"/>
        <s v="2002-02-01T00:00:00Z"/>
        <s v="2002-12-31T00:00:00Z"/>
        <s v="2002-12-29T00:00:00Z"/>
        <s v="2002-12-27T00:00:00Z"/>
        <s v="2002-12-26T00:00:00Z"/>
        <s v="2002-12-25T00:00:00Z"/>
        <s v="2002-12-24T00:00:00Z"/>
        <s v="2002-12-23T00:00:00Z"/>
        <s v="2002-12-21T00:00:00Z"/>
        <s v="2002-12-19T00:00:00Z"/>
        <s v="2002-12-18T00:00:00Z"/>
        <s v="2002-12-15T00:00:00Z"/>
        <s v="2002-12-12T00:00:00Z"/>
        <s v="2002-12-08T00:00:00Z"/>
        <s v="2002-12-05T00:00:00Z"/>
        <s v="2002-12-04T00:00:00Z"/>
        <s v="2002-12-02T00:00:00Z"/>
        <s v="2002-12-01T00:00:00Z"/>
        <s v="2002-11-30T00:00:00Z"/>
        <s v="2002-11-29T00:00:00Z"/>
        <s v="2002-11-21T00:00:00Z"/>
        <s v="2002-11-20T00:00:00Z"/>
        <s v="2002-11-14T00:00:00Z"/>
        <s v="2002-11-12T00:00:00Z"/>
        <s v="2002-11-10T00:00:00Z"/>
        <s v="2002-11-09T00:00:00Z"/>
        <s v="2002-11-06T00:00:00Z"/>
        <s v="2002-11-05T00:00:00Z"/>
        <s v="2002-11-04T00:00:00Z"/>
        <s v="2002-11-02T00:00:00Z"/>
        <s v="2002-11-01T00:00:00Z"/>
        <s v="2002-10-26T00:00:00Z"/>
        <s v="2002-10-20T00:00:00Z"/>
        <s v="2002-10-18T00:00:00Z"/>
        <s v="2002-10-15T00:00:00Z"/>
        <s v="2002-10-12T00:00:00Z"/>
        <s v="2002-10-10T00:00:00Z"/>
        <s v="2002-10-09T00:00:00Z"/>
        <s v="2002-10-07T00:00:00Z"/>
        <s v="2002-10-05T00:00:00Z"/>
        <s v="2002-10-04T00:00:00Z"/>
        <s v="2002-10-01T00:00:00Z"/>
        <s v="2002-01-30T00:00:00Z"/>
        <s v="2002-01-25T00:00:00Z"/>
        <s v="2002-01-20T00:00:00Z"/>
        <s v="2002-01-19T00:00:00Z"/>
        <s v="2002-01-18T00:00:00Z"/>
        <s v="2002-01-11T00:00:00Z"/>
        <s v="2002-01-10T00:00:00Z"/>
        <s v="2002-01-09T00:00:00Z"/>
        <s v="2002-01-08T00:00:00Z"/>
        <s v="2002-01-07T00:00:00Z"/>
        <s v="2002-01-06T00:00:00Z"/>
        <s v="2002-01-04T00:00:00Z"/>
        <s v="2002-01-03T00:00:00Z"/>
        <s v="2002-01-02T00:00:00Z"/>
        <s v="2002-01-01T00:00:00Z"/>
        <s v="2001-09-30T00:00:00Z"/>
        <s v="2001-09-29T00:00:00Z"/>
        <s v="2001-09-27T00:00:00Z"/>
        <s v="2001-09-26T00:00:00Z"/>
        <s v="2001-09-18T00:00:00Z"/>
        <s v="2001-09-17T00:00:00Z"/>
        <s v="2001-09-16T00:00:00Z"/>
        <s v="2001-09-11T00:00:00Z"/>
        <s v="2001-09-10T00:00:00Z"/>
        <s v="2001-09-08T00:00:00Z"/>
        <s v="2001-09-07T00:00:00Z"/>
        <s v="2001-09-04T00:00:00Z"/>
        <s v="2001-08-24T00:00:00Z"/>
        <s v="2001-08-22T00:00:00Z"/>
        <s v="2001-08-21T00:00:00Z"/>
        <s v="2001-08-20T00:00:00Z"/>
        <s v="2001-08-19T00:00:00Z"/>
        <s v="2001-08-18T00:00:00Z"/>
        <s v="2001-08-17T00:00:00Z"/>
        <s v="2001-08-12T00:00:00Z"/>
        <s v="2001-08-11T00:00:00Z"/>
        <s v="2001-08-10T00:00:00Z"/>
        <s v="2001-08-09T00:00:00Z"/>
        <s v="2001-08-07T00:00:00Z"/>
        <s v="2001-08-05T00:00:00Z"/>
        <s v="2001-08-04T00:00:00Z"/>
        <s v="2001-08-03T05:00:00Z"/>
        <s v="2001-07-21T00:00:00Z"/>
        <s v="2001-07-18T00:00:00Z"/>
        <s v="2001-07-15T00:00:00Z"/>
        <s v="2001-07-14T00:00:00Z"/>
        <s v="2001-07-13T00:00:00Z"/>
        <s v="2001-07-12T00:00:00Z"/>
        <s v="2001-07-11T00:00:00Z"/>
        <s v="2001-07-10T00:00:00Z"/>
        <s v="2001-07-09T00:00:00Z"/>
        <s v="2001-07-08T00:00:00Z"/>
        <s v="2001-07-04T00:00:00Z"/>
        <s v="2001-06-27T00:00:00Z"/>
        <s v="2001-06-26T00:00:00Z"/>
        <s v="2001-06-23T00:00:00Z"/>
        <s v="2001-06-17T00:00:00Z"/>
        <s v="2001-06-15T00:00:00Z"/>
        <s v="2001-06-14T00:00:00Z"/>
        <s v="2001-06-13T00:00:00Z"/>
        <s v="2001-06-10T00:00:00Z"/>
        <s v="2001-06-09T00:00:00Z"/>
        <s v="2001-06-08T00:00:00Z"/>
        <s v="2001-06-04T00:00:00Z"/>
        <s v="2001-06-03T00:00:00Z"/>
        <s v="2001-05-31T00:00:00Z"/>
        <s v="2001-05-29T00:00:00Z"/>
        <s v="2001-05-28T00:00:00Z"/>
        <s v="2001-05-24T00:00:00Z"/>
        <s v="2001-05-23T00:00:00Z"/>
        <s v="2001-05-22T00:00:00Z"/>
        <s v="2001-05-21T00:00:00Z"/>
        <s v="2001-05-20T00:00:00Z"/>
        <s v="2001-05-17T00:00:00Z"/>
        <s v="2001-05-12T00:00:00Z"/>
        <s v="2001-05-08T00:00:00Z"/>
        <s v="2001-05-07T00:00:00Z"/>
        <s v="2001-05-06T00:00:00Z"/>
        <s v="2001-05-03T00:00:00Z"/>
        <s v="2001-05-02T00:00:00Z"/>
        <s v="2001-05-01T00:00:00Z"/>
        <s v="2001-04-25T00:00:00Z"/>
        <s v="2001-04-17T00:00:00Z"/>
        <s v="2001-04-16T00:00:00Z"/>
        <s v="2001-04-13T00:00:00Z"/>
        <s v="2001-04-02T00:00:00Z"/>
        <s v="2001-03-28T00:00:00Z"/>
        <s v="2001-03-27T00:00:00Z"/>
        <s v="2001-03-26T00:00:00Z"/>
        <s v="2001-03-23T00:00:00Z"/>
        <s v="2001-03-22T00:00:00Z"/>
        <s v="2001-03-21T00:00:00Z"/>
        <s v="2001-03-20T00:00:00Z"/>
        <s v="2001-03-17T00:00:00Z"/>
        <s v="2001-03-15T00:00:00Z"/>
        <s v="2001-03-04T00:00:00Z"/>
        <s v="2001-02-28T00:00:00Z"/>
        <s v="2001-02-25T00:00:00Z"/>
        <s v="2001-02-21T00:00:00Z"/>
        <s v="2001-02-18T00:00:00Z"/>
        <s v="2001-02-10T00:00:00Z"/>
        <s v="2001-02-07T00:00:00Z"/>
        <s v="2001-02-05T00:00:00Z"/>
        <s v="2001-02-01T00:00:00Z"/>
        <s v="2001-12-31T00:00:00Z"/>
        <s v="2001-12-26T00:00:00Z"/>
        <s v="2001-12-24T00:00:00Z"/>
        <s v="2001-12-22T00:00:00Z"/>
        <s v="2001-12-16T00:00:00Z"/>
        <s v="2001-12-11T00:00:00Z"/>
        <s v="2001-12-09T00:00:00Z"/>
        <s v="2001-12-08T00:00:00Z"/>
        <s v="2001-12-06T00:00:00Z"/>
        <s v="2001-12-05T00:00:00Z"/>
        <s v="2001-12-04T00:00:00Z"/>
        <s v="2001-12-03T00:00:00Z"/>
        <s v="2001-12-02T00:00:00Z"/>
        <s v="2001-11-30T00:00:00Z"/>
        <s v="2001-11-27T00:00:00Z"/>
        <s v="2001-11-24T00:00:00Z"/>
        <s v="2001-11-21T00:00:00Z"/>
        <s v="2001-11-11T00:00:00Z"/>
        <s v="2001-11-08T00:00:00Z"/>
        <s v="2001-11-06T00:00:00Z"/>
        <s v="2001-11-05T00:00:00Z"/>
        <s v="2001-10-29T00:00:00Z"/>
        <s v="2001-10-27T00:00:00Z"/>
        <s v="2001-10-25T00:00:00Z"/>
        <s v="2001-10-24T00:00:00Z"/>
        <s v="2001-10-22T00:00:00Z"/>
        <s v="2001-10-17T00:00:00Z"/>
        <s v="2001-10-14T00:00:00Z"/>
        <s v="2001-10-06T00:00:00Z"/>
        <s v="2001-10-05T00:00:00Z"/>
        <s v="2001-10-01T00:00:00Z"/>
        <s v="2001-01-24T00:00:00Z"/>
        <s v="2001-01-21T00:00:00Z"/>
        <s v="2001-01-20T00:00:00Z"/>
        <s v="2001-01-19T00:00:00Z"/>
        <s v="2001-01-17T00:00:00Z"/>
        <s v="2001-01-11T00:00:00Z"/>
        <s v="2001-01-10T00:00:00Z"/>
        <s v="2001-01-08T00:00:00Z"/>
        <s v="2001-01-07T00:00:00Z"/>
        <s v="2001-01-06T00:00:00Z"/>
        <s v="2001-01-05T00:00:00Z"/>
        <s v="2001-01-04T00:00:00Z"/>
        <s v="2001-01-02T00:00:00Z"/>
        <s v="2001-01-01T00:00:00Z"/>
        <s v="2000-09-28T00:00:00Z"/>
        <s v="2000-09-21T00:00:00Z"/>
        <s v="2000-09-18T00:00:00Z"/>
        <s v="2000-09-16T00:00:00Z"/>
        <s v="2000-09-15T00:00:00Z"/>
        <s v="2000-09-11T00:00:00Z"/>
        <s v="2000-09-10T00:00:00Z"/>
        <s v="2000-09-05T00:00:00Z"/>
        <s v="2000-09-01T00:00:00Z"/>
        <s v="2000-08-31T00:00:00Z"/>
        <s v="2000-08-29T00:00:00Z"/>
        <s v="2000-08-28T00:00:00Z"/>
        <s v="2000-08-27T00:00:00Z"/>
        <s v="2000-08-25T00:00:00Z"/>
        <s v="2000-08-12T00:00:00Z"/>
        <s v="2000-08-11T00:00:00Z"/>
        <s v="2000-08-08T00:00:00Z"/>
        <s v="2000-08-07T00:00:00Z"/>
        <s v="2000-08-06T00:00:00Z"/>
        <s v="2000-08-03T00:00:00Z"/>
        <s v="2000-08-02T00:00:00Z"/>
        <s v="2000-07-29T00:00:00Z"/>
        <s v="2000-07-26T00:00:00Z"/>
        <s v="2000-07-23T00:00:00Z"/>
        <s v="2000-07-22T00:00:00Z"/>
        <s v="2000-07-21T00:00:00Z"/>
        <s v="2000-07-17T00:00:00Z"/>
        <s v="2000-07-16T00:00:00Z"/>
        <s v="2000-07-12T00:00:00Z"/>
        <s v="2000-07-09T00:00:00Z"/>
        <s v="2000-07-07T00:00:00Z"/>
        <s v="2000-07-06T00:00:00Z"/>
        <s v="2000-07-04T00:00:00Z"/>
        <s v="2000-07-03T00:00:00Z"/>
        <s v="2000-06-30T00:00:00Z"/>
        <s v="2000-06-22T00:00:00Z"/>
        <s v="2000-06-18T00:00:00Z"/>
        <s v="2000-06-13T00:00:00Z"/>
        <s v="2000-06-11T00:00:00Z"/>
        <s v="2000-06-07T00:00:00Z"/>
        <s v="2000-06-05T00:00:00Z"/>
        <s v="2000-06-04T00:00:00Z"/>
        <s v="2000-06-02T00:00:00Z"/>
        <s v="2000-05-29T00:00:00Z"/>
        <s v="2000-05-20T00:00:00Z"/>
        <s v="2000-05-18T00:00:00Z"/>
        <s v="2000-05-16T00:00:00Z"/>
        <s v="2000-05-15T00:00:00Z"/>
        <s v="2000-05-13T00:00:00Z"/>
        <s v="2000-05-12T00:00:00Z"/>
        <s v="2000-05-11T00:00:00Z"/>
        <s v="2000-05-10T00:00:00Z"/>
        <s v="2000-05-08T00:00:00Z"/>
        <s v="2000-05-07T00:00:00Z"/>
        <s v="2000-05-06T00:00:00Z"/>
        <s v="2000-05-04T00:00:00Z"/>
        <s v="2000-05-01T00:00:00Z"/>
        <s v="2000-04-30T00:00:00Z"/>
        <s v="2000-04-29T00:00:00Z"/>
        <s v="2000-04-28T00:00:00Z"/>
        <s v="2000-04-23T00:00:00Z"/>
        <s v="2000-04-22T00:00:00Z"/>
        <s v="2000-04-21T00:00:00Z"/>
        <s v="2000-04-19T00:00:00Z"/>
        <s v="2000-04-18T00:00:00Z"/>
        <s v="2000-04-14T00:00:00Z"/>
        <s v="2000-04-13T00:00:00Z"/>
        <s v="2000-04-12T00:00:00Z"/>
        <s v="2000-04-11T00:00:00Z"/>
        <s v="2000-04-09T00:00:00Z"/>
        <s v="2000-04-05T00:00:00Z"/>
        <s v="2000-04-04T00:00:00Z"/>
        <s v="2000-04-03T00:00:00Z"/>
        <s v="2000-04-02T00:00:00Z"/>
        <s v="2000-03-31T00:00:00Z"/>
        <s v="2000-03-24T00:00:00Z"/>
        <s v="2000-03-23T00:00:00Z"/>
        <s v="2000-03-22T00:00:00Z"/>
        <s v="2000-03-21T00:00:00Z"/>
        <s v="2000-03-19T00:00:00Z"/>
        <s v="2000-03-13T00:00:00Z"/>
        <s v="2000-03-11T00:00:00Z"/>
        <s v="2000-03-10T00:00:00Z"/>
        <s v="2000-03-08T00:00:00Z"/>
        <s v="2000-03-07T00:00:00Z"/>
        <s v="2000-03-05T00:00:00Z"/>
        <s v="2000-03-04T00:00:00Z"/>
        <s v="2000-03-03T00:00:00Z"/>
        <s v="2000-02-29T00:00:00Z"/>
        <s v="2000-02-27T00:00:00Z"/>
        <s v="2000-02-18T00:00:00Z"/>
        <s v="2000-02-15T00:00:00Z"/>
        <s v="2000-02-14T00:00:00Z"/>
        <s v="2000-02-09T00:00:00Z"/>
        <s v="2000-02-04T00:00:00Z"/>
        <s v="2000-12-31T00:00:00Z"/>
        <s v="2000-12-30T00:00:00Z"/>
        <s v="2000-12-26T00:00:00Z"/>
        <s v="2000-12-24T00:00:00Z"/>
        <s v="2000-12-23T00:00:00Z"/>
        <s v="2000-12-21T00:00:00Z"/>
        <s v="2000-12-20T00:00:00Z"/>
        <s v="2000-12-18T00:00:00Z"/>
        <s v="2000-12-17T00:00:00Z"/>
        <s v="2000-12-16T00:00:00Z"/>
        <s v="2000-12-15T00:00:00Z"/>
        <s v="2000-12-14T00:00:00Z"/>
        <s v="2000-12-13T00:00:00Z"/>
        <s v="2000-12-09T00:00:00Z"/>
        <s v="2000-12-08T00:00:00Z"/>
        <s v="2000-12-07T00:00:00Z"/>
        <s v="2000-12-05T00:00:00Z"/>
        <s v="2000-12-04T00:00:00Z"/>
        <s v="2000-12-03T00:00:00Z"/>
        <s v="2000-12-02T00:00:00Z"/>
        <s v="2000-11-30T00:00:00Z"/>
        <s v="2000-11-27T00:00:00Z"/>
        <s v="2000-11-24T00:00:00Z"/>
        <s v="2000-11-19T00:00:00Z"/>
        <s v="2000-11-16T00:00:00Z"/>
        <s v="2000-11-14T00:00:00Z"/>
        <s v="2000-11-12T00:00:00Z"/>
        <s v="2000-11-11T00:00:00Z"/>
        <s v="2000-11-10T00:00:00Z"/>
        <s v="2000-11-01T00:00:00Z"/>
        <s v="2000-10-31T00:00:00Z"/>
        <s v="2000-10-29T00:00:00Z"/>
        <s v="2000-10-28T00:00:00Z"/>
        <s v="2000-10-25T00:00:00Z"/>
        <s v="2000-10-23T00:00:00Z"/>
        <s v="2000-10-21T00:00:00Z"/>
        <s v="2000-10-17T00:00:00Z"/>
        <s v="2000-10-12T00:00:00Z"/>
        <s v="2000-10-06T00:00:00Z"/>
        <s v="2000-10-04T00:00:00Z"/>
        <s v="2000-10-03T00:00:00Z"/>
        <s v="2000-10-02T00:00:00Z"/>
        <s v="2000-01-29T00:00:00Z"/>
        <s v="2000-01-24T00:00:00Z"/>
        <s v="2000-01-23T00:00:00Z"/>
        <s v="2000-01-17T00:00:00Z"/>
        <s v="2000-01-13T00:00:00Z"/>
        <s v="2000-01-12T00:00:00Z"/>
        <s v="2000-01-11T00:00:00Z"/>
        <s v="2000-01-10T00:00:00Z"/>
        <s v="2000-01-08T00:00:00Z"/>
        <s v="2000-01-07T00:00:00Z"/>
        <s v="2000-01-06T00:00:00Z"/>
        <s v="2000-01-05T00:00:00Z"/>
        <s v="2000-01-04T00:00:00Z"/>
        <s v="2000-01-03T00:00:00Z"/>
        <s v="2000-01-02T00:00:00Z"/>
        <s v="2000-01-01T00:00:00Z"/>
        <m/>
      </sharedItems>
    </cacheField>
    <cacheField name="quarter" numFmtId="0">
      <sharedItems containsBlank="1">
        <s v="2Q2016"/>
        <s v="1Q2016"/>
        <s v="4Q2015"/>
        <s v="4Q2012"/>
        <s v="2Q2013"/>
        <s v="3Q2015"/>
        <s v="2Q2015"/>
        <s v="1Q2015"/>
        <s v="3Q2014"/>
        <s v="2Q2014"/>
        <s v="1Q2014"/>
        <s v="4Q2014"/>
        <s v="3Q2013"/>
        <s v="1Q2013"/>
        <s v="4Q2013"/>
        <s v="3Q2012"/>
        <s v="2Q2012"/>
        <s v="1Q2012"/>
        <s v="3Q2011"/>
        <s v="2Q2011"/>
        <s v="1Q2011"/>
        <s v="4Q2011"/>
        <s v="3Q2010"/>
        <s v="2Q2010"/>
        <s v="1Q2010"/>
        <s v="4Q2010"/>
        <s v="3Q2009"/>
        <s v="2Q2009"/>
        <s v="1Q2009"/>
        <s v="4Q2009"/>
        <s v="3Q2008"/>
        <s v="2Q2008"/>
        <s v="1Q2008"/>
        <s v="4Q2008"/>
        <s v="3Q2007"/>
        <s v="2Q2007"/>
        <s v="1Q2007"/>
        <s v="4Q2007"/>
        <s v="3Q2006"/>
        <s v="2Q2006"/>
        <s v="1Q2006"/>
        <s v="4Q2006"/>
        <s v="3Q2005"/>
        <s v="2Q2005"/>
        <s v="1Q2005"/>
        <s v="4Q2005"/>
        <s v="3Q2004"/>
        <s v="2Q2004"/>
        <s v="1Q2004"/>
        <s v="4Q2004"/>
        <s v="3Q2003"/>
        <s v="2Q2003"/>
        <s v="1Q2003"/>
        <s v="4Q2003"/>
        <s v="3Q2002"/>
        <s v="2Q2002"/>
        <s v="1Q2002"/>
        <s v="4Q2002"/>
        <s v="3Q2001"/>
        <s v="2Q2001"/>
        <s v="1Q2001"/>
        <s v="4Q2001"/>
        <s v="3Q2000"/>
        <s v="2Q2000"/>
        <s v="1Q2000"/>
        <s v="4Q2000"/>
        <m/>
      </sharedItems>
    </cacheField>
    <cacheField name="Date-month" numFmtId="0">
      <sharedItems containsBlank="1">
        <s v="2016 -- 6"/>
        <s v="2016 -- 5"/>
        <s v="2016 -- 4 "/>
        <s v="2016 -- 4"/>
        <s v="2016 -- 3"/>
        <s v="2016 -- 3 "/>
        <s v="2016 -- 2"/>
        <s v="2016 -- 1"/>
        <s v="2016 -- 1 "/>
        <s v="2015 -- 12"/>
        <s v="2012 -- 12"/>
        <s v="2013 -- 6"/>
        <s v="2015 -- 11"/>
        <s v="2015 -- 10"/>
        <s v="2015 -- 9"/>
        <s v="2015 -- 8"/>
        <s v="2015 -- 7"/>
        <s v="2015 -- 6"/>
        <s v="2015 -- 5"/>
        <s v="2015 -- 4"/>
        <s v="2015 -- 3"/>
        <s v="2015 -- 2"/>
        <s v="2015 -- 1"/>
        <s v="2014 -- 9"/>
        <s v="2014 -- 8"/>
        <s v="2014 -- 7"/>
        <s v="2014 -- 6"/>
        <s v="2014 -- 5"/>
        <s v="2014 -- 4"/>
        <s v="2014 -- 3"/>
        <s v="2014 -- 2"/>
        <s v="2014 -- 12"/>
        <s v="2014 -- 11"/>
        <s v="2014 -- 10"/>
        <s v="2014 -- 1"/>
        <s v="2013 -- 9"/>
        <s v="2013 -- 8"/>
        <s v="2013 -- 7"/>
        <s v="2013 -- 5"/>
        <s v="2013 -- 4"/>
        <s v="2013 -- 3"/>
        <s v="2013 -- 12"/>
        <s v="2013 -- 11"/>
        <s v="2013 -- 10"/>
        <s v="2013 -- 1"/>
        <s v="2012 -- 9"/>
        <s v="2012 -- 8"/>
        <s v="2012 -- 7"/>
        <s v="2012 -- 6"/>
        <s v="2012 -- 5"/>
        <s v="2012 -- 4"/>
        <s v="2012 -- 3"/>
        <s v="2012 -- 2"/>
        <s v="2012 -- 11"/>
        <s v="2012 -- 10"/>
        <s v="2012 -- 1"/>
        <s v="2011 -- 9"/>
        <s v="2011 -- 8"/>
        <s v="2011 -- 7"/>
        <s v="2011 -- 6"/>
        <s v="2011 -- 5"/>
        <s v="2011 -- 4"/>
        <s v="2011 -- 3"/>
        <s v="2011 -- 2"/>
        <s v="2011 -- 12"/>
        <s v="2011 -- 11"/>
        <s v="2011 -- 10"/>
        <s v="2011 -- 1"/>
        <s v="2010 -- 9"/>
        <s v="2010 -- 8"/>
        <s v="2010 -- 7"/>
        <s v="2010 -- 6"/>
        <s v="2010 -- 5"/>
        <s v="2010 -- 4"/>
        <s v="2010 -- 3"/>
        <s v="2010 -- 2"/>
        <s v="2010 -- 12"/>
        <s v="2010 -- 11"/>
        <s v="2010 -- 10"/>
        <s v="2010 -- 1"/>
        <s v="2009 -- 9"/>
        <s v="2009 -- 8"/>
        <s v="2009 -- 7"/>
        <s v="2009 -- 6"/>
        <s v="2009 -- 5"/>
        <s v="2009 -- 4"/>
        <s v="2009 -- 3"/>
        <s v="2009 -- 2"/>
        <s v="2009 -- 12"/>
        <s v="2009 -- 11"/>
        <s v="2009 -- 10"/>
        <s v="2009 -- 1"/>
        <s v="2008 -- 9"/>
        <s v="2008 -- 8"/>
        <s v="2008 -- 7"/>
        <s v="2008 -- 6"/>
        <s v="2008 -- 5"/>
        <s v="2008 -- 4"/>
        <s v="2008 -- 3"/>
        <s v="2008 -- 2"/>
        <s v="2008 -- 12"/>
        <s v="2008 -- 11"/>
        <s v="2008 -- 10"/>
        <s v="2008 -- 1"/>
        <s v="2007 -- 9"/>
        <s v="2007 -- 8"/>
        <s v="2007 -- 7"/>
        <s v="2007 -- 6"/>
        <s v="2007 -- 5"/>
        <s v="2007 -- 4"/>
        <s v="2007 -- 3"/>
        <s v="2007 -- 2"/>
        <s v="2007 -- 12"/>
        <s v="2007 -- 11"/>
        <s v="2007 -- 10"/>
        <s v="2007 -- 1"/>
        <s v="2006 -- 9"/>
        <s v="2006 -- 8"/>
        <s v="2006 -- 7"/>
        <s v="2006 -- 6"/>
        <s v="2006 -- 5"/>
        <s v="2006 -- 4"/>
        <s v="2006 -- 3"/>
        <s v="2006 -- 2"/>
        <s v="2006 -- 12"/>
        <s v="2006 -- 11"/>
        <s v="2006 -- 10"/>
        <s v="2006 -- 1"/>
        <s v="2005 -- 9"/>
        <s v="2005 -- 8"/>
        <s v="2005 -- 7"/>
        <s v="2005 -- 6"/>
        <s v="2005 -- 5"/>
        <s v="2005 -- 4"/>
        <s v="2005 -- 3"/>
        <s v="2005 -- 2"/>
        <s v="2005 -- 12"/>
        <s v="2005 -- 11"/>
        <s v="2005 -- 10"/>
        <s v="2005 -- 1"/>
        <s v="2004 -- 9"/>
        <s v="2004 -- 8"/>
        <s v="2004 -- 7"/>
        <s v="2004 -- 6"/>
        <s v="2004 -- 5"/>
        <s v="2004 -- 4"/>
        <s v="2004 -- 3"/>
        <s v="2004 -- 2"/>
        <s v="2004 -- 12"/>
        <s v="2004 -- 11"/>
        <s v="2004 -- 10"/>
        <s v="2004 -- 1"/>
        <s v="2003 -- 9"/>
        <s v="2003 -- 8"/>
        <s v="2003 -- 7"/>
        <s v="2003 -- 6"/>
        <s v="2003 -- 5"/>
        <s v="2003 -- 4"/>
        <s v="2003 -- 3"/>
        <s v="2003 -- 2"/>
        <s v="2003 -- 12"/>
        <s v="2003 -- 11"/>
        <s v="2003 -- 10"/>
        <s v="2003 -- 1"/>
        <s v="2002 -- 9"/>
        <s v="2002 -- 8"/>
        <s v="2002 -- 7"/>
        <s v="2002 -- 6"/>
        <s v="2002 -- 5"/>
        <s v="2002 -- 4"/>
        <s v="2002 -- 3"/>
        <s v="2002 -- 2"/>
        <s v="2002 -- 12"/>
        <s v="2002 -- 11"/>
        <s v="2002 -- 10"/>
        <s v="2002 -- 1"/>
        <s v="2001 -- 9"/>
        <s v="2001 -- 8"/>
        <s v="2001 -- 7"/>
        <s v="2001 -- 6"/>
        <s v="2001 -- 5"/>
        <s v="2001 -- 4"/>
        <s v="2001 -- 3"/>
        <s v="2001 -- 2"/>
        <s v="2001 -- 12"/>
        <s v="2001 -- 11"/>
        <s v="2001 -- 10"/>
        <s v="2001 -- 1"/>
        <s v="2000 -- 9"/>
        <s v="2000 -- 8"/>
        <s v="2000 -- 7"/>
        <s v="2000 -- 6"/>
        <s v="2000 -- 5"/>
        <s v="2000 -- 4"/>
        <s v="2000 -- 3"/>
        <s v="2000 -- 2"/>
        <s v="2000 -- 12"/>
        <s v="2000 -- 11"/>
        <s v="2000 -- 10"/>
        <s v="2000 -- 1"/>
        <m/>
      </sharedItems>
    </cacheField>
    <cacheField name="Year" numFmtId="0">
      <sharedItems containsString="0" containsBlank="1" containsNumber="1" containsInteger="1">
        <n v="2016.0"/>
        <n v="2015.0"/>
        <n v="2012.0"/>
        <n v="2013.0"/>
        <n v="2014.0"/>
        <n v="2011.0"/>
        <n v="2010.0"/>
        <n v="2009.0"/>
        <n v="2008.0"/>
        <n v="2007.0"/>
        <n v="2006.0"/>
        <n v="2005.0"/>
        <n v="2004.0"/>
        <n v="2003.0"/>
        <n v="2002.0"/>
        <n v="2001.0"/>
        <n v="2000.0"/>
        <m/>
      </sharedItems>
    </cacheField>
    <cacheField name="dead">
      <sharedItems containsBlank="1" containsMixedTypes="1" containsNumber="1" containsInteger="1">
        <n v="8.0"/>
        <n v="1.0"/>
        <n v="2.0"/>
        <n v="0.0"/>
        <n v="10.0"/>
        <n v="133.0"/>
        <n v="4.0"/>
        <n v="45.0"/>
        <n v="5.0"/>
        <n v="28.0"/>
        <n v="23.0"/>
        <n v="84.0"/>
        <n v="13.0"/>
        <n v="469.0"/>
        <n v="7.0"/>
        <n v="12.0"/>
        <n v="16.0"/>
        <n v="9.0"/>
        <n v="3.0"/>
        <n v="25.0"/>
        <n v="42.0"/>
        <n v="27.0"/>
        <n v="6.0"/>
        <n v="39.0"/>
        <n v="26.0"/>
        <n v="35.0"/>
        <n v="29.0"/>
        <n v="11.0"/>
        <n v="18.0"/>
        <n v="15.0"/>
        <n v="14.0"/>
        <n v="19.0"/>
        <n v="43.0"/>
        <n v="85.0"/>
        <n v="17.0"/>
        <n v="22.0"/>
        <n v="34.0"/>
        <n v="37.0"/>
        <n v="200.0"/>
        <n v="71.0"/>
        <n v="52.0"/>
        <n v="49.0"/>
        <n v="30.0"/>
        <n v="40.0"/>
        <n v="20.0"/>
        <n v="24.0"/>
        <n v="70.0"/>
        <n v="160.0"/>
        <n v="36.0"/>
        <n v="41.0"/>
        <n v="150.0"/>
        <s v="1"/>
        <m/>
      </sharedItems>
    </cacheField>
    <cacheField name="missing" numFmtId="0">
      <sharedItems containsString="0" containsBlank="1" containsNumber="1" containsInteger="1">
        <n v="0.0"/>
        <n v="1.0"/>
        <n v="329.0"/>
        <n v="9.0"/>
        <n v="215.0"/>
        <n v="47.0"/>
        <n v="500.0"/>
        <n v="250.0"/>
        <n v="10.0"/>
        <n v="4.0"/>
        <n v="86.0"/>
        <n v="84.0"/>
        <n v="8.0"/>
        <n v="2.0"/>
        <n v="11.0"/>
        <n v="64.0"/>
        <n v="3.0"/>
        <n v="5.0"/>
        <n v="12.0"/>
        <n v="30.0"/>
        <n v="17.0"/>
        <n v="14.0"/>
        <n v="6.0"/>
        <n v="38.0"/>
        <n v="39.0"/>
        <n v="7.0"/>
        <n v="15.0"/>
        <n v="13.0"/>
        <n v="200.0"/>
        <n v="739.0"/>
        <n v="41.0"/>
        <n v="400.0"/>
        <n v="40.0"/>
        <n v="300.0"/>
        <n v="20.0"/>
        <n v="35.0"/>
        <n v="225.0"/>
        <n v="100.0"/>
        <n v="108.0"/>
        <n v="75.0"/>
        <n v="85.0"/>
        <n v="33.0"/>
        <n v="54.0"/>
        <n v="42.0"/>
        <n v="18.0"/>
        <n v="80.0"/>
        <n v="600.0"/>
        <n v="23.0"/>
        <m/>
      </sharedItems>
    </cacheField>
    <cacheField name="dead_and_missing" numFmtId="0">
      <sharedItems containsString="0" containsBlank="1" containsNumber="1" containsInteger="1">
        <n v="8.0"/>
        <n v="1.0"/>
        <n v="2.0"/>
        <n v="339.0"/>
        <n v="133.0"/>
        <n v="9.0"/>
        <n v="4.0"/>
        <n v="260.0"/>
        <n v="47.0"/>
        <n v="500.0"/>
        <n v="255.0"/>
        <n v="10.0"/>
        <n v="28.0"/>
        <n v="23.0"/>
        <n v="84.0"/>
        <n v="13.0"/>
        <n v="5.0"/>
        <n v="469.0"/>
        <n v="7.0"/>
        <n v="12.0"/>
        <n v="16.0"/>
        <n v="90.0"/>
        <n v="3.0"/>
        <n v="25.0"/>
        <n v="42.0"/>
        <n v="38.0"/>
        <n v="70.0"/>
        <n v="39.0"/>
        <n v="6.0"/>
        <n v="37.0"/>
        <n v="35.0"/>
        <n v="24.0"/>
        <n v="29.0"/>
        <n v="11.0"/>
        <n v="20.0"/>
        <n v="18.0"/>
        <n v="33.0"/>
        <n v="15.0"/>
        <n v="14.0"/>
        <n v="41.0"/>
        <n v="43.0"/>
        <n v="19.0"/>
        <n v="85.0"/>
        <n v="17.0"/>
        <n v="26.0"/>
        <n v="22.0"/>
        <n v="34.0"/>
        <n v="30.0"/>
        <n v="200.0"/>
        <n v="71.0"/>
        <n v="52.0"/>
        <n v="49.0"/>
        <n v="225.0"/>
        <n v="40.0"/>
        <n v="400.0"/>
        <n v="800.0"/>
        <n v="50.0"/>
        <n v="300.0"/>
        <n v="21.0"/>
        <n v="45.0"/>
        <n v="160.0"/>
        <n v="100.0"/>
        <n v="36.0"/>
        <n v="270.0"/>
        <n v="150.0"/>
        <n v="128.0"/>
        <n v="129.0"/>
        <n v="212.0"/>
        <n v="75.0"/>
        <n v="95.0"/>
        <n v="217.0"/>
        <n v="46.0"/>
        <n v="78.0"/>
        <n v="60.0"/>
        <n v="31.0"/>
        <n v="87.0"/>
        <n v="27.0"/>
        <n v="325.0"/>
        <n v="79.0"/>
        <n v="64.0"/>
        <n v="89.0"/>
        <n v="54.0"/>
        <n v="55.0"/>
        <n v="220.0"/>
        <n v="330.0"/>
        <n v="58.0"/>
        <n v="600.0"/>
        <n v="61.0"/>
        <n v="495.0"/>
        <n v="250.0"/>
        <n v="74.0"/>
        <n v="308.0"/>
        <n v="305.0"/>
        <n v="48.0"/>
        <n v="53.0"/>
        <n v="72.0"/>
        <n v="67.0"/>
        <n v="83.0"/>
        <n v="80.0"/>
        <n v="56.0"/>
        <n v="149.0"/>
        <n v="51.0"/>
        <n v="32.0"/>
        <n v="86.0"/>
        <n v="57.0"/>
        <n v="132.0"/>
        <n v="102.0"/>
        <n v="126.0"/>
        <n v="130.0"/>
        <n v="106.0"/>
        <n v="189.0"/>
        <n v="63.0"/>
        <n v="76.0"/>
        <n v="59.0"/>
        <n v="44.0"/>
        <n v="140.0"/>
        <m/>
      </sharedItems>
    </cacheField>
    <cacheField name="Intent of going to Eur: 1(yes) 0(not confirmed)" numFmtId="0">
      <sharedItems containsString="0" containsBlank="1" containsNumber="1" containsInteger="1">
        <n v="0.0"/>
        <n v="1.0"/>
        <m/>
      </sharedItems>
    </cacheField>
    <cacheField name="description" numFmtId="0">
      <sharedItems containsBlank="1">
        <s v="8 Syrian refugees wre shot by the Turkush border police"/>
        <s v="a body of a man, about 50, was found on a beach in Lemos Vouliagmeni, near Athens"/>
        <s v="a body of a man awas recovered in along with 133 survivors in a rescue operation  between Italy and Libya."/>
        <s v="2 men, a Turkish national and a suspected smuggler were found stabbed to death in the woods near Subotica"/>
        <s v="a man was reported as missing off the coast of Cadiz"/>
        <s v="a body of  man was found dead in the slowaway of an airplane that landed in Brussel airport"/>
        <s v="a young man frrom Sub-Saharan Africa died after trying to get into Melilla through a sewer"/>
        <s v="A 22-year old man from Syria drowned in the river Tisza trying to cross to Hungary from Serbia. UNHCR has called for the investigation of the supposed pushback by the Hungarian border police that led to this death."/>
        <s v="318 people were saved, 10 were found dead, and 329 went missing after a boat sank 75 nautical miles off Crete. It left from Alexandria, and carried about 650 people, according to survivors."/>
        <s v="133 dead people have been found on the sea shore in Libya near Zuwara. They are believed to be the refugees who went missing in the accidents of the previous week."/>
        <s v="a 16-year old girl, Afghan asylum seeker, was found dead in a forest in southern Stockholm. She is believed to be the Afghan refugee reported as missing on March 20."/>
        <s v="2 boys from Iraq were found dead in an irrigation reservoir near a shelter near Katherini, Northern Greece"/>
        <s v="a decayed body of a 68-year old  man was found in the port Perveza"/>
        <s v="a body of a man was found in a boat with 123 refugees 28 miles north-west off Tripoli. They were picked up by the Irish ship Roisin"/>
        <s v="IOM Italy reported the death of one man off the coast of Porto Empedocle, Italy"/>
        <s v="IOM Italy reported 9 people a missing between Messina and North Africa"/>
        <s v="UNHCR reported the finding of 4 bodies in the water off Lampedusa."/>
        <s v="a 25-year old Afghan man was run over by a truck on the A16 highway near Calais. He was killed when trying to block the road with tree branches."/>
        <s v="an Eritrean woman was killed in Libya. Her daughter was later rescued from one of the sinking boats between Libya and Italy, on May 26."/>
        <s v="45 bodies were taken out of water, and 215 are feared missing after a boat sank between Italy and Libya"/>
        <s v="the Libyan coast guard has recovered 4 bodies, believed to be the victims of two different shipwrecks."/>
        <s v="47 people have gone missing and 78 were saved off the coast of Sabratha, Libya"/>
        <s v="about 500 people are reported as drowned, and 87 were saved after a boat sank off the Libyan coast. It was towed by another boat, and did not have an engine."/>
        <s v="435 people were saved, and 5 bodies were recovered after a wooden fishing boat capcized off the coast of Libya. It was later reportedd that about 250 were trapped in the overturned boat and died when it sank."/>
        <s v="Italian coast guard is searching for about 10 refugees who went missing after their boat capcisedd close to Sardinia. They were crossing from Algeria."/>
        <s v="a 44-year old Syrian man died in hospital in Chios after a badly performed surgeory on his stomach. He died because he could not be transferred to a better hospital"/>
        <s v="2 young men were found dead in the Nile Delta, Kafr-el-Sheikh governorate"/>
        <s v="a 20-year old man from Morocco drowned in the port of Ceuta after trying to get on a ship to Algesiras. The body was later retrieved by the coast guard, and placed in the city morgue."/>
        <s v="4 children died in a Kilis orphanage due to bombing by IS in April"/>
        <s v="a 24-year old man from Pakistan was hit by a car on Sunday night on the A16 near Calais, and died soon after. "/>
        <s v="28 refgees died in an airtsrike targeted at the camp near Turkish border"/>
        <s v="IOM Italy reported 9 migrants as missing after a shipwreck off the coast of Libya."/>
        <s v="a body of a woman, badly decayed, was found on the cost of Samos"/>
        <s v="a man was found unconsious and soon died on the coast of Voulas, supposedly, he came from Asia."/>
        <s v="23 people died and 454 were rescued and brought to the port of Pozzallo after a shipwreck in the Channel of Sicily. They mostly come from Adrical countires, but some are from Syria and Yemen."/>
        <s v="27 people were rescued by a passing merchant ship, and 84 have drowned as a boat from Libya attempted to reach Italy, but broke in 2 after about 2 hours at sea due to bad weather. The survivours have been brought to Lampedusa. The refugees came from West "/>
        <s v="3 Libyan smugglers and 13 Egyptians were killed in a series of incidents, supposedly in a conflict over smuggling."/>
        <s v="a 40-year old man from Syria (possibly Kurdish) died in hospital in Idomeni after being hit by a police van during a riot in the Idomeni camp on Monday 18th of April."/>
        <s v="a body of a man was found on the island of Kos, delivered to the local hospital."/>
        <s v="5 Syrians including 4 children died in Turkish border town Kilis after bombing from ISIS"/>
        <s v="8 Syrian refugees- women and children among them - were shot by Turkish border guards not far from A'zaz"/>
        <s v="a body of a man was found close to the coast of Samos "/>
        <s v="a body of a 3-year old girl was found in the water by Turkish fishermen off the coast of Izmir"/>
        <s v="about 500 people are feared dead after 2 boats capcised on the way from Libya to Italy. 41 survivors were saved by a merchant ship and delivered to Kalamata, Greece. The accident happened in the middle of the night, and the death toll is estimated between"/>
        <s v="8 bodies were found in a drowning rubber boat close to Italy. 108 people resqued and taken to Lampedusa by a private ship called Aquarius (SOS Mediteranee charity). The survivors claimed that there were 135 passengers in the boat that left from the Libyan"/>
        <s v="a 20-year old man, asylum seeker from Syria, died on the highway near Frankfurt Airport."/>
        <s v="a 27-y.o. man was found unconsious in port Rafti in Attika, and later died in hospical."/>
        <s v="7 bodies were found by Tunisian fishermen in a port close to Lybian border"/>
        <s v="a man was found unconsious in the area of Nea Makri, Attika, and died in the Korgialenio - Benaki hospital"/>
        <s v="A gay Russian opposition activist who lived in Luxembourg as an asylum seeker has committed suicide. He suffered from depression."/>
        <s v="4 women and a child have drowned as their boat capsized in the Aegean Sea close to Samos on Saturday. 5 people have survuved, 4 still missing."/>
        <s v="4 refugees were killed in a violent riot in a detention centre in Zawiya. The centre held refugees who were arrested on Libya's coast when they were trying to reach Europe."/>
        <s v="a refugee was found unconsious in the water and died in hospital ner the city of Voula"/>
        <s v="a woman, about 30, was found dead on the island of Samos"/>
        <s v="a Kurnish teenager (18 y.o.)  has died in Oxfordshire trying to travel underneath a truck from Dunkirk to Manchester. He had a legitimate right to stay in the UK."/>
        <s v="the Egyptian coast guard reported that 127 weere rescued and 4 drowned after a boat sank off Kafr el-Sheikh province"/>
        <s v="16 Syrian refugees, including 3 children, were shot by Turkish soldiers at the border since the start of 2016, Syrian Observatory for Human Rights reported."/>
        <s v="IOM Italy reports 86 refugees as missing after a boat sank off the cost of Libya, 4 corpses were later found on the Italian coast."/>
        <s v="IOM Italy reported 84 people as dead off the coast of Libya"/>
        <s v="a 22-year old man died in hospital after being run over by a truck in the port of Calais"/>
        <s v="a 55-year old man was found dead in the sea off Rodos"/>
        <s v="12 bodies have been found on the Libyan cost near Tripoly, the coast guard estimates they must have been in the waterr for several days"/>
        <s v="a 15-year old boy from Somalia died of lung infection in hospital in Cagliali, Italy"/>
        <s v="a 47-year old woman was found dead on the edge of the water on the city of Patras"/>
        <s v="2 men were found dead in Bulgaria close to the Turkish border"/>
        <s v="4 people were reported dead by the IOM Italy between Libya and Lampedusa"/>
        <s v="2 girls aged 1 and 2, were found dead in a boat on the Greek island of Ro"/>
        <s v="2 refugees, aged 36 and 39, died in a hospital on the island of Lesvos, city of Mytilene, after being rescued from a boat by the coast guard"/>
        <s v="2 underage girls died in a hospital on the island of Kalolimnos after being resqued from a boat with 57 other people"/>
        <s v="a body was found near Catania, Sicily"/>
        <s v="a body was found near Pozallo, Sicily"/>
        <s v="9 people have drowned off Lybia, supposedly trying to reach Europe"/>
        <s v="4 people died when their boat cought fire off the cost of Libya"/>
        <s v="8 men from Pakistan were reported missing near the island of Kos"/>
        <s v="Italian coast guard and navy, and a Norvegian ship found 3 drowned people during a search and resque operation in between Sicily and Borth Africa"/>
        <s v="A teenage boy from a North African country drowned trying to get on a boat standing in Melilla"/>
        <s v="A woman and two men drowned in a river close to the Greek-Macedonian border due to the string current"/>
        <s v="A teenager from Egypt has died after jumping off a train in Southern Germany. A few days before that, he was deported out of Germany. When discovered hiding under a seat, he handed the officians his documents (issued in Austria), and then rushed into anot"/>
        <s v="a body of a man was found on a beach in Samos (N-E)"/>
        <s v="a body of a man was found on a beach in Samos"/>
        <s v="5 people (including a baby) from Iran and Afhganistnan  have drowned off the Turkish coast while trying to reach Lesbos. The Turkish coast guard saved 9 more."/>
        <s v="A boat sank off the Coast of Turkey, 25 people died among them 10 children. 15 were rescued."/>
        <s v="SOHR activists were informed that the Turkish border guards targeted a number of civilians during an attempt to cross from Lattakia and Idlib into Turkey what killed 2 civilians and wounded 10 others, it is still unknown if they have reached the Turkish b"/>
        <s v="IOM reported a death of a child in Mytilene  hospital in Lesvos due to respiratory problems"/>
        <s v="The PYD reports that 42 people were wounded and killed during internal fightings trying to reach the border and going on the seas to escape the fights,"/>
        <s v="IOM Italy reported death of 5 people between Tunisia and Italy"/>
        <s v="2 Syrian children died in the hospital of Kilis, Turkey after fleeing a Russian airstrike in their hometown Aleppo"/>
        <s v="2 drowned refugees were found on Firday near Sicily by the Italian coast guard. They are believed to have attempted to get to Italy from Lybia in a wooden boat"/>
        <s v="1 Afhgan boy (4 y.o.) was found dead in a boat that docked on the island of Chios"/>
        <s v="1 man was killed in a fight in a refugee centre in Sweden, in the town of Ljusne"/>
        <s v="1 man, 36 year old, from Afghanistan, diesppaeared on his way from Calais Jungle to a supermarket"/>
        <s v="1 year old baby died at Adana Bus station due to coldness and starvation. The familiy walked from Aleppo to Hatay (Turkey), then took a bus when the child died at the satation"/>
        <s v="1 man was found dead near the coast of Calais by the French coast guard. The corps has been in the water for a long time, and there were no papers on him."/>
        <s v="27 people (11 children) were found dead and 4 were resqued after a boat capsized in West Turkey "/>
        <s v="2 women, aged approx. 14-16 and 30-40, have frozen to death while crossing the Balkans"/>
        <s v="9 people (including 2 children) drowned, and 2 were saved when a boat sank off the coast of the Turkish provice Izmir."/>
        <s v="3 people drowned on the way from Didim to Farmakonisi. 12 were rescued by the Turkish coast guyrd"/>
        <s v="IOM reported 6 people dead and 64 missing in the Channel of Sicily"/>
        <s v="39 people (including 5 children) drowned and 75 saved by the Turkish coast guard after their boat hit the rocks on its way to Lesbos from Canakkale. The refugees came from Syria, Maynmar, and Afghanistan"/>
        <s v="A body of an infant was found on the island of Samos "/>
        <s v="A body of a man was found on the island of Samos"/>
        <s v="6 people were found dead in a rummer dinghi by the Italian coast guard during the resque operation between Italy and Lybia. The coast guyrds have resqued 290 from 3 boats."/>
        <s v="26 people (10 children) were found dead near an island of Samos. 10 people resqued."/>
        <s v="7 refugees (1 child among them) have drowned attempting to reach the Greek island of Kos. 1 man swam ashore, 3 still missing"/>
        <s v="5 refugees have drowned, and 16 were resqued off the coast of Didim, West Turkey, as their boat sank on its way to the Greek island of Farmakonisi"/>
        <s v="A body was brought to Sicily together with 700 rescued people"/>
        <s v="A Pakistani man was stabbed to death, and 2 more wounded by a group of 5 menon the border to Macedonia"/>
        <s v="A body of a man was found on the island of Samos (East)"/>
        <s v="2 bodies (man and woman) were founded dead on the north-east of Samos"/>
        <s v="A heavily decayed body of a man was found on the island of Skyros by the coast guyrd"/>
        <s v="A body of an underage girl was found on the island of Lesvos, Kaiga beach"/>
        <s v="a man was found dead on the border of Bulgaria and Serbia"/>
        <s v="A young man (22) died trying to travel under a truck, but fell on the road and was ran over"/>
        <s v="A body of a man was found off the coast of Samos (north)"/>
        <s v="8 people drowned as a boat sank off the coast of the Greek island of Farmakonissi"/>
        <s v="35 bodies (17 women, 7 men, 11 children) recovered from a shipwreck off the coast of Kalolimnos, 26 people were resqued by the Greek coastguard. Later Turkeich coast gurd recovered 3 more bodies, and reseuqed 6 survivors in the area between Kalolimnos and"/>
        <s v="13 refugees (including a pregnant woman and 5 children) drowned, and 26 were resqued by the Turkish coast guard as a boat capsied on its way to Lesvos off the Tirkish resort town Foca"/>
        <s v="2 women and a 5-year old child died of hypothermia in Lesvos "/>
        <s v="Migrants reported that smugglers have killed one and pushed 8 overboard"/>
        <s v="A decayed body of a drowned woman found on the coast of  Fournoi  island"/>
        <s v="An Afghan boy, aged 15, soffucated in a truck while trying to cross into the UK from Calais"/>
        <s v="An Indian man froze to death while waiting in a car trying to get into Finland from Russia"/>
        <s v="An Iraqi man killed himself in a refugee selter in the Netherlands, Alphen aan den Rijn"/>
        <s v="A heavily decayed body of a man was found by the coast guard on Samos, Remataki area"/>
        <s v="six bodies were found dead by the Greek coast guard off te coast of the island of Samos, believed to be drowned refugees"/>
        <s v="4 people, (1 adult, 3 children), drowned when their boat sank on its way to Lesbos"/>
        <s v="a baby found dead in a boat with 63 refugees that arrived to Farmakonissi on Friday. All other 63 passengers made it to the shore safely"/>
        <s v="2 children drowned in a shipwreck near the Greek island of Agathonisi. 20 people were resqued by the volunteers, among them the Turkish smuggler, who was handed over to the Greek police."/>
        <s v="The bodies of five men and one woman have been washed ashore in West Turkey this Tuesday. They have beed dead for 5 to 10 days."/>
        <s v="A body of a man was found in the landing gear of an airplane in Orly. The aircraft belongs to Air France, and came from Barzil"/>
        <s v="As a group of 37 Somali refugees tried to reach the Puglia coast, thrown into the water by the trafickers. 35 resqued, 1 woman found drowned, at least 5 women reported missing"/>
        <s v="Two women and a 5-y.o.girl drowned after a speedboat sinks off Ayvacik on its way to Lesbos, carrying 16 migrants. The rest survived, rescued or swam ashore. The search continues for 2 men and a boy. Cause of the accident- bad weather"/>
        <s v="A heavily decayed body of a woman found on Lesvos"/>
        <s v="A bus carrying refugees collided with a car in the Turkish province of Canakkale, on the way to Ayvalik, killing 6 people, 4 of them migrants"/>
        <s v="A bus carrying refugees overturned in Turkish province of Balikesir, on the way to Ayvalik, killing 8 people, including the driver, and injuring 42"/>
        <s v="Rescuers have pulled out six bodies from the wreckage of a bus that crashed into a car in northwest Turkey."/>
        <s v="The bodies of 36 migrants have been found, including 29 recovered by the Turkish gendarmerie and seven by the coastguard. It was not immediately clear how many boats had sunk in the high seasonal winds although the Dogan news agency said at least two sepa"/>
        <s v="2  bodies, of a young woman (about 25), and a girl (7-10) was found on the island of Ikaria"/>
        <s v="A body of a man was found on the island of Tinos"/>
        <s v="A heavily decayed body of a man, 30-40 y.o. was found on the shore of Samos"/>
        <s v="4 bodies (1 woman, 3 men)  were washed ashore on the island of Fournoi"/>
        <s v="A drowned two-year-old boy became the first known migrant casualty of the year on Saturday after the crowded dinghy he was travelling in slammed into rocks off Greece's Agathonisi island"/>
        <s v="A Iranian man died. His head was crushed by a bridge pillar"/>
        <s v="A 41-year-old man from Guinea-Bissau was stabbed, causing a riot"/>
        <s v="A mass attempt to scale the border fence on the Spanish island of Ceuta and reach European shores has left at least two people dead and 12 others injured."/>
        <s v="11 people including three children crossing the Aegean Sea to Greece have drowned after their boat capsized"/>
        <s v="At least 18 migrants drowned when their overcrowded boat sank in the Aegean Sea, the Turkish coastguard recovered the bodies including several children from the sea, and were hunting for another two who were missing"/>
        <s v="15 people - 13 men and two women - were rescued and taken for health checks to the nearby island of Leros, where Greece has set up dozens of prefabricated homes. One person was still missing according to witnesses, the officials said."/>
        <s v="Seven children, four men and two women drowned when a boat carrying migrants capsized off the tiny Greek island of Farmakonisi"/>
        <s v="The bodies of two people, including a three-and-a-half year old child and a 17-year-old girl, were found off the coast of Çeşme in İzmir province."/>
        <s v="Two migrants trying to reach Europe by boat drowned off Libya on Monday, another 10 were missing and more than 100 were rescued."/>
        <s v="Umar Bilemkhanov, a Chechen dissident whose asylum request had been declined, was later found dead in 2012 after being tortured"/>
        <s v="Nazjujev, a Chechen dissident whose asylum request had been declined, was in 2013 found dead in a river,  with his teeth and nails pulled out, his knee caps shattered, broken skull and deep lacerations on his body, according to an autopsy report"/>
        <s v="Four Syrian migrants – three of them children - drowned"/>
        <s v="At least 18 migrants have drowned and 14 others were rescued after a boat taking them to Greece sank off the Turkish coast."/>
        <s v="Four Iraqis including two children have drowned after a Greece-bound migrant vessel capsized in the Aegean Sea"/>
        <s v="A man and a child died after their boat sank on its way from Turkey to the island of Lesbos."/>
        <s v="Two Iraqi children, aged six and two, were found dead off the Turkish resort town of Çeşme"/>
        <s v="Four children have drowned off the west coast of Turkey after a boat carrying refugees sank"/>
        <s v="Greek coast guard officers recovered the bodies of three of the six people who were reported missing after their boat capsized off the coast of Kastelorizo"/>
        <s v="An Afghan refugee was stabbed to death in refugee shelter in Germany"/>
        <s v="Ten-year-old Nergis Maghsoudi drowned early Dec. 14 after a boat heading to the Greek island of Lesbos, with 50 Afghan migrants aboard, capsized in international waters."/>
        <s v="Four refugees drown, nine missing as boat capsizes in Aegean Sea"/>
        <s v="A six-month-old baby was found dead off the Aegean coast after another migrant boat bound for Farmakonisi capsized on Dec. 8 at around 10 p.m"/>
        <s v="11 African migrants drown trying to reach Canary Islands by boat"/>
        <s v="The Greek coast guard said 12 people were found dead, including six children, and 12 were missing after a migrant boat sank in the Aegean Sea off the Greek island of Farmakonisi"/>
        <s v="Six Afghan children drowned after a rubber dinghy carrying migrants to Greece sank off Turkey's Aegean coast, the state-run news agency reported.  Rescuers were searching for two other migrants who were reported missing."/>
        <s v="A 25 year old Sudanese was stabbed in the &quot;Jungle&quot; in Calais"/>
        <s v="Two cameroonian men died asphyxiated in a cave as Moroccan police burnt blankets in front of the cave"/>
        <s v="A Sudanese 16 years old was hit by a car on a highway near Coquelles"/>
        <s v="Greek authorities say they have recovered the body of a woman and are still searching for three other missing migrants after their small boat sank in the eastern Aegean Sea."/>
        <s v="A migrant was electrocuted to death at the Greek-Macedonian border during a second successive day of clashes between police and migrants stranded for weeks on the Greek side."/>
        <s v="A 4-year-old child was reported drowned as she and 28 fellow passengers tried to swim to the shore of Ro."/>
        <s v="At least 30 people are missing after a boat carrying refugees sank off Turkey's western coast. The bodies of three Syrian refugees were found washed up on a nearby beach."/>
        <s v="Armed men attacked a lorry carrying migrants in northern Mali, killing four people and wounding six"/>
        <s v="A boat carrying as many as 55 migrants from Syria and Afghanistan sank hours later off the town of Ayvacik, further north. Four Afghan children drowned in that incident, Anadolu reported."/>
        <s v="A wooden boat smuggling some 20 people to the island of Kos capsized in bad weather off the Aegean resort of Bodrum. The state-run Anadolu Agency says most of the migrants made it to shore with the help of rescuers, but two sisters aged 4 and 1 drowned"/>
        <s v="The bodies of six Sudanese migrants who had been shot dead were found in Egypt's Sinai Peninsula near the Israeli border"/>
        <s v="Turkish fishermen found the dead body of a 4-year-old Syrian migrant girl off Turkey’s Bodrum coast"/>
        <s v="A fire sparked by an electrical fault has killed 18 people and injured 43 others at a camp in Algeria"/>
        <s v="A 17-year-old girl was stabbed to death at a refugee reception centre in Western Norway"/>
        <s v="A man between 25 and 30 was hit by a car near Grande-Synthe"/>
        <s v="The discovery of two bodies inside a container at industrial premises is being treated as suspicious, police have said. It is likely the bodies, thought to be those of two migrants aged under 30, were inside the crates for some time."/>
        <s v="Spain's coast guard says at least one person died when a boat capsized off the western coast of Africa while trying to take sub-Saharan Africans to the Canary Islands and that a search is underway to try to find at least 17 missing people."/>
        <s v="One of the 15 migrants reported missing after a boat capsized off the Aegean resort town of Bodrum has been found dead."/>
        <s v="An afghan asylum seeker was hit by a train"/>
        <s v="A plastic boat carrying migrants capsized in the eastern Aegean Sea near the Greek island of Kos, killing at least nine people including four children, authorities said. Crews were searching for two boys who were reported missing by survivors."/>
        <s v="A body of a man about 30 years old, in an advanced state of decomposition, was found at sea off the island of Lesbos"/>
        <s v="A girl was part of a family of six who were following train tracks to the city of Alexandroupolis. The girl apparently slipped away from her parents and was struck by a passing train, police say. "/>
        <s v="A boy died at sea when the inflatable boat carrying 15 migrants and an operator smashed on rocks off the coast of the island of Chios, the Greek coast guard says. The boat engine exploded and all passengers jumped into the sea"/>
        <s v="15 African migrants were shot to death in Egypt’s Sinai Peninsula while trying to reach Israel"/>
        <s v="4 people died after falling off a boat near Chios. 22 were rescued, but 2 are still missing."/>
        <s v="Fourteen people drowned off Turkey’s western coast when a boat packed with refugees sank"/>
        <s v="Eleven people, including two children, were rescued, while the body of a male refugee was retrieved. His wife is reportedly still missing."/>
        <s v="The boy, aged 2-3 years, was found off the coast of Lesbos fully clothed, including boots, and wearing an orange life jacket, the Greek coast guard said in a statement."/>
        <s v="One child drowned and another was missing off the Greek island of Kos "/>
        <s v="Greek authorities say three adults and a child are missing in the sea off the eastern island of Lesbos after an accident involving a boat with more than 40 migrants on board."/>
        <s v="Greek authorities say four more people have drowned off the eastern island of Lesbos, after an accident involving a boat with nearly 50 migrants on board who had crossed over from nearby Turkey. The dead were identified as two men and two children"/>
        <s v="Rescuers found the bodies of four migrants after a boat said by survivors to be carrying 15 people sank en route to Greece, authorities said."/>
        <s v="38 people believed still missing after the sinking of a wooden boat carrying migrants. Earlier, 242 people were rescued and three bodies were recovered."/>
        <s v="Croatian police say a 63-year-old woman from Afghanistan has died of natural causes in a refugee camp."/>
        <s v="15 migrants including six infants drowned when their boat capsized"/>
        <s v="39 refugees have gone missing after their boat capsized off the coast of Morocco in the Mediterranean Sea"/>
        <s v="Another boat capsized off the coast of Lesbos, leaving eight more refugees dead"/>
        <s v=" A woman, child and baby drowned near Rhodes. Six of their fellow passengers were rescued and three others were missing."/>
        <s v="More than 130 people were rescued from a boat that sank near the island of Kalymnos, killing 19."/>
        <s v="A bosnian child was abducted near a refugee center in Berlin. His body was found in a trunk."/>
        <s v="One woman and two children drowned off the islet of Agathonissi"/>
        <s v="Three children and a man died off the coast of Samos"/>
        <s v="A 7-year-old boy died off Lesbos"/>
        <s v="Two young boys and a man died when their boat capsized"/>
        <s v="A man fall off a boat, his body was recovered near Lesbos"/>
        <s v="A woman fall off a boat near Chios, her body was recovered near Lesbos"/>
        <s v="A woman and two young children drowned, and seven people were missing, after an inflatable dinghy carrying dozens of migrants from Turkey hit rocks near the Greek island of Lesbos"/>
        <s v="A Guinean drowned after a capsize"/>
        <s v="4 people were hit by a car in the Eurotunnel. One died, the others are injured."/>
        <s v="Bodies of 43 migrants wash ashore in Libya"/>
        <s v="A boat carrying migrants sank off the resort town of Kuşadası in the province of Aydın. Some 15 migrants in the boat were rescued while 15 others are missing."/>
        <s v="6 bodies, among them two women and one child, were discovered on a beach in the town of Guarabouli."/>
        <s v="One child and an unidentified person were killed in a capsized boat off the resort town of Ayvalık"/>
        <s v="A Pakistani refugee reportedly drowned after falling off a boat carrying 38 people"/>
        <s v="One baby, four children, five women and two men have drowned after a boat carrying refugees attempting to reach the Greek island of Lesbos sank in the Aegean Sea"/>
        <s v="Four migrants, the oldest of them a young woman of 16, drowned and three other people were missing after their rubber boat capsized off a Greek island"/>
        <s v="A baby, a child and two women were found dead in a boat near Kastelorizo. One man is missing."/>
        <s v="A 8 year old died in a dingee with 110 refugees onboard"/>
        <s v="Afghan migrant shot dead by police on Bulgarian border"/>
        <s v="An unidentified body has been found near the rail path "/>
        <s v=" A woman, a young girl and a baby have died after a boat carrying migrants and refugees to the Greek island of Lesbos sank"/>
        <s v="A Syrian woman died after being hit by a car on a motorway near the Eurotunnel terminal"/>
        <s v="Rubber boat with Lebanon family of 12 sinks in Aegean Sea"/>
        <s v="Seven dead and one missing after Greek coastguard vessel hits migrant boat"/>
        <s v="Eleven drown as boat capsizes off Egypt"/>
        <s v="A baby died after the rubber boat carrying him and another 56 migrants broke down and was left adrift off the Greek island of Lesbos"/>
        <s v="Two migrants died and 20 others were injured at the Spanish-Moroccan border on Friday 9 October after a raft on which they were travelling was overturned by the Moroccan Royal Marines"/>
        <s v="A baby, aged between six months and a year, and a boy aged between 3 and 5 years were found on a beach, presumably after the boat carrying them from Turkey to Kos overturned"/>
        <s v="At least one person was killed in a truck/bus accident"/>
        <s v=" Red Crescent scouts found 10 corpses near Sabartha, a Libyan coastal city that is a main launching point for smugglers’ boats headed to Europe."/>
        <s v="Red Crescent scouts found 85 of the corpses near Libya’s capital Tripoli"/>
        <s v="One refugee died in a fire in a reception fire"/>
        <s v="Two refugees, a young child and a woman lost their lives when the boat carrying them from the Turkish coast to Greece capsized - See more at: http://greece.greekreporter.com/2015/09/30/refugee-boat-capsized-near-mytilene-woman-and-young-child-tragically-d"/>
        <s v="One Syrian migrant has died and five others are reported missing after an inflatable boat carrying migrants capsized off Turkey’s northwestern coast late on Sept. 29"/>
        <s v="A young Irakian was found dead in a truck in the port of Calais"/>
        <s v="The Greek coastguard said it was looking for seven migrants feared missing near the Aegean island of Kos, after rescuing 115 Syrians in a separate incident."/>
        <s v="Turkish Coast Guard rescues 20 people after boat sinks near holiday resort, 17 Syrians drowned"/>
        <s v="Young migrant found dead in Channel Tunnel"/>
        <s v="Syrian Teen Who Ate Poisonous Mushroom Dies in Germany"/>
        <s v="Greek authorities say two people are missing after a boat carrying people fleeing their homelands sank in the eastern Aegean Sea."/>
        <s v="The body of a young Moroccan was found at sea"/>
        <s v="A five-year-old girl is among more than a dozen refugees feared to have died when their boat sank off Lesbos"/>
        <s v="The body of a young Syrian girl was found on a Turkish beach"/>
        <s v="A boat capsized off the coast of Turkey. 13 dead, 13 missing."/>
        <s v="At least seven migrants, including a young child, have died after their boat sank off the coast of Libya."/>
        <s v="A man found on Eurotunnel train roof dies from electrocution"/>
        <s v="At least 22 migrants including four children trying to reach Greece drowned "/>
        <s v="Two Syrian migrants attempting to reach a Greek island drowned"/>
        <s v="The coastguard was also still searching for four children missing after another boat capsized"/>
        <s v="34 migrants die in boat capsize off Greece"/>
        <s v="A car hit three migrants walking along the main road in the dark near the city of Szeged in southern Hungary and one of them died in hospital"/>
        <s v="One dead body was found near Ceuta"/>
        <s v="1 man was run over by a train between Orestiada and Alexandroupolis"/>
        <s v="A migrant has died in Hungary after falling onto train tracks 'while running away from police'."/>
        <s v="At least 30 people were feared dead as a boat full of migrants sank off the coast of Libya"/>
        <s v="A two-month-old baby from a family of refugees died Saturday on the Greek island of Agathonisi, a police source said"/>
        <s v="Four bodies were found by the Swedish navy near Sardaigna"/>
        <s v="Twelve Syrians drown heading from Turkey to Greek island. Amonst them, Aylan Kurdi, a 3 year old boy whose photo shared a lot on social networks"/>
        <s v="Seven people died when a boat carrying migrants sank off Libya’s coast and 30 bodies were discovered on Monday near the capsize"/>
        <s v="A 17-year-old migrant was killed during a shootout at sea between Greek port police and human smugglers"/>
        <s v="Up to 200 bodies have been discovered floating off the coast of Libya"/>
        <s v="71 people, presumed to be asylum-seekers, have been found dead in the back of a lorry in Austria."/>
        <s v="A 15 year old Somalian died on the boat of MSF taking him to Italy"/>
        <s v="52 found dead' in hold of migrant boat off Libya"/>
        <s v="Turkey's coast guard recovered three bodies and rescued 73 refugees from Syria and Afghanistan after a fishing boat that would have taken them to Lesbos capsized about off Turkey's Aegean coast at Canakkale, Turkey's state-run Anadolu Agency reported."/>
        <s v="Greece's coast guard recovered the bodies of two men, rescued six people and was searching for at least five more missing off the coast of the eastern Aegean island of Lesbos"/>
        <s v="Red Cross found a 16 year old Syrian dead on a boat in Kos"/>
        <s v="Greece's coast guard rescued hundreds of migrants in more than a dozen search-and-rescue operations, including one in which a toddler found unconscious in an overcrowded dinghy died"/>
        <s v="A boat overloaded with 31 Syrians sank on Tuesday, and six, including an infant, drowned."/>
        <s v="Rescuers found one migrant dead and saved 354 on a fishing boat in rough seas"/>
        <s v="49 people were found dead, probably from suffocation, on an overcrowded fishing boat."/>
        <s v="A Senegalese man plunged to his death during a police raid"/>
        <s v="A boat capsized off the coast of Libya. Between 600 and 700 were onboard. Only around 400 were rescued and 25 bodies were found"/>
        <s v="A 27 year old Moroccan has been found axphyxiated in a luggage on a ferry between Mellila and Almeria"/>
        <s v="4 men have been found dead at sea, trying to get to Ceuta"/>
        <s v="About 1,800 migrants have been rescued from seven overcrowded vessels in the Mediterranean, while five corpses were found on a rubber boat carrying 212 others, according to the Italian coastguard.&#10;The bodies were found on board at the time of the rescue, "/>
        <s v="One migrant fall from a train and broke his neck."/>
        <s v="One migrant died falling from a truck."/>
        <s v="One migrant died trying to escape from a police control."/>
        <s v="A migrant died while being evacuated from a squat"/>
        <s v="12 migrants drowned in the sea and 500 saved near Lampedusa"/>
        <s v="A ship sunk between Turkey and Greece. 20 people got saved, 15 are missing, 1 dead."/>
        <s v="One migrant drowned while trying to get into the Eurostar Tunnel"/>
        <s v="One migrant burned while trying to get into the Eurostar tunnel"/>
        <s v="Teen migrant found dead on the roof of an Eurostar"/>
        <s v="Migrant found dead in a Eurostar"/>
        <s v="Diabetic child dies on migrant boat after traffickers throw her insulin overboard"/>
        <s v="The migrants fell into the water and most were rescued by a commercial boat and then by a German navy ship, the Holstein, which brought a total of 283 people to safety.One 22-year-old Ghanaian cited by the newspaper claimed that some 30 of his fellow trav"/>
        <s v="Fourteen migrant bodies recovered in the continuing exodus from north Africa"/>
        <s v="A migrant got run over by a truck in the Eurotunnel "/>
        <s v="A migrant got electrocuted while trying to get on the top of a train going to the UK"/>
        <s v="Bodys in an advanced state of decomposition were found in the Sahara"/>
        <s v="One migrant was shot during the crossing of the Mediterrannean sea"/>
        <s v="17 men and 1 woman were found in the desert, shortly after they left Arlit for Algeria"/>
        <s v="On the night of the 29th June Zebiba a 23 year old women from Eritrea was found dead on the side of the A16 between Calais and Marck."/>
        <s v="A rubber boat capsized during a rescue operation. 3 men died."/>
        <s v="A pickup truck got lost in the desert outside of Arlit, Niger"/>
        <s v="A 20 years old guy hitted by a car while crossing the highway"/>
        <s v="17 bodies were found on three inflatable dinghies, from which more than 300 other migrants were rescued alive"/>
        <s v="The Italian navy found 11 dead migrants on boats headed across the Mediterranean to Europe "/>
        <s v="Five African migrants drowned in the Mediterranean after jumping from their boat which was intercepted by the Egyptian coastguard, reported security officials."/>
        <s v="The bodies of five Tunisian migrants trying to reach the Italian island of Lampedusa were recovered off Tunisia"/>
        <s v="A youg afghan has been found dead in a truck"/>
        <s v="a young Kurdish man convicted of smuggling hung himself in his cell the night after the trial"/>
        <s v="The Save the Children aid group said on Tuesday rescued migrants disembarking in Sicily had told its personnel there that around 40 of their fellow travelers had drowned during the journey.        "/>
        <s v="Hundreds of migrants were rescued from at least 16 boats off Libya's coast Sunday, but at least 10 bodies were recovered in the rescue operations involving the Italian Coast Guard.        "/>
        <s v="Three people were killed Saturday when a boat carrying migrants sunk off the coast of Beheira governorate’s Edku city.        "/>
        <s v="Fourteen migrants were killed when they were struck by a train in a narrow gorge in Macedonia late on Thursday, part of a growing tide of people trying to get to western Europe via the Balkans instead of crossing the treacherous Mediterranean."/>
        <s v="The incident took place on Tuesday night on a ferry linking Igoumenitsa in northwest Greece with Bari across the Adriatic Sea in southeast Italy, Ana said. As the bus drove onto the ferry ramp, the 21-year-old migrant was struck and fatally injured by the"/>
        <s v="2 Boats Carrying 400 People Send Distress Calls"/>
        <s v="The boat hit a reef at Zephyros beach in Rhodes and the migrants started to flee to the shore, jumping into the sea, withor help. According to preliminary information released by the authorities, the boat sailed from the coast of Turkey. The smuggler aban"/>
        <s v="800 migrants feared dead in Mediterranean shipwreck"/>
        <s v="Just under 70 migrants, many suffering from severe burns, were picked up by Italian coastguards in the Mediterranean sea between northern Libya and Italy on Friday, after spending two days stranded on a half-inflated dinghy. One 25-year old woman died dur"/>
        <m/>
        <s v="About 400 migrants are feared died in an attempt to reach Italy from Libya when their boat capsized, survivors said."/>
        <s v="Migrants were picked up by three merchant vessels and an Italian navy ship. In all 978 people were rescued, one person had died before help arrived."/>
        <s v="A ship carrying 200 migrants capsized near Egypt's Mediterranean coast."/>
        <s v="Seven persons were found dead while another nine were rescued by members of the Turkish coast guard, after they were spotted east of the Greek island Symi, near Rhodes."/>
        <s v="At least five people were killed when a boat carrying migrants sank near the southwestern province of Muƒüla early on March 17."/>
        <s v="Four dead and 8 missing on a 30-person boat."/>
        <s v=" A boat transporting migrants has capsized off Sicily, killing at least ten people."/>
        <s v="Two men jump ship as they are being deported from the UK to Belgium."/>
        <s v="untreated diabetes"/>
        <s v="300 migrants and refugees are thought to be dead by UN agencies based on survivors' testimonies."/>
        <s v="HIV after being denied treatment"/>
        <s v="More than 20 died of hypothermia. Another 15 in critical condition."/>
        <s v="A boat carrying illegal migrants sank off the Mediterranean shore near the Spanish enclave of Melillla."/>
        <s v="A Maltese patrol boat rescued about 80 migrants, who claimed 20 had died since leaving from Tripoli. A man died in a Maltese hospital after disembarking."/>
        <s v="A people smuggler was carrying 12 Nigerien illegal immigrants from Tarhuna to Tripoli when a military patrol pursued his vehicle. During the pursuit, two military vehicles hit the smuggler's car, causing a tragic accident, in which the smugglers, the 12 i"/>
        <s v="A patera capsized. Refugees and migrants from another boat were able to rescue six people."/>
        <s v="26-year-old Palestinian, Wael Adeeb Shahwan left the Gaza Strip for Alexandria, smuggled through the tunnels and on the high seas. One night around 20 September, Wael was smuggled onto a boat near Alexandria. The smugglers had stolen everyone's bags and m"/>
        <s v="Two boats carrying migrants to Europe capsize near Tripoli"/>
        <s v="The overcrowded boat was attempting the crossing from North Africa to Italy."/>
        <s v="102 migrants were rescued off Al-Qarbuli."/>
        <s v="A boat capsized a few miles off the Libyan coast. 26 were rescued by the Libyan Navy."/>
        <s v="Fifteen migrants from Gaza died on Saturday after a boat they were riding in capsized. The boat had been wrecked after hitting a rock off the coast soon after departing from shore."/>
        <s v="A merchant ship rescued two migrants, who said a total of 30 had been on board. Later interviews put the figure at 500. They also added that the smugglers purposefully sunk the boat."/>
        <s v="two migrants drowned and six more were rescued when their boat sank in the Mediterranean Sea near Malta"/>
        <s v="more than 160 African migrants were feared dead after an overloaded boat heading for Italy capsized off the coast of Libya, Libyan officials recovered dozens of bodies, 36 are rescued"/>
        <s v="Libyan coastguards found 15 bodies of sub-Saharan African migrants floating in the sea near a ripped inflatable boat"/>
        <s v="The coast guard found the damaged rubber boat off the shores of al-Qarbouli, 50 kilometers (30 miles) east of Tripoli. The coast guard has estimated the boat carried at least 100 people."/>
        <s v="The Tunisian coast guard recovered the bodies of 36 migrants who drowned when their boat sank in the Mediterranean near the maritime border with Libya"/>
        <s v="A boat capsized off Zuwara. No other information is available, except that bodies have been washed ashore in nearby Tunisia and that many more have been sighted at sea."/>
        <s v="A fishing boat carrying roughly 400 people capsized north of the Libyan coast in bad weather conditions. The Italian navy and coastguard, in a joint operation with a nearby merchant ship, rescued 364 people. 24 bodies have been recovered and more are fear"/>
        <s v="Eighteen people are found dead on an inflatable dinghy floating south of Lampedusa by the Italian navy, 73 are rescued"/>
        <s v="The Italian Navy boat Sirio rescued a boat with 73 migrants and 18 corpses. They were disembarked at Pozzalo."/>
        <s v="More than 250 migrants may have died when a boat sank a kilometre off the Libyan coast."/>
        <s v="Greece's coastguard recovered the body of a migrant who died when a vessel containing at least another 80 people caught fire and sank in the Aegean"/>
        <s v="An Algerian national died during his deportation. Policemen were present when he died but did not call for help."/>
        <s v="One man found dead in container with 35 migrants."/>
        <s v="The Italian navy talked of 2 bodies recovered on its Twitter feed, without giving any further details."/>
        <s v="At least 150 migrants died when their boat sank off Libya's coast, two dozen people survived"/>
        <s v="A makeshift boat sank off the Libyan coast. 22 were rescued by the Libyan navy."/>
        <s v="Ahmed Abdallah, 16, crossed the channel hidden under a bus. When he tried to leave, he was crushed by the bus."/>
        <s v="Survivors told investigators that a fight broke out as persons who were riding in the hold, suffocating from heat and a lack of oxygen, tried to climb on the upper deck. It is understood that the latch to the lower deck was forced shut and a ladder was re"/>
        <s v="migrants are feared to have drowned during transfer to a Danish freighter from the rickety fishing boat"/>
        <s v="Killed by toxic fumes from the boat's engine."/>
        <s v="300 to 400 immigrants were in a boat that was taking in water. An Italian merchant ship that was in the area was requested to assist but 10 people or more, including a baby, died possibly in a stampede during the rescue. They were found dead in the vessel"/>
        <s v="Libya's navy said it retrieved the bodies of three would-be migrants and rescued almost 100 others after their boat sank."/>
        <s v="A boat was intercepted as it sank by a merchant vessel, the Panamanian-flagged City of Sidon. 41 are feared dead"/>
        <s v="Libya's navy retrieved the bodies of three would-be migrants and rescued almost 100 others after their boat sank"/>
        <s v="2 immigrants found dead in the sea area, ten miles west from Karlovasi, in Samos island. 13 were rescued by coast guard and an unknown number is reported missing."/>
        <s v="Shipwreck off the coast of Libya, reported by UNHCR. The victims were three Syrians (a mother and her children), three Eritreans and six Africans whose nationality had yet to be determined"/>
        <s v="The victims were in a fishing boat on which 600 people were made to board, more than double the boat's capacity"/>
        <s v="The 27 survivors of a shipwreck said there were an additional 75 persons on board."/>
        <s v="A boat with 11 Senegalese on board sunk near Tanger"/>
        <s v="Six Syrian refugees died when their boat capsized. 63 others were rescued by Turkish authorities."/>
        <s v="25 migrants were locked up in a cold store by their traffickers in Libya. 13 died."/>
        <s v="The 45 corpses were discovered in the bow area of the boat during the rescue operation, according to a navy statement. The victims were believed to have suffocated or drowned during the crossing. Initial news reports said the migrants had suffocated becau"/>
        <s v="A 17-year-old Afghan refugee has died after suffering a cerebral hemorrhage following a police beating in the southeastern province of Van."/>
        <s v="The body of a Syrian who had died on the journey was  on board a Kuwaiti oil tanker arriving in Sicily carrying 356 migrants."/>
        <s v="A fishing boat containing the bodies of about 30 people was being towed by an Italian navy frigate to the Sicilian port of Pozzallo"/>
        <s v="The Italian navy rescued 39 migrants aboard an inflatable boat about 100 miles off Lampedusa. Ten people were found dead. Migrants told authorities some 80 to 90 people at least went missing during the storm."/>
        <s v="four migrants from the Central African Republic fell from a rope ladder connecting a merchant ship with their stricken vessel and were swept away"/>
        <s v="Maltese soldiers threw life jackets at migrants in distress and asked a passing tanker to rescue them, but then left. Five migrants died as they were being transferred from their dinghy to the tanker. The bodies of three of them were recovered but the oth"/>
        <s v="One immigrant was found dead on Tuesday, July 3rd, 2014, on the northeast coast of Lesvos island (Mytilini), in Greece."/>
        <s v="A 15-year-old Afghan immigrant was found dead in a truck carrying croissants at the port of Igoumenitsa this week.  According to reports, the youngster had stowed away in the truck with several other irregular migrants.  However, after a while, the atmosp"/>
        <s v="On March 9 an Albanian man was killed on a motorway outside Calais."/>
        <s v="A migrant has been crushed to death by a British bus he was trying to hide aboard to get to the UK.  The horrific death in Calais is the latest in a long list in which desperate young men lose their lives as they attempt to reach England to claim asylum. "/>
        <s v="The body of a 25-year-old Ethiopian man, Senay Berthay, was found in Calais‚Äôs  Batellerie dock on March 14."/>
        <s v="Ethiopian Mesfin Germa was hit by a lorry as he walked to the port of Calais"/>
        <s v="The boat capsizes while trying to reach Spain"/>
        <s v="At least 14 migrants have died after their their boat sank in the Mediterranean between Libya and Italy"/>
        <s v="At least 40 people have died after a boat carrying mostly sub-Saharan African migrants sank off the coast of Libya"/>
        <s v="At least 13 of the dozens of migrants from Niger abandoned by smugglers in the Sahara desert last week have been found dead in southern Algeria, a local official and a military source in Niger said on Friday. "/>
        <s v="A 20-year-old Eritrean whose corps was found on Wednesday in Pozzallo, where 289 other migrants came ashore, died of blows to the head and injuries sustained from being trampled."/>
        <s v="At least 36 migrants drowned when their boat sank off the Libyan coast"/>
        <s v="A yacht and a dinghy crammed with migrants trying to enter Greece has capsized in the eastern Aegean Sea leaving at least 22 dead, including four children, and potentially several more missing."/>
        <s v="&quot;The sea was rough, the boat was overcrowded and there were more than 200 on board ‚Äì many from Eritrea."/>
        <s v="The Libyan coastguard reported that it had saved 80 people from a sinking vessel, including Eritreans, Somalis and Ethiopians. Four corpses were found, the report said."/>
        <s v="Last week, a joint Sudanese-Libyan force rescued 319 migrants after they became stranded in the desert on the border between the two countries, noting their miserable condition.  A Sudanese foreign ministry official told the state news agency SUNA at the "/>
        <s v="One Somali survivor aboard who reported that 40 fellow passengers had drowned."/>
        <s v="Italian coast guard carried out a large rescue operation in the night to April 9, 2014. One corpse was found on board one of the ships."/>
        <s v="Death from &quot;massive pulmonary thromno-embolism&quot;. An investigation was opened to know whether the inmate was denied medical care."/>
        <s v="in the Agean Sea, off the Turkish coastal town of Bodrum, four Syrians died trying to reach the Greek island of Kos."/>
        <s v="6 dead migrants are found by local residents"/>
        <s v="A dinghy with 15 people that had taken in water sank in unclear circumstances ."/>
        <s v="A Pakistani man was found in the Evros river in April 2014. His corpse had been in the water for at least 20 days, according to the police."/>
        <s v="Working without required documentation, a man and his French girlfriend were shot at a Paris terrasse."/>
        <s v="Spanish police fired rubber bullets in an attempt to stop migrants from entering the Spanish enclave of Ceuta, which contributed to at least 11 drowning deaths. A further 23 migrants were handed over Moroccan police after they crossed the wall into Ceuta."/>
        <s v="A migrant was shot at Calais. No other details were provided by the police."/>
        <s v="Four migrants were found dead on a cargo ship which was taken to Italy after apparently being abandoned by its crew in Greek waters."/>
        <s v="Four African migrants died on a raft while attempting the Mediterranean Sea crossing to southern Italy."/>
        <s v="Moroccan authorities recovered the bodies of three babies and six adults who died while trying to cross to Spain in a small boat."/>
        <s v="A Sudanese man believed to have travelled to the UK from Calais by clinging to the bottom of a lorry has died after falling between its wheels on the M25."/>
        <s v="A vessel got into trouble south of Almeria. 30 were rescued."/>
        <s v="Italian sailors have rescued 278 migrants in the Strait of Sicily but found 16 others dead in their inflatable boat and one more who died shortly after help arrived."/>
        <s v="Two Cameroonian migrants are suspected by Spanish police of killing up to 10 other migrants by pushing them from a boat into stormy waters in a fight over a prayer session."/>
        <s v="IOM reported that 18 migrants from Africa and the Middle East attempting to reach Europe disappeared and are presumed dead."/>
        <s v="Two Britain-bound migrants burn to death in the back of lorry in Dunkirk."/>
        <s v="Asfak had suffered serious respiratory problems for months, though he was only hospitalised as his condition became life threatening, according to Greek anti-racism group Keerfa."/>
        <s v="A small boat carrying about 40 people capsized on its way to Romania. Turkish coast guards rescued sex persons."/>
        <s v="Two boats carrying 38 Algerian migrants were intercepted off the coast of Almeria. Two migrants died during the crossing when they fell overboard."/>
        <s v="A 16-year-old girl Ethiopian girl died after being hit by a car as she attempted to run across a motorway outside Calais in the early hours of the morning. She was the third migrant to die on the roads in as many weeks."/>
        <s v="Eighteen people were killed when a boat capsized near the Konta landing point straddling the small ports of Farmoriah and Benty"/>
        <s v="Two shipwrecks off the coast of Libya are thought to have left about 130 migrants dead"/>
        <s v="A boat with about 180 people on board sank shortly after leaving. 90 were rescued."/>
        <s v="a dinghy carrying 8 migrants sank"/>
        <s v="Greek coast guards pushed back on the migrants' boat as they were a few hundreds meters from the coast of Farmakonisi island."/>
        <s v="Boat ran aground, migrants drowned trying to reach the shore. The others were saved after tourists alerted the authorities."/>
        <s v="Landing in Catania, forced to jump into the sea by traffickers, drowning 13 people (Sep 30, 2013)"/>
        <s v="A man was beaten to death in Angoul√™me. The police did not comment on the case."/>
        <s v="The Egyptian coast guard opened fire on a boat load of Syrians traveling to Italy on the route of smuggling. Two dead on board, including a woman. (Sep 19, 2013)"/>
        <s v="Found a few miles from Punta Almina, Ceuta, a small boat capsized in the sea along with the lifeless body of one of his passengers (Sep 17, 2013)"/>
        <s v="Shipwreck in the waters of Ceuta, is looking for 12 missing at sea (Sep 17, 2013)"/>
        <s v="A group of about sixty people of different nationalities separated in the area between Ajdabiya and Tobruk before getting lost."/>
        <s v="Greek authorities locked up a Syrian refugee for weeks as his wife and two children died in a wildfire on an island where a smuggler had left them."/>
        <s v="One Syrian woman died during an eight-day voyage on a boat carrying 354 other refugees. The woman was a nurse in Damascus and her husband gave his permission for the donor use of her liver and kidneys, which saved three Italian patients."/>
        <s v="A boat runs aground just 15 meters from the shore, in Catania. At the landing, passengers drown 6 (Aug 11, 2013)"/>
        <s v="A 31-year old Moroccan prisoner dies in the Centre for Identification and Expulsion (CIE) for an illness of Crotone, in circumstances not yet clarified (Aug 10, 2013)"/>
        <s v="Three female migrants died during a voyage to Europe in a rubber dinghy and 174 others were rescued."/>
        <s v="Boat adrift between Tangier and Tarifa in the Straits of Gibraltar. Despite the rescue of the Spanish coast guard, one of eight passenger dies on board (Aug 1, 2013)"/>
        <s v="A speed boat carrying migrants capsized."/>
        <s v="A dinghy carrying 53 migrants capsized."/>
        <s v="An Afghan detainee dies from a lung infection that his guards ignored for months."/>
        <s v="Inflatable direct Lampedusa spilling into the sea 29 miles off the Libyan coast, drowning 31 of the 53 passengers, including 9 women (Jul 28, 2013)"/>
        <s v="Found two more bodies in the waters of Kos after the wreck yesterday. It is of two children, one of five years and the other eight (Jul 27, 2013)"/>
        <s v="Tahir Mehmood was found collapsed at the Pennine House facility. It is thought that he suffered a heart attack while awaiting deportation."/>
        <s v="Shipwreck off the island of Kos, only one survivor. Found the lifeless bodies of a little girl, 2 women and a man. 8 other passengers still missing (Jul 26, 2013)"/>
        <s v="About forty men assail the barrier on the border of the Spanish enclave of Melilla, Morocco, and manage to cross the border. One of them, however, died of a cardiorespiratory attack (Jul 25, 2013)"/>
        <s v="Shipwreck in the waters of the island of Oinusses, a man lost at sea (Jul 25, 2013)"/>
        <s v="A man from Benin committed suicide out of fear that he would be deported. His request had not been treated yet."/>
        <s v="Woman dies in childbirth on a boat set sail from Turkey and landed in Roccella Jonica in Calabria. The body was abandoned at sea (Jun 15, 2013)"/>
        <s v="Libyan guards killed a dozen Sudanese migrants who had illegally crossed the border."/>
        <s v="Died in the transfer from a detention center in southern Libya to the border with Niger."/>
        <s v="After he was attacked by neo-Nazis in Dresden, the victim killed himself in a detention center prior to his expulsion to Italy."/>
        <s v="Shipwreck off the coast of the island Farmakonisi, dies drowned a six year old girl (May 15, 2013)"/>
        <s v="Moncef S. committed suicide at home after receiving warrant of deportation"/>
        <s v="Shipwreck off the coast of Al Hoceima, on the route for Spain, killed 10 of the 34 passengers (Apr 18, 2013)"/>
        <s v="One of the passengers drowned in an inflatable rescue off the coast of Tarifa (Apr 18, 2013)"/>
        <s v="Khalid Shahzad died in a train hours after being released from jail."/>
        <s v="Arriving in Chad after an expulsion from Libya, died from a combination of exhaustion, dehydration, lack of food and water and sickness."/>
        <s v="A man and a woman are lost at sea off the coast of Tarifa after the sinking of the boat they were traveling with eight other passengers (Mar 16, 2013)"/>
        <s v="Shipwreck in the Straits of Gibraltar, off the coast of Tarifa, a small boat carrying six passengers. 2 dead, 2 missing in sea (Mar 2, 2013)"/>
        <s v="An undocumented migrant died from knife wounds. No other information is known."/>
        <s v="Died after falling from the fourth floor of his residential building during a police operation."/>
        <s v="A boat capsized on its way to Greece."/>
        <s v="Rescuers have found the decomposed bodies of 87 people stranded in the harsh Niger desert, most of them children and some eaten by jackals."/>
        <s v="At least 27 people died when a boat carrying more than 200 migrants capsized"/>
        <s v="Is shipwrecked off the coast of Alexandria, a boat heading in Sicily. Recovered the bodies of 12 victims, 22 passengers still missing (Oct 11, 2013)"/>
        <s v="Lampedusa, sinking boat after a fire on board, opposite the island of rabbits. According to the story of the 155 survivors, 518 passengers were traveling on the vessel. The budget of the massacre is 363 deaths (Oct 3, 2013)"/>
        <s v="Terminally ill Canadian man, 84, was kept in handcuffs by staff at Harmondsworth removal centre until after his heart stopped."/>
        <s v="Found on the banks of the Evros River at the border between Turkey and Greece, the lifeless body of a sixteen year old frozen to death trying to cross the border (Jan 22, 2013)"/>
        <s v="Russian Alexander Dolmatov who had sought political asylum in the Netherlands has committed suicide while awaiting deportation to his homeland."/>
        <s v="The bodies of three castaways fished in the waters of the island of Chios (Jan 14, 2013)"/>
        <s v="Suicide after being arrested for lack of identification papers"/>
        <s v="Suicide at prison after being arrested for lack of identification papers"/>
        <s v="drowned trying to swim ashore with life jacket, body found floating 33 miles from Motril (E)  (Sep 30, 2012). From Del Grande's data set (translated): The lifeless bodies of two shipwrecked sailors drowned during the crossing of the Straits of Gibraltar w"/>
        <s v="Ceuta, found the lifeless body of a young man drowned while crossing (Sep 18, 2012)"/>
        <s v="drowned, small boat sunk off Mostaganem (DZ) was on the way to Spain (Sep 16, 2012). From Del Grande's data set (translated): Shipwreck off the coast of Mostaganem on route to Spain, 1 dead (Sep 18, 2012)"/>
        <s v="car accident near Alexandroupolis(GR),car driven by smuggler overturned during police chase (Sep 15, 2012)"/>
        <s v="Fished among the rocks of the island of Linosa's lifeless body of a young man drowned (Sep 14, 2012)"/>
        <s v="body washed ashore near Galapagos beach (E), reportedly was travelling on boat from Melilla (Sep 9, 2012)"/>
        <s v="The Egyptian border police firing on the border with Israel, killing a 25-year old Eritrean (Sep 9, 2012)"/>
        <s v="stowaway, body fell from a plane from Angola to Heathrow, onto a street in Mortlake (GB) (Sep 8, 2012)"/>
        <s v="suicide, body found in River Thames (GB), he was waiting for asylum claim to be processed  (Sep 6, 2012)"/>
        <s v="suicide, in a refugee centre in Kirchheim (D), depression due to living conditions  (Apr 8, 2012)"/>
        <s v="drowned, family of asylum seekers, shipwreck on the way from Latakia (Syria) to Cyprus (Aug 28, 2012). From Del Grande's data set (translated): Shipwreck off the coast of Northern Cyprus, Syria drowns an entire family of 7 people, including 2 children (Au"/>
        <s v="drowned, 10 found, 30 missing after vessel from Tripoli (LY) capsized off Libyan coasts (Aug 25, 2012). From Del Grande's data set (translated): Wreck in front of the port of Bardia, lost at sea 39 Egyptians, a sole survivor (Aug 27, 2012)"/>
        <s v="stowaway, found in landing gear bay of plane at Heathrow (GB), travelled from South Africa  (Aug 22, 2012)"/>
        <s v="3 found, 36 missing after overcrowded boat sank near Libya coast on the way to Europe (Aug 18, 2012)"/>
        <s v="body found in Evros River (TR) reportedly was migrant trying to cross into GR from Turkey (Aug 17, 2012). From Del Grande's data set (translated): Found a dead body in the waters of the Evros River at the border between Turkey and Greece (Aug 18, 2012)"/>
        <s v="drowned,reaching rescue ship after 4 days adrifting, dinghy from LY to Malta (Aug 15, 2012). From Del Grande's data set (translated): Landing in Malta, 2 passengers found dead aboard boat drifting by 4 days, 2 others drown during rescue operations (Aug 16"/>
        <s v="missing, after boat of 24 migrants from Comoros capsized off the coast of Mayotte (F) (Aug 9, 2012)"/>
        <s v="drowned, after boat of 24 migrants from Comoros capsized off the coast of Mayotte (F) (Aug 9, 2012)"/>
        <s v="drowned, boat sunk off Melilla s coasts (E) (Aug 9, 2012)"/>
        <s v="missing, after boat with 36 migrants from Anjouan (Comoros) sank off Mayotte coasts (F) (Aug 8, 2012)"/>
        <s v="drowned, after boat 36 migrants from Anjouan-Comoros sank off the coast of Mayotte (F) (Aug 8, 2012)"/>
        <s v="drowned trying to swim ashore with a life-belt, body found on the beach in Melilla (E)  (Jul 31, 2012)"/>
        <s v="suicide, hanged himself in Rotherham park (GB) after residency application was rejected (Jul 29, 2012)"/>
        <s v="reportedly drowned while trying to reach the coast of Sicily (I), boat is still missing (Jul 8, 2012). From Del Grande's data set (translated): Shipwreck off Lampedusa, recovered a corpse, 79 passengers lost at sea (Sep 7, 2012)"/>
        <s v="died of hypothermia in Health Centre of Soufli after crossing Evros River to enter Greece (Jul 1, 2012)"/>
        <s v=""/>
        <s v="asylum seeker, allegedly beaten to death in police custody in Safi (M);arrived dead in hospital (Jun 29, 2012)"/>
        <s v="died in a detention centre in Malta, presumably maltreated by Armed Forces while in custody (Jun 28, 2012)"/>
        <s v="drowned, found in advanced state of decomposition, was from shipwreck off Leuca coast (I) (Jun 28, 2012). From Del Grande's data set (translated): They were hiding under a truck to board the Superfast ferry from Patras (Greece) to Ancona. But at the time "/>
        <s v="stowaways, died of asphyxiation and heat inside a truck on Greece to Ancona (I) ferry (Jun 22, 2012)"/>
        <s v="missing, reportedly drowned, small boat sailing from North Africa capsized off Leuca coast(I) (Jun 18, 2012)"/>
        <s v="died of dehydration on stricken vessel of 53 migrants then rescued off Moroccan coast (Jun 11, 2012)"/>
        <s v="drowned, overcrowded boat from Ahmetbeyli (TR) sank off Aegean coat, 46 survivors (Jun 8, 2012)"/>
        <s v="drowned, overcrowded boat from Ahmetbeyli (TR) sank off Aegean coast, 46 survivors (Jun 8, 2012)"/>
        <s v="drowned, 1 found, 63 missing shipwreck near the island of Lampione (I) (Jun 8, 2012). From Del Grande's data set (translated): Shipwreck in Izmir on the route to the Greek Islands, 58 dead passengers (Sep 6, 2012)"/>
        <s v="stowaway, died of asphyxiation in truck on way to Igoumenitsa (GR), a port leading to Italy (Jun 1, 2012). From Del Grande's data set (translated): Found along the road to Igoumenitsa the lifeless bodies of three boys suffocated, probably abandoned by a t"/>
        <s v="drowned, after an inflatable dinghy on way to Italy started to deflate off the coast of Lybia   (May 25, 2012). From Del Grande's data set (translated): At least 10 missing in the sea off the coast of Libya. Rescued by two merchant ships, the survivors we"/>
        <s v="at least 10 people missing after dinghy from Libya to Italy capsized in the Sicilian Channel (May 24, 2012). From Del Grande's data set (translated): Found a corpse in the sea in front of the island of Streetlight, in Lampedusa (May 25, 2012)"/>
        <s v="body in advanced state of decomposition washed ashore off Lampione Island (I) (May 24, 2012)"/>
        <s v="missing, after boat of 43 migrants sank off the coast of Mayotte (F) (May 18, 2012)"/>
        <s v="drowned, after boat of 43 migrants sank off the coast of Mayotte (F) (May 18, 2012)"/>
        <s v="Landing on the island, the survivors tell of 7 passengers died of starvation during the journey, their bodies were abandoned at sea (May 8, 2012)"/>
        <s v="drowned, shipwreck off Monastir (TN) on the way to Italy, border guards could save 22 (May 6, 2012). From Del Grande's data set (translated): Shipwreck off the coast of Monastir, recovered the bodies of three passengers in the boat directly in Sicily (Jul"/>
        <s v="drowned, body found floating in Tajo-Segura Channel, in the town of Torre-Pacheco (E) (May 2, 2012)"/>
        <s v="reportedly lack of medical help after asked for assistance in Barcelona s detention centre (E)  (Apr 30, 2012)"/>
        <s v="died in car accident while trying to escape a FRONTEX control (Apr 28, 2012). From Del Grande's data set (translated): Tracking the border with Turkey, Lykofos. A car fleeing Frontex patrols loses control and crashes. The accident killed 3 people who were"/>
        <s v="drowned, after being thrown off a boat of 80 by smugglers when a patrol boat approached (Apr 27, 2012). From Del Grande's data set (translated): Landing at Licata, Agrigento, a sixteen year old drowns Egyptian (Apr 28, 2012)"/>
        <s v="drowned, after being thrown overboard by smugglers dozens of meters from Calabria s coast (Apr 25, 2012)"/>
        <s v="Drifting boat rescued off Lampedusa, the survivors tell of 10 passengers died of starvation during the journey and abandoned at sea (Apr 4, 2012)"/>
        <s v="died from dehydration on a rubber dinghy of 58 migrants during the voyage from Libya to I (Mar 30, 2012)"/>
        <s v="body found in an advanced state of decay in the rural area of Tichero, Evros Prefecture (GR) (Mar 28, 2012)"/>
        <s v="drowned while trying to cross Evros River to enter GR, body found in area of Nea Vissa (Mar 16, 2012)"/>
        <s v="found in boat of 57 on way to Lampedusa (I) rescued by Italian authorities in Libian waters (Mar 15, 2012). From Del Grande's data set (translated): 5 found dead in a boat rescued 70 miles off Lampedusa (Mar 17, 2012)"/>
        <s v="drowned while trying to cross Evros River to enter GR, body found near river in area of Soufli (Mar 14, 2012)"/>
        <s v="undocumented migrant found in container which he used as shelter close to Thiva (GR) (Feb 29, 2012)"/>
        <s v="died of hypothermia, body found in a warehouse in the area of Korinthia (GR) (Feb 28, 2012)"/>
        <s v="young girl and her grandfather missing after boat overturned while crossing Evros River (GR) (Feb 28, 2012)"/>
        <s v="drowned while trying to enter Ceuta (E) by swimming along the coast from Morocco  (Feb 20, 2012). From Del Grande's data set (translated): The Moroccan police found the corpse of a drowned boy trying to bypass the border with Ceuta swimming (Feb 22, 2012)"/>
        <s v="died of hypothermia while trying to leave TR via Evros River, body found near Orestiada (GR) (Feb 20, 2012)"/>
        <s v="body found by border guards in the Evros River (GR) (Feb 20, 2012)"/>
        <s v="stowaway, suffocated in a truck into which he had hidden to avoid the border police checks (Feb 4, 2012). From Del Grande's data set (translated): Venice, found dead an Afghan boy hidden aboard a ferry line started from Greece (May 2, 2012)"/>
        <s v="drowned, bodies carrying life jacket found in the sea near the Bay of Melilla (E) (Feb 2, 2012). From Del Grande's data set (translated): Found at the entrance of the port of Melilla, the bodies of two young men drowned (Mar 2, 2012)"/>
        <s v="The Spanish Civil Guard claims to have recovered in the waters of the Strait of Gibraltar, the bodies of 29 castaways in 2011 (Feb 3, 2012)"/>
        <s v="Shipwreck in the waters of the island of Lesvos, Eastern Aegean, 20 people die, 7 others were scattered at sea (Dec 15, 2012)"/>
        <s v="During a chase at sea in the Canary Islands, off the coast of Lanzarote, the Spanish coast guard patrol boat of ramming a boat with 25 passengers on board, causing 1 dead and 7 missing (Dec 13, 2012)"/>
        <s v="unknown, body found near Wimereux (FR) beach in wetsuit, trying to swim Channel to GB (Dec 7, 2012)"/>
        <s v="stowaway, died of asphyxia found under a truck inside the ferry to Venice (I) from GR (Dec 6, 2012). From Del Grande's data set (translated): Found in a greek ferry to the port of Venice's lifeless body of a young man suffocated under the truck where he w"/>
        <s v="suicide, killed himself in the Netherlands in fear of being deported with his two children (Dec 3, 2012)"/>
        <s v="rolled over by the truck he tried to hide under to leave Greece, near the new port in Patras (Dec 2, 2012)"/>
        <s v="A woman was found dead in a field in Greece."/>
        <s v="missing after 2 plastic boats trying to cross the border GR-TR via the Evros River overturned (Nov 30, 2012)"/>
        <s v="Suicide in custody on warrant of deportation"/>
        <s v="Detainee commits suicide in custody on warrant of deportation"/>
        <s v="The Spanish Coast Guard has suspended the search for 3 missing in the Strait of Gibraltar off the coast of Tarifa (Nov 9, 2012)"/>
        <s v="A merchant ship passing through the Strait of Gibraltar, has rescued the lifeless body of a young boy drowned in the crossing to Spain, 12 miles southwest of Tarifa (Nov 9, 2012)"/>
        <s v="The sea of __Lampedusa returns the lifeless body of a boy, perhaps one of the passengers of the boat wrecked off the island in September (Nov 7, 2012)"/>
        <s v="At least 89 travelers drowned in the waters of the Strait of Gibraltar in the week between October 26 and November 6, 2012, of which 31 are from Senegal. The figures were released by the Moroccan authorities. Six survivors landed in Spain have reported se"/>
        <s v="Found the lifeless body of a young boy drowned in the sea of __Ceuta, after he tried to swim to the Spanish enclave (Nov 5, 2012)"/>
        <s v="Shipwreck on the route to Lampedusa, 35 miles north of the Libyan coast. Recovered the bodies of 11 passengers drowned (Nov 4, 2012)"/>
        <s v="Ghanaian detainees put out a statement following the death that made a number of serious allegations about what happened to Prince Ofosu and about the poor treatment of others at the centre. They allege that guards at the centre restrained Prince while in"/>
        <s v="In recent weeks the fishermen of Lampedusa have found two bodies in the sea. It is the missing of the sinking of September 6, 8 dead bodies have so far been fished out (Oct 29, 2012)"/>
        <s v="drowned, 14 found, 40 missing, boat to E sunk off Al Huceima (MA), Frontex did not rescue (Oct 24, 2012). From Del Grande's data set (translated): Shipwreck in the Alboran Sea, off the coast of Al Hoceima. Recovered 14 bodies, other 4 passengers are dispe"/>
        <s v="drowned, body washed ashore off Punta Almina (E) reportedly fell into the sea way from MA (Oct 22, 2012). From Del Grande's data set (translated): Recovered the corpse of a young man drowned off the coast of Punta Almina, in southern Spain (Oct 23, 2012)"/>
        <s v="Shipwreck in Melilla. Recovered the body of a 4 year old girl on the beach Galapagos. Remain missing 1 child and 3 women (Oct 10, 2012)"/>
        <s v="dehydration, dinghy adrift for 15 days on the way from LY to I, reached Tunisian coasts (Oct 6, 2012). From Del Grande's data set (translated): After 15 days adrift, is rescued off the Tunisian coast the sole survivor of a crew departed from Libya to Lamp"/>
        <s v="died of hypothermia while trying to cross Evros River to enter GR, body found near Tichero (Oct 1, 2012)"/>
        <s v="died from smoke inhalation from fire lit in tin can to keep warm inside abandoned truck (GR) (Jan 31, 2012)"/>
        <s v="died of hypothermia trying to cross Evros River (GR) with 14 migrants who were rescued (Jan 29, 2012). From Del Grande's data set (translated): One dead and six missing in the waters of the Evros River at the border between Turkey and Greece (Jan 30, 2012"/>
        <s v="suicide, hanged himself with a sheet in asylum seekers centre in W√ºrzburg (D) (Jan 28, 2012)"/>
        <s v="suicide, found hanged in asylum seekers house in Wurzburg (D), was in cure for depression (Jan 28, 2012)"/>
        <s v="Were hidden in a truck headed to the place of embarkation for the Italian coast, while 5 have died in a road accident (Jan 28, 2012)"/>
        <s v="drowned, after their vessel of 55 migrants sank, bodies found off the coast of Misrata (LY) (Jan 24, 2012). From Del Grande's data set (translated): 15 corpses found in the waters between Zliten and Misrata after the wreck last week, still lost at sea 40 "/>
        <s v="A man and a woman killed by Egyptian border police gunfire to the border with Israel in Sinai (Jan 22, 2012)"/>
        <s v="body found floating in an advanced state of decomposition 7 miles from Cabo de Palos (E) (Jan 21, 2012)"/>
        <s v="Found the bodies of four people drowned in Nador and Melilla trying to swim across the border with the Spanish enclave of Melilla, Morocco (Jan 20, 2012)"/>
        <s v="missing after shipwreck of a boat part of a group of 4 boats on the way from LY to I (Jan 14, 2012)"/>
        <s v="found dead alone in shipwrecked boat that was part of group of 4 boats on way from LY to I (Jan 14, 2012)"/>
        <s v="bodies found on Libyan beaches after shipwreck of boat part of 4 boats group on way to I (Jan 14, 2012). From Del Grande's data set (translated): Found off the coast of Khums a boat carrying a corpse. It is a boat that was reported missing from a week. No"/>
        <s v="fell from 5th floor escaping police controlling for noise at birthday party, was undocumented (Jan 9, 2012)"/>
        <s v="Found the body of a young man drowned trying to swim around the border of Melilla, the Spanish enclave in Morocco, at the height of Horcas Coloradas (Jan 10, 2012)"/>
        <s v="died in a boat during a week-long voyage from LY to Malta, boat came ashore at Riviera Bay (Jan 4, 2012)"/>
        <s v="drowned,reaching rescue ship; on boat on way LY-I.Was Olympia athlete facing death threats (Jan 3, 2012)"/>
        <s v="drowned, reaching rescuing ship after boat from LY run out of petrol in Sicilian Channel (I) (Jan 3, 2012)"/>
        <s v="He died of asphyxiation a young Afghan hidden inside a truck in Patras, the port of embarkation of trucks traveling to Italy (Jan 4, 2012)"/>
        <s v="suicide, killed himself a few hours before the delay given to him to leave Belgium was expired (Jan 1, 2012)"/>
        <s v="burned, fire caused by lit candle in Pantin squat, Paris (F) - a municipality owned building (Sep 27, 2011)"/>
        <s v="asphyxiation, fire started by lit candle in Pantin squat, Paris(F)- a municipality owned building (Sep 27, 2011)"/>
        <s v="Shipwreck in the Ionian Sea on the route for Calabria, off the island of Zakynthos, 3 dead (Sep 23, 2011)"/>
        <s v="The lifeless bodies of four men have surfaced from the sea along the coast of Izmir, Seferihisar, on the route to the Greek island of Samos. The number of missing unknown shipwreck (Sep 21, 2011)"/>
        <s v="drowned, pushed off jetski when smuggler saw coastguards approaching in Andalusia (E) (Sep 13, 2011)"/>
        <s v="17 guys are missing the left from a beach Benazzouz, in Skikda, on August 17 and to Sardinia. Their boat was found empty in Bejaia, where it was carried by the current (Sep 13, 2011)"/>
        <s v="Found the lifeless bodies of two castaways to TENES, en route to Spain, the day before had been rescued a boat in the same area (Sep 11, 2011)"/>
        <s v="missing after contacting Italian authorities because their boat was taking water in rough seas  (Sep 10, 2011)"/>
        <s v="Ceuta, found harbor in the body of a young man drowned trying to embark secretly on a ferry to Spain, to the Muelle Pier 4 Given Caonero (Sep 6, 2011)"/>
        <s v="4 dead, 15 missing in a shipwreck in the Ionian Sea on the route for Calabria, off the island of Kefalonia (Sep 3, 2011)"/>
        <s v="Lost at sea 14 boys aged between 18 and 25 years, all of the province of El-Amria. They had left from a beach of Ain Tmouchent, full ramadan to the Spanish coast (Sep 2, 2011)"/>
        <s v="Almeria found the lifeless body of a drowning man drowned during the crossing (Aug 31, 2011)"/>
        <s v="murdered, shot by Frontex officer while shooting at boats crossing TR-GR border,  Evros river (Aug 23, 2011)"/>
        <s v="Fall in the water during the crossing to Lampedusa, lost at sea 2 boys Tunisians (Aug 19, 2011)"/>
        <s v="Two men killed at the border with Israel in Sinai, in the shooting of Egyptian border police (Aug 18, 2011)"/>
        <s v="A dinghy flips off the island of Marettimo (Tr), 3 missing in sea (Aug 14, 2011)"/>
        <s v="A 23 year-old killed by gunfire in the Sudanese Egyptian border police on the border with Israel in Sinai. According to HRW would be at least 87 people have been killed by Egyptian agents along this border since 2007 (Aug 12, 2011)"/>
        <s v="Found the bodies of two boys hiding in the engine room of a ferry line between Ceuta and Spain, where they were hidden in secret to achieve Europe (Aug 8, 2011)"/>
        <s v="suicide, failed asylum seeker set himself on fire in Amsterdam (NL), feared deportation (Aug 3, 2011)"/>
        <s v="froze to death, body found in Nea Vissa, Evros (GR) near to Turkish border (Jul 31, 2011)"/>
        <s v="unknown, bodies found on boat, engine failed after leaving Alexandria (Egypt) 1 week before (Jul 28, 2011). From Del Grande's data set (translated): Massacre at sea en route from Egypt that leads to the eastern coast of Sicily. The Egyptian Coast Guard ha"/>
        <s v="stowaway, crushed to death, found in the wheel-bay of an Iberia passenger plane in Spain (Jul 12, 2011)"/>
        <s v="missing, after having tried to reach Ceuta (E) from Moroccan coast by swimming (Jul 11, 2011). From Del Grande's data set (translated): Boat with 53 passengers rescued off the coast of Dar Kebdani, en route to Spain. On board 4 deaths, a fifth person is l"/>
        <s v="died instantly after being run over by train near Feres (GR) while walking along the railway (Jul 9, 2011)"/>
        <s v="An Eritrean boy killed by a shot gun fired by Egyptian border police along the border with Israel in the Sinai desert (Jul 7, 2011)"/>
        <s v="brain haemorrhage, could not receive medical treatment once deported from D to Kosovo (Jun 30, 2011)"/>
        <s v="suspected hypothermia, body found wearing life jacket in Three Stones, Ceuta (E) (Jun 28, 2011)"/>
        <s v="The Egyptian border police opened fire on a group of Sudanese intent to pass the Israeli border in the Sinai Desert, killing 4 men (Jun 25, 2011)"/>
        <s v="epileptic seizure, Libyan refugee on boat from Lampedusa(I) to mainland, was known sufferer (Jun 24, 2011). From Del Grande's data set (translated): A citizen of Ghana of 38 years died of a seizure on board the ship Excelsior game the day before from Lamp"/>
        <s v="feared drowned, fell from a boat found neat Motril, Granada (E), 2nd boat still missing (Jun 24, 2011). From Del Grande's data set (translated): Passengers rescued from a boat off the coast of the Alboran, Andalusia, speak of 6 passengers fell into the wa"/>
        <s v="drowned, body found 4 miles from capsized boat in Motril coast, Granada (E) (Jun 24, 2011)"/>
        <s v="Landing in Sicily, between Sciacca and Ribera, one of the passengers found dead, an Egyptian boy of 15 years, probably killed by the propeller of the motor (Jun 24, 2011)"/>
        <s v="drowned, fell from a stricken vessel of 53 migrants then rescued off Moroccan coast (Jun 11, 2011)"/>
        <s v="died of dehydration on stricken vessel of 53 migrants then rescued off Moroccan coast  (Jun 11, 2011)"/>
        <s v="Ceuta, which was found on the beach Calamocarro the lifeless body of a young boy drowned trying to swim to enter the Spanish enclave in Morocco (Jun 12, 2011)"/>
        <s v="died at sea on way from Libya in a boat of 44 migrants found 75 miles south of Malta (Jun 11, 2011)"/>
        <s v="reportedly smugglers tortured and then shot him, found outside Thriassio Hospital,Attik (GR) (Jun 11, 2011)"/>
        <s v="drowned, 13 found, 32 missing, boat of 600 sank off coasts near Tripoli (LY) on the way to I (Jun 4, 2011)"/>
        <s v="drowned after boat of 600 sank off the coasts near to Tripoli (LY) on the way to I (Jun 4, 2011). From Del Grande's data set (translated): Wreck in front of the harbor of Tripoli. A boat with 600 passengers on board capsized at sea shortly after left the "/>
        <s v="Fished in the waters of the island of Kerkennah the lifeless bodies of 26 passengers of the old fishing boat sank three days earlier on the route to Lampedusa (Jun 5, 2011)"/>
        <s v="missing, part of 325 migrants on LY-I boat, sank 39 miles from Lampedusa in Maltese waters (Jun 3, 2011). From Del Grande's data set (translated): Boat capsizes at sea during a rescue operation because of the stormy sea, 39 miles off Lampedusa. Scattered "/>
        <s v="drowned, 3 found, 15 missing, jumped off LY-GR ship in Souda (GR) during repatriation (Jun 2, 2011). From Del Grande's data set (translated): Found in Crete, the bodies of 13 of Bangladeshis reported missing after being thrown overboard from the ship that"/>
        <s v="drowned, bodies found in Evros River trying to cross GR-TR border (May 31, 2011). From Del Grande's data set (translated): Found the bodies of two men drowned trying to cross the Evros River, which marks the border between Turkey and Greece (Jan 7, 2011)"/>
        <s v="drowned, bodies missing, boat collided with other boat off Libya s shore on the way to Italy (May 28, 2011)"/>
        <s v="survivors reported bodies missing while reaching the coasts off Sant Antioco (I) from Libya (May 28, 2011)"/>
        <s v="Arson at the refugee camp of Ras Jdayr, at the border between Tunisia and Libya, where there are thousands of displaced people who fled the war in Libya. Deaths 4 Eritreans (May 23, 2011)"/>
        <s v="The Eritrean community in Rome to voice Agency Habeshia association, announced that he had received news of the death of 25 Eritreans held hostage by Bedouin smugglers Rashiaida of the clan, to which you were entrusted to switch the Egyptian border with I"/>
        <s v="drowned, decomposed body found by Cabo de Gata (E), probably from 5/5/11 shipwreck (May 21, 2011). From Del Grande's data set (translated): Fished out the body of a woman seven miles off the coast of Cabo de Gata, could be one of the winds dispersed the s"/>
        <s v="An eyewitness report: 320 lost at sea on the night of 28 April 2011, after the shipwreck off the coast of Zuwara a direct boat to Lampedusa. Another dozen or so passengers on a second boat fell into the sea and drowned during the same night, because of th"/>
        <s v="Shipwreck in Preveza, on the route to Italy. Rescued at sea two corpses, including that of a child of eight years. Lost at sea another child (May 19, 2011)"/>
        <s v="Three drowned in Mazara del Vallo, Trapani, when the captain of a boat which then took over the wide, has forced 17 passengers to jump into the sea and Tunisians continue to swim to the shore (May 19, 2011)"/>
        <s v="Recovered 40 miles off the coast of Motril the lifeless body of a drowning (May 16, 2011)"/>
        <s v="stowaway, died of overheating in truck carrying cablewheels in Fulda (D) travelling from Greece (May 11, 2011)"/>
        <s v="The Tunisian government admits: during the month of April, were found the bodies of 58 boys Tunisians drowned en route to Lampedusa. The findings have occurred along the beaches of Skhira, Chaffar, Kerkennah, Gabes, Djerba and Mahdia (May 11, 2011)"/>
        <s v="One of the passengers of a vessel arrived in Lampedusa complaint: 5 people thrown into the sea as human sacrifices to ward off the bad weather (May 11, 2011)"/>
        <s v="Lost at sea from a boat game Metline and live in Pantelleria, with 17 children on board the Cap Zebib (May 10, 2011)"/>
        <s v="An overcrowded boat broke apart shortly after leaving Tripoli en route to Italy."/>
        <s v="Found three bodies among the rocks of Punta Sword, in Lampedusa, where yesterday a boat ran aground with 528 passengers on board (May 9, 2011)"/>
        <s v="Suspended the search for victims of the sinking of Almeria on May 6. The budget is 4 dead, including two children, and 20 missing (May 9, 2011)"/>
        <s v="The British newspaper Guardian raised the complaints of eirtrei of Rome. A boat with 72 on board Eritrean wandered the Mediterranean for two weeks without receiving rescue ships of NATO, who left to die of starvation 61 passengers (May 9, 2011)"/>
        <s v="drowned, body found near Selinunte, Trapani (I) in advanced state of decomposition (May 6, 2011). From Del Grande's data set (translated): The lifeless body of a young boy, probably Tunisian, was fished out of a few hundred meters from the shore of Selinu"/>
        <s v="feared drowned, boat sank 2 miles from Adra, Almeria coast (E), 29 survivors (May 4, 2011). From Del Grande's data set (translated): Shipwreck off the coast of Almeria. At least 25 missing at sea, including a woman and a child of a few months (May 6, 2011"/>
        <s v="Linosa, found a dead body among the rocks. Probably one of the more than two hundred missing the wreck of 6 April (Apr 30, 2011)"/>
        <s v="Tunisian hit and killed on the Bari bypass while walking to the reception center (Apr 19, 2011)"/>
        <s v="A guard at the detention center beat up the victim while arresting him after an escape attempt.  The victim spent an hour on the floor handcuffed before dying shortly afterwards from cardiac arrest."/>
        <s v="manner of death unknown, died in Malta det. ctr. a day after he was captured from escaping (Apr 16, 2011)"/>
        <s v="drowned, found 3 days after shipwreck off Pantelleria (I) on the way from Libya (Apr 15, 2011). From Del Grande's data set (translated): Pantelleria, found a dead body in the sea. This is the third victim of the sinking of 6 April (Apr 19, 2011)"/>
        <s v="Are still missing at sea, twenty days after their departure from Libya, two boats of the Eritrean direct to Lampedusa. First there were 335 passengers and 160 on the second. Both had asked for help by calling the Eritrean community in Rome. But they never"/>
        <s v="drowned, body found after boat wrecked off Pantelleria (I) on the way from Libya (Apr 12, 2011). From Del Grande's data set (translated): Boat is going to crash against the rocks of Pantelleria instead of following the coast guard patrol boat to the entra"/>
        <s v="unknown, bodies thrown overboard from LY boat rescued 104 miles from Lampedusa (I) (Apr 7, 2011). From Del Grande's data set (translated): Passengers on an old fishing boat rescue adrift off the coast of Lampedusa tell: dozens of deaths during the voyage."/>
        <s v="drowned, boat capsized in a storm off Lampedusa (I), 28 people were rescued (Apr 2, 2011)"/>
        <s v="Shipwreck off the coast of Libya in a boat heading to Lampedusa. Found along the shores of Tripoli, the lifeless bodies of 68 people drowned. Unspecified number of missing at sea. According to the agency Habeshia could be over 250, but the information is "/>
        <s v="drowned, fell into sea during boat rescue of 22 migrants from Tunisia 50km from Marsala (I) (Apr 2, 2011). From Del Grande's data set (translated): The vessel Alcapa rescues a boat in distress off the coast of Marsala, during transhipment operations 2 pas"/>
        <s v="Found a second dead body near Marina di Modica (Rg), in Sicily, in the cliffs of Punta Regilione, drowned after the landing of the previous days (Apr 2, 2011)"/>
        <s v="Landing at Marina di Modica (Rg), in Sicily, a drowned (Apr 1, 2011)"/>
        <s v="no medical help, died giving birth in Rennes (F), homeless since husband put in det. ctr. in NL (Mar 31, 2011)"/>
        <s v="drowned, found off Tripoli coast (LY), may include those from 2 missing boats on way to I (Mar 30, 2011)"/>
        <s v="You lost at sea a boat game from Zarzis to Lampedusa with 46 passengers on board. At least 7 of them are from the district of Jebal Ahmer, in Tunis (Mar 29, 2011)"/>
        <s v="You lost at sea a boat game from Sfax to Lampedusa with 74 passengers on board. The victims were originating in the governorate of Kef and the districts of Hay and Nur Mallasin in Tunis, no victim of Jebal Ahmer (Mar 29, 2011)"/>
        <s v="drowned, found off Kerkennah coast (TN) after 2 boats travelling together from LY sank  (Mar 27, 2011). From Del Grande's data set (translated): The bodies of 27 Tunisians, aged between 19 and 23 years, died in 2 wrecks of boats headed for Italy, on 13 an"/>
        <s v="drowned, boat sank on way to Lampedusa (I) from LY, 6 rescued by Egyptian fishing boats (Mar 27, 2011)"/>
        <s v="feared drowned, boat of 335 left Libya for Italy has been missing for 2 weeks (Mar 26, 2011)"/>
        <s v="pulmonary embolism on flight to emergency surgery in Strasbourg(F), consulate delayed visa (Mar 25, 2011)"/>
        <s v="feared drowned after 2 boats travelling together from Sidi Bilal (LY) sank on way to Italy (Mar 24, 2011)"/>
        <s v="drowned, found off Crete s island jumped off LY-GR ship in Souda (GR) during repatriation (Mar 21, 2011)"/>
        <s v="missing, sent distress signal near Paxoi island (GR) way to I, jumped into sea during rescue (Mar 21, 2011). From Del Grande's data set (translated): Three lost at sea during the rescue operation off the Greek island of Paxos in the Ionian Sea, a boat dir"/>
        <s v="drowned, patrols found bodies in Petalo area of river Evros (GR) (Mar 17, 2011)"/>
        <s v="A corpse in an advanced state of decomposition was found on the rocks of Pantelleria. Two other victims of the crossings of the Strait of Sicily were fished out in the last hour off Lampedusa (Mar 17, 2011)"/>
        <s v="drowned; 17 found, 23 missing, boat sank near Kerkenneh (TN) on way to Lampedusa (I) (Mar 13, 2011). From Del Grande's data set (translated): The family of 40 children of Tunis denouncing the sinking of a boat off the island of Kerkennah game from Sfax wi"/>
        <s v="Sailed from Sidi Mansour (Sfax) on the route to Lampedusa, the old fishing vessel &quot;Zuhair&quot; is lost at sea with all its 48 passengers. It is a different vessel from that wrecked yesterday in Kerkennah (Mar 14, 2011)"/>
        <s v="presumed suicide, found hanged in Cagliari reception centre (I), unclear circumstances    (Mar 11, 2011)"/>
        <s v="found dead in police cell, was detained for having no papers in Zurich airport (CH) (Mar 5, 2011)"/>
        <s v="During the landing of the ferry greek Ionian King at the port of Souda, Crete load of 1,200 foreigners were evacuated from Benghazi, fleeing Libya in revolt, a group of 46 Bangladeshis fear of being expelled from Greece throws herself into the sea to esca"/>
        <s v="A vessel is at sea the lifeless body of a drowning man, to Cap Carbon, Arzew (Mar 4, 2011)"/>
        <s v="Detainee who was sentenced to be deported strangles himself  in his cell"/>
        <s v="drowned while trying to cross Benzu breakwater (MA) to Ceuta (E) body found hours after (Feb 26, 2011). From Del Grande's data set (translated): Ceuta, found the body of a boy drowned trying to swim around the border post Benz (Feb 28, 2011)"/>
        <s v="The family of 9 children in the province of Arzew recognize the bodies of their loved ones, fished in Jijel after the sinking of their ship direct to Spain, 6 other passengers are still missing (Feb 26, 2011)"/>
        <s v="Found the lifeless body of a young boy drowned trying to swim to Ceuta, one of the two Spanish enclaves in Morocco (Feb 25, 2011)"/>
        <s v="Found in Bouharoun, Tipaza, the lifeless bodies of 6 boys drowned during the crossing to Spain (Feb 15, 2011)"/>
        <s v="suicide, hanged himself in a shower at Campsfield House Immigration Removal Centre (GB) (Feb 7, 2011)"/>
        <s v="died from heart attack after medical neglect at Colnbrook Immigration Removal Centre (GB)  (Feb 6, 2011)"/>
        <s v="drowned, 2 found, overcrowded boat capsized 300km from Tripoli (LY) to Lampedusa (I) (Feb 5, 2011). From Del Grande's data set (translated): A fishing boat with 700 passengers on board capsized during rescue operations off the island of Kerkennah. Two dea"/>
        <s v="drowned when disembarking boat of 500 migrants in Modica(I), body found by Punta Reglioni (Feb 3, 2011). From Del Grande's data set (translated): Man found dead in a truck tarpaulin, between different boxes, on board a ship just arrived from Greece in the"/>
        <s v="stowaway, asphyxiation, body found in van at Ancona port (I) on ferry coming from GR (Feb 3, 2011)"/>
        <s v="drowned, decomposed body found floating opposite La Carihuela beach, Torremolinos (E) (Feb 2, 2011). From Del Grande's data set (translated): Found on the beaches of Torremolinos lifeless body of a young boy drowned in the crossing of the Mediterranean (M"/>
        <s v="missing after they tried to cross the river Evros between GR and TR, part of a group of 15 (Dec 31, 2011)"/>
        <s v="died of hypothermia trying to cross the river Evros between GR and TR, part of group of 15 (Dec 31, 2011)"/>
        <s v="died at hospital, Essen (D), deportation threats, interdiction to work contributed to sickness (Dec 31, 2011)"/>
        <s v="According Adescam, 3 Congolese women, one of them pregnant, died of starvation after being expelled from Morocco and abandoned in a deserted area on the border with Algeria (Dec 30, 2011)"/>
        <s v="died of hypothermia, body found by the police along the shores of the Evros River (GR) (Dec 26, 2011)"/>
        <s v="One drowned in Ceuta, while trying to swim to the Spanish enclave in Morocco bypassing the border (Dec 24, 2011)"/>
        <s v="presumed suicide in police cell in NL days before deportation, very unclear circumstances (Dec 21, 2011)"/>
        <s v="Found on the roadside in Imola, the lifeless body of a young man died asphyxiated in the truck in which he was hiding in Greece to embark on a ferry to Italy. To abandon the corpse would have been a truck driver (Dec 20, 2011)"/>
        <s v="died of meningitis hours after her admission to hospital from Aluche detention centre (E) (Dec 18, 2011)"/>
        <s v="Rescued 75 miles south of Malta a boat adrift with 44 passengers, who tell two died during the crossing (Dec 7, 2011)"/>
        <s v="pregnant, died from drinking sea water, boat of 72 went adrift in Mediterranean for 16 days (Dec 3, 2011). From Del Grande's data set (translated): Rescued vessel in distress off the coast of Malta. A board was found the lifeless body of a girl of 29 year"/>
        <s v="drowned, boat sank off Zarzis (TN) on way to Italy, 1 body found, 1 missing, 10 survivors (Dec 1, 2011). From Del Grande's data set (translated): Spills at sea off the coast of Zarzis boat with 12 passengers was shuttled from the mother ship ready to go t"/>
        <s v="bodies found by patrol guards on a boat adrift near Sfax (TN) on way to Italy (Dec 1, 2011). From Del Grande's data set (translated): The bodies of four men were found on a finished boat adrift off the coast of Sfax on the route to Lampedusa (Feb 13, 2011"/>
        <s v="drowned, found in port of Ceuta (E) in advanced state of decomposition (Nov 27, 2011). From Del Grande's data set (translated): Found at the entrance of the port of Ceuta the lifeless body of a young boy drowned trying to swim to the Spanish enclave in Mo"/>
        <s v="bodies found in the south-eastern port of Brindisi (I) after a vessel sank off the nearby coast (Nov 26, 2011). From Del Grande's data set (translated): Salt the death toll of the sinking of Brindisi, after the discovery of a third body in the sea without"/>
        <s v="drowned, bodies found afer boat sank off Brindisi coasts (I) on the way from Turkey (Nov 25, 2011). From Del Grande's data set (translated): A sailing boat is shipwrecked off the coast brindisine after being stranded on the rocks. 2 bodies recovered, the "/>
        <s v="died of hypothermia, body found in a farming area in Thymaria, Alexandroupoli (GR) (Nov 23, 2011)"/>
        <s v="died of hypothermia, body found in the Peplos region, on banks of Evros River (GR) (Nov 23, 2011)"/>
        <s v="drowned, bodies found on Moroccan beach, part of group of 90 who tried to swim to Ceuta (Nov 22, 2011)"/>
        <s v="died in accident, smugglers  car overturned as they tried to avoid a police road block (Nov 9, 2011)"/>
        <s v="suicide, hanged himself in Parc de la Villette, Paris(F) when told he would be deported (Nov 4, 2011)"/>
        <s v="body found in a drifting wooden boat off Malta s shore rescued patrol vessels (Nov 3, 2011)"/>
        <s v="Melilla found the lifeless body of a young man drowned trying to swim around the border (Nov 2, 2011)"/>
        <s v="drowned; 5 found, 30 missing when TN coastguards rammed their boat, splitting it in two (Nov 1, 2011). From Del Grande's data set (translated): Collision at sea off the coast of Zarzis and on the route to Lampedusa, including a vessel with 120 passengers "/>
        <s v="Found the lifeless body of a drowning man who died during the crossing of the Strait, off the coast of Motril, Granada (Oct 31, 2011)"/>
        <s v="Found the lifeless bodies of 3 boys drowned trying to swim around the border post Tarajal. The Moroccan authorities do not exclude others lost at sea (Oct 24, 2011)"/>
        <s v="Disembark in Locri, Calabria, a vessel with 53 young Egyptians on board. Drowned a 16 year old boy (Oct 23, 2011)"/>
        <s v="Drown a twenty year old, fell into the sea while attempting to climb on the rocks along with the other 41 passengers landed at Seminara, in the province of Reggio Calabria (Oct 18, 2011)"/>
        <s v="3 found dead off the coast of Calblanque and 2 off Calarreona and Punta Negrete, in the area of __Murcia, they are the 5 missing in a boat rescued a few days before (Oct 13, 2011)"/>
        <s v="bodies found in the area of Petalo (GR), tried to cross the border TR-GR via the Evros River (Oct 11, 2011). From Del Grande's data set (translated): Sixteen falls into the water and drowned during a chase between a Greek patrol boat and the boat was trav"/>
        <s v="Found the bodies of two boys drowned trying to swim across the Evros River at the border between Turkey and Greece (Oct 12, 2011)"/>
        <s v="stowaway, fell out of a truck near Calais (F) was travelling to GB (Oct 4, 2011)"/>
        <s v="died in prison near Misrata (LY) after boat left to drift for 16 days, SOS ignored by NATO (Oct 3, 2011)"/>
        <s v="died from thirst and hunger on reaching land, boat drifted for 16 days, SOS ignored by NATO (Oct 3, 2011)"/>
        <s v="died from thirst and hunger, boat drifted in Mediterranean for 16 days, SOS ignored by NATO (Oct 3, 2011)"/>
        <s v="failed asylum seeker, died after jumping from window during police check in Nicosia flat (CY) (Jan 30, 2011)"/>
        <s v="Emerges from the sea lifeless body of a man drowned during a shipwreck in the sea area between Morocco and Spain. The discovery was made in Estepona (Jan 26, 2011)"/>
        <s v="stopped breathing, very weak after 4 days wait at Strait of Gibraltar coast for MA-E dinghy  (Jan 22, 2011). From Del Grande's data set (translated): Boy dies of starvation, after four days spent in a forest on the Mediterranean coast of Morocco unnecessa"/>
        <s v="Found in Estepona, Malaga, the lifeless body of a young boy drowned in a crossing (Jan 22, 2011)"/>
        <s v="drowned, boat capsized near Metline (TN) during poor border control after Ben Ali abdication (Jan 17, 2011). From Del Grande's data set (translated): Intercepted by the Coast Guard off the coast of Algeria in Annaba on the route to Sardinia, passengers se"/>
        <s v="drowned, set boat on fire and jumped to avoid border patrol in Annaba (DZ) on the way to I (Jan 16, 2011). From Del Grande's data set (translated): Shipwreck Metline in northern Tunisia, on the route to Pantelleria. Drowned Boy (Jan 18, 2011)"/>
        <s v="missing, feared drowned when ship sank near Corfu (GR) on way to Italy, 230 survivors (Jan 15, 2011). From Del Grande's data set (translated): He died in the shooting of a Border Patrol Eritrean girl of twenty years with a group of fellow was trying to cr"/>
        <s v="missing after they sailed from Sidi Lakhdar (DZ) in the direction of Spain on a makeshift boat (Jan 11, 2011). From Del Grande's data set (translated): Departing from Sidi Lakhdar, Mostaganem, Arzew are 11 boys from days lost at sea en route to Spain (Dec"/>
        <s v="killed after a car chase in Evros (GR), involving Greek border police and FRONTEX officials (Jan 11, 2011)"/>
        <s v="found dead in his room at the Gerstungen asylum seekers centre (D) 10 days after he died  (Jan 9, 2011)"/>
        <s v="murdered due to his religious after deportation from Sweden, his asylum claim was rejected (Jan 9, 2011)"/>
        <s v="suffocated, travelling on boat with 275 survivors, SOS sent 35 miles from Lampedusa (I) (Jan 7, 2011). From Del Grande's data set (translated): Found on board a fishing vessel the lifeless bodies of 25 children died from asphyxiation in the engine room of"/>
        <s v="died of hypothermia trying to swim ashore with life jacket, body found off Ceuta s coast (E)  (Jan 6, 2011)"/>
        <s v="unknown manner of death, died on the way from Libya to Malta body thrown overboard (Jan 5, 2011). From Del Grande's data set (translated): The passengers of a vessel rescued by the Maltese speak of a man who died of starvation during the journey and aband"/>
        <s v="drowned, reportedly from missing boat to Italy on 27/03. bodies found off Kerkenneh(TN) (Jan 3, 2011). From Del Grande's data set (translated): The bodies of 27 Tunisians, aged between 19 and 23 years, died in 2 wrecks of boats headed for Italy, on 13 and"/>
        <s v="drowned, bodies found on Tunisian beaches by coastguards  (Jan 3, 2011)"/>
        <s v="burned to death in a shack in Melilla (E) as they waited for a chance to cross to mainland (Jan 2, 2011)"/>
        <s v="drowned, bodies found in advanced state of decomposition near Lampedusa (I) (Jan 2, 2011)"/>
        <s v="suicide, laid under train in Gifhorn(D)in fear of deportation, lived 16yrs in D where he had son (Jan 2, 2011)"/>
        <s v="A dead man killed in the shooting of the Egyptian police at the border with Israel on Sinai (Jan 2, 2011)"/>
        <s v="died crossing the Oder/Neisse border. German police did not record the precise date."/>
        <s v="drowned, suspected that boat capsized 6 days earlier, travelling from Turkey to Greece (Sep 30, 2010)"/>
        <s v="stowaway, travelling from Georgia, hurriedly jumped off truck near Foggia (I) and fell on head (Sep 20, 2010). From Del Grande's data set (translated): Three people are thrown from a truck Ukrainian 5 km from Foggia on the A14. One of these, a 22 year-old"/>
        <s v="heart attack, diabetic asylum seeker in Nicosia (CY), had a poor diet when welfare was cut (Sep 12, 2010)"/>
        <s v="Yahya Ishaq Suleiman, 25, Sudanese, who was killed in the fire of the Egyptian police at the border with Israel in Sinai. So far this year, are already 32 migrants killed in this area (Sep 11, 2010)"/>
        <s v="brain haemorrhage, fell 20ft while working without papers, left at Ceuta hospital gate (E)  (Sep 10, 2010)"/>
        <s v="He died in the shooting of the Egyptian police on the border with Israel in Sinai, an immigrant African (Sep 4, 2010)"/>
        <s v="Recovered after eight days adrift vessel sailed from Al Hoceima and live in Andalucia. Found 34 of the 37 passengers on board. The three dead were abandoned at sea (Sep 4, 2010)"/>
        <s v="bodies found by civil guard on Ceuta beach (E), in an advanced state of decomposition (Aug 30, 2010)"/>
        <s v="Sinking 50 miles off the coast of Sardinia. 1 body recovered, 1 missing at sea (Aug 29, 2010)"/>
        <s v="found off Ceuta s coast (E), believed to have fallen from boats several months ago (Aug 27, 2010)"/>
        <s v="reportedly missing, boat from MA to E allegedly carrying 37 has gone missing  (Aug 26, 2010)"/>
        <s v="body found by police on Jonic coast, Calabria (I), reportedly died whilst disembarking sailboat (Aug 24, 2010). From Del Grande's data set (translated): Landing in Calabria, Catanzaro. A group of passengers is forced by the captain to jump overboard, one "/>
        <s v="He died suffocated inside the truck in which he was hiding in the greek port of Patras to board a ferry line to Venice, bound for England. The corpse of Baiz Ebraim Pshadar is then abandoned by the driver and found by police on the A23 Udine-Tarvisio (Aug"/>
        <s v="died of thirst in Algerian desert near Tamanrasset, with 9 others trying to reach Europe (Aug 14, 2010). From Del Grande's data set (translated): 12 dead dehydrated in the Algerian desert to the border with Mali, stranded in the Sahara after a mechanical "/>
        <s v="Meeting the budget of the massacre of Eritreans in Sinai. According to police, in gunfire with the drivers have been killed at least 10 people dead and others may be dehydrated after fleeing into the wilderness (Aug 15, 2010)"/>
        <s v="Shooting on the border between Egypt and Israel at Sinai. 6 Eritreans were killed, two under-fire police, 4 shots under their carers (Aug 14, 2010)"/>
        <s v="missing, feared drowned on the way from El Bouni, Annaba (DZ) to Sardinia (I) by boat (Aug 8, 2010). From Del Grande's data set (translated): The family of 43 children of Annaba make complaints to the authorities about the disappearance of their children,"/>
        <s v="drowned whilst travelling from Turkey to Greece on Evros River (GR) (Aug 5, 2010). From Del Grande's data set (translated): Found the lifeless body of a man drowned in the Evros River at the border between Turkey and Greece (Jun 9, 2010)"/>
        <s v="Landing in Calabria, found the lifeless body of a young Afghan on a beach of Catanzaro (Aug 4, 2010)"/>
        <s v="starvation, died 2days before mother, family got no social help after received asylum in GB (Aug 2, 2010)"/>
        <s v="Two deaths in one week along the border between Egypt and Israel in the Sinai, both killed by Egyptian border police gunfire. There are already 21 people killed on the Sinai since the beginning of 2010 (Jul 29, 2010)"/>
        <s v="drowned during shipwreck off Ibiza Channel, bodies found off Javea coast (E) (Jul 27, 2010)"/>
        <s v="suicide, jumped from balcony in Nottingham (GB), couldn t find solicitor for his asylum appeal (Jul 24, 2010)"/>
        <s v="Landing in Calabria, Belcastro, 1 drowned (Jul 21, 2010)"/>
        <s v="drowned, bodies found in the Evros region (GR) near to border with Turkey (Jul 11, 2010)"/>
        <s v="stowaway, drowned whilst swimming from ship to shore at Pinedo beach, Valencia (E) (Jul 9, 2010)"/>
        <s v="drowned during shipwreck off Ibiza Channel, body found on San Juan beach (E) (Jul 7, 2010)"/>
        <s v="drowned during shipwreck off Ibiza Channel, body found 2 miles from Altea, Alicante (E) (Jul 7, 2010)"/>
        <s v="Found two more bodies in the Evros River at the border with Turkey. Rises to 18 The death toll of the tragedy of July 1 (Jul 7, 2010)"/>
        <s v="Sahro Barre Mohamed, 32 who had three-month pregnancy died in center for the asylum seekers in Leersum town of Utrecht province after she lacked urgent medical care."/>
        <s v="stabbed in canteen-queue fight in Sandholm Asylum Centre(DK) tension due to overcrowding (Jul 3, 2010)"/>
        <s v="suicide, asylum seeker, hanged himself in Hamburg deportation centre (D) after hunger strike (Jul 2, 2010)"/>
        <s v="suicide, jumped with his family from 15 floor flat in Glasgow (GB), asylum claim was rejected (Jul 2, 2010)"/>
        <s v="suicide, jumped with her family from 15 floor flat in Glasgow (GB), asylum claim was rejected (Jul 2, 2010)"/>
        <s v="Massacre in the Evros River at the border between Turkey and Greece. Found 16 dead bodies, including five women, drowned trying to swim across the river (Jul 1, 2010)"/>
        <s v="A 38 year-old Eritrean woman killed by three bullets fired by Egyptian police at the border with Israel in Sinai. It is the nineteenth victim of 2010 (Jun 29, 2010)"/>
        <s v="pregnant asylum seeker in a Leersum asylum centre (NL)who was denied urgent medical care (Jun 26, 2010)"/>
        <s v="drowned, boat overturned crossing Evros river from TR-GR, bodies found in Orestiada (GR) (Jun 24, 2010)"/>
        <s v="killed by another asylum seeker in Alvesta (S) apartment rented by Migration Board (Jun 24, 2010)"/>
        <s v="whilst travelling to Europe, executed in Tripoli and Banghazi (LY) for alleged criminal offences (May 29, 2010)"/>
        <s v="Found the bodies of two men drowned in the Evros River at the border between Turkey and Greece (May 26, 2010)"/>
        <s v="suicide, hanged himself with bedsheet whilst awating deportation in Barcelona det centre(E) (May 12, 2010)"/>
        <s v="A 16 year old Afghan boy hit by truck dies beneath which he had hidden in Dunkirk to embark secretly on a ferry to England (Apr 21, 2010)"/>
        <s v="A man killed by gunfire in the Egyptian border police on the border with Israel in Sinai. Already 14 victims beginning of the year (Apr 20, 2010)"/>
        <s v="Stowaway fell from the wheelbay on a plane to Z√ºrich."/>
        <s v="drowned whilst swimming to city, body washed up on Chorrillo beach, Ceuta (E) (Apr 17, 2010)"/>
        <s v="drowned, bodies found by Evros river near Edirne (TR) when boat capsized, 7 survivors (Apr 17, 2010)"/>
        <s v="suicide, hanged herself in deportation centre in Hamburg (D) (Apr 15, 2010)"/>
        <s v="died after being denied medical attention by staff at Oakington detention centre (GB) (Apr 14, 2010)"/>
        <s v="reportedly drowned, boat sank of Almeria coast (E) on way from Algeria.  3 survivors (Apr 12, 2010). From Del Grande's data set (translated): The merchant Liliana rescued 18 miles off the coast of Carboneras the three survivors of a sunken boat on the rou"/>
        <s v="Boat capsizes at sea during the landing in Lampedusa. Two missing. One of the corpses will be found a month later (Apr 3, 2010)"/>
        <s v="drowned, boat capsized when travelling from Turkey to Greece (Mar 31, 2010). From Del Grande's data set (translated): Shipwreck in Alexandroupoli. Recovered four dead bodies, two neighbors at the port and two in the Rhodope. We are looking for other missi"/>
        <s v="asylum-seeker, died in detention centre in Vottem (B) due to lack of medical treatment (Mar 31, 2010)"/>
        <s v="drowned, boat capsized 3 miles from Kafr el-Sheikh, Egypt on way to Italy. 38 survivors (Mar 29, 2010). From Del Grande's data set (translated): Shipwreck in Kafr Sheykh. It capsized boat bound for Italy, found 2 dead bodies, 13 men are missing (Mar 30, 2"/>
        <s v="asylum seeker, killed by bomb exposion in Athens (GR) while searching for food into garbage  (Mar 27, 2010)"/>
        <s v="Egyptian police fired on a group of migrants at the border with Israel at Sinai. 2 killed and 5 wounded. 11 victims beginning of the year (Mar 27, 2010)"/>
        <s v="bodies thrown overboard on the way to Sicily (I), 20 surivors rescued by border patrol (Mar 20, 2010). From Del Grande's data set (translated): The passengers of a vessel rescued 25 miles off Lampedusa speak 3 dead abandoned at sea (Mar 22, 2010)"/>
        <s v="died during deportation at Zurich airport (CH),weak from hunger strike,police forcibly restrain (Mar 16, 2010)"/>
        <s v="unknown cause had mental health problems but was not monitored in Charleroi(B) asylum cr. (Mar 5, 2010)"/>
        <s v="stowaway, hanging under lorry, had permission to travel Ceuta-Malaga (E) but was prevented (Mar 4, 2010)"/>
        <s v="refused hospital treatment in Cernusco sul Naviglo (I) due to new discriminatory laws (Mar 2, 2010)"/>
        <s v="One dead and two injured in the shooting of the Egyptian police at the border with Israel. 8 victims already from the beginning of the year (Feb 23, 2010)"/>
        <s v="missing, feared drowned, sailing with 30 survivors rescued off coast of Mostaganem (DZ) (Feb 9, 2010). From Del Grande's data set (translated): Capovoltesi two boats rescued at sea 3 miles off of Mostaganem on the route to Spain. Salvi 30 passengers, 5 th"/>
        <s v="suicide, hanged himself with kettle cord whilst facing deporting in Langenhagen prison (D)  (Feb 5, 2010)"/>
        <s v="suicide, asylum seeker hanged himself in Liverpool (GB) as he was homesick and left in limbo (Feb 4, 2010)"/>
        <s v="Egyptian police opened fire on a group of migrants at the border with Israel, 2 dead (Feb 4, 2010)"/>
        <s v="stabbed by breadknife by drunk asylum seeker, whilst in asylum centre in Mostviertel (A) (Feb 3, 2010)"/>
        <s v="stowaway, crushed by the cargo of the truck he was hiding in, on way from Ceuta to Spain (Dec 27, 2010)"/>
        <s v="frozen to death, found in Nea Vissa (GR), crossing TR-GR border (Dec 19, 2010)"/>
        <s v="froze to death, bodies found in Nea Vissa (GR), near Turkish border (Dec 16, 2010). From Del Grande's data set (translated): Found the bodies of two men frozen to death while attempting to walk across the border between Turkey and Greece, near Nea Vissa, "/>
        <s v="asthma attack at Masotti Carabinieri station, Brescia (I) medical treatment provided too late (Dec 11, 2010)"/>
        <s v="Killed by their smugglers two other men in the group of 250 Eritreans seized more than a month in the Sinai desert by the same Bedouin who had been entrusted to cross the border with Israel. The execution could be a retaliation for failure to pay the rans"/>
        <s v="suffocated, security guards restrained him during deportation, on flight from Heathrow (GB) (Dec 9, 2010). From Del Grande's data set (translated): He died an Angolan citizen, 46 years old, while trying to deport him by force on the BA flight from Heathro"/>
        <s v="drowned, body found by helicopter rescue 24km from Tabarca, Alicante (E) (Dec 7, 2010). From Del Grande's data set (translated): Salt balance of the sinking of Alicante. Found a second body in the sea, search suspended for missing 6 (Aug 14, 2010)"/>
        <s v="Sardar Ayari, Afghanistan, 25 years and father of three, died crushed between two trucks while trying to hide in a truck near the port of Patras to embark secretly to Italy (Dec 2, 2010)"/>
        <s v="A group of 250 Eritreans, 80 of which are rejected by Italy in Libya last year, ends sequestered into the hands of smugglers who have entrusted themselves to cross the border between Egypt and Israel in the Sinai. The redemption price is set at $ 8,000. A"/>
        <s v="died from shock, taser was used on deportee by police in Colombes (FR) to calm fight (Nov 28, 2010)"/>
        <s v="stowaway, crushed between 2 trucks whilst trying to climb into one in Patras (GR) going to I (Nov 26, 2010)"/>
        <s v="stowaways, suffocated in back of van near Amphiloxia (GR), travelling from Italy (Nov 22, 2010). From Del Grande's data set (translated): Asphyxiated 4 Iraqis hidden in a truck stopped at Amphiloxia and direct in Italy (Nov 23, 2010)"/>
        <s v="died of burns and fume inhalation, fire they made to heat up Santurtzi squat (E) spread (Nov 21, 2010)"/>
        <s v="drowned, boat sank on way from Balkans, body found in Bari(I) holding Greek expulsion order (Nov 15, 2010). From Del Grande's data set (translated): Found entangled in the nets of a fishing boat the corpse of a 23 year-old Somali, three miles off the coas"/>
        <s v="Twenty-one Eritrean killed by the gunfire of the Egyptian border police on the border with Israel in Sinai (Nov 13, 2010)"/>
        <s v="missing, feared drowned when ship sank off Kani Keli, Mayotte (F), 31 survivors (Nov 11, 2010). From Del Grande's data set (translated): Shipwreck of a kwassa off the island of Mayotte, in the Indian Ocean, at least 5 missing (Dec 13, 2010)"/>
        <s v="Found the body of a young man drowned on the way to Spain, to Chabia. This is the fourth corpse fished out of a month in the area of __Mostaganem, after the three found in Ouled Boughanem, Hadjadj and Sidi Lakhdar (Nov 12, 2010)"/>
        <s v="drowned, bodies found in La Linea de la Conception (E) near to the strait of Gibraltar (Nov 7, 2010)"/>
        <s v="drowned, 6 missing and 2 found by sea patrol near Tabarka, Alicante (E) travelling from DZ (Nov 7, 2010). From Del Grande's data set (translated): Landing in Alicante, a drowned (Aug 13, 2010)"/>
        <s v="drowned, mark of a knock on his head, body found near to Levante beach (E) (Nov 7, 2010)"/>
        <s v="bodies found on a damaged boat rescued off Motril coast, Granada (E) carrying 25 survivors (Nov 6, 2010). From Del Grande's data set (translated): Sinking boat in the Strait of Gibraltar, 43 miles south of Motril. Drown 5 people, including 2 infants (Jul "/>
        <s v="Shipwreck on the route for Spain, saves the merchant 5 of 10 passengers originating in Ain Tourk, Oran, the other 5 are dispersed (Nov 4, 2010)"/>
        <s v="stowaway, fell under wheels of truck when it boarded a boat in Dunkirk (F), travelling to GB (Nov 3, 2010)"/>
        <s v="The court of Algiers, a conviction for the murder of Indian sailor Kalkouli Amine, aged 18, who was killed while trying to climb to sneak up on a merchant ship at anchor in the port of Algiers, August 24, 2008, and directed in Europe (Nov 3, 2010)"/>
        <s v="reportedly drowned, dinghy capsized off coast of Samos (GR) on the way to (GR) from (TR) (Nov 1, 2010). From Del Grande's data set (translated): Shipwreck in Samos, 8 recovered bodies from the sea, looking for others 6 missing (Feb 11, 2010)"/>
        <s v="Sudanese police gunfire killed by Egyptian border in the Sinai Desert, at the border with Israel (Oct 31, 2010)"/>
        <s v="Attacked near the port of Samos, loses his life a boy who emigrated 23 years (Oct 14, 2010)"/>
        <s v="stabbed by housemate in Venice (I), jealous of his permanent residency and work permit  (Oct 3, 2010)"/>
        <s v="rare brain infection, no medical care and no social benefits after asylum application approved (Oct 2, 2010)"/>
        <s v="suicide, exhaled camping gas spray in his cell in S.Vittore prison, Milan (I) (Jan 15, 2010)"/>
        <s v="stowaway, suffocated whilst hiding in truck on a ferry from Patras (GR) to Ancona (I) (Jan 11, 2010). From Del Grande's data set (translated): Found the body without life of a young man died asphyxiated in the truck where he was hiding to reach Italy, in "/>
        <s v="killed by traffickers holding them in Sinai desert (Israel), for using phones to call for help (Jan 10, 2010)"/>
        <s v="beaten to death with sticks by traffickers in Sinai desert (Israel), for trying to escape group (Jan 10, 2010)"/>
        <s v="murdered, was forcibly returned to Kabul in 2006 when asylum denied in NL, killed by Taliban (Jan 8, 2010)"/>
        <s v="bodies thrown overboard a boat carrying 34 others, found on Alboran Sea (E) (Jan 8, 2010)"/>
        <s v="drowned during a shipwreck off Ibiza Channel, body found by fishermen in Calp, Alicante (E) (Jan 7, 2010)"/>
        <s v="reported missing on Jonic coast, Calabria (I) at end of July, had travelled by sailboat (Jan 6, 2010)"/>
        <s v="body found on Jonic coast, Calabria (I) at end of July, died during disembarking boat (Jan 6, 2010)"/>
        <s v="drowned in the Seine river (F) after escaping from police control, was undocumented (Jan 6, 2010)"/>
        <s v="missing, suspected drowned, boat overturned when crossing Evros river from TR-GR (Jan 5, 2010)"/>
        <s v="drowned, boat overturned crossing Evros river from TR-GR, bodies found in Orestiada (GR) (Jan 5, 2010)"/>
        <s v="drowned, boat overturned crossing Evros river (TR) trying to get to Greece (Jan 5, 2010)"/>
        <s v="deported from NL without family, died while trying to reenter Europe via boat to Samos (GR) (Jan 4, 2010)"/>
        <s v="suicide, depressed after asylum claim was rejected did not receive medical support (Jan 3, 2010)"/>
        <s v="drowned, transferred to canoe after abandoning boat trip to (E), capsized off Senegal coast (Sep 30, 2009)"/>
        <s v="An exiled Eritrean killed in the shooting of Egyptian police along the border with Israel in Sinai (Sep 23, 2009)"/>
        <s v="drowned, 8 found, 20 missing, small boat sank off the coast of MA near Perejil Island (E) (Sep 18, 2009). From Del Grande's data set (translated): Shipwreck on the route to Spain, off the islet of Perejil. 8 bodies recovered, 21 people are still missing ("/>
        <s v="Two Eritrean refugees killed in the shooting of Egyptian police along the border with Israel in Sinai (Sep 16, 2009)"/>
        <s v="suicide, died of heart attack due to a month-long hunger strike in prison in Wien (A) (Sep 13, 2009)"/>
        <s v="stowaway, frozen to death in a lorry trying to go from Tangeri (MA) to Marseilles (F) (Sep 11, 2009)"/>
        <s v="Four migrants killed in the shooting of Egyptian police along the border with Israel in Sinai. Already the 12 people killed since May 2009 (Sep 9, 2009)"/>
        <s v="missing after Benghazi (LY) massacre by police, in detention centre along LY to Italy route (Sep 7, 2009)"/>
        <s v="killed by police in Benghazi massacre (LY), when prisoners tried to escape detention centre (Sep 7, 2009)"/>
        <s v="stowaway, body found on hallway Brindisi-Lecce (I) thrown over truck with 17 survivors (Sep 7, 2009)"/>
        <s v="suicide, failed asylum seeker who hanged himself in a South Shields park (GB) (Sep 7, 2009)"/>
        <s v="Egyptian police shooting at a group of migrants along the Sinai border with Israel. A man killed. Seriously injured an Eritrean girl 18 years (Sep 1, 2009)"/>
        <s v="run over by the truck he was hanged on to pass the border in Ancona (I) harbour (Aug 31, 2009)"/>
        <s v="manner of death unknown, died during boat trip, found in Granadilla, Tenerife Island (E) (Aug 28, 2009). From Del Grande's data set (translated): Landing in the Canary Islands, Granadilla (Tenerife). A dead man on board (Aug 31, 2009)"/>
        <s v="drowned during rescue operation in Birzebuggia coast (M) on her way from Africa (Aug 27, 2009). From Del Grande's data set (translated): Retrieved a body off the coast of Bizzerbugia. This may be one of the passengers of the boat with 39 passengers rescue"/>
        <s v="Rescued boat adrift with 79 passengers on board off the coast of Malta. Water found in the body of a man with no life (Aug 27, 2009)"/>
        <s v="suicide, asylum seeker found hanging in prison cell in Nuremburg (D) four days earlier (Aug 24, 2009)"/>
        <s v="suicide, overdose to family being moved to an asylum seekers camp in Mittweida (D) (Aug 23, 2009)"/>
        <s v="Spotted by a boater a corpse in the waters of Linosa, 24 miles north of Lampedusa (Aug 22, 2009)"/>
        <s v="bodies thrown overboard after 23 days traveling from Libya to Lampedusa (I) (Aug 19, 2009). From Del Grande's data set (translated): Five Eritreans rescued on a raft 12 miles from Lampedusa say they spent 20 days adrift. 73 people have died in the crossin"/>
        <s v="A man hanging under the chassis of a truck just landed at the port of Brindisi loses his grip and falls, dying instantly (Aug 20, 2009)"/>
        <s v="drowned,7 found, 20 missing, 10 survived, shipwreck near Trafalgar beach in southern Spain (Aug 16, 2009)"/>
        <s v="fell from third floor window of an unfitted accommodation provided by a UKBA contractor (Aug 15, 2009)"/>
        <s v="Recovered two dead bodies in the waters of the island of Kos, victims of a shipwreck. Another three people are reported missing (Aug 13, 2009)"/>
        <s v="Found a dead body in the sea, the waters of Cartagena, between Cabo del Agua and the island of Escombreras (Aug 11, 2009)"/>
        <s v="Landing at Pantelleria. From the boat adrift, three miles from the island, four of the nine Tunisians on board trying to go swimming. A dispersed (Aug 10, 2009)"/>
        <s v="The Libyan police suppressed a riot erupted during an escape attempt in Ganfuda detention camp in Benghazi. At least six Somali refugees are stabbed to death. Other sources claim that the dead are 20 (Aug 9, 2009)"/>
        <s v="1 died, 11 missing, boat collided with Algerian coast guard vessel in the port of Annaba (DZ) (Aug 7, 2009). From Del Grande's data set (translated): Collision off between Annaba and a patrol boat of Algerian emigrants to Sardinia. One dead, 11 missing an"/>
        <s v="A dead near the port of Igoumenitsa. It was hidden in a truck, thinking that he was going to Italy, but when he realized he was heading to Athens threw himself losing his life in the fall (Aug 7, 2009)"/>
        <s v="Egyptian police opened fire on a group of migrants at the border with Israel. A dead. It is the seventh victim since last May (Jul 31, 2009)"/>
        <s v="reportedly drowned, parts of a body found along la Fontanilla beach of Marbella Island (E) (Jul 26, 2009). From Del Grande's data set (translated): Found human remains in an advanced state of decomposition along the beach of La Fontanilla Marbella, where "/>
        <s v="murdered, beaten by border guards in his attempt to embark to reach I, died in GR hospital (Jul 26, 2009)"/>
        <s v="Beaten by the police in the Greek port of Igoumenitsa, while trying to get on a truck ready to embark for Italy, a young Kurdish died at the hospital in Thessaloniki after four months in a coma (Jul 27, 2009)"/>
        <s v="died of heart attack in Tenerife (E), employer did not call for assistance as Luis was illegal (Jul 24, 2009)"/>
        <s v="Missing a man fell into the sea during a rescue operation off the coast of Manilva, Malaga (Jul 24, 2009)"/>
        <s v="Traffic accident with a truck load of emigrants to Kulp, in the province of Diyarbakr. Three people die, 18 injured (Jul 23, 2009)"/>
        <s v="Found on the beach of La Fontanilla Marbella a corpse in an advanced state of decomposition (Jul 22, 2009)"/>
        <s v="Found a dead body in the waters of Cadiz, in front of the beach of Barbate. It would be the tenth victim of the sinking of the past June 29 (Jul 17, 2009)"/>
        <s v="Landing Canarian island of El Hierro. A dead man on board, a second man dies of dehydration after hospitalization (Jul 15, 2009)"/>
        <s v="died at the hospital of El Hierro, Canary Islands (E),  after boat arrived in La Estaca harbour (Jul 13, 2009). From Del Grande's data set (translated): He died at the hospital in El Hierro third passenger boat arrived last Sunday in the Canary Islands (J"/>
        <s v="manslaughter, beaten by neonazis whilst returning to M√∂hlau asylum centre (D) at night (Jul 13, 2009)"/>
        <s v="suicide in the detention centre of Ponte Gallera, in Roma (I) (Jul 4, 2009)"/>
        <s v="Egyptian police opened fire on a group of migrants at the border with Israel. Killed two Somalis (Jul 3, 2009)"/>
        <s v="stabbed in fight between migrants attempting to get aboard the lorry to UK in Calais (F)  (Jun 30, 2009)"/>
        <s v="drowned, wooden boat collided with rocks off Barbate (E), traffickers imprisoned for murder (Jun 28, 2009). From Del Grande's data set (translated): Spills on the rocks in front of the beaches of Barbate, near Cadiz, a boat load of emigrants. Found the li"/>
        <s v="Egyptian police opened fire on a group of migrants at the border with Israel. A murdered. Wounded in the back a 15 year old boy (Jun 28, 2009)"/>
        <s v="Egyptian police shooting at a group of migrants at the border with Israel in the wilderness of Sinai. He died in his twenties. It is the third victim of 2009 (Jun 24, 2009)"/>
        <s v="stowaway,fell from the truck he was hidden, died in hospital 3h later in Ancona (I) (Jun 22, 2009). From Del Grande's data set (translated): Amir Rohol, nineteen year-old Afghan, died after falling from a truck unloaded in the port of Ancona and headed no"/>
        <s v="suicide in a cell in Barcelona (E) hanging himself with his own shirt, arrested because illegal  (Jun 18, 2009)"/>
        <s v="1drowned, 1missing after shipwreck due to storm waters 30 miles south Cartagena (E) (Jun 16, 2009)"/>
        <s v="Norwegian tanker rescued a small boat with 10 passengers off the coast of Murcia. One dead and one missing (Jun 17, 2009)"/>
        <s v="A man died because he wanted to take a shower. As there was no shower in Calais, migrants washed in a canal. One of them slipped and died."/>
        <s v="drowned, 5 died, 1 missing, overloaded boat sank off the coast of Bodrum (TR) (Jun 10, 2009)"/>
        <s v="suicide, jumped in Bilbao s river (E) escaping from policemen who took him for a thief (Jun 10, 2009)"/>
        <s v="drowned, 4 died, 3 missing, trying to swim from a dinghy to the coast of Gela (I)  (Jun 9, 2009)"/>
        <s v="medical neglect, died in Busmantsi detention centre (BG) where he had been held for 3 years (Jun 9, 2009)"/>
        <s v="suicide, threw herself in the Brembo River in Bergamo (I) in fear of deportation (Jun 7, 2009)"/>
        <s v="18 km boat capsizes off the coast of Tarifa (Cdiz). Rescued 22 passengers. At least 18 missing in sea (Jun 4, 2009)"/>
        <s v="tangled in razor wire trying to jump a border fence from Morocco to Ceuta (E) (Jun 2, 2009)"/>
        <s v="Sighted by a merchant ship off the coast of Cabo de Gata, Andalucia, the corpse of a man abandoned by days at sea (Jun 3, 2009)"/>
        <s v="The Egyptian border police opened fire on a group of migrants along the Sinai border with Israel. One dead and one seriously injured (Jun 2, 2009)"/>
        <s v="suicide after 67 days in detention centre in Gavle (S) in fear of being deported (May 26, 2009)"/>
        <s v="Found the lifeless body of an immigrant drowned off the island of Man, on the southeastern coast of Sardinia (May 22, 2009)"/>
        <s v="reported suicide using tshirt but guards reportedly beat him in Barcelona detention centre(E) (May 18, 2009)"/>
        <s v="road accident, tried to jump onto moving truck on motorway in Teteghem (F) towards B (May 18, 2009)"/>
        <s v="stabbed after a brawl in Villemin square, Paris (F), where he lived as asylum seeker (May 3, 2009)"/>
        <s v="He died at the hospital in Caltanissetta, suffering from meningitis, one of the castaways rescued two weeks ago by the merchant turkish Pinar (May 2, 2009)"/>
        <s v="died in the hospital in Tarifa (E) after Spanish authorities blocked a boat from Tanger (MA)  (Apr 29, 2009). From Del Grande's data set (translated): One of the passengers of a boat intercepted the day before to 14 miles from Tarifa (Cdiz) died in the ho"/>
        <s v="missing after shipwreck, 250 km east of Aden (Yemen), coming from Somalia, 165 survivors (Apr 22, 2009)"/>
        <s v="drowned, bodies found after shipwreck 250 km east of Aden (Yemen) on way from Somalia (Apr 22, 2009)"/>
        <s v="reportedly died of hypothermia, found by Spanish authorities in the Strait of Gibraltar (E) (Apr 22, 2009)"/>
        <s v="Fished by the Spanish coastguard two dead bodies from the waters of the Strait of Gibraltar (Apr 23, 2009)"/>
        <s v="body found by Mauritanian guards on a boat near Nuadibu on way to Canary Islands (E) (Apr 17, 2009). From Del Grande's data set (translated): Rescued 27 miles from Nouadibou game boat from Senegal and direct the archipelago of the Canary Islands. A drowne"/>
        <s v="died during rescue operation, boat waited 4 days before to be allowed to reach Italian coasts  (Apr 15, 2009). From Del Grande's data set (translated): Relief from merchant turkish Pinar 140 emigrants wrecked in the Channel of Sicily. Operations in a Nige"/>
        <s v="Relief from the fishing vessel Cesare Rustico Mazara, a boat full of migrants capsizes at sea. 3 missing, including a woman (Apr 8, 2009)"/>
        <s v="Afghan dies in fight in Parisian squat. Moved to Paris after the shut down of Sangatte (Apr 7, 2009)"/>
        <s v="missing after their boat sank 10 miles off Tarifa, Cadiz (E) on the way from Tanger (MA) (Apr 5, 2009)"/>
        <s v="Found a corpse in the Channel Tunnel. The man died falling off the wagon of the train in which he was hiding to reach England (Apr 5, 2009)"/>
        <s v="Boat with 76 passengers intercepted 60 miles south of Lampedusa, on board 2 corpses (Apr 3, 2009)"/>
        <s v="missing after 3 boats sank due to stormy waters 30 km off LY on way from Tripoli (LY) to I  (Mar 28, 2009)"/>
        <s v="drowned, 21 bodies found, 3 boats sank due to stormy waters 30 km off LY on way to I  (Mar 28, 2009). From Del Grande's data set (translated): Fishing boat overloaded with migrants sinks off Biilal Janzur Said, a suburb of Tripoli, where he started three "/>
        <s v="Iraqi hiding under a truck embarked on a greek ferry from Patras, dies crushed between the axles of the articulated (Mar 29, 2009)"/>
        <s v="stowaway, dead under a Bulgarian lorry he hang on to pass the border in Ancona harbour (I) (Mar 28, 2009)"/>
        <s v="14 Nigerians die in the Algerian desert during the crossing of the Sahara. The news has spread by the Ambassador of Nigeria to Algiers (Mar 26, 2009)"/>
        <s v="asylum seeker was run over by a lorry in Venice harbor (I) reportedly trying to skip ID control (Mar 25, 2009). From Del Grande's data set (translated): Found dead in the port of Venice, migrants hidden in a trailer on the ferry Hellenic Master, who start"/>
        <s v="found in Votanikos stream near Aliens Bureau in Athens (GR), stayed in coma for 3 months (Mar 22, 2009)"/>
        <s v="missing when Spanish patrol transfered the passengers from their boat off Cabo de Gata (E) (Mar 21, 2009)"/>
        <s v="Fall into the sea during a rescue operation in Cabo de Gata, Almeria. Two missing (Mar 22, 2009)"/>
        <s v="17 deaths, 50 missing, after shipwreck near to Sfax (TN) on the way from Libya to Italy (Mar 18, 2009). From Del Grande's data set (translated): Shipwreck on the route to Lampedusa off the coast of Sfax, not far from the island of Kerkennah. Recovered 17 "/>
        <s v="reportedly beaten on the Ponte Gallierra det. cr. Roma (I) after refusal of medical treatment (Mar 18, 2009)"/>
        <s v="body washed ashore on the beach Linea de la Concepcion, Cadiz (E) (Mar 16, 2009). From Del Grande's data set (translated): Found the lifeless body of an immigrant drowned, along the beaches of La Lnea de la Concepcin (Mar 18, 2009)"/>
        <s v="died of thirst in the LY-Niger desert trying to reach I, left there by Libyan authorities (Mar 15, 2009)"/>
        <s v="drowned, 1 died, 11 missing, wooden boat capsized 4 miles from Cabo de Palos (E) (Mar 7, 2009)"/>
        <s v="Young migrant stays attached to the network in mid-air with barbed wire border of Ceuta and bleeds to death (Mar 7, 2009)"/>
        <s v="reportedly drowned, boat hit a rock between Anjouan (Comoros) and Mayotte (F) (Mar 5, 2009)"/>
        <s v="drowned, boat hit a rock between Anjouan (Comoros) and Mayotte (F) (Mar 5, 2009)"/>
        <s v="bodies found on a boat reportedly from LY 60 km off Lampedusa s Southern coast (I) (Mar 3, 2009)"/>
        <s v="manner of death unknown, body found in a ditch in Votanikos (GR), near the Aliens Bureau (Feb 28, 2009)"/>
        <s v="He died an infant daughter of a Kurdish family in the slums along the A16, at Dunkirk, on the route to Dover, England (Feb 25, 2009)"/>
        <s v="died when vessel tried to land near Montril (E); 34 migrants survived (Feb 20, 2009)"/>
        <s v="A dead aboard a boat of 35 passengers intercepted 18 miles off the coast of Motril, Granada (Feb 21, 2009)"/>
        <s v="missing after boat crashed with a rock and sank 20 metres from Lanzarote s coast (E)  (Feb 14, 2009)"/>
        <s v="drowned after boat crashed with a rock and sank 20 metres from Lanzarote s coast (E)  (Feb 14, 2009)"/>
        <s v="reportedly dehydration, died after 4 days without water or food in boat near Canary Isl. (E) (Feb 1, 2009). From Del Grande's data set (translated): Intercepted south of Gran Canaria island, a boat with 3 deaths on board (Feb 2, 2009)"/>
        <s v="feared drowned, missing after boat sank off Andalusia coast (E) (Dec 31, 2009)"/>
        <s v="drowned, boat sank off Andalusia coast (E), 10 bodies found, 3 missing (Dec 31, 2009)"/>
        <s v="drowned, shipwreck with 36 survivors, bodies found on Valencia coast (E) (Dec 31, 2009)"/>
        <s v="suicide, jumped in front of train in Hamburg (D) after hearing he would be deported (Dec 31, 2009)"/>
        <s v="reportedly drowned on way from Turkey, boat shipwrecked off Alexandroupoli coast (GR) (Dec 30, 2009)"/>
        <s v="suicide, transexual hanged herself with a sheet in detention center of Milan (I) (Dec 24, 2009)"/>
        <s v="Two men killed by Egyptian border police at the border with Israel on Sinai (Dec 18, 2009)"/>
        <s v="Sinking boat in the river Tisza, on the border between Serbia and Hungary. Drowning 15 people, including a newborn baby (Dec 15, 2009)"/>
        <s v="stowaway, killed crossing a highway near Calais (F), trying to go to GB by hiding in a truck (Dec 14, 2009). From Del Grande's data set (translated): Young Afghan fatally hit by a car while trying to hide under a truck in Calais to embark for England (Dec"/>
        <s v="Data for 16 missing migrants off the coast of Mostaganem, en route to Spain (Dec 13, 2009)"/>
        <s v="reportedly drowned, boat sank off coast of Leros Island (GR), 25 rescued from rocky islet (Dec 11, 2009). From Del Grande's data set (translated): Shipwreck off the island of Leros. Recovered a dead body, a woman lost at sea (Dec 11, 2009)"/>
        <s v="suicide, jumped from bridge near Heathrow (GB) after police questioned her about residence (Dec 10, 2009)"/>
        <s v="drowned, boat sank by Kani-Keli, southern Mayotte, on way from Comoros (Dec 9, 2009)"/>
        <s v="Found the lifeless body of an immigrant inside a truck landed at the port of Marseille to Tangier (Dec 9, 2009)"/>
        <s v="drowned, 2 died, motorboat sank off the coast of Kos Island (GR) on the way from TR (Dec 7, 2009)"/>
        <s v="1 died on board during travel, 1 died at the hospital of El Hierro (E) because of dehydration  (Dec 6, 2009)"/>
        <s v="Egyptian police fired on the border with Israel at Sinai. A dead. At least 17 victims from the start of the year (Dec 1, 2009)"/>
        <s v="reportedly drowned, boat sank between island Mayotte (F) and Comoros Islands  (Nov 23, 2009)"/>
        <s v="murdered by his employer in Vercelli (I) as he did not want to pay him a 3 months salary  (Nov 23, 2009)"/>
        <s v="died after repatriation operation after 26 days spent inside detention center of Malaga (E) (Nov 19, 2009)"/>
        <s v="reportedly drowned, fell from wooden boat in the sea off the coast of Tarifa (E)  (Nov 17, 2009). From Del Grande's data set (translated): One of the 12 immigrants landed yesterday in Tarifa, Cadiz, is lost at sea, he had landed in the water just before t"/>
        <s v="10 missing after the sinking of two boats off the coast of El Marsa, on the route to Spain. Three bodies recovered (Nov 16, 2009)"/>
        <s v="The Egyptian border police shot and killed a man on the border with Israel. Three other people were arrested (Nov 14, 2009)"/>
        <s v="Shipwreck off the coast of Turkey in Bodrum, 7 bodies recovered, including 5 children (Nov 6, 2009)"/>
        <s v="Found a dead body on the island of Lesvos. It would be the ninth victim of the sinking of October 27 (Nov 2, 2009)"/>
        <s v="stowaway, asphyxiated while hidden in a lorry near Calais (F), trying to go to GB (Oct 29, 2009). From Del Grande's data set (translated): Calais, boy dies suffocated inside the truck in which he was hiding in an attempt to cross the Channel Tunnel, to En"/>
        <s v="jumped in river Thames(GB) after police questioned him in custody for immigration offences  (Oct 29, 2009)"/>
        <s v="bodies found on a boat tracked southeast of Cartagena on Spain s southern coast (Oct 28, 2009)"/>
        <s v="found on boat escorted to Sicily; I and M refused for 3 days to receive them in their territory (Oct 26, 2009)"/>
        <s v="drowned after wooden boat from TR collided with rocks on the island of Mytilini (GR) (Oct 26, 2009)"/>
        <s v="Shipwreck in the waters of Lesvos. Drown 3 women and 5 Afghan children (Oct 27, 2009)"/>
        <s v="Landed at Pozzallo 300 Eritreans and Somalis stuck for five days in a stormy sea. A dead man on board (Oct 26, 2009)"/>
        <s v="drowned, 11 died, 5 missing, boat capsized trying to cross Serbo-H border via Tisza river  (Oct 14, 2009)"/>
        <s v="murdered, beaten, dragged in police station of Nikaia (GR) and tortured till death (Oct 9, 2009)"/>
        <s v="suicide, unaccompanied minor who hanged himself in London (GB) as he feared eviction (Oct 8, 2009)"/>
        <s v="murdered, guards opened fire during their escape attempt from det. cr. in Banghazi (LY) (Oct 7, 2009)"/>
        <s v="Landing at Gela. 3 bodies recovered. Three others remain missing (Oct 7, 2009)"/>
        <s v="body found by Moroccan navy in boat sailing near the coasts of Al Hoceima (MA) (Jan 30, 2009)"/>
        <s v="drowned, shipwreck due to storm waters in Tunisi s Bay (TN) (Jan 28, 2009)"/>
        <s v="bodies washed ashore on the coasts near the town of Bodrum (TR) (Jan 27, 2009). From Del Grande's data set (translated): Found the bodies of five migrants in the waters of Bodrum (Jan 29, 2009)"/>
        <s v="Departing from Arzew to Spain, on the night of January 3, 12 Algerian boys between 20 and 30 years are reported missing at sea (Jan 25, 2009)"/>
        <s v="died of burns and exposure after sailing by boat from Africa to Lampedusa (I) (Jan 21, 2009)"/>
        <s v="reportedly frozen to death on the sailing from Libya to Lampedusa (I)  (Jan 20, 2009)"/>
        <s v="body found in the boat with 53 survivors on Cala Pisana s beach, Lampedusa (I) (Jan 20, 2009)"/>
        <s v="Landed on Lampedusa, on the beach of Cala Pisa 53 migrants. A dead aboard boat (Jan 21, 2009)"/>
        <s v="missing, after boat of 35 capsized off the coast of Tunisia on way to Italy (Jan 18, 2009). From Del Grande's data set (translated): Wreck in front of a beach in La Marsa, near Tunis. 26 lost at sea (Jan 19, 2009)"/>
        <s v="frozen to death, body found under the Vittorio Emanuele Gallery in Messina (I) (Jan 18, 2009)"/>
        <s v="reportedly missing after the boat capsized for motor problems after leaving Kristel (DZ) (Jan 13, 2009). From Del Grande's data set (translated): Boat capsizes at sea just off the coast of Gdyel, near Oran, where she had left a little earlier. 4 missing a"/>
        <s v="drowned off Syros Island (GR), after boat carrying 19 migrants capsized  (Jan 12, 2009). From Del Grande's data set (translated): Boat capsizes at sea off the island of Syros. A child dies 18 months (Jan 13, 2009)"/>
        <s v="drowned, found off Alexandroupoli (GR) when boat shipwrecked  (Jan 11, 2009)"/>
        <s v="stowaway, suffocated, found in the back of a lorry entering the Channel Tunnel (F) to GB (Jan 10, 2009)"/>
        <s v="swine flu, died whilst staying in asylum centre in Norway, no medical care was given (Jan 10, 2009)"/>
        <s v="Spills at sea off the coast of Dakar, a dugout full of migrants. 4 drown women (Jan 10, 2009)"/>
        <s v="Landing the island of Alboran, in Andalusia, a dead man among the passengers (Jan 8, 2009)"/>
        <s v="drowned, body found 42 miles south of Cabo de Gata in Almeria (E) by Liberian ship (Jan 6, 2009)"/>
        <s v="suicide after his asylum claim was rejected in asylum seeker accomodation Varmland (S) (Jan 5, 2009)"/>
        <s v="drowned, reportedly 3 boats capsized on way from Libya to presumely Italy (Jan 3, 2009)"/>
        <s v="died giving birth with 13 more in Oran s desert (AR) after got lost ran out of fuel and water (Jan 2, 2009)"/>
        <s v="body found in boat drifting for 2 days near the coast of Motril (E) with 34 survivors (Jan 1, 2009)"/>
        <s v="murdered, swam in search of help but captain of the boat threw him overboard (I) (Sep 30, 2008)"/>
        <s v="It sinks off the coast of Latakia a boat load of migrants probably headed to Cyprus. 5 bodies recovered, at least 23 missing (Sep 29, 2008)"/>
        <s v="accidentally entered a minefield in Kastanea near Evros (GR), on the way to GR from Turkey (Sep 26, 2008)"/>
        <s v="4 migrants killed by landmines in a minefield along the border with Turkey, Kastanjes, in the region of Evros (Sep 26, 2008)"/>
        <s v="21 Eritrean and Somali refugees drown in the river Atbara trying to reach the capital Khartoum (Sep 24, 2008)"/>
        <s v="Wreck 30 miles south of Malta. 35 victims. Six bodies recovered (Sep 24, 2008)"/>
        <s v="Scattered off the coast of Egypt a direct boat of 83 migrants live in Greece. She left three days ago from Damietta (Sep 23, 2008)"/>
        <s v="The 80 passengers of a vessel in Italian direct Egyptian launch a phone alarm, the ship is dispersed in the Mediterranean (Sep 22, 2008)"/>
        <s v="Truckload of immigrants jumping on a mine, 40 km north of Madama, on the border with Libya. The explosion ago 4 deaths (Sep 19, 2008)"/>
        <s v="An Afghan boy aged 16 was found dead in a truck on the ship Ionian Quuen came this morning from the airport in Brindisi to Igoumenitsa greek (Sep 12, 2008)"/>
        <s v="Landing in Portobalo, Syracuse, after 10 days spent adrift. The migrants said: death and thrown into the sea 13 people (Sep 12, 2008)"/>
        <s v="Intercepted 7 miles from Falmouth Harbor with a boat of 12 meters on board the skeletons of 8 African migrants ended up drifting on the route to the Canary Islands. Unspecified number of the missing. On board a Malian passport (Sep 10, 2008)"/>
        <s v="Egyptian police opened fire on a group of migrants along the Israeli border. Two deaths. At least 22 victims from the start of 2008 (Sep 9, 2008)"/>
        <s v="He died during transport by helicopter to the hospital Mater Dei in Valletta rescued a woman on a boat 60 miles south of Malta (Sep 9, 2008)"/>
        <s v="He died at the hospital of Nuestra Seora de Guadalupe, on the Canary island of La Gomera, one of the 118 migrants landed two days ago (Sep 8, 2008)"/>
        <s v="Found in the middle of the desert on the border between Western Sahara and Mauritania 16 migrants deported from Morocco. They are the survivors of a shipwreck which killed 33 people. Two people died in the desert. Other 21 were untraceable (Sep 7, 2008)"/>
        <s v="Found a dead body on the beach in Saboun Oued, near Skikda, drowned on routes to Sardinia (Sep 5, 2008)"/>
        <s v="Spills at sea, off the coast of Alexandria, a boat bound for Italy, drowning 3 people (Sep 5, 2008)"/>
        <s v="Rescue shipwrecked sailors adrift, five miles off the coast of Arguineguin, in the Canary Islands. On board the boat the bodies of 13 men died of starvation. Another body recovered at sea. They left 12 days ago from Mauritania (Sep 4, 2008)"/>
        <s v="5 missing off the coast of Malta. The support 85 castaways rescued by the tanker Johan Shulte, 97 miles south of the island (Sep 4, 2008)"/>
        <s v="The sinking of a boat off the coast of Egypt game for Italy with 170 passengers on board. According to the story of one of the survivors of Minufiyah, the dead would have been 48 (Sep 1, 2008)"/>
        <s v="reportedly drowned, boat capsized in stormy waters between Algeria and Sardinia (I) (Aug 29, 2008). From Del Grande's data set (translated): Sinks en route to Sardinia, off the coast of Annaba, a boat full of migrants. 14 lost at sea (Aug 30, 2008)"/>
        <s v="Intercepted off the coast of Dakhla boat with 51 migrants on board. Among them, the bodies of six men died of starvation during the journey (Aug 28, 2008)"/>
        <s v="reportedly drowned, boat sank near Zembra off Sidi Daud (TN), on way to Italy (Aug 27, 2008). From Del Grande's data set (translated): Shipwreck in the waters of the island of Zembra, off Sidi Da'ud. 5 dead guys (Aug 28, 2008)"/>
        <s v="at least 20 bodies thrown overboard to prevent boar from sinking on the way from MA to E (Aug 25, 2008). From Del Grande's data set (translated): Semiaffondata rescued boat adrift off the island of Alborn, near Almera. According to the story of the surviv"/>
        <s v="drowned, the dinghy capsized near Malta s coasts on way from Libya (Aug 24, 2008)"/>
        <s v="The Danish merchant Stadt Goslar rescued 77 shipwrecked off the coast of Malta. One of them claims that two days before 27 people have drowned after the overthrow of a boat off Libya (Aug 24, 2008)"/>
        <s v="caught on boat in Algiers (DZ), was pushed and fell 15m onto bunker, died from injuries (Aug 23, 2008)"/>
        <s v="died of dehydration in the Sahara Desert after 10 days of journey ran out of water and fuel  (Aug 22, 2008). From Del Grande's data set (translated): Found in the Algerian desert the bodies of 56 dead migrants dehydrated after losing the orientation on th"/>
        <s v="Thirty Afghan refugees killed and 83 injured in a road accident with a truck carrying 125 people in the southern province of Fars, in Khiareh (Aug 21, 2008)"/>
        <s v="died of starvation, 25 survivors, boat found after living from Moroccan Coast to Almeria (E) (Aug 20, 2008)"/>
        <s v="Sudanese killed 27 years under the Egyptian police firing at the border with Israel. 20 dead so far this year (Aug 19, 2008)"/>
        <s v="drowned, boat capsized off Didim town (TR), 31 other Somalian rescued by TR guardcoast (Aug 17, 2008). From Del Grande's data set (translated): Boat capsizes at sea off the coast of Didimi. A dead (Aug 19, 2008)"/>
        <s v="According to the story of 28 Somalis landed in Ognina, near Syracuse, in the crossing would be dead a man and a woman. Their bodies were thrown into the sea (Aug 12, 2008)"/>
        <s v="missing in the mined Sahara-Mauritanian border after been abandoned by Moroccan authority (Aug 8, 2008)"/>
        <s v="died on the way to Canary Isl. (E), survivors were found by Moroccan sea patrol (Aug 8, 2008)"/>
        <s v="An undocumented worker was hired by a local businessman. He died because of the lack of security on the building he was working on. The businessman was sentenced to two years in prison."/>
        <s v="Found the lifeless body of an immigrant in the Aguad, in Melilla (Aug 5, 2008)"/>
        <s v="missing, boat sank close to the the island M'Tsamboro off Mayotte (F) (Aug 3, 2008)"/>
        <s v="75 Somalis scattered off the coast of Libya, after the sinking of the two boats they were traveling to Italy (Aug 4, 2008)"/>
        <s v="Found the remains of a migrant in the waters of Rincon en las Palmas, Gran Canaria (Aug 4, 2008)"/>
        <s v="Landing in Cuevas del Almanzora, Almeria. A lost at sea (Aug 2, 2008)"/>
        <s v="Found the lifeless body of an immigrant in the waters of Calahonda, Granada (Aug 2, 2008)"/>
        <s v="drowned, bodies washed ashore during Armed Forces rescue in seas between M and LY  (Jul 30, 2008)"/>
        <s v="Boat rescued 79 miles south of Malta from ships and Vittorin Northumberland. Recovered the bodies of two women, one was pregnant (Jul 31, 2008)"/>
        <s v="drowned, shipwreck on way to Spanish coasts due to stormy waters  (Jul 30, 2008)"/>
        <s v="stowaways, suffocated in overcrowded truck, bodies dumped in Istanbul field (TR) (Jul 29, 2008). From Del Grande's data set (translated): Found on the sides of a street in the neighborhood Kckcekmece in Istanbul, the bodies of 13 migrants died of suffocat"/>
        <s v="drowned, after shipwreck near Lampedusa (I) (Jul 28, 2008). From Del Grande's data set (translated): Sinking vessel 150 miles south east of Lampedusa, 7 missing. The survivors rescued by Italian fishing boat Aries and Victoria (Jul 29, 2008)"/>
        <s v="According to the story of the survivors, 38 men would be scattered between Algeria and Sardinia, after the two boats on which they were traveling capsized in stormy sea (Jul 29, 2008)"/>
        <s v="manner of death unknown, body found in boat carrying 79 migrants in La Gomera Island (E) (Jul 24, 2008). From Del Grande's data set (translated): A dead among the passengers aboard a cayuco landed in Alajer, to the Canary Islands (Jul 25, 2008)"/>
        <s v="reportedly drowned, 6 dead, 18 missing, boat sank between Mayotte (F) and Comoros Isl.   (Jul 22, 2008). From Del Grande's data set (translated): Shipwreck off the coast of the French island of Mayotte, in the Indian Ocean. At least 6 dead, many missing ("/>
        <s v="Found on the coast of Algarrobo, near Malaga, the remains of a four year old boy, drowned en route to the Andalusian coast (Jul 23, 2008)"/>
        <s v="stabbed, by gang attacking migrant camp in Norrent-Fontes, near Calais (F) (Jul 22, 2008). From Del Grande's data set (translated): Eritrean Direct in England killed at a rest stop dell'A26 Cottes in Saint Hilaire, near Pas de Calais, the victim of a beat"/>
        <s v="found in an advanced state of decomposition on the river Algarrobo, Malaga (E)  (Jul 21, 2008)"/>
        <s v="Egyptian police kill Sudanese migrant at the border with Israel. Already 17 victims from the start of 2008 (Jul 20, 2008)"/>
        <s v="died of starvation, body thrown overboard during the way to Italy   (Jul 19, 2008). From Del Grande's data set (translated): Died during the crossing of the Strait of Sicily two children aged two and four years. The bodies dumped at sea (Jul 27, 2008)"/>
        <s v="died of starvation, body thrown overboard during the way to Italy   (Jul 18, 2008). From Del Grande's data set (translated): Died during the crossing of the Strait of Sicily two children aged two and four years. The bodies dumped at sea (Jul 27, 2008)"/>
        <s v="manner of death unknown, decomposed body recovered from the sea off Malta (Jul 17, 2008). From Del Grande's data set (translated): Recovered off the coast of the corpse of an immigrant (Jul 18, 2008)"/>
        <s v="suicide, cut wrists in Nuremburg(D) prison cell, was to be deported/separated from parents (Jul 15, 2008)"/>
        <s v="Ahmed Hamad Al-Nassar and Abdul Mohammed Monsef, two boys in the region of Minufiyah, were lost at sea for the past five years, on the route between Libya and Italy (Jul 14, 2008)"/>
        <s v="drowned, 3 died, 25 missing, as boat capsized in stormy seas near Lampedusa (I) (Jul 13, 2008). From Del Grande's data set (translated): Three dead and 30 missing, 75 miles southeast of Lampedusa, after the overthrow of an inflatable boat with 76 passenge"/>
        <s v="road accident, found on highway at Transmarck (F), where stowaways often embark for GB (Jul 13, 2008). From Del Grande's data set (translated): Dead man hit by a truck on the A16, at the height of Transmarck, near Calais, where he was to pass the border i"/>
        <s v="Deaths rescued two survivors of the dugout on July 11, in the Canary Islands. They were hospitalized in critical condition. According to the statements of the passengers, the bodies of 11 other people were marooned in the sea for several days spent adrift"/>
        <s v="Oweid Ahmed Salim, an Egyptian, who was killed by the gunfire of the border police as he helped a group of 30 migrants to enter illegally into Israel from Sinai (Jul 12, 2008)"/>
        <s v="body found in a boat rescued by the Spanish authorities near Arguineguin, Canary Isl. (E) (Jul 11, 2008)"/>
        <s v="Rescued boat adrift off the coast of La Gomera, in the Canary Islands. On board found the bodies of four people (Jul 11, 2008)"/>
        <s v="drowned, boat capsized due to stormy waters in Kenitra (MA) (Jul 9, 2008)"/>
        <s v="Boat capsizes off the coast of Malta, three women die, one of them pregnant (Jul 10, 2008)"/>
        <s v="heart attack in hospital, he arrived by boat in La Gomera (E) with other 117 migrants (Jul 8, 2008)"/>
        <s v="Advised by the Dawn Treader Telefnica Negra, the Civil Guard rescues a boat adrift from 5 days, 27 miles south of Punta Sabinal, west of Almeria. Survivors speak of 14 dead including 9 children, whose bodies were abandoned at sea. Another woman died befor"/>
        <s v="drowned after their vessel turned over off the coast of Motril, Granada (E) (Jul 6, 2008). From Del Grande's data set (translated): It overturns a boat with 37 passengers during the rescue operations 50 miles off the coast of Motril, Granada. 14 missing, "/>
        <s v="15 Somalis dead dehydrated in the Libyan desert on the border with Sudan, were stuck for ten days after an engine failure the machine (Jul 6, 2008)"/>
        <s v="drowned after boat sunk in the Mediterranean Sea near Tunisia (Jul 5, 2008)"/>
        <s v="drowned, coast guard found 11, 5 still missing in Arzew s coast (DZ) (Jul 3, 2008)"/>
        <s v="Found an Iraqi who died in the hold of the ferry greek Icarus parked at the port of Venice. It is the third victim in two weeks in the port (Jul 4, 2008)"/>
        <s v="Found a body in an advanced state of decomposition off Zonqor Point to the south of the island (Jun 30, 2008)"/>
        <s v="no medical care despite his friends called guards for help, died in det. cr. of Caltanisetta (I) (Jun 28, 2008)"/>
        <s v="Egyptian police opened fire on a group of migrants along the Israeli border south of Rafah. Killed two people, including a seven year old girl (Jun 28, 2008)"/>
        <s v="stowaway, suffocated in a cucumber truck, found on ferry in Venice (I) coming from Greece (Jun 26, 2008). From Del Grande's data set (translated): Found the lifeless body of an Iraqi in a truckload of watermelons, on a ferry from Greece and party arrived "/>
        <s v="reportedly drowned, boat shipwrecked 32 miles south off Malta (Jun 25, 2008). From Del Grande's data set (translated): Wreck 32 miles south of Malta. Three dead (Jun 26, 2008)"/>
        <s v="Spills at sea, off the coast of Kafr Al-Sheikh, on the delta of the Nile, a boat bound for Italy with nine passengers on board. A drowned (Jun 22, 2008)"/>
        <s v="stowaway, died of starvation in a lorry sailing on a ferry from Patrasso (GR) to Venice (I) (Jun 21, 2008). From Del Grande's data set (translated): Man found dead in a container in the port of Venice from Igoumenitsa in Greece (Jun 22, 2008)"/>
        <s v="Found a dead body on the beach in Chateau Vert, in Skikda, Annaba near drowned on routes to Sardinia (Jun 21, 2008)"/>
        <s v="died of heart attack in Det. Cr. Vincennes (F) after calls for assistance were ignored for 2 h. (Jun 20, 2008)"/>
        <s v="Egyptian police shot and killed a man along the border with Israel. Since the beginning of 2008 at least 14 people were killed along the border of Sinai (Jun 19, 2008)"/>
        <s v="According to Antonio Sardo, the captain of the fishing boat Gamber, one of the rescued women gave birth to a child who died during the crossing (Jun 19, 2008)"/>
        <s v="The Italian fishing boat &quot;Shrimp&quot; rescues 25 other castaways 52 miles south of Malta. A dispersed (Jun 19, 2008)"/>
        <s v="died in hospital in Tenerife Island (E) the day after their boat arrived, 78 survivors (Jun 17, 2008). From Del Grande's data set (translated): 4 migrants landed three days ago died at the hospital in the Canary Islands and La Candelaria University Hospit"/>
        <s v="Repatriated to Egypt, Mr. Mustafa Hassanin tells of a ship intercepted in the Strait of Sicily by a Tunisian military ship and rejected in Libyan waters. During the crossing, a boy drowned after slipping into the water (Jun 17, 2008)"/>
        <s v="Fished out a dead body in an advanced state of decomposition 10 miles off the coast of Ras El Hamra, on the route between Annaba and Sardinia (Jun 17, 2008)"/>
        <s v="drowned, boat sank 50 km south of Malta, 28 survivors rescued by Italian fishing boat (Jun 14, 2008). From Del Grande's data set (translated): Italian fishing boat rescued by Gambero 28 Somalis cling to cages for the tuna fishing after sinking 55 miles so"/>
        <s v="dead at birth due to travel hardships, mother was rescued from shipwreck 50 km from Malta (Jun 14, 2008)"/>
        <s v="Found a body in an advanced state of decomposition near Marsaxlokk (Jun 14, 2008)"/>
        <s v="drowned, dinghy sank trying to cross the sea between TR and Samos Island (GR) (Jun 11, 2008)"/>
        <s v="drowned after dinghy sank off Ayvalik (TR), bodies were pulled from the water, 23 survivors (Jun 11, 2008)"/>
        <s v="A Somali citizen, named Adam Terry, dies killed by a shot of a firearm during a protest erupted in KIrklareli detention camp near the border with Bulgaria and Greece (Jun 12, 2008)"/>
        <s v="Shipwreck off the coast of Egypt, on its way to Greece. Needless to the alarm of one of the passengers, Mohammed Hassan Al-Shaikh. 51 people drown (Jun 11, 2008)"/>
        <s v="A body recovered from the Italian Coast Guard patrol boat Fiorillo 54 miles south of the island (Jun 11, 2008)"/>
        <s v="Is reversed in an accident in Dogubayazit, in eastern Turkey, a truckload of migrants. 2 dead (Jun 10, 2008)"/>
        <s v="drowned, found between Evros River delta and Alexandroupolis port (GR) by fishing boat (Jun 9, 2008)"/>
        <s v="killed by car bomb in Kirkuk (Iraq) 2 weeks after voluntary repatriation from GB (Jun 8, 2008)"/>
        <s v="jumped out of window when asylum-seeker centre set on fire in Klangenfurt, Carinthia (A) (Dec 5, 2008)"/>
        <s v="Shipwreck off Zuwarah. Recovered 40 bodies. At least 100 missing. Only one survivor (Jun 7, 2008)"/>
        <s v="Recovered a second body on the island of Linosa. Another body was fished out two miles south of Lampedusa (Jun 7, 2008)"/>
        <s v="Shipwreck off the coast of Libya. Recovered 13 bodies. Three of the bodies are in an advanced state of decomposition and may therefore belong to a second shipwreck, but for which you do not have any news (Jun 6, 2008)"/>
        <s v="Discovered a dead body on the rocks of Linosa, the smallest of the Pelagie Islands (Jun 6, 2008)"/>
        <s v="drowned, 13 found, 3 missing, vessel sunk after leaving from Mers el Hedjadj beach (DZ)  (Jun 3, 2008)"/>
        <s v="Fished out the body of a woman 36 miles southwest of Agrigento. This is the eighth lifeless body was found in the last three days between Agrigento and Lampedusa (Jun 2, 2008)"/>
        <s v="Found the lifeless body of a woman on the beach of Cala Maluk, in Lampedusa (Jun 2, 2008)"/>
        <s v="stowaway, hanging on underside of touristic bus was crushed from bus  weels in Spain (Jun 1, 2008)"/>
        <s v="died in hospital of heart condition as social workers attempted to clarify immigration status (Jun 1, 2008)"/>
        <s v="A corpse fished out 300 meters from Punta Sottile, in Lampedusa. The lifeless body of another castaway, in an advanced state of decomposition, was located 14 miles from the coast, while in the late evening of Friday, another body was recovered off the coa"/>
        <s v="A corpse recovered a mile east of Lampedusa, after reporting to a boater (May 31, 2008)"/>
        <s v="The body of a man, in an advanced state of decomposition, was found in Castelvetrano (Trapani) on the beach of the nature reserve at the mouth of the river Belice (May 29, 2008)"/>
        <s v="A man dies trying to get invested in the Greek island, at Larnaca (May 28, 2008)"/>
        <s v="Intercepted a boat one mile from San Bartolome de Tirajana (Gran Canaria}. Aboard two deaths. A third person hospitalized in serious condition at the Hospital Insular, dies soon after (May 26, 2008)"/>
        <s v="stowaways, died of suffocation while traveling by boat from the port of Sfax (TN) (May 25, 2008). From Del Grande's data set (translated): Hidden on the Russian cargo ship Pascal, sailed 12 days ago with a cargo of phosphates from Sfax, Tunisia, two men a"/>
        <s v="reportedly drowned, boat capsized in rough seas 85 miles south east of Malta, 13 survivors  (May 25, 2008)"/>
        <s v="The Italian fishing boat rescued at sea Pegasus 13 castaways. 5 others are reported missing (May 26, 2008)"/>
        <s v="died of dehydration 1mile off Grand Canaria (E), 2 died in boat, 1 in hospital (E), 65 survived  (May 24, 2008)"/>
        <s v="After three days of searching, it is dispersed 70 miles south of Malta boat with 28 migrants on board (May 24, 2008)"/>
        <s v="no medical care, died of pneumonia not cured by doctors of detention centre Brunelleschi (I) (May 23, 2008)"/>
        <s v="drowned, body found by Italian Coast Guard off Pozzalo near Ragusa, Sicily (I) (May 22, 2008). From Del Grande's data set (translated): Retrieved a body off the coast of Pozzallo, Ragusa in (May 23, 2008)"/>
        <s v="reportedly drowned, body found in the sea 50 miles from Malta (May 21, 2008). From Del Grande's data set (translated): Recovered six bodies in recent days at 50 miles from the island (May 22, 2008)"/>
        <s v="drowned whilst attempting to reach Spain, bodies found in sea close to Cherchell (DZ)  (May 21, 2008). From Del Grande's data set (translated): Fished along the coasts of Cherchell, between Algiers and Oran, the bodies of two migrants who are victims of a"/>
        <s v="reportedly drowned, 2 found, 10 missing off Malta s sea  (May 19, 2008)"/>
        <s v="Recovered a dead body in the waters of Samos (May 20, 2008)"/>
        <s v="Missing the 21 passengers of a boat at sea by the Coast Guard rejected Samos. According to the only passenger managed to reach the island by swimming, they would all be drowned after the sinking of the boat, pierced in several places by the Greek authorit"/>
        <s v="found by boat in advanced state of decomposition in Mediterranean Sea, off Birzebbugia (M) (May 10, 2008)"/>
        <s v="stowaway, body found by Civil Guard in Melilla, was hiding in car compartment to enter Spain (May 9, 2008)"/>
        <s v="Shipwreck off the coast of Teboulba, 3 bodies recovered and 47 missing at sea. The 16 survivors hospitalized in Monastir (May 10, 2008)"/>
        <s v="stowaway, struck by car after falling off the truck he was hidden under on highway A381 (E) (May 9, 2008)"/>
        <s v="stowaways, died from asphyxiation in a track from Istanbul (TR) to GR after traffic accident (May 9, 2008)"/>
        <s v="drowned, bodies found between Evros River delta and Alexandroupolis port (GR) (May 9, 2008)"/>
        <s v="reportedly drowned on way to I, body found at Oued Saboun beach near Skikda (DZ) (May 8, 2008)"/>
        <s v="manner of death unknown, body found on the coast of Aguadu of Melilla (E) in North Africa (May 7, 2008)"/>
        <s v="Recovered three bodies near the beach in Delimara, victims of a shipwreck (May 8, 2008)"/>
        <s v="suicide, found hanged in GB after being asked to leave his home provided by the NASS (May 7, 2008)"/>
        <s v="drowned after boat sank at 50 km off Libyan coasts, due to stormy waters (May 5, 2008)"/>
        <s v="7 of the 42 survivors of the shipwreck of Hoceima on April 28, died of starvation once deported and abandoned to the Algerian border in the province of Oujda (May 6, 2008)"/>
        <s v="Found in the waters of Cap Carbon, near Arzew, the corpse of a drowned man on the route to Spain (May 6, 2008)"/>
        <s v="drowned, jumped into the Rhine while fleeing police close to Basel (CH) (May 5, 2008)"/>
        <s v="stowaway, car he was transported in crashed after being chased by police in Xanthi (GR) (May 4, 2008)"/>
        <s v="unknown death s reasons, found 2 bodies on boat carrying 59 travellers in Canary Isl. (E) (May 2, 2008)"/>
        <s v="crushed in Ceuta (E) by the wheels of a tour bus under he was hiding to cross Gibraltar (May 1, 2008)"/>
        <s v="Ebenizer Folefack Sontsa, Cameroon, 32 years old, took his own life in the detention center for immigrants in Merksplas. He was in solitary confinement after an attempt to return on a scheduled flight, failed to protests from some passengers (May 1, 2008)"/>
        <s v="drowned, Morocco s border guards broke with a knife the rubber dinghy (MA) (Apr 27, 2008)"/>
        <s v="During expulsion in Iraq, the Turkish police throws 18 men in a river along the border to Habur, in the province of Sirnak. 4 die in drowning (Apr 28, 2008)"/>
        <s v="Two men into the sea during the rescue operation of a ship, 80 miles south of Lampedusa. Despite the relief, one of the two drowned (Apr 25, 2008)"/>
        <s v="Shipwreck off Chebba on routes to Lampedusa. 3 dead and 20 missing (Apr 24, 2008)"/>
        <s v="drowned, forced by Turkish police to swim across the river that separates TR and Iraq (Apr 22, 2008)"/>
        <s v="missing, unknown reason of death while trying to reach Europe from Aouled al-Mabrouk (TN) (Apr 21, 2008)"/>
        <s v="missing, trying to cross the sea to Europe from Aouled al-Mabrouk (TN) (Apr 21, 2008)"/>
        <s v="drowned, body washed ashore; trying to reach Europe from Aouled al-Mabrouk (TN)  (Apr 21, 2008)"/>
        <s v="drowned, body washed ashore, found in Aouled al-Mabrouk (TN)  (Apr 21, 2008)"/>
        <s v="14 missing, 3 bodies found on board a boat from Aouled al-Mabrouk (TN) (Apr 21, 2008)"/>
        <s v="found in wood near Zella-Mehlis det. centre (D) after staff gave him false deportation threat (Apr 21, 2008)"/>
        <s v="stowaways, found on British container ship from Ivory Coast to Vigo port (E), 11 survivors  (Apr 20, 2008). From Del Grande's data set (translated): Found on board the cargo ship &quot;Rosa Delmas&quot; landed in the port of Fuerteventura, in the Canary Islands, th"/>
        <s v="Eritrean refugee killed by Border Police gunfire along the border with Israel (Apr 17, 2008)"/>
        <s v="depression, not given work permit, developed alcoholism whilst waiting for asylum decision (Apr 14, 2008)"/>
        <s v="decomposing bodies found by Rescue Guard along coast between Estepona and Casares (E) (Apr 9, 2008)"/>
        <s v="Shipwreck on routes to Spain off Bthioua, near Oran. 13 bodies recovered near the port and Mers El Hadjadj, 3 missing in sea (Apr 9, 2008)"/>
        <s v="Fished in the sea, two miles from Cap Carbon, in the province of Arzew, the bodies of eight men drowned en route to Spain (Apr 8, 2008)"/>
        <s v="stowaway, found on a Greek ferry in the port of Venice (I) under truck where he was hidden (Apr 6, 2008)"/>
        <s v="suicide, took 40 antidepressant pills in Birkenfeld (D) as latest asylum claim was rejected  (Apr 4, 2008)"/>
        <s v="died of heart attack after jumping into river Marne in Paris (F) to avoid a police identy check (Apr 3, 2008)"/>
        <s v="drowned, bodies found floating near the coasts of Barbate (E) (Mar 31, 2008)"/>
        <s v="Fished out a dead body on the beaches of Melilla. Another body was found March 22 in Melilla on the beach of Goods Enzar (Mar 30, 2008)"/>
        <s v="Started three weeks ago from Mostaganem for Spain, 3 men Tiaret are lost at sea. The bodies of two other victims, Tiaret and Rahouia, were repatriated from Spain (Mar 30, 2008)"/>
        <s v="suicide, found hanged at Pentonville prison (GB), sentenced for having a fake passport (Mar 29, 2008)"/>
        <s v="body found in a fishing platform in Melilla (E) reportedly after swiming from Beni Enzar (MA) (Mar 28, 2008)"/>
        <s v="suicide, jumped from 19th floor of building in Berlin (D) after asylum claim rejected (Mar 28, 2008)"/>
        <s v="Fished in the sea off the coast of Dakhla the bodies of three men and a woman drowned on the routes to the Canary Islands. I could be missing tens (Mar 27, 2008)"/>
        <s v="Two Ivorians killed in the fire of the Egyptian police while trying to cross the border into Israel along the Sinai (Mar 27, 2008)"/>
        <s v="6 recovered corpses, including that of a Somali woman, Ayse Abdurrahman, off Tekagac, near Didim, in the province of Aydin, victims of a shipwreck that could have made more victims (Mar 23, 2008)"/>
        <s v="no medical care, he got high dosages of cortisone in detention centre FG II in Zurich (CH) (Mar 22, 2008)"/>
        <s v="at least 40 drowned, overloaded boat sank near Zawia s coast (LY) on way to Lampedusa (I)  (Mar 18, 2008)"/>
        <s v="died in Ghana of cancer after being removed from hospital (GB) because visa expired  (Mar 18, 2008)"/>
        <s v="Egyptian police fired on a group of migrants attempting to cross the Israeli border. An Eritrean woman murdered 25 years dies. It is the eighth victim so far this year (Mar 18, 2008)"/>
        <s v="drowned, shipwreck near Iskenderun s Kale village (TR) due to strong wind, 3 survivors (Mar 13, 2008)"/>
        <s v="died of cancer after medical neglect from the staff of Lindholme removal centre (GB) (Mar 7, 2008)"/>
        <s v="Two found dead on board a pirogue landed in the Canary Islands, the port of Los Cristianos, Tenerife (Mar 5, 2008)"/>
        <s v="Fished out a dead body along the coasts of Bthioua, near Oran (Mar 3, 2008)"/>
        <s v="no medical care, died in detention of heart failure, treated with wrong medicine (NL)  (Mar 1, 2008)"/>
        <s v="Fished out the body of a woman drowned in front of the coast of Canos de Meca, Barbate, Cdiz close (Mar 1, 2008)"/>
        <s v="Another Eritrean woman killed in the shooting of Egyptian border police along the border with Israel (Feb 25, 2008)"/>
        <s v="Egyptian police kill a Sudanese Ermeniry Khasheef, on the border with Israel by shooting him in the back while trying to overcome the barrier of barbed wire near Rafah (Feb 19, 2008)"/>
        <s v="suicide, set himself on fire in Nelson (GB), depression after his asylum claim was refused (Feb 17, 2008)"/>
        <s v="Egyptian police kill Eritrean woman, Mervat Mer Hatover, on the border with Israel by shooting as he tried to jump the barbed wire fence in the region of El Kuntilla in the south of the Sinai peninsula (Feb 16, 2008)"/>
        <s v="suicide, after failed asylum claim in Meudon, a western suburb of Paris (F) (Feb 14, 2008)"/>
        <s v="Shipwreck in the waters of Tarfaya on the route to the Canary Islands, 24 missing (Feb 13, 2008)"/>
        <s v="suicide, father was repratiated, hanged himself with bathrobe belt in Madrid care centre (E) (Feb 11, 2008)"/>
        <s v="stowaway, died from hypothermia in the back of a lorry traveling from France to GB (Feb 11, 2008)"/>
        <s v="body found in an advanced state of decomposition in Mediterranean Sea, off Delimara (M) (Feb 10, 2008)"/>
        <s v="died from lung cancer after being denied treatment although he was living legally in GB  (Feb 10, 2008)"/>
        <s v="drowned, body found by fishermen pulling in the nets near the shore of Alexandroupolis (GR) (Feb 9, 2008)"/>
        <s v="died after falling from third floor of a tower block raided by police and immigration officials (Feb 8, 2008)"/>
        <s v="drowned, part of his body found in sea near Motril (E), likely to be travelling from Maghreb (Feb 7, 2008)"/>
        <s v="In Ceuta, a man dies crushed under the wheels of the bus tour in which he was hiding to embark towards Algeciras (Feb 6, 2008)"/>
        <s v="Fished out the bodies of two migrants drowned, one on the beach of La Barrosa, Chiclana (Cadiz) and the other in front of Isleta in Tarifa (Feb 3, 2008)"/>
        <s v="drowned, body found on the coast of Barranco Hondo in Tarifa (E) (Feb 1, 2008)"/>
        <s v="died on way to hospital in Nador (MA) after being shot by border guards in Farhana (E/MA) (Dec 31, 2008). From Del Grande's data set (translated): He died at the hospital in Nador El Hassani an immigrant Moroccan police wounded by gunfire while trying to "/>
        <s v="reportedly missing, left Arzew s coast (DZ) on 2 January in bad weather conditions (Dec 31, 2008)"/>
        <s v="heart attack from stress, soon after his release from 1 year's det in Busmantsi centre (BG) (Dec 31, 2008)"/>
        <s v="body found in an advanced state of decomposition by a fisherman near off Melilla s coast (E)  (Dec 23, 2008)"/>
        <s v="drowned, 3 found, 4 missing, dinghy sank due to bad weather in Aegean Sea on way to GR (Dec 17, 2008). From Del Grande's data set (translated): Shipwreck in the waters of Ayvacik, on the route to Mytilini. Found 3 dead, 4 missing (Dec 21, 2008)"/>
        <s v="found by Algerian authorities in an advanced state of decomposition in Ardrar (S.E. Sahara) (Dec 10, 2008)"/>
        <s v="A 13 year old Afghan boy dies crushed under the truck which had hung to enter Italy. The truck had just landed at the port of Venice from a ship departed from Greece (Dec 10, 2008)"/>
        <s v="suicide in the Vottem det. cr. (B) after hearing his asylum claim had been rejected (Dec 9, 2008)"/>
        <s v="died of thirst, found in advanced state of decomposition by Algerian apolice in Sahara (DZ) (Dec 8, 2008)"/>
        <s v="Shipwreck off the coast of Ayvalik, 4 drowned, including a woman (Dec 8, 2008)"/>
        <s v="Intercepted a boat in the south of Gran Canaria. A corpse on board (Dec 7, 2008)"/>
        <s v="Sinking a boat load of migrants off the island of Samos. Drowned a 4 year old girl (Dec 6, 2008)"/>
        <s v="shot dead in detention centre in Kirklareli (TR) during a riot against detention conditions (Dec 5, 2008)"/>
        <s v="starvation, boat with 3 dead bodies arrived in Canary Island (E), carrying 88 migrants  (Nov 30, 2008)"/>
        <s v="Rescued two ships with 650 migrants on board, in a stormy sea off Lampedusa. Passengers speak of 4 missing at sea (Nov 28, 2008)"/>
        <s v="Two immigrants found dead abandoned along a coastal road in southern Greece (Nov 28, 2008)"/>
        <s v="bodies found in a refrigerator truck with other 30 hidden people in a southern GR coastline (Nov 24, 2008)"/>
        <s v="drowned, after shipwreck near the French island of Mayotte (Nov 20, 2008). From Del Grande's data set (translated): Shipwreck Mayotte, in the Indian Ocean. 4 dead, 17 missing (Nov 21, 2008)"/>
        <s v="Found the remains of 6 migrants in the Algerian desert to the border with Mali, in Tanezrouft, including Regane and Bordj Badji Mokhtar. In September, more victims were found in the same region (Nov 20, 2008)"/>
        <s v="died of heart attack in hospital after boat was intercepted near to Canary coast (E)  (Nov 18, 2008). From Del Grande's data set (translated): He died at the hospital Candelaria in Tenerife a landed immigrant November 18 in critical condition, after 12 da"/>
        <s v="missing, fell into the sea during rescue operation 9 miles south Lampedusa (I) (Nov 12, 2008). From Del Grande's data set (translated): Migrant falls into the sea during a rescue 9 miles from Lampedusa. Missing (Nov 13, 2008)"/>
        <s v="1 died on the boat, 1 when arrived to El Hierro coast (E) and 1 in the hospital one week later (Nov 10, 2008). From Del Grande's data set (translated): Landing at El Hierro, Canary Islands. Two dead on board immigration. A third boy, a minor, died after a"/>
        <s v="He died at the university hospital a migrant landed on the Canary Island of Tenerife last week (Nov 11, 2008)"/>
        <s v="Rises to 5 the number of bodies found south of the island in the last two weeks, victims of a shipwreck that you do not have any news (Nov 9, 2008)"/>
        <s v="bodies thrown overboard during the travel from Libya s coast to Portopalo, Sicily (I) (Nov 8, 2008)"/>
        <s v="died of dehydration and hypothermia, bodies found on a boat that landed in La Gomera (E) (Nov 6, 2008)"/>
        <s v="bodies thrown overboard on the way to La Gomera (E) (Nov 6, 2008)"/>
        <s v="2 found in boat at La Gomera s coast (E), 1 died of hypothermia later in hospital  (Oct 28, 2008)"/>
        <s v="Landing in the Canary Islands, La Gomera. Two deaths on board, one of which minors. A third man died after being admitted to hospital (Oct 29, 2008)"/>
        <s v="drowned, recovered by Greek border police in eastern Aegean facing the Turkish coast (Oct 28, 2008). From Del Grande's data set (translated): Two victims in the eastern Aegean, off the coast of Turkey (Oct 29, 2008)"/>
        <s v="Disappears in the Mediterranean a boat loaded with 200 migrants from Egypt and live in Italy. The last signal was received a request for help by telephone by the Egyptian authorities a certain Ahmed, who reported the sinking boat off Rashid (Oct 27, 2008)"/>
        <s v="injured in police violence, in asylum seekers queue outside Aliens  directorate in Athens (GR) (Oct 25, 2008)"/>
        <s v="Found the body of seventeen missing last Sunday in the lagoon at the border with Greece, near Xarre (Oct 24, 2008)"/>
        <s v="found by boat in advanced state of decomposition in Mediterranean Sea between M and LY (Oct 22, 2008)"/>
        <s v="drowned in a southern Albanian lagoon close to Greece after overloaded boat capsized (Oct 22, 2008)"/>
        <s v="Egyptian police killed a Sudanese refugee shots of gunfire along the Israeli border in Sinai (Oct 22, 2008)"/>
        <s v="killed, shot by Libyan civilian as his migrant boat left Libya for Europe  (Oct 19, 2008)"/>
        <s v="manner of death unknown, body found on boat with 92 survivors arriving in Gran Canaria (E) (Oct 19, 2008)"/>
        <s v="drowned in a lagoon in Southern AL after boat capsized trying to avoid police checkpoint (Oct 19, 2008)"/>
        <s v="Migrant boat sinks in a lagoon in the south of the country, near the border village of Xarre. Found 4 dead bodies, including a woman with her daughter three months. A 17 year old boy is reported missing (Oct 19, 2008)"/>
        <s v="suicide, set herself on fire to protest against the deportation of her Armenian partner  (Oct 18, 2008)"/>
        <s v="One dead and 5 injured aboard a boat intercepted eight miles south of the island of Gran Canaria (Oct 18, 2008)"/>
        <s v="body found in an advanced state of decomposition in Mediterranean Sea, off Delimara (M) (Oct 17, 2008)"/>
        <s v="He died at the hospital in Candelaria one of the immigrants who landed yesterday on the Canary Island of Tenerife (Oct 16, 2008)"/>
        <s v="A man drowned in a canal in Saint-Omer (Pas-de-Calais) trying to hide in a truck ready to embark for England. Dead also a French national who had dived into the water to save (Oct 15, 2008)"/>
        <s v="Egyptian police fired on a group of migrants along the border with Israel. A dead. Already 24 victims from the start of 2008 (Oct 14, 2008)"/>
        <s v="was run over by the wheels of the lorry while clinching to it in Mestre, Venice (I)  (Oct 11, 2008)"/>
        <s v="died in La Candelaria s hospital, in Tenerife (E), 5 days after his boat was intercepted    (Oct 10, 2008)"/>
        <s v="drowned, boat sank on way from Anjouan to Mayotte (F), 3 bodies found and 20 missing (Oct 9, 2008)"/>
        <s v="It sinks into the waters of Kenitra boat with 50 migrants on board, direct to Spain. Found a corpse and only one survivor, on the beach of Sidi Boughaba. Missing the other 48 passengers (Oct 9, 2008)"/>
        <s v="suicide, shot himself in his home in Sulaimania, Kurdistan days after being deported from GB (Oct 7, 2008)"/>
        <s v="drowned, after their boat capsized off coast of Malta (Oct 6, 2008)"/>
        <s v="reportedly died of starvation, bodies found in Almeria (E)  (Oct 6, 2008)"/>
        <s v="18 corpses found along 25 miles of coastline between Alexandroupolis (Greece) and Saros Bay (Turkey), victims of a single shipwreck (Oct 7, 2008)"/>
        <s v="drowned, boat capsized due to bad rescue operation by Italian Coastguard 56 miles off Malta (Oct 5, 2008)"/>
        <s v="died in accident, when bus carrying stowaways overturned in Dogubayazit (TR), 18 survivors (Oct 5, 2008)"/>
        <s v="Truck load of migrants capsizes in a car accident in Malkara, near the greek border: 18 dead and 23 wounded (Oct 6, 2008)"/>
        <s v="It falls under the truck which was traveling from Morocco hidden hit by a car and dies, at km 64 of the A-381 Jerez-Los Barrios (Oct 6, 2008)"/>
        <s v="died of starvation and cold after the engine of their boat broke down (TN) (Oct 4, 2008)"/>
        <s v="Melilla found the body of a migrant who traveled hidden in the false bottom of a car, go to the Moroccan border (Oct 5, 2008)"/>
        <s v="Two dead bodies on the coast of Malaga. The first was spotted in the sea during a regatta in the waters of Estepona. The second was found not far away, on the beaches of Marina de Casares (Oct 5, 2008)"/>
        <s v="Shipwreck off Vintage, on routes to Sardinia, at least 6 missing (Feb 1, 2008)"/>
        <s v="Egyptian police kill two migrants at Israeli border gunfire from fire. The victims are a 22 year old guy and a girl of 18. Another migrant was killed in early January (Jan 30, 2008)"/>
        <s v="drowned, body found in la Luz Coast (E) after shipwreck off Conil de la Frontera (E) (Jan 28, 2008)"/>
        <s v="stowaway, decomposing body found in ship served Patras-Igoumenitsa-Venice route (Jan 28, 2008). From Del Grande's data set (translated): Found a dead body on the ferry from Patras to Venice, where he was hiding in the hold to reach Italy (Jan 30, 2008)"/>
        <s v="drowned, 2 found, 15 missing, after boat sank one meter off the shore of Conil (E) (Jan 22, 2008)"/>
        <s v="manner of death unknown, body found on the beach of La Marsa (TR)  (Jan 22, 2008). From Del Grande's data set (translated): A corpse fished out of La Marsa, in the district of Ben Azzouz, in Skikda (Jan 26, 2008)"/>
        <s v="Landing in Torre del Puerco, in Conil (Cadiz). The boat capsizes in only a meter from the beach, two men die drowned (Jan 22, 2008)"/>
        <s v="drowned, 2 found, 6 missing, vessel carrying 32 migrants capsized off Luz s coast (E) (Jan 21, 2008)"/>
        <s v="Afghan 14 year old dies flayed from the asphalt, while traveling hidden under a truck bound party from Greece and landed in Ancona. The body was found in Bertinoro, in the province of Forl-Cesena (Jan 22, 2008)"/>
        <s v="stowaway, crushed to death in Panighina (I), hanging on underside of lorry from Greece (Jan 21, 2008)"/>
        <s v="drowned, fell into the frozen waters of Evros River (GR) after small boat sank (Jan 14, 2008). From Del Grande's data set (translated): Boat capsizes while trying to cross the Evros River, which separates Turkey from Greece. A woman dies drowned in the ic"/>
        <s v="Repatriated from Turkey 20 Egyptians. They are the survivors of a shipwreck on the way to Greece, claimed the lives of 8 young people of the city of Bisat Karim Ad-din (Jan 14, 2008)"/>
        <s v="Boat rescued 90 miles south of the island of Gran Canaria. On board 3 dead (Jan 13, 2008)"/>
        <s v="A man dives into the sea from a boat drifting 50 miles south of Lampedusa, to swim to a nearby fishing boat and ask for help. But once on board are discarded by the commander Mariano Ruggiero after a scuffle and drowned (Jan 11, 2008)"/>
        <s v="body found in an advanced state of decomposition in Mediterranean Sea, off Delimara (M) (Jan 10, 2008)"/>
        <s v="Found a seventh corpse in Barbate (Jan 10, 2008)"/>
        <s v="drowned, body discovered by GR and TR authorities in north of Aegean sea (Jan 9, 2008)"/>
        <s v="drowned, bodies discovered by GR and TR authorities in north of Aegean sea (Jan 9, 2008)"/>
        <s v="suicide, hanged himself in detention centre in Bautzen (D) as he feared deportation (Jan 9, 2008)"/>
        <s v="13 bodies found in the boat, 1 later in Arguineguin (E) after 12 days of trip from Mauritania (Jan 8, 2008)"/>
        <s v="bodies found in state of decomposition near the coast of Vega Baja de Alicante (E) (Jan 8, 2008)"/>
        <s v="drowned, shipwreck due to stormy waters , bodies found in Valletta (Malta) (Jan 8, 2008)"/>
        <s v="drowned, thrown still alive into sea near Sicilian coasts (I) (Jan 8, 2008)"/>
        <s v="died from tuberculosis after medical neglect from staff of Colnbrook removal centre (GB) (Jan 8, 2008)"/>
        <s v="crashed by truck in Trent Vale (GB) hiding under truck s wheel   (Jan 8, 2008)"/>
        <s v="shot by militia in Calgoo, Sudan, where he returned when asylum claim was refused in GB  (Jan 7, 2008)"/>
        <s v="missing, reportedly drowned on the way from Libya to Italy on two boats had faulty engines (Jan 7, 2008)"/>
        <s v="died of starvation, they were thrown overboard by their father in the Mediterranean sea (I) (Jan 7, 2008)"/>
        <s v="drowned, wrecked boat and bodies found on seafront off Libreville, Gabon on way to Europe (Jan 6, 2008)"/>
        <s v="stowaways, died from asphyxiation in a track from Istanbul (TR) to GR after traffic accident (Jan 6, 2008)"/>
        <s v="A group of families of the regions of Minufiyah Daqliyah and denounce the disappearance at sea of __51 young Egyptians. Had embarked for Greece (Jan 6, 2008)"/>
        <s v="drowned after boat sunk due to stormy waters near Malta (Jan 5, 2008)"/>
        <s v="Discovered in Los Canos, Barbate, the bodies of six migrants drowned (Jan 6, 2008)"/>
        <s v="drowned after their boat sank when Italian fishing ship tried to rescue them off Italian coasts (Jan 5, 2008)"/>
        <s v="Sinking a boat heading to Italy, only one survivor. 45 the drowned (Jan 5, 2008)"/>
        <s v="hit by a car in Nicosia s motorway (CY) when he was running to escape an inmigration swoop (Jan 4, 2008)"/>
        <s v="suicide, hanged himself in sanitary room of det. cr.  Merksplas (B) in fear of deportation (Jan 4, 2008)"/>
        <s v="suicide, starved herself to death in asylum seekers  house (GB) after being denied asylum  (Jan 4, 2008)"/>
        <s v="Rescued by a fishing boat, the remains of migrants drowned 4, 270 km south of Dakhla, off Cap Barbars (Jan 4, 2008)"/>
        <s v="died after deportation in Oujda s (MA) camp due to inhuman conditions  (Jan 3, 2008)"/>
        <s v="suicide, set himself on fire  in detention center of Luxembourg (Jan 3, 2008)"/>
        <s v="drowned, left from Algeria to reach Spain, he was from Tiaret city (DZ) (Jan 2, 2008)"/>
        <s v="drowned, his body found and repatriated from Spain, he was from Rahouia city (DZ) (Jan 2, 2008)"/>
        <s v="missing, trying to cross the sea to Spain, came from Bethioua s village (DZ) (Jan 2, 2008)"/>
        <s v="drowned, found in harbor of Bethioua (DZ), trying to reach Europe by boat (Jan 2, 2008)"/>
        <s v="missing, left from Mostaganem (DZ) to reach Spain, all from Tiaret city (DZ) (Jan 2, 2008)"/>
        <s v="missing, disappeared trying to reach Europe crossing Mediterranean sea (Jan 2, 2008)"/>
        <s v="drowned, after boat capsized off Turkish coast near Didim town trying to reach Europe (Jan 2, 2008)"/>
        <s v="no medical care, died lacking adequate health treatment in det. boat Rotterdam (NL) (Jan 2, 2008)"/>
        <s v="Spotted a corpse 105 miles southwest of Malta (Oct 1, 2007)"/>
        <s v="Shipwreck in the province of Balikesir, 16 missing in sea (Oct 1, 2007)"/>
        <s v="died of exhaustion,  after being rescued trying to swim from Morocco to Ceuta (E) (Sep 25, 2007)"/>
        <s v="Young drowned trying to reach Ceuta swimming (Sep 26, 2007)"/>
        <s v="manslaughter, Spanish Guard brought him back to MA cutting his inflatable mattress (Sep 25, 2007)"/>
        <s v="reportedly drowned, decomposing bodies found by Ghazaouet coast (DZ), likely on way to E (Sep 24, 2007). From Del Grande's data set (translated): Fished in Ghazaouet bodies in an advanced state of decomposition of 3 young drowned en route to Spain (Sep 25"/>
        <s v="drowned, bodies pulled out of the sea near Samos (GR) after wooden boat capsized (Sep 23, 2007). From Del Grande's data set (translated): Recovered the bodies of four migrants drowned off the islands of Samos and Lesvos, including a child (Sep 24, 2007)"/>
        <s v="drowned, bodies pulled out of the sea near Chios (GR) after boat capsized (Sep 23, 2007). From Del Grande's data set (translated): Shipwreck off the coast of Kusadasi, on the route to Samos, 5 missing (Sep 24, 2007)"/>
        <s v="body found on board a boat that reached Los Cristianos  harbour, Canary Islands (E)  (Sep 22, 2007)"/>
        <s v="Driver dies in a car crash in Thessaloniki to escape the police: 9 carrying undocumented migrants to Athens (Sep 21, 2007)"/>
        <s v="left in a coma after throwing herself out of a window to avoid a police raid in Paris (F) (Sep 19, 2007)"/>
        <s v="suicide, put on fire on Castellon (E) after denial of help for voluntary repatriatiation (Sep 18, 2007)"/>
        <s v="Boat capsizes a mile from Cabo de Gata, Andalusia. Recovered a dead body in Nijar, Almeria, 5 missing (Sep 18, 2007)"/>
        <s v="Egyptian police shot an Eritrean man as he tried to cross the border with Israel in the central area of __the Sinai peninsula, and kills him (Sep 17, 2007)"/>
        <s v="missing after boat sank near Cabo de Gata, Almeria (E) (Sep 15, 2007)"/>
        <s v="drowned, body found by Civil Guard off Nijar beach (E), likely from Cabo de Gata shipwreck (Sep 15, 2007)"/>
        <s v="Spills in Egyptian waters of Edko, near Alexandria, a vessel with 83 passengers directly in Italy, 8 dead (Sep 15, 2007)"/>
        <s v="drowned, thrown overboard by traffickers near the Pantelleria Isl. (I), sailing from LY (Sep 13, 2007). From Del Grande's data set (translated): Pantelleria, saved 9 men marooned in the sea. Recovered the body of a drowned man (Sep 14, 2007)"/>
        <s v="drowned, after ship capsized off the coast of Edko (Egypt), trying to reach Italy (Sep 12, 2007)"/>
        <s v="died of exhaustion and exposure at Polish border fleeing from Chechnia conflict (Sep 12, 2007). From Del Grande's data set (translated): Three little girls of 6, 10 and 13, froze to die trying to cross on foot, with his mother, the mountains on the border"/>
        <s v="Shipwreck off the island of Anjouan, Comoros, a kwassa-kwassa direct the French island of Mayotte: 4 dead, 15 missing (Sep 12, 2007)"/>
        <s v="6 found, 44 missing, shipwreck off Dakhla (MA), on way from Mauritania to Canary Isl. (E) (Sep 11, 2007)"/>
        <s v="body found on board a boat that arrived in EL Hierro (E) (Sep 11, 2007)"/>
        <s v="drowned, after boat was engulfed with fire on way from Banjul (Gambia) to Spain (Sep 10, 2007)"/>
        <s v="died in the hospital of Nuadibu (Mauritania), part of group with 49 thrown overboard (Sep 10, 2007)"/>
        <s v="Fished out the body of a man in Sacratif, near Motril (Sep 9, 2007)"/>
        <s v="died due to lack insuline 4 weeks after deportation to Mostar (BH) being ill during trip  (Sep 8, 2007)"/>
        <s v="1 drowned, 1 missing, boat heading to Lesvos (GR) sank off Ayvalik (TR) (Sep 7, 2007)"/>
        <s v="Boat gets stuck on a rock about twenty meters from the coast of Agimes on the island of Gran Canaria. The water is two meters deep. Passengers plunge believing touching, but 10 drowned (Sep 7, 2007)"/>
        <s v="suffocated by gag policemen put in his mouth during deportation from Spain to Nigeria (Sep 5, 2007)"/>
        <s v="drowned trying to reach Greece from Turkey, bodies foud next to Samos (GR) (Sep 5, 2007)"/>
        <s v="Capsizes off the coast of Dakhla, boat departed from Mauritania and live in the Canary Islands. 4 bodies recovered, at least 28 missing (Sep 3, 2007)"/>
        <s v="Boat capsizes 15 miles off the island of Currents, in Pachino (Syracuse), 1 dead and 3 missing (Sep 1, 2007)"/>
        <s v="drowned, boat capsized while approaching by a Greek tug boat in Malta waters (Aug 29, 2007). From Del Grande's data set (translated): Tug greek rescued migrants 72 miles south of Malta, but their boat capsizes: 25 lost at sea, including 4 women (Aug 30, 2"/>
        <s v="Fished out a dead body off the island of Samos (Aug 30, 2007)"/>
        <s v="suicide, overdose of pills, suffered of depression in asylum seekers  hostel in Rostock (D) (Aug 28, 2007)"/>
        <s v="pregnant women died of starvation during the journey from Libya to Italy (Aug 27, 2007). From Del Grande's data set (translated): Rescued off Lampedusa boat adrift for 4 days. In crossing two pregnant women died, their bodies abandoned at sea (Aug 29, 200"/>
        <s v="reportedly drowned, boat disappear after motor broke down on way to Sicily (I) (Aug 24, 2007). From Del Grande's data set (translated): Boat migrants save man at sea wearing a life jacket, 50 miles off Lampedusa, the only survivor of a boat with 45 people"/>
        <s v="Landing in Lampedusa Cala Pisa. Passengers speak of 6 died of starvation in eight days adrift (Aug 25, 2007)"/>
        <s v="fell passing one balcony to an other attempting to avoid police control Geneva (CH) (Aug 24, 2007)"/>
        <s v="reportedly drowned, vessel capsized near the town of Cesme (TR) on way to GR (Aug 23, 2007)"/>
        <s v="Fished a corpse in Mers El Hadjadj, Arzew (Aug 23, 2007)"/>
        <s v="drowned, disappeared after their boat from Turkey sank off the coast of Chios (GR) (Aug 22, 2007). From Del Grande's data set (translated): Man rescue at sea off the island of Hios, the only survivor of a shipwreck which killed 14 people (Aug 23, 2007)"/>
        <s v="The vessel Ophelia, of Mazzara del Vallo, rescues a man at sea, 70 miles south of Lampedusa, the only survivor of a shipwreck which killed 45 people, including a woman (Aug 23, 2007)"/>
        <s v="starvation and hypothermia, thrown overboard, boat went adrift for 7 days on the way to E (Aug 20, 2007). From Del Grande's data set (translated): 13 people, including 2 minors, died in the crossing to the Canary Islands, after six days adrift, 80 miles s"/>
        <s v="hypothermia, died in the hospital in Gran Canaria (E) after boat went adrift for 7 days (Aug 20, 2007)"/>
        <s v="died of dehydration and hypothermia during trip from Sahara Occ to Canary Isl (E) (Aug 20, 2007)"/>
        <s v="starvation, bodies thrown overboard found by military pilots 60 miles to Lampedusa (I) (Aug 20, 2007). From Del Grande's data set (translated): The ship Sibyl Navy recovers 5 of the 6 bodies sighted in the sea from the Atlantic patrol vessel, 60 miles sou"/>
        <s v="starvation and hypothermia, body found on boat that went adrift for 7 days on the way to E (Aug 20, 2007)"/>
        <s v="Festus Okey, a Nigerian migrant, was shot while in a police station."/>
        <s v="illegal worker jumped from building trying to avoid police arrest, Thessaloniki (GR) (Aug 19, 2007)"/>
        <s v="died of hypothermia and dehydration, found on boat that landed in Gran Canaria (E) (Aug 18, 2007)"/>
        <s v="died of starvation, dehydratation and hypotermia on a boat going to Fuerteventura (E) (Aug 18, 2007)"/>
        <s v="6 drowned, 5 missing, boat capsized near Izmir (TR) trying to reach Greece (Aug 16, 2007). From Del Grande's data set (translated): Shipwreck a few hundred meters from the coast of Izmir, on the routes to the Greek island of Hios. 6 dead and 5 missing (Au"/>
        <s v="bodies found by military pilots floating in sea near Lampedusa (I), wearing life jackets    (Aug 13, 2007)"/>
        <s v="at least 15 people died, recovered from the sea near the island of Lampedusa (I) (Aug 13, 2007). From Del Grande's data set (translated): 14 corpses sighted in the sea, 55 miles south of Lampedusa, off the plane in Atlantic patrol service (Aug 15, 2007)"/>
        <s v="stowaways, died after truck carrying 34 migrants capsized near Yukari Bakracli (TR)  (Aug 13, 2007). From Del Grande's data set (translated): Car accident Yukari Bakracli in the eastern province of Van. Truck spills load of migrants, 2 dead and 32 injured"/>
        <s v="missing, boat sank off Mayotte Island (F) in Indian Ocean from Comoros Islands (Aug 12, 2007)"/>
        <s v="drowned, boat sank off Mayotte Island (F) in Indian Ocean from Comoros Islands (Aug 12, 2007). From Del Grande's data set (translated): Sinking boat coming from the Comoros Islands and directed the French island of Mayotte, in the Indian Ocean. Recovered "/>
        <s v="found in advanced state of decomposition on board of boat in Dakar on way to E (Aug 11, 2007)"/>
        <s v="Recovered south of Lampedusa the body of a man drowned (Aug 12, 2007)"/>
        <s v="reportedly drowned, found in advanced state of decomposition, wearing life jacket  (Aug 11, 2007)"/>
        <s v="51 found, 35 missing, drowned off Seferihisar (TR) after their overloaded boat sank  (Aug 11, 2007)"/>
        <s v="Recovered a dead body in the sea during the rescue operation of a boat carrying more than 250 passengers, 28 miles south of Lampedusa (Aug 11, 2007)"/>
        <s v="A boat capsizes at sea, 60 miles south of the island. Spanish rescued cruise ship Jules Verne, 11 are missing at sea (Aug 11, 2007)"/>
        <s v="A Russian cargo ship rescues boat adrift 50 miles south of the island. According to the survivors, a man died during the crossing (Aug 11, 2007)"/>
        <s v="shot and killed by border guard trying to cross into northwestern Greece (Aug 10, 2007)"/>
        <s v="Gjon Kusani, 28, Albanian, dies of a heart attack while walking across the Trieste Karst, to pass the border illegally Slovenia-Italy (Aug 11, 2007)"/>
        <s v="drowned,3 missing, coast guard found boat with 117 illegal migrants near Zakynthos Isl. (GR) (Aug 9, 2007)"/>
        <s v="Shipwreck off the coast of Ayvalik, in Balikesir province, on the routes to the island of Lesvos. One dead and one missing (Aug 10, 2007)"/>
        <s v="body found in the coast of Motril (E), reportedly came from a boat intercepted days before (Aug 8, 2007)"/>
        <s v="Boat capsizes 35 miles south of Capo Passero, Syracuse. A drowned (Aug 9, 2007)"/>
        <s v="drowned, body found from the Armed Forces of Malta in Maltese waters  (Aug 6, 2007)"/>
        <s v="Port of Algeciras: a man clinging under a truck to land secretly in Spain, loses his grip and dies crushed by the wheels of the vehicle (Aug 7, 2007)"/>
        <s v="Two men reach to Pantelleria swimming after the overthrow of the boat. Lost at sea 3 companions (Aug 4, 2007)"/>
        <s v="found on boat near Tenerife (E) on way from Mauritania (Aug 2, 2007)"/>
        <s v="Sinking boat off the coast of Samos, dies drowned a woman of 27 years (Aug 2, 2007)"/>
        <s v="The Moroccan border police opened fire on a group of 37 people at the time of embarkation to the Canary Islands, on the coast of El 'Ayun and kills 2 people. Two injured in hospital of El 'Ayun. The others are arrested (Jul 31, 2007)"/>
        <s v="reportedly drowned, boat sank between island Mayotte (F) and Comoros Islands  (Jul 29, 2007)"/>
        <s v="died in Mayotte hospital (F) after boat sank between Mayotte (F) and Comoros Islands (Jul 29, 2007)"/>
        <s v="1 found, at least 7 missing; 21 migrants found on tuna pen near Libya  (Jul 27, 2007)"/>
        <s v="Lost track of a vessel with 25 passengers on board, probably sank in stormy seas between Libya and Malta, after having sounded the alarm (Jul 28, 2007)"/>
        <s v="A dead on a boat drifting for 10 days on routes to Sardinia, rescued off Tabarqa (Jul 27, 2007)"/>
        <s v="Fished out a dead body on the coast of Arzew, near Oran (Jul 26, 2007)"/>
        <s v="unknown death's reason, 3 among 46 persons on board died on the way from LY to  I (Jul 24, 2007)"/>
        <s v="drowned, at least 9 died after two vessels from Libya sank off the coast of Sicily (I) (Jul 24, 2007). From Del Grande's data set (translated): Nine missing after the overthrow of a boat at the boundary between the Italian and Maltese waters (Jul 25, 2007"/>
        <s v="Recovered a body near the small boat overturned, 18 miles south of Capo Passero, Syracuse. No trace of the other passengers, perhaps drowned (Jul 25, 2007)"/>
        <s v="2 died, 27 missing, boat sank off Mayotte Island (F) in Indian Ocean from Comoros Islands (Jul 22, 2007). From Del Grande's data set (translated): Sinking boat coming from the Comoros Islands and directed the French island of Mayotte, in the Indian Ocean."/>
        <s v="Capsizes 80 miles off the Libyan coast, fishing boat rescued from Mazara &quot;Savior Cristina&quot;, 2 dead (Jul 23, 2007)"/>
        <s v="Egyptian police opened fire on a group of 26 migrants along the Israeli border, 15 km south of Rafah. A Sudanese woman killed dies (Jul 23, 2007)"/>
        <s v="drowned, 2 found, 1 missing near the coasts of Malta (Jul 22, 2007)"/>
        <s v="Shipwreck in the waters of Naa'ila, 150 km north of El 'Ayun, on routes to the Canary Islands. 2 bodies fished out, at least 40 missing, all Saharawi (Jul 22, 2007)"/>
        <s v="drowned, 80 km from Libyan coast after their boat collided with a fisher boat (Jul 21, 2007)"/>
        <s v="Tips, 30 miles south of Malta, Maltese vessel rescued by the Navy. Two dead, one missing (Jul 22, 2007)"/>
        <s v="drowned, 150 miles south Tenerife (E) in rough sea while Spanish boat tried to rescue them (Jul 18, 2007). From Del Grande's data set (translated): Canoe capsizes at sea during the rescue operation, 90 miles south of the Canary Island of Tenerife. At leas"/>
        <s v="3 bodies recovered 90 miles south of Tenerife, in the area of __the sinking (Jul 19, 2007)"/>
        <s v="drowned, 4 died, 12 missing when boat sank 40 miles south of Lampedusa (I) (Jul 17, 2007). From Del Grande's data set (translated): Shipwreck 187 miles south of Lampedusa. The Italian fishing boat Monastir, gets shipwrecked and a corpse. 11 missing (Jul 1"/>
        <s v="Tips vessel 40 miles south of Lampedusa. Sphinx recovered from the ship of the Navy, the bodies of 4 drowned, including that of a child (Jul 18, 2007)"/>
        <s v="drowned 1 found, 11 missing trying to embark on Italian fishing boat near Libya (Jul 16, 2007)"/>
        <s v="body found in a boat sailing for 10 days from Mauritania to Tenerife (E) (Jul 16, 2007). From Del Grande's data set (translated): Landing in the Canary Islands, Los Cristianos. A dead aboard the pirogue (Jul 17, 2007)"/>
        <s v="Landed in Lampedusa, a witness said he counted 34 dead bodies in the desert between Madama and the Libyan border to Toumou, a month earlier. Deaths dehydrated, it is unclear whether the journey to Libya as if following the expulsion from Libya. No trace o"/>
        <s v="stowaways froze to death, found near Mestre (Italy) hidden in truck going to Germany (Jul 13, 2007). From Del Grande's data set (translated): Found in Mestre, the bodies of three young people died of asphyxiation in the cell of a refrigerator truck and st"/>
        <s v="body found on boat that landed on Crete (GR), the vessel disembarked from Egypt (Jul 11, 2007)"/>
        <s v="suicide, asylum seeker set himself on fire in the Town Hall of Haren (NL) (Jul 11, 2007)"/>
        <s v="died of starvation and dehydration, boat motor broke down on way from Senegal to E (Jul 10, 2007)"/>
        <s v="at least 10 people drowned after their boat capsized off the island of Gran Canaria (E) (Jul 8, 2007)"/>
        <s v="stowaway, crushed to death under the weels of a lorry leaving the port of Algeciras (E) (Jul 7, 2007)"/>
        <s v="drowned, body found in advanced state of decomposition near Marsascala (M) (Jul 6, 2007). From Del Grande's data set (translated): Fished in the sea the bodies of two drowned men, one 110 miles off the island, the other in the bay of Marsascala (Jul 8, 20"/>
        <s v="car accident fleeing from the police, trying to cross the border from (F) to (GB)  (Jul 6, 2007). From Del Grande's data set (translated): Twenties live in England, died hit by a car fleeing from police in Calais (Jul 8, 2007)"/>
        <s v="died of malaria after being deported from Germany to Luanda (Angola) (Jul 5, 2007)"/>
        <s v="died in hospital in E after being rescued in the sea next to Gibraltar by a British ship (Jul 4, 2007)"/>
        <s v="died of starvation, found on a dinghy next to Palermo coast (I)  (Jul 4, 2007)"/>
        <s v="Landing in the Canary Islands, Tenerife. Two dead aboard boat (Jul 4, 2007)"/>
        <s v="The Tunisian coast guard fished 20 dead bodies off of Ben Guerdane, on the border with Libya, victims of a shipwreck on the routes to Sicily (Jul 4, 2007)"/>
        <s v="Boat rescued off the coast of Arzew, on routes to Spain, 4 missing at sea (Jul 3, 2007)"/>
        <s v="drowned in waters between Libya and Malta after the boat sank (Jun 29, 2007)"/>
        <s v="27 castaways rescued in Libyan waters from Icelandic fishing Eyborg. Recovered the body of a drowned woman, 7 missing (Jun 29, 2007)"/>
        <s v="Recovered the body of a drowned man, 10 miles south of Lampedusa (Jun 29, 2007)"/>
        <s v="The 23 castaways rescued yesterday, 60 miles south of Lampedusa, talk about 4 missing at sea: a man, two women and a child. Yesterday, a Maltese tug had recovered the body of a woman (Jun 29, 2007)"/>
        <s v="suicide, after asylum claim rejected, left alone to face her desperate life without status  (Jun 28, 2007)"/>
        <s v="Fished, 8 miles off the coast of Dingli, a corpse of a drowned man, in an advanced state of decomposition (Jun 28, 2007)"/>
        <s v="Tug Malta rescues 23 castaways clinging to tuna cages. A woman dies (Jun 28, 2007)"/>
        <s v="died of starvation and dehydration, bodies thrown overboard on the way to Italy  (Jun 27, 2007). From Del Grande's data set (translated): Landing in Pozzallo, Ragusa. Passengers speak of 3 died during the crossing. Their bodies were abandoned at sea (Jun "/>
        <s v="found death in a boat at 400 m. from Gran Canaria (E) with other 62 survivors (Jun 26, 2007). From Del Grande's data set (translated): Landing in Gran Canaria, one died on board the pirogue (Jun 27, 2007)"/>
        <s v="hanged himself in deportation custody in Frankfurt (D) after knowing he should be deported  (Jun 26, 2007)"/>
        <s v="Landing in Malta, passengers say they have abandoned at sea the bodies of two men who died of starvation during a voyage of seven days (Jun 26, 2007)"/>
        <s v="Recovered at sea the body of a drowned woman, about a mile from the port of Mgarr, Island of Gozo (Jun 26, 2007)"/>
        <s v="Landing in Sicily, Capo Passero, Syracuse. Passengers said they had thrown overboard the bodies of a child, a man and a woman, died of starvation during a voyage lasted 12 days (Jun 26, 2007)"/>
        <s v="reportedly drowned, missing after boat capsized near Lampedusa (I)  (Jun 21, 2007). From Del Grande's data set (translated): The Italian Valeria fishing boat rescues man clinging to a capsized boat, 80 miles south of Malta. At sea for three days, the man "/>
        <s v="Fished out the bodies of drowned 4, 55 miles south of the island, perhaps victims of the sinking of the first day (Jun 21, 2007)"/>
        <s v="reportedly drowned, vessel capsized 100 km south the Island of Malta (Jun 19, 2007). From Del Grande's data set (translated): Wreck 76 miles south of the island. The 4 survivors are saved by clinging to tuna cages of the tug Budafel. Recovered a corpse, 2"/>
        <s v="at least 8 migrants drowned after vessel capsized near the coast of southern Sicily (I) (Jun 17, 2007). From Del Grande's data set (translated): Fished 60 miles south of Lampedusa, the bodies of 11 men drowned, the other 3 are missing (Jun 17, 2007)"/>
        <s v="died in the course of rescue operation, survivors saved from fishing vessel near Libya (Jun 15, 2007). From Del Grande's data set (translated): A fisherman recovered the remains of two shipwrecks along the coast of Zarzis, near the Libyan border (Jun 15, "/>
        <s v="drowned in Sicily Channel waters (I), 11 bodies found, 3 still missing (Jun 15, 2007)"/>
        <s v="The Spanish fishing vessel &quot;Nuestra Madre de Loreto&quot; takes on board 25 castaways adrift 90 miles off the coast of Libya, the more the body of an eighteen year old who died during the crossing (Jun 15, 2007)"/>
        <s v="Rescued boat. A man is lost at sea, lost overboard during the voyage of 10 days (Jun 14, 2007)"/>
        <s v="stowaway, asphyxiated on board a Formula1 powerboat from GR to Devon (GB) (Jun 13, 2007)"/>
        <s v="stowaway, manner of death unclear, found in truck on way from I to F with 3 migrants (Jun 12, 2007). From Del Grande's data set (translated): Discovered in Saint Michel de Maurienne, in Savoy, near the Italian border, 4 guys hidden in the hold of a boat t"/>
        <s v="Twenty-three died during a scuffle with the Spanish police line on the plane which was to be deported to Nigeria (Jun 11, 2007)"/>
        <s v="Lost at sea a boat with 25 passengers on board. Locked in a stormy sea 47 miles off the Libyan coast, on Thursday raised the alarm. Malta had asked Libya to intervene, but Tripoli had sent a reconnaissance plane in only two days later. An Iranian cargo sh"/>
        <s v="Fished in the waters of the island of Samos the bodies of drowned migrants 2 (Jun 11, 2007)"/>
        <s v="killed by a roadside bomb in Kirkuk (Iraq), rejected asylum seeker, was deported from GB (Jun 8, 2007)"/>
        <s v="Landing in Gran Canaria, 2 dead aboard boat (Jun 5, 2007)"/>
        <s v="Sinks along the Algerian coast, on the border with Tunisia, boat to Sardinia. 8 bodies recovered and 20 missing (Jun 5, 2007)"/>
        <s v="The French naval vessel &quot;La Motte Picquet&quot; retrieves 120 miles south of Malta, the bodies of 21 men drowned (Jun 1, 2007)"/>
        <s v="Lost at sea for the past three weeks, 8 young Moroccans Azilal sail south of the Canary Islands Boujdour (May 31, 2007)"/>
        <s v="died of hypothermia in hospital (TN), found in a boat drifting 15 miles off Tunisian Coast (May 28, 2007)"/>
        <s v="died bodies found aboard a boat adrift off Lompoul (Senegal) in direction to Spain  (May 21, 2007)"/>
        <s v="Lompoul rescued in a canoe adrift. On board 3 deaths and only 2 survivors. Unspecified number of missing, probably tens (May 22, 2007)"/>
        <s v="reportedly missing after a boat sank next to Malta coast (May 21, 2007). From Del Grande's data set (translated): Capsizes boat rescued 75 miles south of Malta, 1 missing (May 21, 2007)"/>
        <s v="drowned between M and LY, Malta authorities alerted by a plane sent aid too late (May 20, 2007). From Del Grande's data set (translated): Boat intercepted 88 miles south of Malta. But at the back of the plane - in Valletta to load the fuel - the boat sank"/>
        <s v="Boat rescued 45 miles off Lampedusa, the survivors speak of 2 dead abandoned at sea (May 20, 2007)"/>
        <s v="suicide, failed asylum seeker set himself on fire in James Brindley Close (GB) (May 18, 2007)"/>
        <s v="28 people are missing after their boat sank next to Malta coast sailing from LY to I (May 17, 2007). From Del Grande's data set (translated): Boat capsizes 75 miles off the coast of Malta, 28 missing, including 3 children (May 18, 2007)"/>
        <s v="Sinking a boat party from Nador and direct in Andalusia, Spain, 13 dead (May 11, 2007)"/>
        <s v="drowned, motor of the boat broke and sank off Ben Guerdne (LY) on way to Lampedusa (I) (May 6, 2007)"/>
        <s v="Rescue off the coast of Palermo, raft drifting for ten days. Died of dehydration one of 4 passengers (May 7, 2007)"/>
        <s v="bodies found among passengers on a boat near to Mogan harbour in Canary Island (E) (May 5, 2007)"/>
        <s v="drowned, 8 found, 20 missing between Tunisa and Algeria trying to reach Sardinia (I)  (May 5, 2007)"/>
        <s v="died of hypothermia and dehydratation after journey from Africa to Gran Canaria (E) (Apr 29, 2007). From Del Grande's data set (translated): One of the migrants rescued the day before, 60 miles off the coast of Gran Canaria, Las Palmas Insular dies in the"/>
        <s v="found dead on board a boat that sailed from Mauritania to Gran Canaria (E) (Apr 27, 2007). From Del Grande's data set (translated): Landing in the Canary Islands, Gran Canaria, 3 deaths on board (Apr 28, 2007)"/>
        <s v="1 drowned, 2 missing after smugglers throw them in sea next to Leros (GR) (Apr 26, 2007). From Del Grande's data set (translated): Forced by the guides to jump into the sea near the coast of the island of Leros. Drown a 15 year old girl. Missing a man and"/>
        <s v="found dead on a boat that reached Tenerife  (Apr 24, 2007). From Del Grande's data set (translated): Landing in the Canary Islands, Tenerife, 2 dead on board (Apr 26, 2007)"/>
        <s v="died in Archile s beach in Tenerife (E) after the travel from sub-saharan Africa  (Apr 24, 2007)"/>
        <s v="drowned, shipwreck off Morocco coasts, they were all from the Kolda area (Senegal) (Apr 22, 2007)"/>
        <s v="drowned, shipwreck off Morocco coasts, he was from the Kolda area (Senegal) (Apr 22, 2007)"/>
        <s v="reportedly 11 bodies thrown at sea, 1 found on boat rescued next to Mauritanian coast (Apr 22, 2007). From Del Grande's data set (translated): Rescued canoe adrift off the coast of Nouadhibou, 2 dead and 11 missing on board, the other 13 passengers hospit"/>
        <s v="died after rescue operations in Mauritanian sea on board a boat from Africa to Spain (Apr 22, 2007)"/>
        <s v="2 found, 1 missing; boat capsized during rescue operation of Armed Forces of Malta (Apr 21, 2007)"/>
        <s v="drowned before their boat was rescued off Annaba (Algeria) on the way to Sardinia (I) (Apr 20, 2007). From Del Grande's data set (translated): Found boat drifting along the routes to Sardinia, off the coast of Annaba. 2 of missing passengers drowned befor"/>
        <s v="died of sudden infant death syndrome during an inmigration swoop in Aubervilliers, Paris (F) (Apr 15, 2007)"/>
        <s v="drowned, 2 found, 8 missing, boat collided with French police ship near Mayotte Isl. (F) (Apr 11, 2007)"/>
        <s v="found on board of vessel that landed on Los Cristianos de Tenerife (E) with 51 survivors (Apr 11, 2007)"/>
        <s v="body found on vessel that landed on Los Cristianos de Tenerife (E) with 37 survivors (Apr 11, 2007)"/>
        <s v="fell from the 7th floor running away from Police check in Amsterdam (NL) (Apr 9, 2007)"/>
        <s v="4 drowned, 15 missing, shipwreck near l Ile d Anjouan, trying to reach Mayotte Isl. (F) (Apr 8, 2007)"/>
        <s v="drowned, boat carrying other 12 immigrants capsized near Samos Island (GR) (Apr 7, 2007)"/>
        <s v="bodies found on a boat that reached Cristianos harbour, Canary Islands (E)  (Apr 6, 2007)"/>
        <s v="Rescued in Laayoune boat adrift, abandoned at sea the bodies of two passengers killed during eight days of sailing from Nouadhibou (Apr 5, 2007)"/>
        <s v="Four young people fall into the water from a boat during rescue operations in Malaga, 1 dead and 1 missing (Apr 4, 2007)"/>
        <s v="frozen to death after sneaking across Turkish-Iranian border trying to reach Europe (Mar 26, 2007). From Del Grande's data set (translated): Found the bodies of seven young people dead frozen to death trying to walk across the mountains of the province of"/>
        <s v="Lampedusa, a small boat crashed into a rock wall at old, a dispersed (Mar 26, 2007)"/>
        <s v="suicide, put himself alight in fear of deportation from Glasgow (GB) (Mar 17, 2007)"/>
        <s v="7 people washed ashore, 4 missing, bodies found in Samos (GR) they left from Turkey (Mar 16, 2007). From Del Grande's data set (translated): Sinking a boat heading to the island of Samos, recovered seven bodies, including that of a child, 4 missing (Mar 1"/>
        <s v="suicide, hanged in Bucarest airport (RO) after his deportation from Germany (Mar 16, 2007)"/>
        <s v="drowned, 9 found, 1missing, boat collided with Dutch cargoship during rescue operation (I) (Mar 11, 2007)"/>
        <s v="Rescued a boat off the coast of Tenerife, in the Canary Islands. On board the bodies of three men who died after a week of sailing. Another man died during the journey, the body was thrown into the sea (Mar 8, 2007)"/>
        <s v="one missing, one death by hypothermia in hospital after found in boat near to Malaga (E) (Mar 3, 2007)"/>
        <s v="He died of kidney failure a man deported in the city of Oujda, on the border with Algeria (Feb 21, 2007)"/>
        <s v="reportedly missing, thrown over dinghy from LY to Sicily (I), death cause unclear   (Feb 20, 2007). From Del Grande's data set (translated): Rescue boat adrift off the coast of Lampedusa drifting to 5 days. 19 of the passengers died of starvation during t"/>
        <s v="drowned, 4 found, 20 missing, boat sank near Samos Islands (GR), way from TR to GR (Feb 15, 2007). From Del Grande's data set (translated): Shipwreck off the coast of the island of Samos. Recovered the bodies of drowned 5, including 2 women. At least 20 m"/>
        <s v="Boujdour rescued off a boat in distress game from Nouadhibou and live in the Canary Islands. 1 dead on board (Feb 13, 2007)"/>
        <s v="died of hunger and thirst, bodies thrown overboard on way from Senegal to Europe (Feb 11, 2007)"/>
        <s v="Fished out a dead body on the beach of Sidi Yacoub, near Ghazaouet (Feb 11, 2007)"/>
        <s v="reportedly drowned, missing after boat sank near the coast of Azwen (DZ), 5 survived (Feb 6, 2007)"/>
        <s v="suicide, overdose of sleeping pills after being forced to return to Bangladesh with his wife (Feb 2, 2007)"/>
        <s v="drowned, 7 found, 10 missing after boat from Turkey sank off the island Samos (GR)  (Feb 1, 2007). From Del Grande's data set (translated): 7 bodies recovered and 12 missing after a shipwreck at a mile from the island of Samos (Feb 5, 2007)"/>
        <s v="drowned, after boat capsized near the beach of Cadiz (E) (Dec 31, 2007)"/>
        <s v="drowned, bodies found near Los Barrios (E), relatives identified 3 bodies (Dec 31, 2007)"/>
        <s v="suicide on detention centre Berlin Grunau (D) after asylum claim was rejected (Dec 31, 2007)"/>
        <s v="rejected asylum seeker hanged himself with his shoes laces in Berlin K√∂penick (D) det. cr. (Dec 29, 2007)"/>
        <s v="Fished out the body of a boy in the port of Ceuta, drowned while trying to reach a liner Live in Spain (Dec 28, 2007)"/>
        <s v="drowned, after ship capsized near Evros (GR), 20 survivors, 7 swam to the TR side (Dec 27, 2007). From Del Grande's data set (translated): Two boats spilling into the river Evros on the border between Turkey and Greece, causing one death and drowned some "/>
        <s v="2 dead, 3 missing after a shipwreck off the coast of Sfax (Dec 26, 2007)"/>
        <s v="bodies found on board a boat intercepted near E from yachts participating to regatta (Dec 25, 2007)"/>
        <s v="suicide, asylum seeker facing deportation, hanged himself in prison cell in Chelmsford (GB) (Dec 24, 2007)"/>
        <s v="reason of death unknown, a fisherman found a body near Lesvos (GR) (Dec 22, 2007). From Del Grande's data set (translated): Fisherman finds a corpse off the island of Lesvos and soccore a castaway who speaks of 31 men ended up in the sea and missing data "/>
        <s v="Found the body of the eighth victim of the wreck yesterday in Bodrum (Dec 19, 2007)"/>
        <s v="drowned, overloaded boat sank in the Aegean Sea off Bodrum (TR) on way to Kos (GR) (Dec 16, 2007). From Del Grande's data set (translated): Live at the Greek island of Kos, boat capsizes at sea off the coast of Bodrum, 7 dead and 1 missing (Dec 18, 2007)"/>
        <s v="stowaway, reportedly fell from wheel bay of plane found in garden in Val d Oise (F) (Dec 12, 2007)"/>
        <s v="drowned, 3 found, 4 missing, 19 rescued by a gas carrier 30 ml off Cap Falcon (DZ) (Dec 11, 2007). From Del Grande's data set (translated): Inflatable drifting rescued by Algerian LNG ship &quot;Abbane Ramdane&quot;, 30 miles off Cap Falcon, en route to Spain. The "/>
        <s v="Match the island of Djogu, in Casamance, and directed to the Canary Islands, a pirogue with 130 passengers returns to Tonghor Yoff, Dakar, after 12 days adrift. A dead man on board, 39 other corpses abandoned at sea (Dec 10, 2007)"/>
        <s v="Shipwreck off the coast of Dakhla, on the route to the Canary Islands. There were no survivors among the 50 passengers. Only 6 bodies recovered (Dec 10, 2007)"/>
        <s v="Fished in the waters of Bouzedjar the corpse of a drowned man on routes to Spain (Dec 10, 2007)"/>
        <s v="Shipwreck in Izmir on the route to the Greek island of Hios. 50 bodies recovered, 29 missing in sea (Dec 10, 2007)"/>
        <s v="A dead on board a pirogue arrived on the island of El Hierro in the Canary Islands (Dec 9, 2007)"/>
        <s v="Cargo load of migrants landed on the island of Crete in Kato Zakros, Lasithi. On board one of the passengers is found dead (Dec 6, 2007)"/>
        <s v="3 deaths on board the last two boats arrived in Tenerife, in the Canary Islands (Dec 5, 2007)"/>
        <s v="bodies thrown at sea, dead during the route from Tripoli (LY) to Lampedusa (I) (Dec 4, 2007)"/>
        <s v="French police ramming patrol boat of migrants from the Comoros Islands, off the coast of the French island of Mayotte, 2 dead and 8 missing at sea (Dec 4, 2007)"/>
        <s v="Rescued by the Dutch ship Fairepartner boat drifting over on route to Spain, 76 miles north of Mostaganem. Fished a corpse, 11 missing in sea (Dec 4, 2007)"/>
        <s v="Boat rescued off the coast of Las Palmas, in the Canary Islands, 2 dead on board (Dec 1, 2007)"/>
        <s v="bodies found by Galican fishing boat which rescued 48 people from a boat near El Hierro (E)  (Nov 28, 2007)"/>
        <s v="reportedly drowned, found in advanced state of decomposition near Marsa sea (M) (Nov 28, 2007). From Del Grande's data set (translated): Found a dead body on the beaches of Marsa, 30 km west of Tns (Nov 29, 2007)"/>
        <s v="suicide, found dead in prison, 7 months sentence for false passport, was due to be deported (Nov 16, 2007)"/>
        <s v="shot to death in the stomach during a police check for illegal migrants in Pyla, Cyprus (CY)  (Nov 15, 2007)"/>
        <s v="A police officer shoots a migrant to a checkpoint and kills him (Nov 16, 2007)"/>
        <s v="drowned, 30 missing, 6 found in shore of Sidi Ifni (MA), ship sank on way from MA to E (Nov 13, 2007). From Del Grande's data set (translated): Shipwreck in Sidi Ifni, 100 km south of Agadir. 6 bodies recovered, 30 missing (Nov 14, 2007)"/>
        <s v="Fished on the beach Draouch, to Ghazaouet, the body of a drowned man on routes to Spain (Nov 14, 2007)"/>
        <s v="Shipwreck 1700 km south of the Canaries. 8 bodies recovered, 50 missing in sea (Nov 13, 2007)"/>
        <s v="died after setting himself on fire in Amberg (D) (Nov 11, 2007)"/>
        <s v="5 Dead survivors of La Guera. They were hospitalized in Nouadhibou (Nov 10, 2007)"/>
        <s v="Recovered in the Alboran, near El Ejido, Andalusia, the bodies of two men and a woman. Already 9 bodies fished out from early October on the coast of Almeria (Nov 10, 2007)"/>
        <s v="Police fire on two migrants illegally entered walk to the Albanian border, near Florina. A dead (Nov 9, 2007)"/>
        <s v="Rescued in La Guera, on the border with Western Sahara, a canoe adrift for three weeks after an engine failure en route to the Canary Islands. On board 101 survivors. Thrown overboard the bodies of 56 migrants died of starvation during the journey. They h"/>
        <s v="Fished out a dead body in the Citadel of Maccheri, in the district of San Lorenzo, in the province of Syracuse. This brings to 16 the number of bodies found in the shipwreck of Vendicari (Nov 6, 2007)"/>
        <s v="suicide, hanged himself in Remand Centre in Bordeaux (F), was under expulsion order (Nov 5, 2007)"/>
        <s v="killed himself in a refugee camp in Lotte, North Rhine-Westphalia (D) (Nov 3, 2007)"/>
        <s v="drowned, 9 found, 8 missing after shipwreck near Catania (I) (Oct 28, 2007). From Del Grande's data set (translated): Sinking boat in rough seas in the waters of Syracuse, Sicily. 9 bodies recovered in Vendicari, 8 missing (Oct 28, 2007)"/>
        <s v="drowned, found off Roccella Jonica coast, Calabria (I) when boat capsized on way from Egypt (Oct 27, 2007). From Del Grande's data set (translated): Ship of 20 meters is broken into three colliding with a dry 200 meters from the coast of Roccella Ionica, "/>
        <s v="discovered boat with 7 bodies, 50 still missing, tried to reach Spain from Cape Verde (Oct 23, 2007). From Del Grande's data set (translated): The vessel &quot;Tiburn III&quot; rescues boat adrift off the coast of Cape Verde, 300 miles from Senegal. On board the on"/>
        <s v="Sinking canoe live in the Canary Islands, broken under the weight of 160 passengers from the waves of a stormy sea. The news the families of 150 missing, last Friday celebrated the funeral in Kolda collective (Oct 22, 2007)"/>
        <s v="Boat capsizes in stormy seas off the coast of Samos, 17 missing (Oct 22, 2007)"/>
        <s v="suicide, jumped into sea in desperation after vessel drifting, way from Mauritania to E (Oct 17, 2007)"/>
        <s v="suicide, hanged himself in the garden of detention centre for migrants in Modena (I)  (Oct 16, 2007)"/>
        <s v="manner of death unknown, bodies thrown overboard on the way from Mauritania to Spain (Oct 15, 2007)"/>
        <s v="Three bodies fished off the coast of Sejnane in the north east of the country (Oct 16, 2007)"/>
        <s v="Fourth body recovered from the nets of the fishing vessel &quot;La Pastora&quot;, in Cabo de Gata, Almeria (Oct 16, 2007)"/>
        <s v="died of dehydration in hospital in Tenerife (E) after 12 days sailing from Gambia  (Oct 14, 2007). From Del Grande's data set (translated): He died of dehydration at the hospital of &quot;La Candelaria&quot; one of the 90 passengers of a canoe rescued October 14, 1"/>
        <s v="suicide, hanged himself in his cell in Modena (I) detention centre (Oct 14, 2007)"/>
        <s v="Egyptian police shooting at a Sudanese refugee along the border with Israel and kills him (Oct 14, 2007)"/>
        <s v="Recovered a dead body five miles south of Lampedusa (Oct 11, 2007)"/>
        <s v="bodies found at Alboran on Andalusian coast (E) (Oct 10, 2007)"/>
        <s v="suicide, after asylum claim rejected, he hanged himself at his flat in Birkby (GB) (Oct 9, 2007)"/>
        <s v="Recovered a dead body in an advanced state of decomposition between the networks of the vessel &quot;La Pastora&quot;, Nijar, Almera close. It is the third body fished out in a week (Oct 9, 2007)"/>
        <s v="suicide, found hanged in his cell in Berne prison of Witzwil (CH) in fear of deportation (Jan 29, 2007)"/>
        <s v="suicide, found hanged in his cell at Preston prison (GB), accused of using false documents (Jan 28, 2007)"/>
        <s v="stowaways, found hidden under a coffin been trasported from in Kypoi (GR) (Jan 21, 2007)"/>
        <s v="stowaway, body found in plane s wheel bay in Los Angeles (US), trying to reach London (UK) (Jan 21, 2007)"/>
        <s v="Shipwreck off the coast of Annaba, along the new routes to Sardinia, retrieved 33 corpses (Jan 18, 2007)"/>
        <s v="drowned, 2 found, 5 missing boat from Turkey sank off the Samos island (GR) (Jan 16, 2007). From Del Grande's data set (translated): Sink a small boat off the island of Samos, 2 dead and 5 missing (Jan 18, 2007)"/>
        <s v="stowaway, frozen in undercarriage of airplane from Gambia to Bruxelles (B) (Jan 14, 2007). From Del Grande's data set (translated): Brussels Zaventem Airport. Found a boy died of cold in the undercarriage of a plane of Brussels Airlines started from Gambi"/>
        <s v="denied medical treatment, Remscheider refugee centre (D) refused to call ambulance (Jan 13, 2007)"/>
        <s v="drowned, 6 found, 44 missing, boat capsized on way from Mauritania to Canary Isl. (E) (Jan 11, 2007)"/>
        <s v="drowned after shipwreck on way from Egypt to Italy, familiars identified the body (Jan 10, 2007)"/>
        <s v="drowned after shipwreck on way from Alexandria (Egypt) to Italy (Jan 10, 2007)"/>
        <s v="inanimate body washed ashore near Ghazaouet (DZ) (Jan 10, 2007)"/>
        <s v="drowned, bodies pulled out of the sea near the Sejname coast (TN) (Jan 9, 2007)"/>
        <s v="drowned, shipwreck near Balikesir (TR) crossing the border from TR to GR, 11 survivors (Jan 9, 2007)"/>
        <s v="suicide under a train after asylum claim refused (GB), he lost his job, had a lot of debt (Jan 9, 2007)"/>
        <s v="drowned after their boat sank in the Mediterranean Sea on their way to Europe (Jan 8, 2007)"/>
        <s v="1 drowned, 3missing after boat from Libya sank next to Portopalo (I)  (Jan 8, 2007)"/>
        <s v="Sinking boat coming from the Comoros Islands and directed the French island of Mayotte, in the Indian Ocean. Two dead and 19 missing (Jan 8, 2007)"/>
        <s v="shot by Moroccan police while trying to reach Canary Isl. (E), other 37 were detained (Jan 7, 2007)"/>
        <s v="reportedly drowned, boat capsized near Lampedusa (I) on the way from Libya, 1 survivor (Jan 7, 2007)"/>
        <s v="drowned, dinghy collided with Italian fishing boat 80 miles from LY on way to I (Jan 6, 2007)"/>
        <s v="drowned, 1 found 11 missing, dinghy collided with fishing boatway from LY to I  (Jan 6, 2007)"/>
        <s v="Fished out a dead body along the coasts of Bizerte (Jan 7, 2007)"/>
        <s v="body found from Coast Guard in advanced state of decomposition near Lampedusa (I) (Jan 5, 2007)"/>
        <s v="drowned between Malta and Libya, bodies picked up by a French ship (Jan 5, 2007)"/>
        <s v="died on board of a small vessel during the crossing to Canary Islands (E) (Jan 3, 2007)"/>
        <s v="drowned after their dinghy sank off Nador (MA), sailing towards Spain  (Jan 3, 2007)"/>
        <s v="died on a boat trying to reach Tenerife (E) from Mauritania, body thrown overboard (Jan 2, 2007)"/>
        <s v="found aboard a vessel drifting off the coast of Western Sahara on way to Canay Isl. (E) (Jan 1, 2007)"/>
        <s v="He died of a heart attack at the hospital Candelaria, Tenerife, one of the 106 migrants landed on Monday in the Canary Islands (Sep 27, 2006)"/>
        <s v="drowned, 6 found, 3 missing, reportedly thrown into Turkish sea by Greek coastguard (Sep 25, 2006). From Del Grande's data set (translated): 6 dead, 2 missing off the coast of Izmir, but the survivors accuse the Greek Coast Guard, which would have forsake"/>
        <s v="drowned, shipwreck caused by overcrouding 40 miles off Lampedusa (I)  (Sep 23, 2006). From Del Grande's data set (translated): Lampedusa, a boat capsizes, drowning a woman and her baby (Sep 24, 2006)"/>
        <s v="drowned, after their boat sank near Kenitra (MA) on way to Spain (Sep 22, 2006). From Del Grande's data set (translated): Tips not far from the coast boat game for Spain by Moulay Bousselham, in Kenitra. At least 25 dead (Sep 27, 2006)"/>
        <s v="Recovered on the beach in El Ejido, Almeria, the corpse of a drowned man (Sep 22, 2006)"/>
        <s v="Sinking boat coming from the Comoros Islands and directed the French island of Mayotte, in the Indian Ocean. One dead and 10 missing (Sep 21, 2006)"/>
        <s v="1 found, 1 missing, body floating near Tarifa (E), set off with jet ski from Morocco   (Sep 20, 2006)"/>
        <s v="died of lack of medical care in police custody after his boat landed in Los Cristianos (E) (Sep 16, 2006). From Del Grande's data set (translated): He died in police custody a day before the emigrant landed in the Canaries. In vain had repeatedly asked fo"/>
        <s v="drowned, 1 found, 12 missing after shipwreck 115 miles South West Malta way Italy (Sep 16, 2006). From Del Grande's data set (translated): Wreck between Tunisia and Lampedusa, 1 dead and 12 missing (Sep 17, 2006)"/>
        <s v="body found in a boat with 56 survivors landed on Los Cristianos, Canary Islands (E) (Sep 15, 2006). From Del Grande's data set (translated): Landing in the Canary Islands, 1 died on board (Sep 16, 2006)"/>
        <s v="suicide on Detention Centre in Lamezia (I) waiting for deportation (Sep 11, 2006)"/>
        <s v="2 dead in Evros minefields along the border with Turkey (Sep 12, 2006)"/>
        <s v="died of starvation, thrown overboard drifting ship on the way from Libya to Italy  (Sep 8, 2006). From Del Grande's data set (translated): Adrift from 15 days, they die during the crossing of the Strait of Sicily 17 people, including 5 women and 3 childre"/>
        <s v="Recovered a corpse 40km off the coast of Lampedusa (Sep 8, 2006)"/>
        <s v="Police intercept 47 who have entered illegally in Turkey, in Ercis, near Van, one of the migrant dies in hospital (Sep 7, 2006)"/>
        <s v="drowned, 3 found, 8 missing; shipwreck caused by overcrouding near Malta (M) coasts (Sep 5, 2006)"/>
        <s v="Two bodies found among the rocks near Mazara del Vallo, Sicily (Sep 5, 2006)"/>
        <s v="Found the body of a drowned man next to an abandoned boat on the beach in Teguise, Lanzarote, Canary Islands (Sep 3, 2006)"/>
        <s v="A ship runs aground near the coast of Hania, Crete, one of the passengers died (Sep 3, 2006)"/>
        <s v="Recovered another body off Lampedusa (Sep 3, 2006)"/>
        <s v="He died at the hospital Trigona Noto one of 19 immigrants who landed the day before in Syracuse (Sep 3, 2006)"/>
        <s v="suicide, under train in London (GB) fearing deportation after refusal of his asylum claim  (Sep 2, 2006)"/>
        <s v="Rescued a boat off the coast of Syracuse. According to the 19 survivors, 8 people died on the journey and their bodies thrown into the sea (Sep 2, 2006)"/>
        <s v="Landing in the Canary Islands, 3 of the passengers on board died (Sep 1, 2006)"/>
        <s v="Crete: a boat slamming against the rocks and sinks. 7 missing (Sep 1, 2006)"/>
        <s v="2 bodies recovered at sea 5km from the island of Lampedusa (Sep 1, 2006)"/>
        <s v="One dead and six injured in a brawl between the port of Calais migrants trying to sneak to climb onto trucks bound for Britain (Sep 1, 2006)"/>
        <s v="died in boat with 13 survivors, bodies thrown overboard during journey to reach Italy (Aug 29, 2006). From Del Grande's data set (translated): Boat rescued off Lampedusa. According to the 13 survivors, 10 people died on the journey and their bodies thrown"/>
        <s v="drowned, 84 found, 48 missing, shipwreck near Mauritanian coast of  Nouakchott  (Aug 28, 2006). From Del Grande's data set (translated): Rises to 84 the number of bodies recovered on the coast of Mauritania after the wreck last week. On August 27, 15 bodi"/>
        <s v="died of dehydration after been abandoned in Sahara desert by Moroccan authorities  (Aug 27, 2006). From Del Grande's data set (translated): A man has died after more than 50 migrants were expelled by the Moroccan authorities in the desert, in a no man's l"/>
        <s v="15 found, 5 missing on Mauritanian coast, thrown overboard after died of dehydration  (Aug 26, 2006). From Del Grande's data set (translated): Recovered 15 bodies on a beach near Nouakchott. Parties from Senegal aboard two boats, later intercepted by poli"/>
        <s v="died of dehydration, found on boat sailing from Mauritania to Canary Islands (E) (Aug 26, 2006)"/>
        <s v="bodies found on ship on way from Senegal to Canary Islands (E) (Aug 25, 2006). From Del Grande's data set (translated): Game boat rescued from Senegal, on board 8 deaths (Aug 26, 2006)"/>
        <s v="body found on a vessel intercepted near the coasts of Malta  (Aug 25, 2006)"/>
        <s v="Landing in Lampedusa. A couple of parents said that the journey is dead 18 month old daughter and two other children. The bodies were thrown into the sea (Aug 25, 2006)"/>
        <s v="died of starvation during crossing, found in boat landed at Portopalo di Capopassero (I) (Aug 24, 2006). From Del Grande's data set (translated): Landing in Portobalo Capopassero, Syracuse. On board the boat a dead man (Aug 25, 2006)"/>
        <s v="Two men found dead along a road in Essex. According to the police would have died because of the excessive heat traveling hidden in a truck, after entering through a port in Great Britain (Aug 24, 2006)"/>
        <s v="He died at the hospital Comarcal of Motril one of the survivors of the boat rescue August 12 in Motril (Aug 23, 2006)"/>
        <s v="Found a dead body at the bottom of a canoe 48 hours after landing in the Canary Islands (Aug 22, 2006)"/>
        <s v="reportedly devoured by a shark after dinghy capsized near Lampedusa (I)  (Aug 19, 2006)"/>
        <s v="drowned, 6 found, 22 missing; dinghy capsized near the coasts of Lampedusa (I) (Aug 19, 2006). From Del Grande's data set (translated): Shipwreck at 70km from Lampedusa: 10 bodies recovered, 19 people are still missing (Aug 20, 2006)"/>
        <s v="died after falling into the sea attempting to cross the Sicilian Channel (Aug 19, 2006). From Del Grande's data set (translated): A man falls into the water during the crossing of the Strait of Sicily and drowned (Aug 20, 2006)"/>
        <s v="drowned, bodies missing, boat sank off the coast of Lampedusa Island (I) (Aug 18, 2006)"/>
        <s v="drowned, 12 found, 38 missing, boat collided with Navy ship near Lampedusa (I) (Aug 18, 2006). From Del Grande's data set (translated): It sinks off Lampedusa boat rammed into a wrong maneuver from the ship &quot;Minerva&quot; Navy came to the rescue. 10 bodies rec"/>
        <s v="Recovered 24 bodies from the Libyan waters after a shipwreck (Aug 18, 2006)"/>
        <s v="found on a boat with 81 survivors rescued off Canary Islands (E) (Aug 16, 2006). From Del Grande's data set (translated): Boat rescued off the Canary Islands, on board 2 dead (Aug 17, 2006)"/>
        <s v="suicide, jumped from her 11th floor flat in Knightswood (GB), in fear of deportation (Aug 16, 2006)"/>
        <s v="died of starvation in Mauritania hospital after rescue operation on boat on way to Spain (Aug 13, 2006)"/>
        <s v="died of hunger and thirst on way from Senegal to Canary Islands (E) (Aug 13, 2006). From Del Grande's data set (translated): 28 people die of starvation off the coast of Mauritania. Sailing in the open sea without water or food for days after the ship, wh"/>
        <s v="A rescue boat off the coast of Motril. Survivors speak of the dead 2 for two weeks adrift without an engine. 2 other guys would have drowned after he jumped into the sea from despair (Aug 12, 2006)"/>
        <s v="Exploding a gas cylinder on board a ship bound for the Canary Islands: 16 dead. After 15 days adrift come to the rescue: are recovered two of the bodies and the injured were hospitalized, but the other 3 people die in the hospital Nuadib (Aug 11, 2006)"/>
        <s v="stowaway, asylum seeker fell from a lorry in carriageway near Folkestone, Kent (GB) (Aug 9, 2006)"/>
        <s v="suicide, hung herself in fear of deportation in a detention centre in Neuss (Germany) (Aug 4, 2006)"/>
        <s v="He died a man in a boat rescued off the Canary Islands (Aug 4, 2006)"/>
        <s v="They go out of your way to get away to a police station because no papers to enter Germany. In the incident, near Koenigs Wusterhausen (Brandenburg) die 6 of 8 passengers (Aug 2, 2006)"/>
        <s v="28 corpses discovered on the coast of Blibilat, 40 km north of El-Aaiun, drowned while trying to reach the Canary Islands (Aug 1, 2006)"/>
        <s v="reportedly died of sunstroke, bodies found on boat arrived in Los Cristianos (E)  (Jul 29, 2006)"/>
        <s v="died of starvation after been hospitalized in Palermo (I) after shipwreck in Lampedusa  (Jul 29, 2006). From Del Grande's data set (translated): He died at the hospital in Palermo, where he was hospitalized in a coma, one of the survivors of the tragedy o"/>
        <s v="reportedly died of starvation on a boat with 14 survivors drifting off Lampedusa (I)  (Jul 28, 2006). From Del Grande's data set (translated): Boat rescued 130 miles off Lampedusa, the result of 20 days. According to survivors 13 people died during the cr"/>
        <s v="drowned after shipwreck near the coasts of Malta, Italian vassel rescued 12 survivors (Jul 28, 2006). From Del Grande's data set (translated): Rescued a ship off the coast of Malta, drifting from 6 days. According to survivors 17 people died in the crossi"/>
        <s v="drowned:12 found, 22 missing shipwreck on Senegalesian waters on way to Spain  (Jul 27, 2006). From Del Grande's data set (translated): Shipwreck off Khoudos Daros, 12 dead and 22 missing (Aug 2, 2006)"/>
        <s v="drowned during rescue operation, boat was intercepted near Tenerife (E)  (Jul 27, 2006). From Del Grande's data set (translated): Intercepted a boat off the Canary Islands: during rescue 2 people drown, 2 more die on the ship rescue (Jul 28, 2006)"/>
        <s v="died on rescue ship, boat was intercepted near Tenerife (E)  (Jul 27, 2006)"/>
        <s v="died of starvation, found on boat arrived in Canary Isl. (E) carrying 111 survivors (Jul 26, 2006). From Del Grande's data set (translated): Landing in the Canary Islands: a dead man in the boat they were traveling 100 other people (Jul 27, 2006)"/>
        <s v="reportedly drowned,  all bodies missing, boat from Libya to Italy sank off Mahdia (TN) (Jul 25, 2006). From Del Grande's data set (translated): A boat sailed from Libya and live in Italy is shipwrecked off the coast of Mahdia. According to the 8 survivors"/>
        <s v="died without medical care in asylum centre Sweikhuizen, Geeuwenburg (NL) (Jul 25, 2006)"/>
        <s v="died after explosion in minefield in Evros (GR) trying to cross Turkish-Greek border (Jul 24, 2006)"/>
        <s v="found dead of hypothermia in boat with 48 survivors arrived Islands Gran Canaria (E) (Jul 23, 2006). From Del Grande's data set (translated): Landing in the Canary Islands: 2 dead on board the vessel, a third person is in very serious condition (Jul 25, 2"/>
        <s v="reportedly drowned, bodies found by coast guards on a beach in Gela (I) (Jul 23, 2006). From Del Grande's data set (translated): Recovered three bodies on the beach at Gela, near the mouth of the river Dile, perhaps drowned during a landing recent (Jul 24"/>
        <s v="suicide: abandoned boat during their way to  arrive in Gran Canaria (E) (Jul 22, 2006)"/>
        <s v="died of starvation, thrown overboard boat with 48 survivors arrived Gran Canaria (E) (Jul 22, 2006). From Del Grande's data set (translated): Landing in the Canary Islands. Survivors speak of four men who died on the journey and thrown into the sea. Other"/>
        <s v="found on board of a rescued boat on way to Canay Island (E) (Jul 21, 2006). From Del Grande's data set (translated): Boat rescued off the Canary Islands, on board 2 dead (Jul 22, 2006)"/>
        <s v="died of starvation in Hospital after had been rescued in ship arrived at Tenerife (E) (Jul 21, 2006). From Del Grande's data set (translated): He died a man hospitalized after wreck two days prior to the Canaries (Jul 23, 2006)"/>
        <s v="found on a boat with 43 survivors, arrived at the port Los Cristiano, on Tenerife (E) (Jul 20, 2006)"/>
        <s v="reportedly died heart failure caused by hypotermia, after arriving Fuerteventura (E) (Jul 17, 2006). From Del Grande's data set (translated): Dead rescue a seven month old baby with mother on a ship off the coast of Fuerteventura (Jul 19, 2006)"/>
        <s v="suicide, asylum seeker detained at Foreigners Registration Crentre, Pabrade (LT) (Jul 15, 2006)"/>
        <s v="asylum seeker strangled from policeman in social welfare office in Trondheim (N) (Jul 8, 2006)"/>
        <s v="found when boat arrived on Tenerife (E), died by dehydration during crossing  (Jul 6, 2006). From Del Grande's data set (translated): Boat rescued off the Canary Islands, on board 3 dead (Jul 7, 2006)"/>
        <s v="bodies found on the coasts of Canary Islands (E) (Jul 6, 2006)"/>
        <s v="drowned, 2 small boats capsised on way to Spain, one crashed with coast guard vessel (Jul 2, 2006)"/>
        <s v="3 people die in an attempt to climb over the barrier of the border of the Spanish enclave of Melilla (Jul 3, 2006)"/>
        <s v="stowaways, found dead on a lorry arrived in Bari (I) from Durazzo (AL) (Jul 2, 2006)"/>
        <s v="Explodes a rebellion of hundreds of Nigerian migrants detained in al-Fellah prison in Tripoli, awaiting deportation. The police opened fire: 2 dead, both Nigerians (Jul 1, 2006)"/>
        <s v="drowned, 3 found, 13 missing after shipwreck 200 km near El Aai√Ä√¥n (MA) way to E (Jun 28, 2006)"/>
        <s v="It is a boat capsized off the coast of Naila, 200 km from Laayoun, 16 drowned (Jun 27, 2006)"/>
        <s v="Unearthed from the fishermen's nets of Laayoun the remains of three migrants drowned en route to the Canary Islands, including the body of a three year old girl (Jun 27, 2006)"/>
        <s v="found dead on a fishing boat with 266 survivors near the coasts of Malta on way to I (Jun 26, 2006)"/>
        <s v="Boat rescued off Malta, on board 2 dead (Jun 27, 2006)"/>
        <s v="drowned after shipwreck, found by Turkish Coast Guard near Kusadasi (MA)  (Jun 25, 2006). From Del Grande's data set (translated): The Turkish Coast Guard recovers at sea off the coast of Kusadasi corpses of 5 people, including 3 children, drowned in a sh"/>
        <s v="stowaway, died from heat exhaustion 2 weeks later found in roadside in Essex (GB) (Jun 21, 2006)"/>
        <s v="suicide, found hanged in Asylum Centre in Hansthholm (D) after asylum claim rejected (Jun 18, 2006)"/>
        <s v="died of dehydration and hypothermia in hospital after boat landed in Arguineguin (E) (Jun 11, 2006)"/>
        <s v="died of dehydration and hypothermia, found in boat landed in Arguineguin (E)  (Jun 11, 2006)"/>
        <s v="Shipwreck off Malta: 3 dead, 8 missing (Jun 9, 2006)"/>
        <s v="reportedly drowned, missing, fell from boat during repatriation leaving NL to Africa  (Jun 7, 2006)"/>
        <s v="found in Bologna det. cr. (I), overdose by antiepileptic medicine, he wasn t epileptic (Jun 7, 2006)"/>
        <s v="died in detention centre in Bologna (I) sparking a revolt (Jun 7, 2006)"/>
        <s v="drowned,  on way Canary Islands (E), found by fishermen off Cape Bojard (MA) (Jun 6, 2006)"/>
        <s v="drowned, after boat sank 2.5km of Island Samos (GR) sailing with 22  saved by vassel (Jun 5, 2006). From Del Grande's data set (translated): Shipwreck off the island of Samos, a child dies (Jun 7, 2006)"/>
        <s v="He died a young man in a boat game from Morocco after four days adrift off the coast of Almeria (Jun 5, 2006)"/>
        <s v="Storm off the coast of Malta, a boat turned upside down, 14 missing, only 1 body recovered (Jun 4, 2006)"/>
        <s v="Recovered from the waters of the coast of Ragusa, the bodies of four men drowned (Jun 3, 2006)"/>
        <s v="died bodies rempatriated from Spain to Morocco with other 433 migrants (May 29, 2006). From Del Grande's data set (translated): Repatriated from Morocco 433 Senegalese. On board the plane even the bodies of drowned migrants 7 (May 30, 2006)"/>
        <s v="died in minefield crossing Turkish-Greek border  (May 29, 2006)"/>
        <s v="stowaways, small truck crashed into parked trailer on highway near Osmaniye (TR) (May 18, 2006). From Del Grande's data set (translated): A truck with immigrants on board collided with a truck in southern Turkey, near the province of Adana, Osmaniye: 44 d"/>
        <s v="found on boat caught up in storm near Sfax (Tunisia) on way from Libya to Italy (May 17, 2006). From Del Grande's data set (translated): Sailed from Libya to Italy, a vessel reverses course for lack of fuel, but a storm sends it adrift off the coast of Sf"/>
        <s v="no medical treatment, got lower priority for heart transplant than GB citizens (May 14, 2006)"/>
        <s v="26 missing, 11 found mummified in boat drifting near the Caribbean on way to Spain  (May 12, 2006). From Del Grande's data set (translated): Recovered off the coast of Barbados in the Caribbean, a boat adrift for three months, having left Cape Verde for S"/>
        <s v="suicide, jumped under train, he lost work permit after refusal of asylum claim (GB) (May 12, 2006)"/>
        <s v="drowned after their rubber boat broke up trying to reach Canary Islands (E) (May 9, 2006)"/>
        <s v="drowned, bodies found on the beach of Torretta Granitola near Mazara del Vallo (I) (May 8, 2006)"/>
        <s v="found by Local Police officer on beach of the Caleta del Mero (E)  (May 7, 2006)"/>
        <s v="suicide, found hanged at Greenbank Drive Centre (GB) after asylum claim refused (May 6, 2006)"/>
        <s v="body found on board of a boat near Cabo de Gata (E)   (May 5, 2006)"/>
        <s v="reportedly drowned, shipwreck off M on way to I, fled from Hal Far and Safi det.cr. (May 2, 2006)"/>
        <s v="drowned, shipwreck off Ahrax Point (M) on way to I, fled from Hal Far and Safi det.cr.  (May 2, 2006)"/>
        <s v="It sinks off the coast of Kusadasi small boat direct to the Greek island of Samos, 1 dead and 1 missing (May 3, 2006)"/>
        <s v="died of asthma attack in detention Centre in Trajal, Ceuta (E/MA) awaiting espulsion  (Apr 26, 2006). From Del Grande's data set (translated): Dies of an asthma attack a man imprisoned in a detention center for undocumented immigrants to Tarajal, the Span"/>
        <s v="drowned after shipwreck near Kenitra (MA) trying to reach Spain (Apr 24, 2006). From Del Grande's data set (translated): Shipwreck a few hundred meters from the coast of Moulay Bousselham, near Kenitra. 25 migrants lost at sea (Apr 25, 2006)"/>
        <s v="body found on the shore of El Tarajal (E) trying to arrive in Ceuta (E/MA) (Apr 24, 2006). From Del Grande's data set (translated): Recovered on the beach Tarakhal the body of a young man drowned trying to reach the Spanish enclave of Ceuta in swimming (A"/>
        <s v="reportedly stowaway, fell from truck dragged a mile along A14, Cambridegeshire (GB) (Apr 22, 2006)"/>
        <s v="murdered, shot by the police during a street riot in Germany (Apr 13, 2006)"/>
        <s v="drowned, missing, after boat carrying 29 sank off Turkey s West coast, way to Greece (Apr 11, 2006)"/>
        <s v="1 thrown overboard, 1 found on boat with 66 survivors intercepted off Tenerife (E) (Apr 7, 2006)"/>
        <s v="drowned, 1 found, 14 missing after boat capsized 111 miles off Malta s coasts (Apr 5, 2006)"/>
        <s v="drowned in shipwreck on way from Mauritania to Canary Islands (E)  (Apr 3, 2006). From Del Grande's data set (translated): Shipwreck off the coast of the Canary Islands, 32 dead, had left from its shores (Apr 4, 2006)"/>
        <s v="drowned triying to reach the coasts of Tenerife (E) (Apr 2, 2006)"/>
        <s v="drowned while swimming to the island of Lesvos (GR), after boat sank 80m from coast (Mar 31, 2006)"/>
        <s v="Hospitalized in intensive care a man fell from a height of 8 meters trying to scavalcavare the barrier on the border with the Spanish enclave of Ceuta Morocco (Mar 29, 2006)"/>
        <s v="bodies found on the shore of Cabo Blanco (E) (Mar 17, 2006). From Del Grande's data set (translated): Found on the beaches of Cap Blanc, Nouadhibou, the bodies of three castaways (Mar 18, 2006)"/>
        <s v="missing, disappeared on way from Laayoune (MA) to Canary Islands (E)   (Mar 16, 2006)"/>
        <s v="found by Guardia Civil near the port of Spanish north African enclave Melilla (E/MA) (Mar 15, 2006)"/>
        <s v="drowned on way to Spain, bodies retrieved in the waters of Mauritania by Spanish ship (Mar 14, 2006). From Del Grande's data set (translated): The humanitarian ship Esperanza del Mar recovered 25 bodies and 120 km from Nouadhibou, another 50 people could "/>
        <s v="Rescued boat drifting live in the Canary Islands. On board 12 deaths (Mar 13, 2006)"/>
        <s v="shot by Moroccan border guard trying to cross the border fence in Melilla (E/MA) (Mar 11, 2006)"/>
        <s v="stowaway, fell in a field in Vivantes (F) from the wheelbay of a plane from North Africa  (Mar 8, 2006)"/>
        <s v="found near Los Ancones (E), body thrown overboard by boat landed in Lanzarote (E) (Mar 8, 2006)"/>
        <s v="suicide, hanged under bridge, asylum claim refused (GB); known also as Paul Kiese (Mar 8, 2006)"/>
        <s v="Rescued 350 km south of Dakhla vessel in distress directly to the Canary Islands, a dead man on board (Mar 8, 2006)"/>
        <s v="drowned, 26 found, 4 missing, shipwreck near El-Ayun (MA), way of Canary Isl. (E) (Mar 6, 2006)"/>
        <s v="died climbing border fence in Melilla (E/MA), reportedly one shot by border guards (Mar 6, 2006)"/>
        <s v="3 found dead in a truck ferried to Bari from Durres (Albania), in which were hidden (Mar 7, 2006)"/>
        <s v="45 people drowned in two shipwrecks off the coast of Mauritania, were directed to the Canaries (Mar 6, 2006)"/>
        <s v="drowned, bodies found off the coast of Ragusa (I) (Mar 5, 2006)"/>
        <s v="Boat sinks off Ahrax Point, 1 dead and 9 missing. Escaped from the detention center in Hal Far and Safi were to Sicily (Mar 5, 2006)"/>
        <s v="Young falls into the water and drowned a hundred meters from the beach of Tenerife in the Canary Islands (Mar 4, 2006)"/>
        <s v="Shipwreck off the coast of Cabo de Gata, Almeria. At least 28 missing (Feb 27, 2006)"/>
        <s v="stowaways, died of asphyxia, found on a ship arrived in Canary Isl. from Ivory Coast (Feb 21, 2006). From Del Grande's data set (translated): Found 4 crew died of asphyxiation in the hold of the Panamanian freighter C-Akabey party from the Ivory Coast and"/>
        <s v="found on a boat, died of hypothermia, starvation and epileptic crises on way to Spain (Feb 21, 2006)"/>
        <s v="Two shipwrecks in Mayotte, 7 recovered corpses, including those of 6 matches pregnant women to give birth on the French island, and 6 missing (Feb 21, 2006)"/>
        <s v="Sinking a boat 30 meters from the coast of Oinousses, near Chios, 1 dead (Feb 20, 2006)"/>
        <s v="baby of asylum family died of dehydration in Fairfield Hospital (GB), no medical aid  (Feb 19, 2006)"/>
        <s v="Shipwreck near the island of Alboran, 2 drowned (Feb 19, 2006)"/>
        <s v="drowned, pantera with 24 passengers capsized off Island of Alboran/Almeria (E) (Feb 18, 2006)"/>
        <s v="drowned, after boat of 32 left from Jbel Boudinar (MA) and capsised off Almeria (E) (Feb 18, 2006)"/>
        <s v="drowned, dinghy carrying 6 Afghans sank off Chios (GR) on way from Turkey (Feb 18, 2006)"/>
        <s v="reportedly drowned, after shipwreck off the Libyan coast on way to Italy (Feb 17, 2006). From Del Grande's data set (translated): Shipwreck off the coast of Libya in a boat heading to Italy, 9 dead (Feb 18, 2006)"/>
        <s v="frozen, died while crossing the Bulgarian-Greek border on mount Falakon (Feb 14, 2006)"/>
        <s v="died of a shock after his cousin was beaten up by border guards in Patras port (GR) (Feb 12, 2006)"/>
        <s v="drowned, shipwreck near Dakar sea due to stormy waters, they left from Senegal (Feb 11, 2006)"/>
        <s v="died of dehydration and hypothermia in hospital after boat landed in Tenerife (E) (Feb 11, 2006)"/>
        <s v="died of hunger and thirst, bodies thrown overboard during journey to reach Italy (Feb 8, 2006)"/>
        <s v="died in car accident trying to escape police in Germany after being smuggled from Cz  (Feb 7, 2006)"/>
        <s v="drowned after shipwreck in the Mediterranean sea (Feb 5, 2006)"/>
        <s v="drowned, 1 found, 1 missing, shipwreck near Kusadasi (TR) on way to Samos Isl. (GR) (Feb 4, 2006)"/>
        <s v="starvation, 2 thrown overboard, 1 body found on a boat docked on Canary Isl. (E) (Dec 31, 2006). From Del Grande's data set (translated): Landing in the Canary Islands, a dead man on board for hypothermia; abandoned at sea the bodies of two other victims "/>
        <s v="died, smugglers forced them overboard to easily escape from Samos Coast Guard (GR) (Dec 31, 2006)"/>
        <s v="suicide, found hanged at friend s home in Bedford (GB) after being denied a visa extension (Dec 31, 2006)"/>
        <s v="drowned, shipwreck near Algeria trying to reach Sardinia (I) (Dec 30, 2006)"/>
        <s v="drowned, 9 found, 11 missing, 2 boats sank 60 km Sud of Laayoune (MA) way to Spain (Dec 29, 2006). From Del Grande's data set (translated): Shipwreck in Tarfaya, on the route to the Canary Islands, the witnesses speak of 20 dead lost at sea, including 4 c"/>
        <s v="Recovered on the coast of Tarfaya 9 corpses (Dec 30, 2006)"/>
        <s v="Hit by a bullet of Moroccan auxiliary forces while trying to climb over the double fence of the Spanish border in Melilla, a young man is killed (Dec 24, 2006)"/>
        <s v="stabbed by MA police in Rabat, deportation operation to prevent migration to Europe (Dec 22, 2006)"/>
        <s v="He died of kidney failure a man deported in the city of Oujda on the border with Algeria (Dec 21, 2006)"/>
        <s v="died of starvation, bodies thrown overboard boat wrecked in Yoff(Mauritania) way to E (Dec 19, 2006)"/>
        <s v="reportedly drowned, missing, boat capsized on way form Djiffer (Senegal) to Spain   (Dec 15, 2006). From Del Grande's data set (translated): Rescued a canoe off the coast of Saint Louis. Live in the Canary Islands, a storm had sent adrift for two weeks. 1"/>
        <s v="died trying to reach Canary Islands (E), boat found near Anfrift (MA) (Dec 13, 2006)"/>
        <s v="Found decomposing torso, probably a woman, along the beaches of Marsascala (Dec 14, 2006)"/>
        <s v="drowned, boat with 29 survivors wrecked near Dakar (Senegal) way to Canary Isl. (E) (Dec 12, 2006). From Del Grande's data set (translated): Rejected in Moroccan waters by vessels of Frontex, a Senegalese pirogue live in the Canary Islands was forced to r"/>
        <s v="died in hospital, boat wrecked near Dakar (Senegal) on way to Canary Islands (E) (Dec 12, 2006)"/>
        <s v="reportedly drowned, 9 missing 1 found advanced state decomposition near Fouka (DZ) (Dec 9, 2006)"/>
        <s v="body found in advanced state of decomposition near the coast of Foukat (DZ) (Dec 9, 2006)"/>
        <s v="Tips vessel departed from Restinga Smir, Tetouan, and live in Ceuta, a man drowned (Dec 10, 2006)"/>
        <s v="missing, boat at the mercy of the waves sent SOS signal near Lampedusa (I) (Dec 8, 2006)"/>
        <s v="Two died on the ferry Zadar-Ancona, killed by the fumes of the load of the truck they were traveling hidden (Dec 9, 2006)"/>
        <s v="died of starvation in boat instructed to change route by Spanish coastguard (Dec 7, 2006)"/>
        <s v="A dead man killed by gunfire during a Moroccan army assault on the grillage of the Spanish border in Melilla (Dec 8, 2006)"/>
        <s v="died of starvation: 4 thrown overboard boat on way from MA to E; 1 died in hospital MA (Dec 7, 2006)"/>
        <s v="suicide, jumped from 5th floor of an induction centre for asylum seekers in Margate (GB) (Dec 7, 2006)"/>
        <s v="Landing in the Canary Islands, two deaths from hypothermia (Dec 7, 2006)"/>
        <s v="stowaway, died from heat exhaustion in back of a truck in a roadside in Essex (GB) (Dec 5, 2006)"/>
        <s v="found dead on a drifitng boat off Capeverdian islands on way to the Canary Island. (Dec 2, 2006). From Del Grande's data set (translated): Rescued a boat of migrants to 300 nautical miles from the Canary Islands. On board 1 dead. Another 18 people have di"/>
        <s v="He died one of the four migrants admitted to the hospital for hypothermia Candelaria, Tenerife, after landing the day before the Canaries (Dec 3, 2006)"/>
        <s v="It sinks off the coast of the Gulf of Edremit vessel direct to the Greek island of Samos, 3 missing (Dec 2, 2006)"/>
        <s v="found on boat with 15 survivors rescued by ARC sailing ship, way from Africa to Spain (Nov 29, 2006). From Del Grande's data set (translated): Boat rescued off the Canary Islands, 1 died on board (Nov 30, 2006)"/>
        <s v="missing after boat capsized near Laayoune (MA) on the way to Spain (Nov 25, 2006)"/>
        <s v="drowned, young activist for human rights, boat sank near Laayoune (MA) on way to E (Nov 25, 2006)"/>
        <s v="drowned, washed ashore after boat capsized near Laayoune (MA) on the way to Spain  (Nov 25, 2006). From Del Grande's data set (translated): Two shipwrecks along the coast of Laayoun, 14 dead and 17 missing (Nov 28, 2006)"/>
        <s v="died in Ceuta (E/MA) hospital, accepted for 2 weeks after boat on way from MA sank (Nov 20, 2006). From Del Grande's data set (translated): He died at the hospital in Ceuta young migrant hospitalized November 9, when it was thrown into the sea from the bo"/>
        <s v="drowned, 1 found, 2 missing, boat capsized off Izmir s (TR) coast on way to Greek  (Nov 18, 2006)"/>
        <s v="drowned after boat capsized near Seferihisar (TR) trying to reach GR coast (Nov 11, 2006)"/>
        <s v="died of injures bodies thrown overboard, gas bottle explosion on ship from Dakar (SN)  (Nov 7, 2006)"/>
        <s v="died of injures after gas bottle explosion, found on a ship from Dakar (SN)  (Nov 7, 2006)"/>
        <s v="reportedly stowaway hidden under vehicle, dead body found on A3 near Clanfield (GB) (Nov 4, 2006)"/>
        <s v="Fished out a dead body in the waters of Fouka, at least 10 missing on route from Spain to Ghazaouet (Nov 2, 2006)"/>
        <s v="died of heart attacked during police custody in Athens (GR) in fear of deportation (Oct 31, 2006)"/>
        <s v="drowned sailing to Spain from Wahran (Algeria) (Oct 26, 2006)"/>
        <s v="suicide, after waiting for asylum claim for 8 years in NL, having psychological trauma (Oct 26, 2006)"/>
        <s v="Tips direct boat in Spain, 8 km off the coast of Bousfer, Oran: 6 dead, 6 missing (Oct 26, 2006)"/>
        <s v="Recovered at sea the decomposed bodies of drowned migrants 3 (Oct 25, 2006)"/>
        <s v="Recovered the body of the third victim of the sinking of yesterday (Oct 25, 2006)"/>
        <s v="drowned, 3 found, 1 missing shipwreck 8 miles from Malta on way from Libya to Italy (Oct 23, 2006). From Del Grande's data set (translated): Shipwreck off the island, 4 missing (Oct 26, 2006)"/>
        <s v="Boat capsizes, die a man and a woman pregnant (Oct 24, 2006)"/>
        <s v="drowned, after shipwreck near Restinga Smir (MA) trying to reach Ceuta (E/MA) (Oct 11, 2006)"/>
        <s v="reportedly drowned, missing after boat sank near Kithira Island (GR) (Oct 9, 2006). From Del Grande's data set (translated): Shipwreck near the coast of Antikythera, 40 people missing at sea (Oct 11, 2006)"/>
        <s v="died in minefield after entered in Vyssas area, in Evros (Greek/Turkish border) (Oct 8, 2006)"/>
        <s v="suicide, reportedly selfharm, kept in HMP Rye Hill (GB) under Imm.Act pending depor. (Oct 5, 2006)"/>
        <s v="A sinking boat off the Canary Islands, 20 missing"/>
        <s v="suicide, asylum seeker hanged himself in his flat in Rochdale (GB), fear of deportation  (Oct 1, 2006)"/>
        <s v="reportedly drowned near Algerian coast, disappeared in an attempt to reach Spain (Jan 29, 2006). From Del Grande's data set (translated): 9 matches missing people from the coast of Oran on a boat of luck and headed to Spain (Jan 30, 2006)"/>
        <s v="died after arson attack on detention Centre Schrassing (L) (Jan 29, 2006)"/>
        <s v="died after falling from balcony, escaping police search in his flat in Plumstead (GB) (Jan 23, 2006)"/>
        <s v="drowned, 3 bodies found, 5 missing, boat capsised off the coast of Al-Hoceima to Spain (Jan 22, 2006). From Del Grande's data set (translated): Tips from a boat party at Hoceima and to Spain. 3 dead and 5 missing (Jan 24, 2006)"/>
        <s v="found frozen on dinghy from TR to GR carrying migrants from Pakistan and Bangladesh (Jan 20, 2006). From Del Grande's data set (translated): 2 inflatable boats rescued off the island of Evia, on board 3 dead frostbitten (Jan 23, 2006)"/>
        <s v="suicide, found hanged in Harmondsworth Immigr. Removal Cr. (GB) facing deportation  (Jan 18, 2006)"/>
        <s v="died of starvation thrown overboard boat landed on Yoff (Senegal) trying to reach E (Jan 11, 2006)"/>
        <s v="suicide, hanged himself in Detention Centre in Marseille (F) waiting for deportation  (Jan 11, 2006)"/>
        <s v="stowaway, found in a truck in Ancona (I), suffocated by the gas-water in the truck (Jan 11, 2006)"/>
        <s v="bodies thrown overborad, boat rescued by ARC sailing ship, way from Africa to Spain (Jan 10, 2006)"/>
        <s v="stowaway, died after being run over by the lorry he had been hiding under in Harlow (GB) (Jan 10, 2006)"/>
        <s v="suicide, set himself on fire in his car in Stockton (GB), feared being sent back to Iraq (Jan 9, 2006)"/>
        <s v="reportedly drowned, found in advanced state of decomposition near Malta  (Jan 9, 2006)"/>
        <s v="died on way to hospital after their boat capsized near Malta (Jan 9, 2006)"/>
        <s v="died after been rescued off  El Hierro, Canary Islands (E) after their boat sank (Jan 8, 2006)"/>
        <s v="reportedly drowned, missing afer boat sank near the coasts of Crete Island (GR) (Jan 8, 2006)"/>
        <s v="drowned, boat hit rocks near Hania (GR) on the way from Egypt to Italy (Jan 8, 2006)"/>
        <s v="died in Mauritania Hospital after gas bottle explosion in ship from Dakar (SN)  (Jan 7, 2006)"/>
        <s v="drowned, bodies washed up near Blibilat coasts (MA), trying to reach Canary Isl. (E) (Jan 7, 2006)"/>
        <s v="reportedly died of starvation on the way to Lampedusa (I), bodies thrown overboard (Jan 7, 2006)"/>
        <s v="died of starvation crossing from Libya to Lampedusa (I), parents throw her overboard  (Jan 7, 2006)"/>
        <s v="suicide, in his house in Vlissingen (NL) in fear of deportation  (Jan 7, 2006)"/>
        <s v="car accident in Dannenreich (D) fleeing from a police chase during an identity control  (Jan 7, 2006)"/>
        <s v="drowned, bodies washed up onto the Atlantic sea after a boat sank off Western Sahara (Jan 6, 2006)"/>
        <s v="died during attempts to reach Canary Islands (E) from Mauritanian coast (Jan 6, 2006)"/>
        <s v="He died at the hospital in Nador a young man wounded by gunfire Spanish police while trying to climb over the networks of the border of Melilla one month before (Jan 7, 2006)"/>
        <s v="body found in his flat in London, one of best runners in GB, trained despite living on ¬¨¬£25/w (Jan 5, 2006)"/>
        <s v="died of starvation, boat found adrift after leaving from Cape Verdian to Canary Isl. (E) (Jan 4, 2006)"/>
        <s v="drowned, shipwreck near Lampedusa (I), reattempt by one of deported Cap Anamur 37   (Jan 3, 2006)"/>
        <s v="Small boat sank near the island Lesvos, 1 dead (Jan 4, 2006)"/>
        <s v="suicide, drank antifreeze, feared to be separated from her daughter by immigration officials  (Jan 3, 2006)"/>
        <s v="murdered, fell while crossing border Iran-TR, trafficker cut their throat as they couldn t go on (Jan 1, 2006)"/>
        <s v="leg broken when running between Iran and TR, the group had to leave him behind (Jan 1, 2006)"/>
        <s v="Shipwreck off the Canary Islands, 3 dead, 14 missing (Oct 1, 2005)"/>
        <s v="Intercepted by the Guardia Civil boat a lot from Nador to Ceuta. A witness complaint: 3 dead passengers thrown into the sea by the military (Oct 1, 2005)"/>
        <s v="found off the coast of Agrigento (I), drowned after a massive disembarkment (Sep 28, 2005)"/>
        <s v="It sinks off the coast of Cyprus a ship sailed from Mersin in Turkey and live in Greece, 1 dead and 33 missing (Sep 28, 2005)"/>
        <s v="died shot by Moroccan border guards, attempting to enter in Ceuta (E/MA) (Sep 27, 2005). From Del Grande's data set (translated): Assault on the barriers of the Spanish border in Morocco, Ceuta, 5 killed by gunfire or crushed in the crowd, 28 injured (Sep"/>
        <s v="drowned, after boat capsised in stormy waters off the North coast of Cyprus (Sep 26, 2005)"/>
        <s v="drowned, jumped off stranded boat off the coast of Sicily, near marina di Palma (I) (Sep 26, 2005)"/>
        <s v="Vessel in distress rescued off Lampedusa, 6 missing (Sep 24, 2005)"/>
        <s v="A truck carrying immigrants falls into a ravine after an accident in the province of Erzurum: 6 dead and 50 injured (Sep 23, 2005)"/>
        <s v="drowned off the coast of Morocco, near Dakhla, on their way to Canary Islands (Sep 20, 2005). From Del Grande's data set (translated): Sinking a boat just off the coast of Dakhla game, 500 km south of Laayoun. 2 bodies recovered, at least 16 missing (Sep "/>
        <s v="found dead on a boat off the coast of Tunisia, traveling from Libya to Italy (Sep 20, 2005)"/>
        <s v="shot by a Turkish coast guard while on a boat on its way to Greece (Sep 18, 2005). From Del Grande's data set (translated): Coast Guard fires on a small boat that refuses to stop, off the coast of Chios. On board 30 people, 1 dead, 2 injured (Sep 20, 2005"/>
        <s v="died in Melilla Hospital (E/MA) after attempt to enter the Spanish enclave (Sep 14, 2005)"/>
        <s v="Assault on the barriers of the Spanish border in Melilla, Morocco. A young man dies hit by a rubber bullet fired by the Guardia Civil. Another man lost his life after serious injuries in a crash while fleeing from the men of the Moroccan armed forces (Sep"/>
        <s v="Sinking a boat heading to Greece in the Gulf of Saros, 4 dead (Sep 15, 2005)"/>
        <s v="suicide, found hanged at Yarl  s Wood Removal Cr. (GB) so that his son could stay in GB  (Sep 14, 2005)"/>
        <s v="suicide,found drowned at Salford Quays (GB) (Sep 13, 2005)"/>
        <s v="1 found dead on the beach in Agrigento, Sicily (Sep 13, 2005)"/>
        <s v="Macedonian police shooting of a woman trying to illegally cross the border with Greece. Badly injured (Sep 13, 2005)"/>
        <s v="found dead, on a street in Geneva (CH), expelled from immigration centre (Sep 12, 2005)"/>
        <s v="Dead boy injured trying to cross the barriers of the Spanish border in Melilla in Morocco (Sep 12, 2005)"/>
        <s v="blown in minefield at the TR-GR border. Bodies found by authorities in Kastanies (GR) (Sep 11, 2005)"/>
        <s v="Stranded boat near Gela, Sicily, in 170 on board were forced to jump overboard. 11 dead, 10 missing (Sep 11, 2005)"/>
        <s v="Hidden in the back of a truck, muoino 4 people in a car accident. They were attempting to enter Greece illegally (Sep 10, 2005)"/>
        <s v="suicide, found hanged in his flat in Middleton (GB) after asylum claim was refused (Sep 3, 2005)"/>
        <s v="1 dead in Melilla, killed, according to witnesses, by the Guardia Civil (Sep 2, 2005)"/>
        <s v="died of injuries sustained attempting to enter the Spanish enclave of Melilla (E/MA) (Aug 28, 2005). From Del Grande's data set (translated): 2 dead in Melilla, in an attempt to climb over the barriers of the Spanish border in Morocco (Aug 27, 2005)"/>
        <s v="25 died in a shipwreck on the routes between Anjouan and Mayotte (Aug 22, 2005)"/>
        <s v="drowned, after boat capsized south of Malta (Aug 18, 2005)"/>
        <s v="Rescued boat to Tenerife Largo, on board 2 dead (Aug 16, 2005)"/>
        <s v="drowned, jumped off the boat while disembarking in Lampedusa (I) (Aug 15, 2005)"/>
        <s v="stowaways, suffocated in container coming from Casablanca (MA) in Rotterdam (NL) (Aug 12, 2005). From Del Grande's data set (translated): 4 found dead in a container at the port of Rotterdam, the ship that carried him had departed from Casablanca (Morocco"/>
        <s v="suicide at asylum centre in Hechtel-Eksel (B), previously attempted suicide twice (Aug 11, 2005)"/>
        <s v="Sinking boat off the coast of Crete immediate relief. 1 dead (Aug 8, 2005)"/>
        <s v="2 drowned, 7 missing after boat capsized off the coast of Lesvos (GR) (Aug 7, 2005). From Del Grande's data set (translated): Sinking boat off the coast of Lesvos. 2 dead, 7 missing (Aug 26, 2005)"/>
        <s v="Shipwrecked boat direct to the Canaries. 23 dead bodies recovered (Aug 6, 2005)"/>
        <s v="Dispersed boat in the Strait of Sicily, 130 people on board, had asked for help with a mobile satellite (Aug 5, 2005)"/>
        <s v="Brussels, 1 found dead in the undercarriage of a plane of Morocco (Aug 3, 2005)"/>
        <s v="A young man dies killed by a police bullet on the beach Mrirt, Nador. The soldiers were shooting to prevent a group of emigrants to embark on a boat for Spain (Aug 2, 2005)"/>
        <s v="drowned after small boat capsised in attempt to reach Kos island in the Aegean Sea (Jul 19, 2005)"/>
        <s v="drowned, after their boat capsized off the coast of Turkey near Izmir (Jul 12, 2005). From Del Grande's data set (translated): Boat capsized off the coast of Greece in direct Izmir, 3 dead (Jul 14, 2005)"/>
        <s v="Shipwreck off Malta, 7 missing (Jul 11, 2005)"/>
        <s v="suicide, set fire to himself at accommodation cr.in Bristol (GB) in fear of deportation. (Jul 6, 2005)"/>
        <s v="Vicenza: 2 people found dead in truck in which they were traveling hidden (Jul 4, 2005)"/>
        <s v="reportedly drowned after 10-day sail from Al-Hoceima (MA) to Spain (Jul 1, 2005)"/>
        <s v="burnt alive, found tied to a bed in a police cell in Dessau (D), case under investigation (Jun 30, 2005)"/>
        <s v="died in Bremen (D), forced to drink medication by police in search for drugs (Jun 30, 2005)"/>
        <s v="suicide, found hanged at Campsfield Removal Cr.(GB) after 3rd as. claim was refused (Jun 26, 2005)"/>
        <s v="drowned, after boat capsized off the coast of Turkey near Dikili (Jun 25, 2005). From Del Grande's data set (translated): Boat capsized off the coast of Greece in direct Dikili, 2 dead (Jun 27, 2005)"/>
        <s v="reportedly drowned in stormy waters off Malta; Maltese rescue-team came too late (Jun 22, 2005). From Del Grande's data set (translated): Disappearance boat off the coast of Malta. 27 people on board, had asked for help with a mobile satellite (Jun 24, 20"/>
        <s v="Rescued by boat drifting 10 days off of Gran Canaria, in the Canary Islands. 11 people died on the journey and their bodies thrown overboard by his companions. Another man dies of a heart attack just landed (Jun 20, 2005)"/>
        <s v="Three men died poisoned by the fumes of the cargo ship on which they traveled to Denmark hidden (Jun 19, 2005)"/>
        <s v="Returning from Libya remains a jeep broke down more than 300 km from Agadez. Two of the 16 passengers march on foot to a hundred kilometers to the oasis dell'Arbre du Tnr. The other 14 die of dehydration (Jun 18, 2005)"/>
        <s v="11 died in the sinking of a kwass kwassa party from Anjouan and sunk north of Mayotte, between Acoua and M'Tsangamouji (Jun 17, 2005)"/>
        <s v="Hidden on a Dutch ship live in Greece, the captain discovers them and throws them overboard. 2 men drowned (Jun 16, 2005)"/>
        <s v="4 drowned trying to cross the Danube into Austria from Slovakia (Jun 16, 2005)"/>
        <s v="3 drowned along the river Oder-Neisse border Poland-Germany. Recovered at the same time the body of a man found dead on the border between Germany, Austria and the Czech Republic (Jun 16, 2005)"/>
        <s v="Found in the sea 5 km south of Mogan, Gran Canaria island, the corpse of a drowned girl pregnant in her sixth month (Jun 15, 2005)"/>
        <s v="drowned, after their boat sank off the coast of Morocco on their way to Spain (Jun 12, 2005)"/>
        <s v="drowned, after shipwreck off the coast of Tanger on their way from Morocco to Spain. (Jun 12, 2005). From Del Grande's data set (translated): Sinking boat off the coast of Tangier, 12 deaths (6 women and 6 children) (Jun 13, 2005)"/>
        <s v="died in the attempt of entering the enclave of Melilla (E/MA) (Jun 9, 2005)"/>
        <s v="drowned after his boat sank off the southern coast of Crete (GR) (Jun 7, 2005)"/>
        <s v="2 drowned trying to swim to the beach Benz, the Spanish enclave of Ceuta (Jun 4, 2005)"/>
        <s v="It sinks off Ayvacik, near Canakkale, a boat heading to Greece, 4 missing (May 30, 2005)"/>
        <s v="blown in a minefiled between Turkey and Greece while crossing border (May 28, 2005). From Del Grande's data set (translated): Minefield in Evros, greek-turkish border. An explosion ago 2 deaths. They tried to enter illegally in Greece (May 30, 2005)"/>
        <s v="died from dehydration near Algerian border after vehicle broke down in desert (May 26, 2005). From Del Grande's data set (translated): Discovered 600 km from Agadez the bodies of 11 young people died of thirst after an engine failure of the 4x4 with which"/>
        <s v="Found 300 meters from the beach of Benz, Ceuta, the corpse of a young man drowned trying to swim to the Spanish enclave (May 26, 2005)"/>
        <s v="found in the Sicilian Channel (I), drowned after boat capsized south of Lampedusa (I) (May 24, 2005). From Del Grande's data set (translated): Shipwreck off Lampedusa. 2 dead and 14 missing (May 25, 2005)"/>
        <s v="Sinking a ship sailed from Libya, 14 dead, 3 missing (May 16, 2005)"/>
        <s v="Ship rescued off the Canary Islands, 1 died on board (May 3, 2005)"/>
        <s v="died of exhaustion, found dead on a beach in Fuerteventura (E)  (Apr 30, 2005)"/>
        <s v="Boat rescued off the island Farmakonisi, 2 missing (Apr 26, 2005)"/>
        <s v="Small boat rammed by a freighter off the coast of Chios, 2 dead and 5 injured (Apr 26, 2005)"/>
        <s v="suicide, found hanged after 2 months detention once repatriated to Syria from CH (Apr 24, 2005)"/>
        <s v="Ship rescued in Tarifa, 1 child dead (Apr 19, 2005)"/>
        <s v="5 drowned, 19 missing, after boat sank on its way from Libya to Italy (Apr 14, 2005). From Del Grande's data set (translated): Shipwreck off the coast of Libya in a boat heading in Sicily, 5 dead and 19 missing (Apr 15, 2005)"/>
        <s v="A minibus load of migrants fleeing a checkpoint in Muradiye Van. Police fire. One dead and 3 injured (Apr 15, 2005)"/>
        <s v="2 found dead in the sea in the Strait of Sicily (Apr 13, 2005)"/>
        <s v="Off the Canary Islands sinking two ships. At least 14 dead (Apr 12, 2005)"/>
        <s v="Rescued off the coast of Oran boat adrift for nine days, had left al-Hoceima, Morocco to Spain. On board 24 survivors and two dead bodies, but they had started in 42. Probably thrown overboard by his companions the bodies of 16 more victims (Apr 11, 2005)"/>
        <s v="suicide, found dead in a security cell in Linz (A), hungerstrike in fear of deportation (Apr 9, 2005)"/>
        <s v="found dead on the coast of Tarfaya (Ma), drowned after boat capsized on way to E (Apr 7, 2005)"/>
        <s v="blown in minefield in attempt to cross the Turkish-Greek border (Apr 3, 2005). From Del Grande's data set (translated): Minefield in Evros, greek-turkish border. An explosion ago 2 dead and one wounded. They tried to enter illegally in Greece (Apr 5, 2005"/>
        <s v="died of starvation on a boat drifting near El-Hierro (E) (Mar 30, 2005)"/>
        <s v="reportedly drowned, thrown off boat by smugglers 15 miles from Punta Secca (I) (Mar 24, 2005)"/>
        <s v="drowned, thrown off boat by smugglers 15 miles from Punta Secca (I)  (Mar 24, 2005)"/>
        <s v="drowned, thown off boat by smugglers 15 miles from Punta Secca (I) (Mar 24, 2005)"/>
        <s v="Ragusa, Sicily smugglers throw passengers overboard to avoid detection of the Italian patrol boats. 6 dead, 3 missing (Mar 24, 2005)"/>
        <s v="drowned, after they were forced to jump off, found off the coast of Sicily (I) (Mar 23, 2005)"/>
        <s v="Missing a boat off the coast of Lampedusa, some 100 people on board, ignored the alarm raised by a fisherman Mazzara (Mar 24, 2005)"/>
        <s v="Fished at sea in the waters of Foum el Oeud, near Laayoun, the bodies of 30 men drowned in a shipwreck on the routes to the Canary Islands (Mar 12, 2005)"/>
        <s v="stowaway, found frozen in the landing gear of a plane in Brussels (B) (Mar 7, 2005)"/>
        <s v="36 died in a shipwreck south of Mayotte, between Sada and Bouni, a kwassa kwassa party from Anjouan (Mar 7, 2005)"/>
        <s v="drowned, found dead on the beach of Morro Besudo, Canary Islands (E) (Mar 4, 2005)"/>
        <s v="Found the body of a woman drowned in Punta Acebuche, Algeciras, Cadiz (Feb 27, 2005)"/>
        <s v="reportedly drowned near Oran (DZ) on the way from al-Hoceima (MA) to Spain (Feb 25, 2005). From Del Grande's data set (translated): Rescued off the coast of Oran boat drifting game by al-Hoceima, Morocco, and live in Spain. Lost at sea, the bodies of 35 v"/>
        <s v="died at hospital in Oran (DZ) after boat was found drifting off the coast of Tunisia (Feb 25, 2005)"/>
        <s v="Boat rescued 60 miles north of Cap Falcon, Oran. 2 dead on board (Feb 26, 2005)"/>
        <s v="drowned, found dead in a boat drifting 12 km from Cap Blanc, Oran (DZ) (Feb 24, 2005)"/>
        <s v="found dead on a boat drifting near Oran (DZ), from Morocco to Almeria (E) (Feb 24, 2005)"/>
        <s v="suicide, jumped out of window, depressed because couldn t get staying permit in D (Feb 24, 2005)"/>
        <s v="Landing in Almeria, one of the passengers died of hypothermia (Feb 22, 2005)"/>
        <s v="suicide, found hanged during period of remand, Authorities tried to suppress the case (Feb 21, 2005)"/>
        <s v="died of hypothermia shortly after arriving in Alboran (E) by boat (Feb 20, 2005)"/>
        <s v="reportedly drowned after shipwreck off the coast of Libya, on way to Italy (Feb 17, 2005)"/>
        <s v="drowned, after shipwreck off the coast of Libya, on way to Italy (Feb 17, 2005). From Del Grande's data set (translated): Sinking boat bound for Italy off the Libyan coast, 9 dead (Feb 18, 2005)"/>
        <s v="suicide, found hanged in HM Prison in Wandsworth (GB) (Feb 13, 2005)"/>
        <s v="12 drowned, 18 missing boat with 36 migrants to Greek capsized near Cesme (TR) (Feb 10, 2005)"/>
        <s v="suicide, set herself on fire in Bradford (GB), depression after losing asylum appeal (Feb 6, 2005)"/>
        <s v="murdered by Yemeni authorities, rempatriated after asylum claim was refused in NL (Dec 31, 2005)"/>
        <s v="died in detention centre Pian Del Lago (I), administered high ammount of placating  (Dec 31, 2005)"/>
        <s v="Four officers in riot gear attacked the Egyptians some 3,500 Sudanese refugees who patrol the park for three months, &quot;Mustafa Mahmoud&quot; in the residential district of Mohandessin, Cairo, just a few hundred meters from the offices of the United Nations High"/>
        <s v="drowned, body found by a scuba diver and retrieved by the Spanish Sea Rescue Team (Dec 26, 2005)"/>
        <s v="Found by a wetting the corpse of a drowned man along the beaches of Aguadulce, Roquetas de Mar, Almeria (Dec 27, 2005)"/>
        <s v="drowned, found next to plastic bins tied together that helped him cross Spanish waters (Dec 24, 2005)"/>
        <s v="2 bodies found on the coast near Tarifa (Dec 25, 2005)"/>
        <s v="drowned, found by authorities on the beach of Cadiz (E)  (Dec 23, 2005)"/>
        <s v="stowaway, died during journey to Kallo (NL), thrown from cargoship by compatriots  (Dec 20, 2005). From Del Grande's data set (translated): 2 found dead in the sea in the port of Antwerp, thrown into the water from the ship which were hidden with 8 mates "/>
        <s v="reportedly drowned after vessel capsised off the Canary Islands, only 4 bodies found (Dec 18, 2005). From Del Grande's data set (translated): Sinking boat left from Nouadhibou and direct the Canary Islands. 4 bodies recovered, at least 26 missing (Dec 19,"/>
        <s v="murdered by a shotgun in Kingston (Jamaica) 9 days after being deported from GB (Dec 10, 2005)"/>
        <s v="drowned, in the attempt of swimming to the shore of Adra (Almeria) (Dec 9, 2005)"/>
        <s v="Minefield of Kastanies, greek-turkish border. An explosion kills 2 people. They tried to enter illegally in Greece (Dec 10, 2005)"/>
        <s v="stowaways, found dead in a container on a Danish ship between Morocco and Spain. (Dec 4, 2005)"/>
        <s v="found dead near the coast of Fum Wad, El-Aiun, West Sahara (MA) (Dec 2, 2005)"/>
        <s v="drowned,found dead near coast of Fum Wad, El-Aiun, West Sahara (MA) (Dec 2, 2005)"/>
        <s v="reportedly drowned in attempt to reach Canarias from Fum al-Wad, West Sahara (MA) (Dec 2, 2005)"/>
        <s v="drowned, found in advanced state of decomposition on Tarifa beach by Guardia Civil (Nov 29, 2005)"/>
        <s v="drowned, 6 found, 12 missing after boat capsized off the coast of Gran Canaria  (Nov 27, 2005). From Del Grande's data set (translated): Shipwreck in storm 400 kilometers south of Gran Canaria. Recovered the bodies of six men, at least 12 missing (Nov 28,"/>
        <s v="shot by police, minivan way to Europa refused to stop at check point on Carikci (TR) (Nov 27, 2005). From Del Grande's data set (translated): A van load of migrants fleeing a checkpoint in Carikci, Igdir. Police fire. One dead and 4 seriously injured (Nov"/>
        <s v="found on duckboat carrying 36 migrants off the coast of Almeria during rescue attempt (Nov 26, 2005). From Del Grande's data set (translated): Localized boat off the coast of Almeria, died on board 1 (Nov 26, 2005)"/>
        <s v="drowned, reportedly fallen from duckboat due to strong winds off the coast of Almeria (Nov 26, 2005). From Del Grande's data set (translated): Boat rescued after storm in the waters of Almeria, 22 missing (Nov 26, 2005)"/>
        <s v="died after falling off a window at Villa Salus Reception Cr. for migrants in Bologna (I) (Nov 24, 2005)"/>
        <s v="died of hypothermia in attempt to cross the border between Ukraine and Slovakia (Nov 24, 2005). From Del Grande's data set (translated): Found the bodies of three dead men frozen to death on the border between Ukraine and Slovakia (Nov 25, 2005)"/>
        <s v="drowned after shipwreck near the coast of Scicli, Sicily (I) (Nov 23, 2005). From Del Grande's data set (translated): 11 bodies found along the coast of Ragusa in Sicily (Nov 25, 2005)"/>
        <s v="jumped from balcony anf fell in Den Haag (NL), in fear of arrest for deportation  (Nov 22, 2005)"/>
        <s v="Found the body of a drowned man on the beaches of Benz in Ceuta (Nov 19, 2005)"/>
        <s v="drowned after boat capsized off the coast of Sicily. Ignored by Maltese coast guards. (Nov 17, 2005). From Del Grande's data set (translated): Shipwreck off the coast of Ragusa, Sicily, 9 dead, 40 missing (Nov 18, 2005)"/>
        <s v="stowaway, driver lost control over truck attempting to escape police in Prevenza (GR) (Nov 14, 2005). From Del Grande's data set (translated): Pull off the road to avoid the checkpoint, illegally transporting 12 people direct to Athens. 1 dead, 2 injured "/>
        <s v="drowned, off the coast of Italy near Gela, traffickers - 7 Egyptians - were caught  (Nov 8, 2005)"/>
        <s v="found dead on a ship transporting migrants, stopped near the coast of Andalusia (E) (Nov 4, 2005)"/>
        <s v="Landing the island of Linosa, on board the ship 2 dead (Nov 4, 2005)"/>
        <s v="Small boat sank off the coast of Greece in direct Cesme (Turkey), 12 dead, 18 missing (Nov 4, 2005)"/>
        <s v="found dead on a boat from Morocco to Spain (Nov 2, 2005)"/>
        <s v="suicide, jumped from hospital after recovered for self harm in Lamezia Terme (I) Cr.  (Oct 31, 2005)"/>
        <s v="found on a drifting vessel off the  coast of Adra (Almeria, E) (Oct 30, 2005). From Del Grande's data set (translated): 2 dead in a boat rescued 25 miles south of Adra, Almeria (Nov 1, 2005)"/>
        <s v="burnt alive in detention cr. at Schiphol(NL).He was also known as Vitaly Khvylovyy. (Oct 25, 2005)"/>
        <s v="burnt alive after fire in detention centre at Schipol Airport (NL) (Oct 25, 2005)"/>
        <s v="burnt alive after a fire in detention centre at Schiphol Airport (NL) (Oct 25, 2005). From Del Grande's data set (translated): Fire in a detention center for foreigners awaiting deportation, Amsterdam, 11 dead (Oct 28, 2005)"/>
        <s v="Rescued vessel in distress off the coast of Crete. On board 1 dead (Oct 25, 2005)"/>
        <s v="drowned, after vessel submerged off the coast of Malta  (Oct 24, 2005). From Del Grande's data set (translated): 6 bodies found in the waters of the coast of Cirkewwa (Oct 25, 2005)"/>
        <s v="body found by greek coastguard aboard boat with 150 migrants on way to Italy  (Oct 24, 2005)"/>
        <s v="suicide, hanged himself with bed sheets while in police custody in Hamburg (D) (Oct 20, 2005)"/>
        <s v="Tamanghasset blocked and threatened by police raids in Algeria, 2 Guineans give up to Europe and take the way back on a truck bound for Kidal, Mali. But during the journey in the desert, the two they die of starvation. The bodies are buried by their fello"/>
        <s v="Found a body along the coast near Grenada (Oct 13, 2005)"/>
        <s v="reportedly drowned, missing in stormy waters in the Gibraltar Strait on way to Spain (Oct 11, 2005)"/>
        <s v="found dead on a boat carrying immigrants in Gibraltar Strait by Spanish authorities (Oct 11, 2005)"/>
        <s v="died in Birmingham hospital, after release from Yarls Wood Detention Centre (GB)  (Oct 10, 2005)"/>
        <s v="found dead on Licata Beach (I), drowned after boat got stranded south of Gela (I) (Oct 8, 2005)"/>
        <s v="shot by Greek border guard near the border with Macedonia (Oct 8, 2005)"/>
        <s v="Doctors Without Borders rescued more than 500 migrants arrested by the Moroccan army in the mountains around Ceuta and Melilla and abandoned for days in the desert on the border with Algeria, in the region of El-Aouina Souatar, in Bouarfa. Witnesses said "/>
        <s v="Assault on the barriers of the Spanish border in Morocco, Melilla, 6 deaths by gunshot or crushed in the crowd, 30 injured (Oct 6, 2005)"/>
        <s v="A man falls dall'autotreno where traveling hidden along with 5 mates and dies (Oct 6, 2005)"/>
        <s v="reportedly drowned off the coast of Algeria on way to Spain (Oct 3, 2005)"/>
        <s v="died of starvation on way to Spain,found on a boat drifting off the coast of Algeria (Oct 3, 2005). From Del Grande's data set (translated): They die at the hospital in Gran Canaria 2 men landed a few days earlier in a serious condition of hypothermia, de"/>
        <s v="reportedly drowned, after a boat carrying 15 people sank off Turkish coast (Jan 31, 2005)"/>
        <s v="drowned, after boat carrying 15 people sank off Turkish coast (Jan 31, 2005)"/>
        <s v="suicide, found hanged  in Merksplas (B), in fear of deportation (Jan 24, 2005)"/>
        <s v="suicide, found hanged in prison in Sarnen (CH) (Jan 22, 2005)"/>
        <s v="found dead on a boat drifting 480 km suth of Canary Islands (E) (Jan 18, 2005). From Del Grande's data set (translated): Located 300 km south of the Canary Islands a boat adrift. On board the bodies of 10 men died of starvation. As many may have thrown in"/>
        <s v="drwoned, 3 found, 14 missing after boat capsised off Fuerteventura in rescue attempt (Jan 9, 2005)"/>
        <s v="shot by Spanish and Moroccan police whilst trying to cross fences to Ceuta and Melilla (E) (Jan 9, 2005)"/>
        <s v="Sink a small boat to the island Samos in the Aegean Sea live. 3 dead, 13 survivors were arrested (Jan 10, 2005)"/>
        <s v="died at friends  house, beaten by security guards when he refused to be deported (Jan 9, 2005)"/>
        <s v="suicide, asylum seeker suffering from depression killed himself in Newcastle (GB) (Jan 9, 2005)"/>
        <s v="suicide, killed friend and her son, jumped from 5th floor in NL, fear of repatriation (Jan 9, 2005)"/>
        <s v="murdered, pushed down from 5th floor in NL by friend in fear of repatriation (Jan 9, 2005)"/>
        <s v="died of overheating, found on a parking place in Ludwigsfeld (D), smuggled paid $5000 (Jan 6, 2005)"/>
        <s v="Rescued a boat landed in Fuerteventura, 1 dead (Jan 6, 2005)"/>
        <s v="died of hypothermia in his mother s arms on their boat to Spain (Jan 3, 2005)"/>
        <s v="died of thirst, travelling through desert to Tumu, Niger to get to LY border (Jan 2, 2005)"/>
        <s v="missing, after being deported to Afghanistan, after a 18 months asylum in BG (Jan 2, 2005)"/>
        <s v="A ship bound for Greece tips off the Turkish coast. 2 dead, 1 missing (Jan 3, 2005)"/>
        <s v="drowned, after shipwreck off the coast of Morocco near El-Ayunan on way to Spain (Jan 1, 2005)"/>
        <s v="died crossing the Oder/Neisse border (suicide possible). German police did not record the precise date."/>
        <s v="reportedly drowned after boat sank, tragedy on the way from Vlora (AL) to Italy  (Sep 30, 2004)"/>
        <s v="froze to death on a boat on the way from Vlora (AL) to Italy (Sep 30, 2004)"/>
        <s v="died of hypothermia on a boat on the way from Vlora (AL) to Italy (Sep 30, 2004)"/>
        <s v="reportedly drowned after their boat capsized on way to Fuerteventura (E) (Sep 29, 2004). From Del Grande's data set (translated): Two French journalists landed in the Canary Islands for a report. Two traveling companions would be drowned after a boat over"/>
        <s v="suicide, set himself on fire in Paris (F) in front of his embassy (Sep 28, 2004)"/>
        <s v="drowned, fell into water playing near asylum centre in Harlingen (NL) (Sep 28, 2004)"/>
        <s v="died in detention Centre due to pulmonay embolish, lacking medical care  (Sep 26, 2004)"/>
        <s v="suicide, found hanged in an emergency accommodation in Newcastle (GB)  (Sep 25, 2004)"/>
        <s v="The Tunisian coast guard found 4 dead on board a barge directly in Italy, a fifth person is dying (Sep 24, 2004)"/>
        <s v="drowned, found dead on a boat drifting a few miles from Zarzis (TN) (Sep 20, 2004)"/>
        <s v="Off Klibia, sinking a small boat. 5 missing (Sep 21, 2004)"/>
        <s v="drowned, after their boat capsized in stormy waters off of the Greek coast near Samos (Sep 19, 2004). From Del Grande's data set (translated): Sink a small boat off the coast of Samos. 5 dead, 7 missing (Sep 13, 2004)"/>
        <s v="Found along the coast of Lesvos 5 corpses (Sep 15, 2004)"/>
        <s v="Melilla found the body of a drowned man, Hipica along the beach, a few hundred meters from the Moroccan port of Beni-Enzar (Sep 10, 2004)"/>
        <s v="reportedly drowned after shipwreck near Fuerteventura (Sep 8, 2004). From Del Grande's data set (translated): Sinking boat off the Canary Islands game from the Sahara, 5 dead (Sep 9, 2004)"/>
        <s v="reportedly drowned 50 km from Entellada-Fuerteventura (E) (Sep 8, 2004)"/>
        <s v="suicide, during his deportation from Almeria (E) to Al-Hoceima (MA) (Sep 8, 2004)"/>
        <s v="suicide, found hanged in Forest /Vorst Prison (Bruxelles), misterious circumstances (Sep 7, 2004)"/>
        <s v="drowned,body found in Lanzarote (E) (Sep 6, 2004)"/>
        <s v="Recovered the corpse of a drowned man along the beaches of Ceuta in Benz (Sep 4, 2004)"/>
        <s v="Fished in the waters of Tangier, the bodies of two castaways (Sep 3, 2004)"/>
        <s v="Found in the waters of the port of Algeciras the body of a drowned man (Aug 31, 2004)"/>
        <s v="Expelled from Libya and abandoned to the Egyptian border, 2 people died from the heat (Aug 30, 2004)"/>
        <s v="stowaways, bodies found in two trucks in Cairo (Egypt) on their way to Italy (Aug 28, 2004)"/>
        <s v="drowned, found floating near harbor of Algesiras (E) (Aug 28, 2004)"/>
        <s v="stowaway, body found in the trunk of his girlfriend's car in Genova (I) (Aug 24, 2004)"/>
        <s v="stowaway, found dead in the roof luggage rack of a car on way to Spain (Aug 23, 2004). From Del Grande's data set (translated): A boy dies suffocated in the trunk of a car aboard a ferry to Algeciras where he was hiding to pass the Spanish border (Aug 25,"/>
        <s v="1 drowned, 4 missing, boat capsized on way from Altinoluk (TR) to Lesbos Island (E) (Aug 22, 2004). From Del Grande's data set (translated): Sank off the Turkish coast in a small boat. 1 dead and 5 missing (Aug 23, 2004)"/>
        <s v="reportedly drowned, missing after shipwreck off the coast of Nord√§g√§is (Aug 21, 2004)"/>
        <s v="drowned, body found after shipwreck by fishermen off the Turkish coast of Nord√§g√§is (Aug 21, 2004)"/>
        <s v="Recovered the bodies of two men drowned off the coast of Motril, near Granada, and Los Barrios, near Cadiz (Aug 22, 2004)"/>
        <s v="drowned, found in Los Pajaritos (E), after shipwreck near Fuerteventura (E)  (Aug 20, 2004)"/>
        <s v="drowned, body found in Los Pajaritos (E), after shipwreck near Fuerteventura (E) (Aug 20, 2004)"/>
        <s v="drowned,after a shipwreck off the coast of Fuerteventura (E) (Aug 20, 2004)"/>
        <s v="Landing in Fuerteventura. At 20 meters from the shore passengers jumping into the water to touch believing. 4 of them die drowned not knowing to swim (Aug 21, 2004)"/>
        <s v="drowned, jumped overboard in fear of border guards near Motril (E) (Aug 20, 2004)"/>
        <s v="dead body found on the beach in Granada (E) (Aug 20, 2004)"/>
        <s v="stowaway, dead body found in Playa de Palmones-Los Barrios, Cadiz (E) (Aug 20, 2004)"/>
        <s v="suicide , found dead in detention centre in Rotterdam (NL), in fear of deportation (Aug 19, 2004)"/>
        <s v="drowned, found dead on the beach of El-Aai√Ä√¥n, West Sahara (MA) (Aug 16, 2004)"/>
        <s v="drowned, found dead on the beach of El-Aai√Ä√¥n, West Sahara (MA) (Aug 15, 2004)"/>
        <s v="drowned, after boat capsized with 34 people on way to Canarias (E) (Aug 15, 2004). From Del Grande's data set (translated): Sinking boat just left from Laayoune to the Canary Islands. Recovered 18 bodies, the other 16 would be dispersed (Aug 16, 2004)"/>
        <s v="arm belonging to an asylum seeker found near Uznach (CH) (Aug 14, 2004)"/>
        <s v="reportedly drowned; boat capsized with 39 people going to Fuerteventura (E) (Aug 12, 2004). From Del Grande's data set (translated): Boat rescued off the coast of Fuerteventura, in the Canary Islands. Passengers stand up to greet the rescued, but the boat"/>
        <s v="drowned, after boat capsized on its way  to Fuerteventura (E) (Aug 12, 2004)"/>
        <s v="Found the body of a drowned man along the beaches of Algeciras (Aug 10, 2004)"/>
        <s v="Sicily Channel: missing for two days two boats with 41 Somali (Aug 10, 2004)"/>
        <s v="suicide, found in Merksplas (B) detention centre, was denied medical help for depression (Aug 8, 2004)"/>
        <s v="died in overcrowded boat trying to reach Italy from Libya, thrown off the boat (Aug 7, 2004)"/>
        <s v="died during rescue of an overcrowded boat trying to reach Italy from Libya (Aug 7, 2004)"/>
        <s v="found dead, floating off the beach of Punta Carnero, Algesiras (E) (Aug 7, 2004)"/>
        <s v="died in overcrowded boat trying to reach I from Libia, bodies thrown overboard (Aug 7, 2004). From Del Grande's data set (translated): 28 deaths from starvation, hypothermia, dehydration during the crossing of the Strait of Sicily on a boat party from the"/>
        <s v="One dead and 4 wounded on antipersonnel minefields in Evros in north-eastern border with Turkey (Aug 6, 2004)"/>
        <s v="hanged himself in refugee housing facility in GB, police refused to reveal details (Aug 5, 2004)"/>
        <s v="decomposed dead body found; reportedly tried to reach Ceuta (E/MA) by swimming (Aug 2, 2004)"/>
        <s v="Off the coast of Cadiz sinks a ship, 5 bodies recovered, 25 missing (Aug 1, 2004)"/>
        <s v="drowned near Punta Paloma in Tarifa (E), after patera capsized with 33 people (Jul 30, 2004)"/>
        <s v="drowned near Punta Paloma in Tarifa (E), after boat capsized with 33 people (Jul 30, 2004)"/>
        <s v="drowned near Punta Paloma in Tarifa (E), after boat capsized  (Jul 30, 2004)"/>
        <s v="reportedly drowned after boat capsized with 33 migrants near Punta Paloma (E) (Jul 29, 2004)"/>
        <s v="suicide, found hanged in prison in Livorno (I), waiting to be put on trial (Jul 29, 2004)"/>
        <s v="suicide, found hanged in prison in Busto Arsizio (I) after 4 days of detention (Jul 27, 2004)"/>
        <s v="dead body found floating near the coast of Melilla (E/MA) (Jul 25, 2004). From Del Grande's data set (translated): Found by a wetting the corpse of a drowned man on a beach in Melilla (Jul 27, 2004)"/>
        <s v="suicide, found hanged at Dungavel det. cr. (Scotland-GB),he was denied interpreter (Jul 22, 2004)"/>
        <s v="stowaway, frozen in landing gear of airplain from Dominican Republic in D√ºsseldorf (Jul 20, 2004)"/>
        <s v="suicide, hanged himself in Harmondsworth Centre (GB) in fear of deportation (Jul 18, 2004)"/>
        <s v="suicide, fell from Colnbrook imm. Removal Centre (GB) trying to hang himself (Jul 10, 2004)"/>
        <s v="died during rescue attempt by Italian authorities in Siracusa (I) (Jul 7, 2004)"/>
        <s v="decomposing bodies were found in the southwest of the island of Crete (GR) (Jul 5, 2004)"/>
        <s v="pregnant, killed in a collision with a train at alevel crossing in Hellin (E) (Jul 4, 2004)"/>
        <s v="killed in a collision with a train at a level crossing in Hellin (E) (Jul 4, 2004)"/>
        <s v="Shipwreck in the Sicilian Channel, 30 dead (Jul 2, 2004)"/>
        <s v="reportedly drowned after shipwreck near Capo Bon (TN) (Jun 28, 2004)"/>
        <s v="drowned after shipwreck near Capo Bon (TN) (Jun 28, 2004)"/>
        <s v="suicide, shot himself in his car after his asylum claim was refused (GB) (Jun 24, 2004)"/>
        <s v="drowned, dead body found near Lampedusa (I) (Jun 23, 2004). From Del Grande's data set (translated): Fished in Lampedusa the body of a drowned man (Jun 24, 2004)"/>
        <s v="dead body found in Valez-Malaga beach (E), reportedly a refugee from a shipwreck (Jun 13, 2004)"/>
        <s v="no medical care, died on way from recemption camp in Eindhoven (NL) to hospital (Jun 13, 2004)"/>
        <s v="Found the remains of 13 men drowned, along the shores of the islet of Koufonissi, south of Crete (Jun 7, 2004)"/>
        <s v="drowned after their boat sank near the port of Sfax on way from Tunisia to Italy (Jun 5, 2004). From Del Grande's data set (translated): Off Sfax, 6 bodies recovered, 4 more dispersed personesono (Jun 5, 2004)"/>
        <s v="reportedly drowned when boat sank off the Tunisian coast on way to Italy (Jun 5, 2004)"/>
        <s v="A truck carrying 110 people capsizes in an accident in Kozluk, Batman. A man dies, 61 wounded (Jun 2, 2004)"/>
        <s v="died at Prestwich hospital, after being sedated and restrained by staff (May 27, 2004)"/>
        <s v="found dead on highway A7, after being abandoned by driver of a van near San Roque (E) (May 24, 2004). From Del Grande's data set (translated): 3 found dead and a man in serious condition along a national highway in San Roque, near Cadiz, probably abandone"/>
        <s v="died in fear of deportation from Portugal to Ukraine, auth. overruled court sentence (May 24, 2004)"/>
        <s v="suicide while in a detention centre in Carlslund, near Stockholm (S) (May 23, 2004)"/>
        <s v="stowaways, reportedly drowned, forced overboard 2000 km off Canary Islands (May 22, 2004). From Del Grande's data set (translated): The captain of the Wisteria, Japanese ship flying the Panamanian flag, order to throw into the sea off the Canary Islands, "/>
        <s v="5 found dead in the hold of the Liberian merchant Nathalie Bolder party from the Ivory Coast and directed the Canary Islands, on which were hidden (May 20, 2004)"/>
        <s v="asylum seeker murdered in park near Asylum Seeker Centre Tattes in Vernier (F) (May 18, 2004)"/>
        <s v="stowaway, found dead  in landing gear of plane from Africa, 10 km south of Lisbon (P) (May 17, 2004). From Del Grande's data set (translated): Man dies benumbed traveling hidden in the undercarriage of a plane to Lisbon. The body crashes while landing (Ma"/>
        <s v="suicide, found hanged in his flat in Glasgow (GB), facing eviction (May 17, 2004)"/>
        <s v="stowaway, died from inhalation of toxic gas in a ship on way to Las Palmas (E) (May 16, 2004)"/>
        <s v="stowaway, found dead in De Gaulles airport (F) on a flight from Madagascar (May 16, 2004). From Del Grande's data set (translated): Man dies frozen to death in the undercarriage of a plane from Madagascar landed at De Gaulle Airport in Paris (May 17, 2004"/>
        <s v="died after police  attempt to arrest him in London (GB) (May 14, 2004)"/>
        <s v="drowned, found near asylum centre Kuidertocht in Luttelgeest, Flevoland (NL) (May 14, 2004)"/>
        <s v="pregnant, reportedly thrown off a boat to Italy by other migrants (May 7, 2004)"/>
        <s v="died in minefield at TR-GR border with 4 Palestinians and 2 Moroccan who survived (May 7, 2004)"/>
        <s v="reportedly drowned, found dead near Tripoli (LY) (May 6, 2004)"/>
        <s v="drowned, decomposed bodies retrieved from sea off island of Crete (GR) (May 5, 2004)"/>
        <s v="drowned, found dead near Kerkenah (TN) (May 4, 2004). From Del Grande's data set (translated): Off Kerkenah a person dies in a shipwreck (May 4, 2004)"/>
        <s v="stowaways, decomposing bodies found on cargo ship from Ghana to Hull (GB) (May 1, 2004)"/>
        <s v="stowaways, found dead in the hold of a Turkish cargo-ship at port of Cartagena (E) (Apr 26, 2004). From Del Grande's data set (translated): 2 young men found dead in a hidden compartment in the hold of a freighter landed in Cartegena (Apr 28, 2004)"/>
        <s v="hypothermia, going from Africa to Fuerteventura (E) by boat with other people. (Apr 22, 2004). From Del Grande's data set (translated): Landing on Fuerteventura, one died on the boat (Apr 24, 2004)"/>
        <s v="Found the body of a girl along the beaches of Las Chuchas, in Motril, Granada (Apr 23, 2004)"/>
        <s v="drowned when disembarking in Granada (E) from a vessel coming from Morocco (Apr 21, 2004)"/>
        <s v="jumped from the boat into the sea to avoid the Civil Guard (E) (Apr 18, 2004)"/>
        <s v="suicide,found hanged in Hamburg (D) jail. 2nd suicide attempt in fear of deportation. (Apr 18, 2004)"/>
        <s v="drowned, two boats collided, hit rocks on way from Africa to Fuerteventura (E) (Apr 16, 2004). From Del Grande's data set (translated): Two boats spilling where he slammed against the cliffs of the island of Fuerteventura. They recovered the bodies of 15 "/>
        <s v="drowned, after 2 boats collided near the coasts of Fuertaventura (E) (Apr 16, 2004)"/>
        <s v="drowned, 2 overcrowded boats collided near Fuertaventura s coast (E) (Apr 16, 2004)"/>
        <s v="drowned, 2 boats overloaded with migrants collided near Fuertaventura s coast (E) (Apr 16, 2004)"/>
        <s v="stowaway, shot by police, after the van failed to stop at the border H-SK (Apr 16, 2004)"/>
        <s v="Recovered from the waters of Dakhla the bodies of 12 men drowned in a shipwreck just left for the Canary Islands (Apr 12, 2004)"/>
        <s v="reportedly drowned after boat carrying 40 people capsized off Fuerteventura (E) (Apr 11, 2004)"/>
        <s v="died after explosion in minefield in Evros (GR) trying to cross Turkish-Greek border (Apr 11, 2004)"/>
        <s v="reportedly drowned on way to Italy,  found dead after shipwreck near Sfax (Tunisia) (Apr 5, 2004)"/>
        <s v="drowned on way to Italy, found dead after shipwreck near Sfax (Tunisia) (Apr 5, 2004)"/>
        <s v="tried to reach Ceuta (E/MA) by swimming, dead body found on beach of Tarajal (Apr 3, 2004). From Del Grande's data set (translated): Tarakhal found on the beach, near Ceuta, the corpse of a young man drowned (Apr 4, 2004)"/>
        <s v="denied medical assistance in asylum centre in Halberstadt (D)  (Apr 3, 2004)"/>
        <s v="2 youth killed by the gunfire of the Moroccan auxiliary forces in an attempt to climb over the barrier along the border of Melilla (Apr 1, 2004)"/>
        <s v="Shipwreck on the routes between Anjouan and Mayotte, 13 missing (Mar 29, 2004)"/>
        <s v="suicide, hanged himself in Norwich (GB) prison, depressed awaiting deportation (Mar 13, 2004)"/>
        <s v="reportedly drowned, after boat capsized off the coast of Tunisia (Mar 9, 2004)"/>
        <s v="drowned, after boat capsized 170 km off Tunisia (Mar 9, 2004)"/>
        <s v="drowned, found  floating off the coast of Tanger (MA) (Mar 8, 2004)"/>
        <s v="stowaways, found dead in cargo ship in Pasaia (E) coming from Camerun (Feb 29, 2004)"/>
        <s v="set himself on fire in Cologne (D) in fear of his deportation to Turkey  (Feb 27, 2004)"/>
        <s v="body found on the beach La Barrosa in Chiclana de la Frontera-Cadiz (E) (Feb 25, 2004). From Del Grande's data set (translated): Recovered on a beach in Chiclana, Cadiz, the drowned body of a young castaway (Feb 27, 2004)"/>
        <s v="reportedly drowned when their ship sank off the western coast off Turkey (Feb 23, 2004). From Del Grande's data set (translated): Sinking a ship off the Turkish coast, direct in Greece. 13 dead, 15 missing (Feb 25, 2004)"/>
        <s v="drowned, ship sank off the Turkish coast, bodies washed ashore near Ayvalik (Feb 23, 2004)"/>
        <s v="A group tries to climb over the fence of the frontier of Melilla. The Moroccan soldiers shoot. A young man is shot in the head and dies (Feb 22, 2004)"/>
        <s v="15 dead, 3 missing at sea after a boat direct to the Canary Islands spills in the waters of Laayoun (Feb 15, 2004)"/>
        <s v="drowned after their boat sank off the coast of Tunisia  on way to Italy. (Feb 9, 2004)"/>
        <s v="drowned, body found near Benz√Ä√¥, Ceuta (E/MA) (Feb 8, 2004)"/>
        <s v="died after being deported from Sweden to Azerbaijan.  (Feb 8, 2004)"/>
        <s v="reportedly drowned, after shipwreck off the coast of Cadiz (E) (Feb 7, 2004)"/>
        <s v="suicide, found hanged in prison in Frosinone (I) in fear of deportation (Feb 6, 2004)"/>
        <s v="Found the corpses in an advanced state of decomposition of 2 men hidden on a cargo ship docked at the port of Hull Ghanaian (Feb 5, 2004)"/>
        <s v="found dead in a prison cell in GB, reportedly killed by a racist cellmate (Feb 3, 2004)"/>
        <s v="reportedly abandoned in desert during repatriation to Niger (due to I-LY agreement) (Dec 31, 2004)"/>
        <s v="Landing in Lanzarote, 1 dead (Jan 1, 2005)"/>
        <s v="attacked and torn apart by wild dogs in Madama, Niger whilst travelling to LY border (Dec 31, 2004)"/>
        <s v="murdered after forced repatriation from GB to Afghanistan, asylum claim refused  (Dec 31, 2004)"/>
        <s v="suicide, found dead at Schipol Airport detention centre (NL) (Dec 31, 2004)"/>
        <s v="drowned, body found floating near Agaete - Las Palmas de Gran Canaria (E) (Dec 29, 2004). From Del Grande's data set (translated): Found on the beach of Agaete on the island of Gran Canaria, the corpse in an advanced state of decomposition of a drowned ma"/>
        <s v="reportedly drowned near Targha (MA) on their way to Spain  (Dec 29, 2004)"/>
        <s v="drowned near Targha (MA) on their way to Spain (Dec 29, 2004)"/>
        <s v="dead body found floating near San Cristobal de Las Palmas de Gran Canaria (E) (Dec 25, 2004)"/>
        <s v="Scattered off the Canary Islands, a boat with thirty passengers on board. A man had reported a drift boat, and the boat itself had referred the migrants rescued December 24 (Dec 26, 2004)"/>
        <s v="dead body found near Gran Canaria (E)  (Dec 23, 2004)"/>
        <s v="dead bodies found on a boat drifting near Fuerteventura (E) (Dec 22, 2004). From Del Grande's data set (translated): Recovered the bodies of two drowned men, one on the coast of Fuerteventura, in the Canary Islands, and the other on a beach in Melilla (De"/>
        <s v="bodies found on a boat carriyng about 37 people near Fuerteventura (E) (Dec 22, 2004)"/>
        <s v="Rescued boat in the waters of Fuerteventura, in the Canary Islands. On board 2 dead (Dec 23, 2004)"/>
        <s v="dead bodies found on a boat drifting near Fuerteventura (E) (Dec 21, 2004). From Del Grande's data set (translated): Recovered the bodies of two drowned men, one on the coast of Fuerteventura, in the Canary Islands, and the other on a beach in Melilla (De"/>
        <s v="It sinks in Martil Tetouan boat heading to Spain. At least 20 missing (Dec 22, 2004)"/>
        <s v="A man dies of cold in an attempt to cross the Turkish border on foot in the mountains of Gurpinar in the eastern province of Van (Dec 22, 2004)"/>
        <s v="reportedly drowned, after falling off boat 24 miles from Fuerteventura (E) (Dec 20, 2004)"/>
        <s v="found dead on a boat 24 miles from Fuerteventura (E) (Dec 20, 2004)"/>
        <s v="died from hypothermia, body found outside a disused factory in West Bromwich (GB)  (Dec 19, 2004)"/>
        <s v="drowned, body found in Lobos (E) 2 weeks after boat capsized off Fuerteventura (Dec 17, 2004)"/>
        <s v="drowned, body found in Lobos (E) 2 weeks after boat capsized off Fuerteventura (Dec 16, 2004)"/>
        <s v="died in attempt to enter into Melilla (E/MA), found dead on a cliff (Dec 16, 2004)"/>
        <s v="drowned, jumped off a vessel off the coast of Ghar Lapsi and Hagar Qim (M) (Dec 15, 2004)"/>
        <s v="Found a body on the coast of Malta, who probably died during the last landing of 90 people on the island (Dec 16, 2004)"/>
        <s v="Found a body on the coast of the Greek island Barbalia (Dec 15, 2004)"/>
        <s v="drowned after boat carrying 17 people sank off Samos (GR) 4 days before (Dec 13, 2004)"/>
        <s v="reportedly drowned near Fuerteventura (E) during rescue attempt (Dec 10, 2004)"/>
        <s v="drowned near Fuerteventura (E) during rescue attempt (Dec 10, 2004)"/>
        <s v="Sink a small boat near Samos. 3 dead (Dec 11, 2004)"/>
        <s v="Minefield in Evros, greek-turkish border. An explosion ago 2 deaths. They tried to enter illegally in Greece (Dec 7, 2004)"/>
        <s v="Tips at the time of the rescue boat off the coast of Fuerteventura, in the Canary Islands, 4 drowned, their bodies lost at sea (Dec 3, 2004)"/>
        <s v="stowaway, fallen from wheelbay of a plane,body found in Louvain (B) (Nov 29, 2004). From Del Grande's data set (translated): Found in Leuven the body of a man who fell from the undercarriage of a plane landing at Brussels, where he had hidden (Nov 30, 200"/>
        <s v="reportedly drowned during rescue operation of boat capsized near Antigua (E) (Nov 27, 2004). From Del Grande's data set (translated): Shipwreck off the coast of Fuerteventura, 2 corpses found, 14 missing (Nov 28, 2004)"/>
        <s v="drowned, bodies rescued after boat capsized near Antigua (E) (Nov 27, 2004)"/>
        <s v="drowned, found in River Tyne (GB) after agreement on voluntary repatriation (Nov 26, 2004)"/>
        <s v="stowaway, found dead in wheelbay of a plane arrived in Paris (F) from Mali (Nov 15, 2004). From Del Grande's data set (translated): Man dies frozen to death in the undercarriage of a plane landed in Paris from Mali (Nov 16, 2004)"/>
        <s v="Off Tripoli two ships in distress are sinking. 5 dead (Nov 14, 2004)"/>
        <s v="reportedly drowned, after boat capsized off the coast of Malta (Nov 13, 2004). From Del Grande's data set (translated): A boat with about 10 people on board wrecked 12 miles south of Malta. All missing (Nov 14, 2004)"/>
        <s v="blown up in a minefield at the turkish-Greek border, near Evros (GR) (Nov 13, 2004). From Del Grande's data set (translated): Minefield in Evros, greek-turkish border. An explosion ago 3 deaths. They tried to enter illegally in Greece (Nov 14, 2004)"/>
        <s v="drowned, after boat capsized in stormy waters off the coast of Malta (Nov 12, 2004)"/>
        <s v="Off the Canary Islands, a boat overturns, 7 killed (Nov 12, 2004)"/>
        <s v="A small boat is turned upside down. 11 dead and 6 missing (Nov 11, 2004)"/>
        <s v="died while in detention in Great britain (Nov 8, 2004)"/>
        <s v="shot to death by police in Ceuta (E/MA), body hidden for some days near MA border (Nov 3, 2004)"/>
        <s v="suicide, hanged himself in the prison of Fuhlsb√ºttel (D) in fear of deportation (Nov 3, 2004)"/>
        <s v="reportedly drowned when two boats capsized in a storm on the way to Italy (Nov 1, 2004)"/>
        <s v="drowned when their two boats capsized in a storm on the way to Italy (Nov 1, 2004)"/>
        <s v="Boy dies suffocated, he was hiding in a Dutch container loaded on a ferry greek direct to Ancona (Nov 2, 2004)"/>
        <s v="drowned, found dead near Licata (I) (Oct 27, 2004)"/>
        <s v="born dead, thrown overboard before Maltese rescue team arrived (Oct 22, 2004)"/>
        <s v="Found south of Tarfaya the bodies of 26 young men drowned in a shipwreck (Oct 17, 2004)"/>
        <s v="dead bodies found near Tarfaya (Ma) (Oct 14, 2004)"/>
        <s v="Shipwreck off Lampedusa: 1 dead, 1 missing (Oct 15, 2004)"/>
        <s v="suicide, found hanged in his cell at Leicester prison (GB). (Oct 14, 2004)"/>
        <s v="reportedly drowned after boat capsized 70 miles from Malta (Oct 13, 2004)"/>
        <s v="drowned after boat capsized 70 miles from Malta (Oct 13, 2004)"/>
        <s v="suicide, found hanged at his home in Sheffield (GB) after asylum claim was refused (Oct 13, 2004)"/>
        <s v="drowned after boat carrying 17 people sank off Samos (GR) (Oct 11, 2004)"/>
        <s v="died in S.G.Hospital (London, GB) while in detention, reportedly of cancer (Oct 11, 2004)"/>
        <s v="reportedly drowned, after boat  from Africa capsized in Aegean Sea (Oct 10, 2004)"/>
        <s v="drowned, after boat  from Africa capsized in Aegean Sea (Oct 10, 2004)"/>
        <s v="reportedly drowned, found at border of Playa de la Hopica (E) and Beni-Enzar (MA) (Oct 8, 2004)"/>
        <s v="The Libyan authorities claim to have returned to Niger in September, about 5,000 illegal immigrants in trucks. According to the gendarmerie of Agadez (Niger), in a crash in the Sahara 12 people died and 50 were seriously injured (Oct 8, 2004)"/>
        <s v="Shipwreck off Bizerbe, 2 missing (Oct 7, 2004)"/>
        <s v="killed in Mogadishu (Somalia) after deportation from NL (Oct 5, 2004)"/>
        <s v="Minefield in Evros, greek-turkish border. An explosion ago 1 dead. He tried to enter illegally in Greece (Oct 6, 2004)"/>
        <s v="suicide, overdose of pills, mentally ill refugees, help not provided by social workers (Oct 4, 2004)"/>
        <s v="drowned on the way from Libya to Italy (Oct 3, 2004)"/>
        <s v="Shipwreck off the coast of Chott Meriem: 62 bodies recovered, 2 missing (Oct 3, 2004)"/>
        <s v="reportedly drowned, after boat sank in stormy sea near Rafina (GR) (Jan 29, 2004)"/>
        <s v="drowned, discovered near Rafina (GR) after their boat sank in stormy sea  (Jan 29, 2004)"/>
        <s v="drowned when trying to swim across river Evros between Turkey and Greece (Jan 29, 2004)"/>
        <s v="frozen to death during blizzard, trying to cross Turkish-Greek border near Feres (Jan 29, 2004). From Del Grande's data set (translated): 5 dead bodies found in Thrace, near the turkish border, died of cold in a snow storm while trying to illegally cross "/>
        <s v="drowned, bodies found off Karystos (GR), boat sank in stormy waters (Jan 28, 2004)"/>
        <s v="reportedly drowned, after boat sank off Karystos (GR) (Jan 28, 2004). From Del Grande's data set (translated): During a storm sinks boat of migrants off the coast of Evia. Recovered 4 dead, 14 missing (Jan 29, 2004)"/>
        <s v="drowned, boat sank on way from Libya to Italy, found by coast guards (Jan 24, 2004)"/>
        <s v="reportedly drowned, boat sank on way from Libya to Italy (Jan 23, 2004)"/>
        <s v="dead body found in Fuerteventura's waters (E), reportedly from an old shipwreck  (Jan 20, 2004). From Del Grande's data set (translated): Found on the beaches of the island of Fuerteventura, Canary Islands, the corpse in an advanced state of decomposition"/>
        <s v="reportedly drowned, found dead near Lampedusa (I) (Jan 20, 2004)"/>
        <s v="drowned, after boat capsized off the coast of Fuerteventura (E)  (Jan 17, 2004)"/>
        <s v="reportedly drowned, boat capsized off Fuerteventura (E) on way from Africa (Jan 15, 2004)"/>
        <s v="drowned, boat capsized on reef off Fuerteventura (E) on way from Africa (Jan 15, 2004). From Del Grande's data set (translated): Shipwreck off the coast of Fuerteventura, 16 deaths and 3 missing (Jan 17, 2004)"/>
        <s v="Near Durres wrecked a boat party from Vlora. 21 dead, 11 survivors, many missing. A second boat bound for Italy has lost all trace (Jan 12, 2004)"/>
        <s v="died after being beaten up at French airport for not having visa from Hungary (Jan 10, 2004)"/>
        <s v="road accident, crushed in a truck that overturned in Dirkou, Niger, heading for LY border (Jan 9, 2004)"/>
        <s v="missing, reportedly drowned near Lampedusa (I) (Jan 9, 2004)"/>
        <s v="reportedly drowned, after shipwreck between Capo Bon (TN) and Pantelleria (I) (Jan 8, 2004)"/>
        <s v="suicide, found hanged in his cell in Bellinzone (CH) (Jan 8, 2004)"/>
        <s v="drowned after dinghy capsized on way from Libya to Italy  (Jan 7, 2004)"/>
        <s v="drowned, after shipwreck off the coast of Libya (Jan 7, 2004)"/>
        <s v="stowaway, dead body found in a car in Cadiz (E) (Jan 7, 2004)"/>
        <s v="reportedly drowned near Zelid (LY) (Jan 7, 2004)"/>
        <s v="drowned, found dead near Zelid (LY) (Jan 7, 2004)"/>
        <s v="died after police s use of teargas, circumstances not clear  (Jan 7, 2004)"/>
        <s v="suicide, jumped off a bridge at Coventry shopping cr.(GB), suffered from depression (Jan 7, 2004)"/>
        <s v="stowaway, presumly died in cargo ship &quot;Victoria&quot;, his body removed near Casablanca (Jan 6, 2004)"/>
        <s v="suicide, found hanged in prison in Ivrea (I) (Jan 6, 2004)"/>
        <s v="shot by the police in Purmerend (NL) in front of his flat (Jan 6, 2004)"/>
        <s v="suicide under psychiatric care at Akademiska S. in Uppsala after reject. of as.appl. (Jan 6, 2004)"/>
        <s v="killed by other clan after deportation from DK to Mogadishu (Somalia)  (Jan 5, 2004)"/>
        <s v="died in Haslar Centre-Gosport (GB) of the  injures sustained after arrest (Jan 4, 2004)"/>
        <s v="suicide, found hanged in Barlinnie - Scotland (GB) in fear of deportation (Jan 4, 2004)"/>
        <s v="died being fourteen days at sea without food and water in Gibraltar Strait (Jan 3, 2004)"/>
        <s v="Port of Pasaia. Found the bodies of two young people who died in a compartment of the hold where they had hidden on a cargo ship departed from Cameroon (Jan 3, 2004)"/>
        <s v="suicide, found hanged in prison in Lachen (CH)  (Jan 1, 2004)"/>
        <s v="Suffocated two men hidden in a cargo ship Ivorian live in La Coruna (Oct 1, 2003)"/>
        <s v="Hidden in containers of a cargo ship departed from Guinea, plunge into the sea arrived in the port of Le Havre, 3 drowned (Oct 1, 2003)"/>
        <s v="died in minefield trying to cross the Turkish-Greek border (Sep 28, 2003). From Del Grande's data set (translated): Minefield in Evros, greek-turkish border. An explosion ago 7 deaths. They tried to enter illegally in Greece (Sep 30, 2003)"/>
        <s v="shot to death by border guard while trying to cross Albanian-Greek border (Sep 22, 2003). From Del Grande's data set (translated): Eighteen year old fatally shot by Greek police while trying to cross the border of Albania (Sep 23, 2003)"/>
        <s v="drowned, while trying to swim from Morocco to Ceuta (E/MA) (Sep 17, 2003). From Del Grande's data set (translated): Found the body of a girl drowned on a beach in Ceuta (Sep 18, 2003)"/>
        <s v="Rescued a ship off the island of Lesbos, at least one woman dies (Sep 18, 2003)"/>
        <s v="Kurd, asylum seeker died in minibus collision while illegaly in Great Britain (Sep 17, 2003)"/>
        <s v="stowaway, frozen to death in undercarriage of Brazzaville (Congo) - Paris (F) flight (Sep 9, 2003)"/>
        <s v="drowned in river Evros on Turkish-Greek border after boat capsized (Sep 8, 2003). From Del Grande's data set (translated): 26 bodies recovered in the Evros River, along the border between Turkey and Greece, among the victims 2 women (Sep 10, 2003)"/>
        <s v="Landing in Fuerteventura, Canary Islands. A man falls overboard from a boat and drowned (Sep 8, 2003)"/>
        <s v="died in violent confrontation with Moldovians in refugee centre Traiskirchen (A) (Sep 7, 2003)"/>
        <s v="died of septicaemia at Dover Hospital (GB), after her pleas for a doctor were ignored  (Sep 6, 2003)"/>
        <s v="died of hypopthermia on a Greek boat headed to Italy (Aug 31, 2003)"/>
        <s v="reportedly drowned near S.M. di Leuca (I) in attempt to reach Italy on a Greek boat  (Aug 31, 2003)"/>
        <s v="Rif Raf and direct game to Lampedusa, an overloaded boat sank off. 2 dead, 2 missing (Aug 31, 2003)"/>
        <s v="reportedly drowned, found dead near Lanzarote (E) (Aug 29, 2003)"/>
        <s v="suicide, 11 days after being deported from NL to Spain, was mentally ill (schizophrenia) (Aug 29, 2003)"/>
        <s v="stowaway, coming from Greece found dead in back of truck near Rimini (I) (Aug 25, 2003). From Del Grande's data set (translated): Tucked away in a car aboard a ferry to Brindisi greek, a man dies poisoned by exhaust fumes that had filled the hold (Aug 28,"/>
        <s v="died after fight with another asylum seeker in asylum centre Harlingen (NL) (Aug 22, 2003)"/>
        <s v="died of a heart attack after his arrival at refugee centre in Lampedusa (I)  (Aug 17, 2003). From Del Grande's data set (translated): Landed the day before in Lampedusa, a man dies of a heart attack in the reception center of the island (Aug 18, 2003)"/>
        <s v="In Dorset, is found dead in a truck, crushed by a container, where it was hidden to arrive in England (Aug 18, 2003)"/>
        <s v="drowned, body found near Tarifa (E) between rocks, 2.5 meters under sea level (Aug 16, 2003)"/>
        <s v="kurd, stowaway, crushed to death in lorry going from France to Poole (GB) (Aug 16, 2003)"/>
        <s v="drowned, trafficker made hole in boat on way from Ayvalik (TR) to Lesbos (GR) (Aug 13, 2003). From Del Grande's data set (translated): Vessel sinks overloaded Direct in Greece, having capsized off the coast of Lesbos. 5 dead and 10 missing (Aug 14, 2003)"/>
        <s v="drowned, body found on a beach near Edremit (TR) (Aug 12, 2003)"/>
        <s v="Death of dehydration in the desert 1600 km south of Algiers, in Tamanrasset to Assuf Mellane, 23 people, including 11 women, were directed towards the Mediterranean into Europe, (Aug 3, 2003)"/>
        <s v="Shipwreck off the coast of Fuerteventura, in the Canary Islands. Recovered 10 dead bodies along the coasts of the island (Aug 1, 2003)"/>
        <s v="died after being run down while attempting to hide under a coach in Ceuta (E/MA) (Jul 31, 2003)"/>
        <s v="died of exhaustion after journey through mountains between Slovakia-Ukraine (Jul 31, 2003)"/>
        <s v="drowned after boat capsized near Canary Island of Fuerteventura (E) (Jul 30, 2003). From Del Grande's data set (translated): Boat capsizes off the coast of Fuerteventura, 15 people die. 14 are lost at sea, 1 corpse was spotted five days later by a vessel "/>
        <s v="drowned off the coast of Fuerteventura in the Canary Islands (E) (Jul 27, 2003). From Del Grande's data set (translated): 1 found dead on the coast of Fuerteventura (Jul 29, 2003)"/>
        <s v="died of thirst, body found hanging from train in railway station of Gorizia (I) (Jul 26, 2003). From Del Grande's data set (translated): Found the body of a man who died of starvation at the train station of Gorizia on a freight car was traveling hidden ("/>
        <s v="drowned off the coast of Fuerteventura in the Canary Islands (E) (Jul 24, 2003). From Del Grande's data set (translated): 1 found dead on the coast of Fuerteventura (Jul 29, 2003)"/>
        <s v="drowned, found dead off the coast of Libya (Jul 18, 2003)"/>
        <s v="drowned, after two shipwrecks occured near Sur de Aiun (MA) (Jul 17, 2003). From Del Grande's data set (translated): Shipwreck in the waters of Layun, 25 dead (Jul 18, 2003)"/>
        <s v="soffocated after police maltreatments and physical abuse in Vienna (A) (Jul 14, 2003)"/>
        <s v="Found in the waters of the English Channel, the bodies of two men drowned during the crossing to England (Jul 15, 2003)"/>
        <s v="reportedly drowned, after shipwreck near Barranco Hondo-Tarifa (E) (Jul 13, 2003)"/>
        <s v="drowned after shipwreck near Barranco H.-Tarifa (E), bodies found by Guardia Civil (Jul 13, 2003). From Del Grande's data set (translated): Found on the beaches of Barranco Hondo, in Tarifa, the bodies of three men drowned (Jul 14, 2003)"/>
        <s v="died of starvation in a small boat, set to arrive in Motril (E) (Jul 10, 2003)"/>
        <s v="died frozen in a boat carrying about 40 migrants to Motril (E)  (Jul 10, 2003)"/>
        <s v="drowned, fell overboard after boat intercepted by coastguard near Fuerteventura (E) (Jul 8, 2003)"/>
        <s v="murdered by partner in Harmondsworth detention centre (GB), awaiting deportation (Jul 4, 2003)"/>
        <s v="reportedly drowned after being lost at sea near Fuerteventura (E) (Jul 1, 2003)"/>
        <s v="Off Cap Bon sinking boat heading towards Lampedusa, 3 dead, 35 survivors (Jun 29, 2003)"/>
        <s v="drowned, vessel capsized near Capo Bon (TN) on way to Italy (Jun 28, 2003). From Del Grande's data set (translated): It sinks off Sidi Daoud a ship bound for Italy, 9 dead (Jun 30, 2003)"/>
        <s v="Found on the beaches of Ceuta the corpse of a man drowned trying to swim to the Spanish enclave (Jun 25, 2003)"/>
        <s v="drowned, dead bodies found flooting in front of Tarifa (E) (Jun 22, 2003). From Del Grande's data set (translated): Found on the beaches of Tarifa, Cadiz, the bodies of two drowned girls (Jun 25, 2003)"/>
        <s v="reportedly drowned, boat capsized on way from Libya to Italy near port of Sfax (Jun 19, 2003). From Del Grande's data set (translated): Off the Tunisian coast boat sinks with 189 people on board. No survivor, recovered 20 bodies, all others are scattered "/>
        <s v="drowned, boat capsized on way from Libya to Italy near port of Sfax (Jun 19, 2003)"/>
        <s v="According to the Ghanaian embassy in Tripoli, at least 200 young Ghanaians would have died of dehydration crossing the Sahara desert in Niger to enter Libya between January and June 2003 (Jun 19, 2003)"/>
        <s v="stowaway, drowned, jumped overboard a containership in English Channel (Jun 17, 2003). From Del Grande's data set (translated): Tucked away on a freighter, young plunges into the sea in the waters of Eastbourne, but drowned (Jun 18, 2003)"/>
        <s v="reportedly drowned, ship sank on way from Tunisia to Lampedusa (I) (Jun 15, 2003). From Del Grande's data set (translated): Small vessel sinks off Lampedusa, 7 dead, 60 missing (Jun 17, 2003)"/>
        <s v="drowned, ship sank on way from Tunisia to Lampedusa (I) (Jun 15, 2003)"/>
        <s v="drowned, after boat sank on way from Tunisia to Lampedusa (I) (Jun 15, 2003)"/>
        <s v="reportedly drowned when dinghy capsized near Tarifa on way to Spain (Jun 13, 2003)"/>
        <s v="Rescued a boat 800 meters off the coast of Tuineje Fuerteventura in the Canary Islands. During the transhipment boat capsizes and die 9 people. One of the bodies is lost at sea (Jun 11, 2003)"/>
        <s v="suicide, hanged himself in house in Blackburn (GB) awaiting decision on asylum claim (Jun 6, 2003)"/>
        <s v="Catches fire started from a kwassa kwassa Domains, Anjouan and Mayotte to direct, 4 dead (Jun 6, 2003)"/>
        <s v="Small boat collides on the rocks in Salobrena, 2 dead (Jun 6, 2003)"/>
        <s v="drowned, dead bodies found near he beach of Sid Kacem, Tanger (MA) (Jun 4, 2003)"/>
        <s v="drowned, dead bodies found near beach of Sid Kacem, Tanger (MA) (Jun 4, 2003)"/>
        <s v="Found the bodies of three men drowned the day before in the waters of Tuineje, Fuerteventura, in the Canary Islands (Jun 3, 2003)"/>
        <s v="reportedly drowned, after boat capsized during rescue attempt near Fuerteventura (E) (May 30, 2003). From Del Grande's data set (translated): A vessel of the Guardia Civil boat rescues two miles from the island of Fuerteventura, in the Canary Islands, but"/>
        <s v="rejected asylum seeker found dead in a bus shelter in Boxmeer (NL) (May 16, 2003)"/>
        <s v="drowned, bodies found in fishing net near Lampedusa (I) (May 14, 2003). From Del Grande's data set (translated): A fishing boat off Lampedusa recover the remains of four bodies from the sea (May 15, 2003)"/>
        <s v="reportedly drowned, trying to avoid detection by coast guard near Salobre√≠a (E) (May 5, 2003)"/>
        <s v="drowned, trying to avoid detection by coastguard near city of Salobreia (E) (May 5, 2003)"/>
        <s v="suicide, denied access to interpreter, suffered from paranoid psychosis (May 4, 2003)"/>
        <s v="dead body found in a boat intercepted in the Gulf of Cadiz (E) (Apr 25, 2003)"/>
        <s v="drowned after shipweck in Lanzarote (E) (Apr 24, 2003). From Del Grande's data set (translated): It overturns a boat just 20 meters from the beach in Barranco de Quiquere, on the island of Lanzarote, in the Canary Islands. One dead and one missing (Apr 26"/>
        <s v="drowned in the waters of Bahia Feliz (E), their boat had been intercepted earlier (Apr 9, 2003)"/>
        <s v="suicide, found hanged in toilet of psychiatric ward at Heatherwood Hospital (GB) (Apr 8, 2003)"/>
        <s v="died on Thracian (TR/GR) border straying into marked minefield in thick fog (Mar 31, 2003)"/>
        <s v="Intercepted boat adrift for 14 days, 130 miles to the south of the island of El Hierro, in the Canary Islands. Passengers speak of 12 died of starvation. Their bodies were thrown overboard by his companions. A man dies during rescue (Mar 31, 2003)"/>
        <s v="1 dead, 1 injured on antipersonnel minefields in Evros, on the northeastern border with Turkey (Mar 26, 2003)"/>
        <s v="asylum seeker, set fire to himself in Diever (NL) after being caught stealing (Mar 24, 2003)"/>
        <s v="hanged himself in police custody in Valetta in fear of deportation (Mar 10, 2003)"/>
        <s v="found dead in his cell in Heathrow police station  (Mar 10, 2003)"/>
        <s v="shot by border guard while trying to cross border between Morocco and Spain (Mar 9, 2003)"/>
        <s v="drowned, ship sunk on way from North-Africa to Lampedusa (I) in international water (Mar 9, 2003)"/>
        <s v="drowned near the Island of Evia (GR) trying to reach Greek coast by boat (Mar 9, 2003)"/>
        <s v="Armenian, set himself on fire in Biedenkopf (D), asylum application was rejected (Mar 9, 2003)"/>
        <s v="set fire to himself, after being denied necessary medication in Manchester (GB) (Mar 8, 2003)"/>
        <s v="drowned, tried to swim to Spain body found floating in a bay south of Ceuta (E/MA) (Mar 1, 2003)"/>
        <s v="Seven died in a shipwreck in the bay of Kani Keli, Mayotte (Feb 28, 2003)"/>
        <s v="dead body found near Kamanitsa (UA) few meters from UA-SK border (Feb 27, 2003). From Del Grande's data set (translated): Found the body of a man frozen to death trying to walk across the border between Ukraine and Slovakia (Feb 27, 2003)"/>
        <s v="Found 12 deaths from dehydration in a ship in the Atlantic Ocean. The boat, live in Fuerteventura, had been abandoned by the captain into open sea after an engine failure (Feb 25, 2003)"/>
        <s v="stowaway, fell from plane wheelbay under flight path to airport near Paris (F) (Feb 24, 2003). From Del Grande's data set (translated): Paris, falls from the undercarriage of a plane landing, the body of a young man froze to death during the trip (Feb 25,"/>
        <s v="crushed to death trying to climb lorry in Calais (F) ferry terminal on his way to GB (Feb 23, 2003). From Del Grande's data set (translated): Eighteen year old dies crushed by the truck on which he was trying to climb on the sly, in Calais, to Dover to bo"/>
        <s v="hit by lorry in Calais (F), trying to reach Great-Britain as a stowaway (Feb 22, 2003)"/>
        <s v="suicide, hanged herself with scarf in police cel in Emmen (NL) in fear of deportation (Feb 21, 2003)"/>
        <s v="died of thirst/hunger after 14 days at sea, going from Morocco to Fuerteventura (E) (Feb 19, 2003). From Del Grande's data set (translated): Rescued a boat adrift for 15 days 220 kilometers south of the Canaries. On board only 6 survivors. Another 12 peop"/>
        <s v="reportedly drowned, boat capsized during rescue attempt near Fuerteventura (E) (Feb 11, 2003)"/>
        <s v="Direct vessel sinks in Sicily off the coast of Libya, 9 dead (Feb 10, 2003)"/>
        <s v="jumped out of the window trying to escape police check in Sartrouville (F) (Feb 8, 2003)"/>
        <s v="missing, after boat capsized during rescue attempt near Fuerteventura (E) (Feb 5, 2003)"/>
        <s v="drowned, after boat capsized during rescue attempt near Fuerteventura (E) (Feb 5, 2003)"/>
        <s v="fell from bridge over M60, at Stockport (GB) after his asylum claim was rejected (Feb 4, 2003)"/>
        <s v="Found by wetting the corpse of a drowned boy on the beach of Fuente Caballo Ceuta (Feb 3, 2003)"/>
        <s v="mother deported ill/pregnant from Germany, imprisoned in Congo, no medical care (Dec 31, 2003)"/>
        <s v="deported pregnant from Germany, imprisoned in Congo, got late medical care,baby died (Dec 31, 2003)"/>
        <s v="suicide, set fire to himself in London in fear of deportation (Dec 31, 2003)"/>
        <s v="asylum seeker's child drowned, fell into ditch near Asylum Centre Dalem (NL) (Dec 26, 2003)"/>
        <s v="reportedly drowned, boat sank off Turkish coast  on way from Turkey to Greece (Dec 19, 2003). From Del Grande's data set (translated): A wooden ship of 14 m from Turkey match, abandoned by her captain, sank off the coast of Rhodes. 52 dead (Dec 22, 2003)"/>
        <s v="drowned, boat sank off coast of Marmaris (TR) on way from Turkey to Greece (Dec 19, 2003)"/>
        <s v="reportedly drowned, after boat sank off Turkish coast  on way from Turkey to Greece (Dec 19, 2003)"/>
        <s v="drowned, after a shipwreck near Tripoli (LY), on the way to Italy (Dec 11, 2003)"/>
        <s v="stowaway, suffocated on a cargo ship on way from Cameroon to Spain (Dec 11, 2003)"/>
        <s v="Recovered the bodies of 10 drowned in a shipwreck off the coast of Motril, Granada (Dec 5, 2003)"/>
        <s v="The fishing boat from Mazara Marcant Antonio I recovered at sea the body of a man who drowned off Lampedusa (Dec 4, 2003)"/>
        <s v="Boat rescued 37 kilometers south of the island of Fuerteventura, in the Canary Islands. During the operations of the approaching boat capsizes. 15 men die drowned, their bodies are scattered in the sea (Dec 3, 2003)"/>
        <s v="died of lack of medical care in refugee transit centre Thurhof in Oberb√ºren (CH) (Dec 1, 2003)"/>
        <s v="reportedly drowned when boat sank near Fuerteventura (E) (Nov 30, 2003)"/>
        <s v="drowned, boat sank on its way to Spain near Fuerteventura (E) (Nov 30, 2003)"/>
        <s v="drowned, reportedly trying to swimm Ceuta (E/MA), body found in Chorillo (E) (Nov 22, 2003). From Del Grande's data set (translated): Found on the beach of Chorrillo, Ceuta, the corpse of a man drowned trying to swim to the Spanish enclave (Nov 24, 2003)"/>
        <s v="Recovered along the beaches of El Puerto de Santa Maria, Cadiz, the corpse in an advanced state of decomposition of a drowned man (Nov 16, 2003)"/>
        <s v="Recovered the bodies of two drowned men along the Libyan coast (Nov 13, 2003)"/>
        <s v="Rescued by fishermen off the coast of Pantelleria boat of luck. Above are 6 Iraqi refugees. 1 is dead. 3 others hospitalized in serious condition (Nov 11, 2003)"/>
        <s v="A rescue boat adrift for days off the coast of Motril. On board 2 deaths. According to survivors, 8 other young people are drowned by falling into the sea exhausted or diving in a panic (Nov 8, 2003)"/>
        <s v="Clinging hidden under a container to travel on a cargo ship bound for Europe from the port of Rades, near Tunis, a man dies crushed by the blades of the machine to load the containers (Nov 7, 2003)"/>
        <s v="Two youth drown in Rota, Cadiz, to capsize the boat they were traveling at a hundred meters from the shore (Oct 27, 2003)"/>
        <s v="drowned in the attempt to swim to Ceuta (E/MA)  (Oct 25, 2003). From Del Grande's data set (translated): Found the body of a drowned man on the beach in Ceuta (Oct 27, 2003)"/>
        <s v="frozen to death in forest near Eisenstadt (A) after crossing Hungarian border (Oct 25, 2003). From Del Grande's data set (translated): Man dies benumbed through the woods of the border between Hungary and Austria, Eisenstadt (Oct 26, 2003)"/>
        <s v="reportedly drowned, boat capsized in storm near Cadiz (ESP) (Oct 24, 2003)"/>
        <s v="drowned, bodies recovered/washed ashore after shipwrecking in bay of Cadiz (E) (Oct 24, 2003). From Del Grande's data set (translated): Shipwreck in the waters of Rota, Cadiz. A boat with 50 passengers sinks. Rescuers arrive late, are found only 5 survivo"/>
        <s v="drowned, after boat capsized near Rota (E) (Oct 21, 2003)"/>
        <s v="reportedly drowned after boat capsized on way from Tunisia to Sicily (I) (Oct 20, 2003). From Del Grande's data set (translated): Off the Tunisian coast boat capsizes due to the excessive weight. 6 dead and 22 missing (Oct 21, 2003)"/>
        <s v="drowned when boat sank off the Tunisian coast on way to Italy (Oct 20, 2003)"/>
        <s v="drowned after boat capsized on the way from Tunisia to Sicily (I) (Oct 20, 2003)"/>
        <s v="died of starvation on a boat from Libya to Italy being 20 days without food (Oct 19, 2003). From Del Grande's data set (translated): Rescued boat adrift for weeks 50 miles south of Lampedusa. 13 deaths on board, at least 70 people would be lost at sea (Oc"/>
        <s v="suicide, found hanged at Belmarsh maximum security prison (GB) (Oct 19, 2003)"/>
        <s v="reportedly died of cold/hunger on ship from Libya to Italy, thrown overboard (Oct 18, 2003)"/>
        <s v="found dead of cold/hunger on ship from Libya to Lampedusa (I) (Oct 18, 2003)"/>
        <s v="died of hypothermia and starvation on ship fom Libya to Lampedusa (I) (Oct 18, 2003)"/>
        <s v="drowned, bodies found on the beach in Larache (MA) (Oct 17, 2003)"/>
        <s v="found dead on ship from Libya to Lampedusa (I)  (Oct 16, 2003)"/>
        <s v="drowned after boat capsized near Lampedusa (I) on the way from Libya (Oct 16, 2003)"/>
        <s v="died on ship from Libya to Lampedusa (I) due to bad conditions (Oct 16, 2003)"/>
        <s v="A boat carrying 30 people sank off the coast of Lampedusa. 11 dead, including 3 children (Oct 11, 2003)"/>
        <s v="found dead on a boat drifting 25 n. miles south of Pantelleria (I) (Oct 10, 2003)"/>
        <s v="Found the body of a man hidden in the undercarriage of a plane landed at Charles de Gaulle airport in Paris (Oct 11, 2003)"/>
        <s v="suicide, found hanged at Bedford prison (GB) (Oct 10, 2003)"/>
        <s v="reportedly drowned, boat capsized during rescue attempt by Guardia Civil (E) (Oct 5, 2003)"/>
        <s v="Found the bodies of two men drowned in the Canary Islands, in Bahia Feliz and San Bartolome de Tirajana (Oct 5, 2003)"/>
        <s v="Sinking boat 37 miles south of Lampedusa, 1 drowned (Oct 3, 2003)"/>
        <s v="Agent of the Civil Guard kills with a pistol shot a man at the border of Ceuta. The victim was part of a group of migrants were discovered by police while climbing over the networks of the Moroccan border, who began throwing stones at the officers to avoi"/>
        <s v="It overturns a boat heading to the island of Evia, 5 drowned (Oct 3, 2003)"/>
        <s v="reportedly drowned after shipwreck in the Mediterranean Sea, near Tarifa (E) (Jan 31, 2003)"/>
        <s v="drowned, boat crashed on rocks sank near Tarifa off southern coast of Spain (Jan 31, 2003)"/>
        <s v="died of toxic inhalation in fire deliberately started in police prison in Malaga (E) (Jan 31, 2003)"/>
        <s v="died of toxic inhalation during arson attack at a police station in Malaga (E) (Jan 31, 2003)"/>
        <s v="suicide, found hanged with his shoelaces in toilet at Haslar removal Centre (GB) (Jan 30, 2003)"/>
        <s v="stowaways fell out of wheel-bay in China, hid in wrong plane in France (Jan 22, 2003)"/>
        <s v="Shipwreck off the coast of St. Maria di Leuca, Lecce, 6 dead, 23 missing (Jan 19, 2003)"/>
        <s v="drowned while trying to reach the Canary Islands (E) from Morocco  (Jan 18, 2003)"/>
        <s v="4 more bodies found in the waters of Fuerteventura, probably part of the 14 victims of the sinking of 16 January (Jan 19, 2003)"/>
        <s v="18 people drowned off the coast of Tangier. They tried to escape the Moroccan coast guard who had intercepted at dawn (Jan 19, 2003)"/>
        <s v="frozen to death in drifting boat near S.M. di Leuca (I) coming from Turkey (Jan 18, 2003)"/>
        <s v="died of hypothermia on a drifting boat near Leuca (I) coming from Turkey (Jan 18, 2003)"/>
        <s v="Paris Roissy airport. A 24 year old boy refuses to get on the Air France flight to Johannesburg with which it is to be expelled because without an entry visa. Three police officers handcuff him and bind him with duct tape the ankle and knees. While passen"/>
        <s v="dead bodies found on the beach in Motril (E) (Jan 17, 2003)"/>
        <s v="died of asphyxhiation during deportation from Paris (F) to Johannesburg (SA) (Jan 17, 2003)"/>
        <s v="drowned near Tangers (MA) hoping to reach Spain clandestinely by sea (Jan 16, 2003)"/>
        <s v="Found the body of a drowned man on the beach in Ceuta (Jan 17, 2003)"/>
        <s v="Sinking a boat off the coast south of Fuerteventura, in the Canary Islands. Recovered the bodies of drowned 6, 8 missing (Jan 16, 2003)"/>
        <s v="dead body found in the beach of Ceuta (E/MA) (Jan 15, 2003)"/>
        <s v="reportedly drowned when small boat sank near Fuerteventura (E) (Jan 14, 2003)"/>
        <s v="reportedly drowned after duck boat sank off the coast of Fuerteventura (E) (Jan 14, 2003)"/>
        <s v="drowned when small boat sank near Canary Island of Fuerteventura (E) (Jan 14, 2003)"/>
        <s v="drowned when duck boat sank off the coast of Fuerteventura (E) (Jan 14, 2003)"/>
        <s v="suffocated in his vomit, seriously ill in border prison Amsterdam South-East (NL) (Jan 13, 2003)"/>
        <s v="stowaways, died after creeping into the hold of a Cypriot ship bound for Cadiz (E) (Jan 12, 2003). From Del Grande's data set (translated): A Cypriot freighter docked in Cadiz. In the hold of the bodies of two boys died of suffocation in the hidden compar"/>
        <s v="Found the body of a boy froze to death trying to cross the border on foot between Albania and Greece on Mount Vitsio, Kastoria (Jan 13, 2003)"/>
        <s v="dehydration, died of thirst while travelling to Europe through Sahara desert (Jan 11, 2003)"/>
        <s v="body found near beach Fuente Caballos, Cadiz (E) (Jan 11, 2003)"/>
        <s v="stowaway, reason of death unknown, body found in italian ship in Amsterdam s harbour  (Jan 11, 2003)"/>
        <s v="reportedly drowned, after shipwreck near Larache (Ma) (Jan 10, 2003)"/>
        <s v="drowned after shipwreck near Larache (Morocco) (Jan 10, 2003)"/>
        <s v="suicide, hanged himself in Polmont Prison (GB) in fear of deportation (Jan 10, 2003)"/>
        <s v="dead bodies found in a refrigerator truck which took fire on way to Algesiras (E) (Jan 9, 2003)"/>
        <s v="He died a boy falling under the bus which was traveling tucked away in Ceuta to Algeciras to board the ferry (Jan 10, 2003)"/>
        <s v="died on a ship and thrown overboard on way from Tunisia to Sicily (I) (Jan 9, 2003)"/>
        <s v="died on a boat on the way from Tunisia to Sicily (I) (Jan 9, 2003)"/>
        <s v="stowaways, suffocated in cargo ship on way from Ivory Coast to La Coruna (E) (Jan 9, 2003)"/>
        <s v="drowned, jumped  off  vessel  off the coast of  Havre (F) (Jan 9, 2003)"/>
        <s v="drowned after their overloaded boat sunk off the Tunisian coast, on way to Italy (Jan 8, 2003)"/>
        <s v="suicide, found hanged in a building site in Govan, Glasgow (GB) (Jan 8, 2003)"/>
        <s v="reportedly drowned after boat sank off the shore of Fuerteventura (E) (Jan 7, 2003)"/>
        <s v="drowned, forced to jump into sea and threatened with a knife by 2 skippers. (Jan 7, 2003)"/>
        <s v="drowned after shipwreck near Barbate (E) (Jan 7, 2003)"/>
        <s v="drowned while being transferred to a Guardia Civil launch near Fuerteventura (Jan 6, 2003)"/>
        <s v="Recovered from the sea the remains of six people on the island of Symi (Jan 7, 2003)"/>
        <s v="Minefield in Evros, greek-turkish border. An explosion ago 2 dead and one wounded. They tried to enter illegally in Greece (Jan 7, 2003)"/>
        <s v="bodies found by life boat crew in the water in the Channel, dead trying to enter Britain (Jan 6, 2003)"/>
        <s v="suicide, set himself on fire in Aliens Office of G√ºtersloh (D) in fear of deportation (Jan 6, 2003)"/>
        <s v="drowned, dead body found in Ceuta (E/MA), they tried to reach coast by swimming (Jan 5, 2003)"/>
        <s v="found dead in the back of a Greek truck at the border between Italy and Slovenia (Jan 5, 2003)"/>
        <s v="dead body found in a forrest not far from the border between Ukraine and Slovakia (Jan 5, 2003). From Del Grande's data set (translated): 3 dead frostbitten men from India along the mountains between Ukraine and Slovakia, in Vysna Rybnica, trying to cross"/>
        <s v="suffocated, trapped on the border-fence in Melilla (E/MA) (Jan 4, 2003)"/>
        <s v="drowned, found floating near Lampedusa (I) (Jan 4, 2003)"/>
        <s v="dead bodies found in the coasts of Lanzarote (E) (Jan 3, 2003)"/>
        <s v="drowned, dead bodies found on the beach in Tarifa (E) (Jan 3, 2003)"/>
        <s v="dead bodies found in the touristic area of Costa Teguise (E) (Jan 2, 2003)"/>
        <s v="blown in  minefield at the border between Turkey and Greece (Jan 2, 2003)"/>
        <s v="drowned, trying to reach Melilla (E/MA) swimming from Beniezar (MA), cold sea fatal (Jan 1, 2003)"/>
        <s v="Sinking a boat after a crash against the rocks of Guadalmes, Tarifa. 7 bodies recovered from the sea (Jan 2, 2003)"/>
        <s v="suffocated, stowaway in a bus on a ferry going from Nador (MA) to Almeria (E) (Jan 1, 2003)"/>
        <s v="stowaway, died attempting to disembark from a boat in Motril-Granada (E) (Jan 1, 2003)"/>
        <s v="2 bodies recovered at two different points on the coast of Almeria (Sep 27, 2002)"/>
        <s v="reportedly drowned, when fishing boat heading for Lesbos (GR) sank near Narli (TR) (Sep 25, 2002). From Del Grande's data set (translated): Direct boat in Greece, the island of Lesbos, is shipwrecked off the coast of Ayvacik. 3 dead and 10 missing (Sep 28"/>
        <s v="drowned, when fishing boat heading for Lesbos (GR) sank near Narli (TR) (Sep 25, 2002)"/>
        <s v="died when security forces tried to stop 70 people from crossing the Iranian-Turkish border (Sep 21, 2002). From Del Grande's data set (translated): A dead along the Iran-Turkey border during clashes between police and migrants 70 (Sep 22, 2002)"/>
        <s v="drowned, forced by smugglers to swim ashore near Scoglitti (south Sicily, I) (Sep 21, 2002). From Del Grande's data set (translated): One smuggler abandoned at sea, 300 meters from the coast of Ragusa, Sicily, about sixty passengers, drowning 14 people (S"/>
        <s v="stowaway, froze to death in wheel bay of airplane from Cameroon to Paris (F) (Sep 15, 2002). From Del Grande's data set (translated): Found in Paris on the body of a man frozen to death hidden in the undercarriage of a plane departed from Cameroon to Pari"/>
        <s v="drowned, after boat with more than 100 refugees capsized south of Sicily (Sep 14, 2002)"/>
        <s v="drowned, boat with more than 100 refugees aboard capsized south of Sicily (Sep 14, 2002). From Del Grande's data set (translated): Agrigento: sinking boat about a half mile from Capo Rossello. Recovered 37 bodies. 92 Survivors (Sep 15, 2002)"/>
        <s v="suicide, hung himself in a refugee centre in Germany in fear of deportation (Sep 13, 2002)"/>
        <s v="Port of Algeciras. During an inspection of the containers on board a ship from Tangier match is found the corpse of a young man died asphyxiated traveling hidden in a shipping container (Sep 13, 2002)"/>
        <s v="Kurds, died on refugee boat between Italy and Greece (Sep 7, 2002)"/>
        <s v="suicide, hung himself in detention centre in Malaga (E) in fear of expulsion (Sep 6, 2002)"/>
        <s v="Found along the coast of Tarifa the bodies of two young men drowned (Sep 5, 2002)"/>
        <s v="Kurd, suicide, jumped in front of train in Stadtallendorf (D) in fear of deportation (Sep 1, 2002)"/>
        <s v="frozen to death trying to cross Turkish-Greek border illegally near Edirne (TR) (Aug 31, 2002)"/>
        <s v="Kurds, stowaways found suffocated in truck near Napels (I) coming from GR (Aug 30, 2002). From Del Grande's data set (translated): Caserta having suffocated in trucks were hidden, 9 dead (Sep 1, 2002)"/>
        <s v="Kurd, died near village Vyssa (TR/GR border) after straying into marked minefield (Aug 27, 2002). From Del Grande's data set (translated): Minefield on the border with Turkey. An explosion kills a man trying to enter Greece. Since 1990, 64 deaths on mines"/>
        <s v="drowned near Fuerteventura (E) traffickers forced them to swim ashore   (Aug 21, 2002)"/>
        <s v="stowaways, already decomposing bodies were found inside lorry in Billabona (E) (Aug 18, 2002). From Del Grande's data set (translated): Villabona, 4 young people found dead in a truck departed from Casablanca to Paris (Aug 20, 2002)"/>
        <s v="At least 26 people are reported missing after the sinking of a vessel from the Hoceima game for Spain (Aug 18, 2002)"/>
        <s v="4 year old girl dies on a kwassa kwassa party from Anjouan and Mayotte intercepted north of (Aug 10, 2002)"/>
        <s v="reportedly drowned, boat capsized near Barbate (E) avoiding detection by SIVE (Aug 9, 2002)"/>
        <s v="drowned, boat capsized near Barbate (E) avoiding detection by SIVE cameras  (Aug 9, 2002)"/>
        <s v="drowned, dead body found at the shore of Menderes district (TR) (Aug 5, 2002)"/>
        <s v="reportedly drowned when smugglers forced them to swim ashore near Puglia (I) (Aug 5, 2002)"/>
        <s v="drowned when smugglers forced them to swim ashore near Puglia (I) (Aug 5, 2002)"/>
        <s v="34 lost at sea on a kwassa kwassa party from Bimbao, Anjouan to Mayotte (Aug 4, 2002)"/>
        <s v="Landing in Tarifa. At 150 meters from the shore the two rails of the boat force passengers to dive and continue swimming. At least 13 people die drowned (Aug 2, 2002)"/>
        <s v="died of two consecutive heart attacks in police station on Fuerteventura (E) (Jul 29, 2002)"/>
        <s v="stowaway, died of hypothermia in wheel bay of airplane from Rio to Paris (F) (Jul 29, 2002). From Del Grande's data set (translated): Found in Paris on the body of a man frozen to death hidden in the undercarriage of a plane left Brazil to Paris (Jul 30, "/>
        <s v="missing, after an Italian customs patrol boat and the dinghy collided near Vlora (Al) (Jul 20, 2002)"/>
        <s v="drowned, after an Italian customs patrol boat and the dinghy collided near Vlora (Al) (Jul 20, 2002). From Del Grande's data set (translated): Off the coast of Vlora in a collision between a boat and a patrol boat of the Guardia di Finanza 2 people die (J"/>
        <s v="Shipwreck off the coast of Fuerteventura, in the Canary Islands, 5 missing (Jul 11, 2002)"/>
        <s v="Found the body of a drowned man on the beaches of Tuineje, Fuerteventura, in the Canary Islands (Jul 11, 2002)"/>
        <s v="7 found dead in the sea, off the coast of Corfu and close to Athens (Jul 6, 2002)"/>
        <s v="Found a corpse in the cargo bed of a truck greek to Venice, where he traveled secretly (Jul 5, 2002)"/>
        <s v="suicide, found hanged in Bristol (GB), after his asylum claim was refused (Jul 4, 2002)"/>
        <s v="Died of a heart attack a man just landed detained at the police station of Fuerteventura, in the Canary Islands (Jul 4, 2002)"/>
        <s v="missing, after vessel capsized in rough sea between Lampedusa (I) and Malta (Jul 2, 2002)"/>
        <s v="drowned, after vessel capsized in rough sea between Lampedusa (I) and Malta (Jul 2, 2002)"/>
        <s v="Found the body of a young man along the border between Ceuta and Morocco, died of a strong blow to the chest after a fall (Jul 3, 2002)"/>
        <s v="Brindisi: suffocated in trucks where they were hidden, 2 dead (Jul 2, 2002)"/>
        <s v="Sinking boat off the coast of Kos in the Dodecanese, 6 dead and 6 missing (Jun 28, 2002)"/>
        <s v="reportedly drowned, boat from Turkey to Kos (GR) sank near Datca (TR) (Jun 26, 2002)"/>
        <s v="drowned, the boat bringing them from Turkey to Kos (GR) sank near Datca (TR) (Jun 26, 2002)"/>
        <s v="drowned, fell off overloaded rubber boat after it collided against rocks near Spain (Jun 23, 2002)"/>
        <s v="died in a car accident after taxi driver tried to escape the border police (TR-GR)  (Jun 23, 2002)"/>
        <s v="2 men killed by the fire of the Turkish police along the border with Iran to Aslanyazi (Jun 24, 2002)"/>
        <s v="died after lack of medical treatment in asylum seeker centre Vught (NL) (Jun 22, 2002)"/>
        <s v="drowned, after boat capsized near Lanzarote, island part of Canary Islands (E) (Jun 18, 2002). From Del Grande's data set (translated): Shipwreck off the coast of Lanzarote, in the Canary Islands, 3 dead (Jun 20, 2002)"/>
        <s v="shot by security forces when trying to enter Turkey near Aslanyazi (Jun 18, 2002)"/>
        <s v="drowned, forced to swim to a ship which would have carried them from TN to I (Jun 14, 2002). From Del Grande's data set (translated): Mob Kelibia to embark towards Sicily, the smugglers moor the ship at a distance from the shore and on board admit only th"/>
        <s v="Sinking canoe in the waters of the English Channel, drowning 1 of 2 migrants bound for England (Jun 12, 2002)"/>
        <s v="Found the bodies of two other men drowned on the coast of Menderes, Izmir (Jun 11, 2002)"/>
        <s v="drowned, found dead on the beach of Los Carabos in Melilla (E/MA) (Jun 7, 2002)"/>
        <s v="Lecce: smugglers spotted by the Guardia di Finanza, throwing 40 people overboard and stab two men who resist. 4 drowned (Jun 8, 2002)"/>
        <s v="Deaths in the desert in the north west of Sudan 45 men trying to enter Libya to emigrate to Europe (Jun 2, 2002)"/>
        <s v="Found 19 corpses, including 9 children. Died of cold walking through the border between Turkey and Iran into Europe (May 31, 2002)"/>
        <s v="Found along the coast of Menderes Airport in Izmir, the bodies of drowned migrants 5 (May 31, 2002)"/>
        <s v="found dead on beach of Maydanoz in Izmir province in Western Turkey (May 28, 2002)"/>
        <s v="died in attempt to enter Melilla (E/MA), got trapped in frontier fence and suffocated (May 25, 2002). From Del Grande's data set (translated): A minor boy dies suffocated after being trapped in the network that was climbing to get to Melilla from Morocco "/>
        <s v="Turkish Coast Guard fires on boat with 250 people on board after refusing to stop. 1 dead, 7 injured (May 23, 2002)"/>
        <s v="died when lorry with 35 refugees inside turned over near K√∂pr√ºk√∂y (TR) (May 22, 2002)"/>
        <s v="shot to death on a vessel near Cyprus by Turkish coast guards, on way to Italy (May 21, 2002)"/>
        <s v="We found 8 bodies, including one child, drowned with a ship carrying 16 Turkish Kurds along a river on the border with Bosnia (May 20, 2002)"/>
        <s v="stowaway, found dead in the wheelarch of a flight from Ghana to Great Britain. (May 15, 2002). From Del Grande's data set (translated): He died frozen to death a man hidden in the undercarriage of a plane landed at Heathrow from Ghana (May 17, 2002)"/>
        <s v="stowaway found in undercarriage of plane from Accra (Ghana) at Heathrow (GB) (May 14, 2002)"/>
        <s v="Kurds, drowned when boat capsized crossing river Sava between HR and BH (May 12, 2002)"/>
        <s v="Kurd, drowned when boat capsized crossing river Sava between Croatia and Bosnia (May 12, 2002)"/>
        <s v="Found in Deuil-la-Barre the body of a man who fell from the undercarriage of a plane to Paris, where he traveled secretly (May 12, 2002)"/>
        <s v="drowned, forced by smugglers to swim ashore near Tarifa (E) (May 8, 2002)"/>
        <s v="Kurd, shot death during fight between illegal immigrants in refugee camp in Calais (F) (May 5, 2002)"/>
        <s v="drowned, after boat smashed into reefs near the Canary Island of Lanzarote (E) (Apr 23, 2002). From Del Grande's data set (translated): Boat collides against the rocks in Lanzarote, 11 dead (Apr 23, 2002)"/>
        <s v="missing, ship carrying migrants turned over and sank north of Naxos (GR) (Apr 16, 2002)"/>
        <s v="drowned, ship carrying migrants turned over and sank north of Naxos (GR) (Apr 16, 2002). From Del Grande's data set (translated): 2 dead, 7 missing in a shipwreck off the island of Naxos in the Aegean Sea. The Greek Coast Guard, since 1992, has counted 13"/>
        <s v="Kurd, shot dead during fight between illegal immigrants in refugee camp in Calais (F) (Apr 14, 2002). From Del Grande's data set (translated): A man is killed by a gunshot during a clash between migrant camp in Calais, waiting to embark secretly for Dover"/>
        <s v="London Heathrow Airport. Man found frozen to death in the undercarriage of a plane traveling where hidden (Apr 15, 2002)"/>
        <s v="Abandoned in a parking lot in Catalca, near Istanbul, the bodies of three men suffocated hidden in the truck where they traveled to Greece (Apr 14, 2002)"/>
        <s v="stowaway, frozen to death in undercarriage of airplane from Uganda to London (GB) (Apr 13, 2002)"/>
        <s v="stabbed to death in the street where he lived in Hendon area, Sunderland (GB) (Apr 8, 2002)"/>
        <s v="frozen, trying to cross the snow covered border between Bulgaria-Northern Greece (Apr 1, 2002)"/>
        <s v="suicide, hung himself in the shower of refugee centre in Schneckenstein (D) (Mar 31, 2002)"/>
        <s v="died in minefield near river Evros (GR) trying to cross the Turkish-Greek border (Mar 26, 2002). From Del Grande's data set (translated): Minefield in Evros, greek-turkish border. An explosion 2 dead and 1 seriously injured. They tried to enter illegally "/>
        <s v="Rescued off the coast of Libya by the Italian tanker Sesia Valley, a group of migrant claims that 5 men died of starvation during the journey and their bodies were thrown into the sea (Mar 26, 2002)"/>
        <s v="died in minefield near river Evros (GR) trying to cross the Turkish-Greek border (Mar 19, 2002). From Del Grande's data set (translated): Minefield in Evros, greek-turkish border. An explosion 2 dead and 1 seriously injured. They tried to enter illegally "/>
        <s v="stowaway, his body got caught in the axle of a lorry from Morocco to Melilla (E/MA) (Mar 14, 2002). From Del Grande's data set (translated): Found along a road in Melilla the corpse of a boy died when he fell from the truck in which he was traveling hidde"/>
        <s v="Otranto: 6 bodies recovered related to the hull of a boat in distress. The boat, which had departed from Vlora, was set on fire. 23 Survivors (Mar 11, 2002)"/>
        <s v="Shipwreck off the coast of Lampedusa: 12 dead, 47 missing (Mar 7, 2002)"/>
        <s v="Trying to enter illegally into Turkey from the border with Syria, the Turkish police opened fire, 3 deaths (Mar 5, 2002)"/>
        <s v="Recovered a body from the river Isonzo Gorizia, would have drowned after crossing the Slovenian border (Mar 2, 2002)"/>
        <s v="died in detention centre in Belgium because of medical neglect (Mar 1, 2002)"/>
        <s v="drowned, trying to swim from Morocco to Melilla (E/MA) (Feb 19, 2002). From Del Grande's data set (translated): Recovered the bodies of three men in the waters of Melilla, a Spanish enclave in Morocco, drowned trying to swim to the city (Feb 20, 2002)"/>
        <s v="suicide, found hung in Lewes Prison (GB) (Feb 19, 2002)"/>
        <s v="crushed to death while trying to stowaway on board a train in Channel-tunnel, on way to GB (Feb 19, 2002). From Del Grande's data set (translated): 1 found dead along the tracks in the Channel Tunnel. According to Eurotunnel's death in 2002, 12 people swe"/>
        <s v="stowaway, fell from a train in the Channel-Tunnel between France and GB (Feb 17, 2002)"/>
        <s v="beaten to death by border police when trying to cross the Bulgarian-Turkish border (Feb 16, 2002)"/>
        <s v="suicide, hung herself because of bad conditions in asylum centre near Allbruck (D) (Feb 14, 2002)"/>
        <s v="4 drowned in a shipwreck in front of the coast of Tarifa (Feb 13, 2002)"/>
        <s v="stowaway, found frozen in undercarriage of plane from Ghana at Heathrow (GB) (Feb 11, 2002)"/>
        <s v="fatally injured by border guard in Messopotamia area of Kastoria (GR-AL border) (Feb 10, 2002)"/>
        <s v="suicide, found hanged in Durham prison (GB), in fear of deportation (Feb 9, 2002)"/>
        <s v="A frozen to death along the snowy passes of the border between Bulgaria and Greece (Feb 4, 2002)"/>
        <s v="Asphyxiated 2 guys hiding under a truck boarded the ferry to Nador Almeria (Feb 2, 2002)"/>
        <s v="Landing at Gesine, Lecce, a man dies invested by the boat that was recovering well in the (Feb 2, 2002)"/>
        <s v="hit by propellor of motor boat when he jumped off the boat to swim to Italian coast (Feb 1, 2002)"/>
        <s v="suffocated, ate money to pay smugglers to avoid robbery at military check in Agadez(Niger) (Dec 31, 2002)"/>
        <s v="drowned, found dead on beach on Symi island (GR) (Dec 31, 2002)"/>
        <s v="drowned, dead bodies found on beaches on Dodecanese island Symi in Greece (Dec 31, 2002)"/>
        <s v="drowned, corpse found on beach on the island Evia in Greece (Dec 31, 2002)"/>
        <s v="Kurd, suicide in Schlo√ü Holte-Stukenbrock (D) after rejection of asylum application (Dec 31, 2002)"/>
        <s v="died of cardiac arrest during deportation from Paris (F) to Buenos Aires (ARG) (Dec 29, 2002). From Del Grande's data set (translated): A fifty year old Argentinian refuses to get on the Air France flight which must be returned. The police use force and i"/>
        <s v="suicide, set himself on fire at Gribskov refugee centre (DK), in fear of deportation. (Dec 27, 2002)"/>
        <s v="burnt at pol.st. in Malaga.Ref. started fire after 2days detention.Pol.didn t open doors (Dec 26, 2002)"/>
        <s v="drowned after overcrowded boat coming from MA capsized near Tarifa (E) (Dec 25, 2002)"/>
        <s v="reportedly drowned,dinghy sank off the coast of the island Chios (GR) (Dec 24, 2002)"/>
        <s v="drowned, when inflatable dinghy sank off the coast of the island Chios (GR) (Dec 24, 2002). From Del Grande's data set (translated): Sinking boat off the coast of Chios, 4 dead, 5 missing (Dec 27, 2002)"/>
        <s v="Kurd, drowned trying to swim ashore when boat sank near coast of Korfu (GR) (Dec 23, 2002)"/>
        <s v="suicide, found hanged in Huddersfield (GB), wrongly told asylum claim was refused (Dec 23, 2002)"/>
        <s v="Landing in Lampedusa, on board the boat died young 1 (Dec 22, 2002)"/>
        <s v="Sink two boats in a stormy sea in the waters of the island Evia, 12 dead (Dec 20, 2002)"/>
        <s v="reportedly drowned, when 2 vessels got gaught in a storm of the island Evia (GR) (Dec 18, 2002)"/>
        <s v="drowned, 2 vessels got caught in a storm off the island Evia (GR) (Dec 18, 2002)"/>
        <s v="Young man found dead with head injuries. It was discovered by the driver of the truck where he was hiding to sail towards Italy (Dec 16, 2002)"/>
        <s v="found death by police under a truck at toll station of Saint-Omer (F) near Calais (Dec 15, 2002). From Del Grande's data set (translated): During a checkpoint in Calais is found the body of a man under the truck where he was hiding to accomplish England ("/>
        <s v="died of exhaustion after long trek, found near Greek village at GR-TR border (Dec 12, 2002). From Del Grande's data set (translated): Found dead on the border with Turkey, in Thrace, who died of cold in a night march to cross the border (Dec 13, 2002)"/>
        <s v="stowaway, found dead inside container with 10 immigrants in Algeciras (E) (Dec 8, 2002)"/>
        <s v="reportedly drowned after canoe capsized on the way from France to Great Britain (Dec 5, 2002)"/>
        <s v="stowaway, body found in Deuil-la-Barre (F), reportedly fell from airplane wheel-bay (Dec 4, 2002)"/>
        <s v="London Heathrow Airport. Found two children 12 years old and died in the undercarriage of a plane of Ghana Airways where they were hiding (Dec 5, 2002)"/>
        <s v="suicide, in Birmingham (GB) after his asylum claim was refused (Dec 2, 2002)"/>
        <s v="drowned, vessel capsized, bodies found near or on a beach near Cadiz (E) (Dec 1, 2002)"/>
        <s v="Kurd, suicide, shot himself to death after deportation from Germany to Turkey (Dec 1, 2002)"/>
        <s v="shot to death while trying to cross the border between Turkey and Iran (Nov 30, 2002)"/>
        <s v="Expelled from the Moroccan auxiliary forces and abandoned in the desert at the border with Algeria 15 km from Oujda, 8 people die of hypothermia, among them 2 women (Dec 1, 2002)"/>
        <s v="drowned, when boat sank between Western Sahara (MA) and Canarian Islands (E) (Nov 29, 2002). From Del Grande's data set (translated): Shipwreck off Laayoun, 32 bodies recovered (Dec 1, 2002)"/>
        <s v="reportedly drowned, boat shipwrecked near coast of Tripoli (Libya)  going to Italy (Nov 29, 2002). From Del Grande's data set (translated): Shipwreck off the coast of Libya, 12 dead and 56 missing (Dec 1, 2002)"/>
        <s v="drowned, boat shipwrecked near coast of Tripoli (Libya)  going to Italy (Nov 29, 2002)"/>
        <s v="2 bodies found on the coasts of the island Arkii, in the Aegean Sea (Nov 30, 2002)"/>
        <s v="One dead and one missing after the shipwreck off the coast of Ceuta in a small boat directly in Tarifa (Nov 22, 2002)"/>
        <s v="suicide in Szombathelyi Detention Centre in Hungary (Nov 20, 2002)"/>
        <s v="suicide, set himself on fire in Syke (D) after his asylum application was rejected, Roma (Nov 14, 2002)"/>
        <s v="reportedly, drowned when dinghy capsized near Larache off Moroccan coast (Nov 12, 2002)"/>
        <s v="drowned when inflatable dinghy capsized near Larache off Moroccos coast (Nov 12, 2002)"/>
        <s v="Forced from the smugglers despite the bad weather, 47 young people die a hundred meters from the shore of Khemiss, Larache, from which they had departed for Spain (Nov 11, 2002)"/>
        <s v="stowaways, suffocated inside a trailer on its way from Agadir (MA) to Sevilla (E) (Nov 9, 2002)"/>
        <s v="Woman dies of cold in the arms of her husband, were crossing on foot at night the Turkish border with Greece (Nov 7, 2002)"/>
        <s v="drowned, corpse was found at the shore of Menderes district (TR) (Nov 5, 2002)"/>
        <s v="suicide, set fire to herself after her asylum claim was refused (Nov 4, 2002)"/>
        <s v="reportedly drowned, tried to reach Otranto (I) in a overcrowded dinghy (Nov 2, 2002)"/>
        <s v="dead bodies found in Otranto (I) attached to their dinghy with a rope (Nov 2, 2002)"/>
        <s v="suicide in Red Cross Centre Copenhagen (DK), asylum application was turned down (Nov 1, 2002)"/>
        <s v="Shipwreck off Koungou, Mayotte game from a boat Bambao, Anjouan: 23 dead (Oct 27, 2002)"/>
        <s v="drowned, bodies found off the northeastern coast of Lesbos (GR) (Oct 20, 2002)"/>
        <s v="Capsized off the Tunisian coast by boat game Echebba and live in Sicily, 8 deaths and 1 missing (Oct 19, 2002)"/>
        <s v="drowned, bodies found near Lesbos (GR) all six where wearing life vests (Oct 15, 2002). From Del Grande's data set (translated): Recovered off the island of Lesbos corpses of drowned 6, including 3 children (Oct 16, 2002)"/>
        <s v="5 found dead in the container of a truck at the Port of Algeciras (Oct 13, 2002)"/>
        <s v="At the Port of Algeciras are found the bodies of five young people suffocated in a truck they were traveling in Morocco embarked hidden (Oct 11, 2002)"/>
        <s v="drowned, ship capsized off Turkey's western coast on its way to Greece (Oct 9, 2002)"/>
        <s v="reportedly drowned, ship capsized off Turkey's western coast on way to GR (Oct 9, 2002). From Del Grande's data set (translated): Live in Greece boat is shipwrecked off the coast of Didymus, 9 dead (Oct 10, 2002)"/>
        <s v="Shipwreck off the coast of Barbate, Cadiz. Recovered from the sea the bodies of 7 boys and 7 girls (Oct 8, 2002)"/>
        <s v="missing, after boat sank near Antigua (Canary Islands, E) (Oct 5, 2002)"/>
        <s v="drowned, body found off the coast of Tuineje (Fuerteventura, E) (Oct 5, 2002)"/>
        <s v="reportedly drowned when their boat capsized off the Spanish coast (Oct 4, 2002)"/>
        <s v="drowned after their boat capsized off the Spanish coastline (Oct 4, 2002)"/>
        <s v="drowned when overloaded boat capsized near Cadiz (E) (Oct 1, 2002)"/>
        <s v="died after being refused medical treatment in detention centre in Leusden (NL) (Jan 30, 2002)"/>
        <s v="found dead in a Spanish police station (Jan 25, 2002)"/>
        <s v="reportedly drowned, vessel capsized off the coast of Pozo Negro, Canary Islands (E) (Jan 20, 2002)"/>
        <s v="executed after being deported to Iran by Turkish police  (Jan 19, 2002)"/>
        <s v="stowaway, electrocuted when train passed under power lines near Frethun (F) (Jan 18, 2002)"/>
        <s v="drowned after boat sank on the way from Bodrum (TR) to Kos (GR) (Jan 11, 2002)"/>
        <s v="stowaway, died after attempt of jumping off a bound truck in Patras (GR)  (Jan 11, 2002)"/>
        <s v="stowaways, found dead in a shipping container due to depart from Livorno (I) (Jan 11, 2002)"/>
        <s v="died of hypothermia,  after long treck across Turkish border into Greece. (Jan 10, 2002)"/>
        <s v="no medical care into asylum centre in Appelscha (NL), too late found cancer (Jan 10, 2002)"/>
        <s v="missing, after boat sank while trying to reach Mayotte Island (F) from Comoros Islands  (Jan 9, 2002)"/>
        <s v="drowned, after boat sank while trying to reach Mayotte Island (F) from Comoros Islands  (Jan 9, 2002)"/>
        <s v="missing, after a boat with 42 migrants sank off the coast of Barbate (E) (Jan 9, 2002)"/>
        <s v="drowned, after a boat with 42 migrants sank off the coast of Barbate (E) (Jan 9, 2002)"/>
        <s v="missing, after small boat capsized near Tunisian coast on its way to Sicily (I)  (Jan 9, 2002)"/>
        <s v="drowned after small boat capsized near Tunisian coast on its way to Sicily (I)  (Jan 9, 2002)"/>
        <s v="drowned, body was discovered by a fisherman in the western Peloponnese (GR) (Jan 9, 2002)"/>
        <s v="Recovered at sea the body of a man off Apani, Brindisi (Jan 10, 2002)"/>
        <s v="suicide, jumped under train in Zwolle (NL) in fear of deportation (Jan 9, 2002)"/>
        <s v="drowned after boat capsized, body found on a beach near Kenitra (MA) (Jan 8, 2002)"/>
        <s v="drowned, after ship capsized 200 meters from south coast of Sicily (I) (Jan 8, 2002)"/>
        <s v="drowned, after ship capsized 200 meters from coast of Sicily (I) (Jan 8, 2002)"/>
        <s v="missing, were abandoned near Greek coast in a boat that later capsized  (Jan 8, 2002)"/>
        <s v="drowned, were abandoned near Greek coast in boat that later capsized  (Jan 8, 2002)"/>
        <s v="drowned, was abandoned near Greek coast in a boat that later capsized  (Jan 8, 2002)"/>
        <s v="suicide, hung himself after negative decision on his asylum application in NL (Jan 8, 2002)"/>
        <s v="reportedly drowned, forced by smugglers to swim ashore near Tarifa (E) (Jan 7, 2002)"/>
        <s v="pregnant, drowned, forced by smugglers to swim ashore near Tarifa (E) (Jan 7, 2002)"/>
        <s v="drowned, forced by smugglers to swim ashore near Tarifa (E) (Jan 7, 2002)"/>
        <s v="Kurds, stowaways found suffocated in truck in Avellino (I) going from BG to I (Jan 7, 2002)"/>
        <s v="Kurds, found dead on by smugglers abandoned refugee boat near Bari (I) (Jan 7, 2002)"/>
        <s v="reportedly drowned, small boat wrecked off coast of Fuerteventura (E) (Jan 6, 2002)"/>
        <s v="drowned, small boat with 19 migrants was wrecked off the coast of Fuerteventura (E) (Jan 6, 2002)"/>
        <s v="dead body found in police station in Fuerteventura (E) (Jan 6, 2002)"/>
        <s v="dead body found at the border between Ceuta (E/MA) and Morocco (Jan 6, 2002)"/>
        <s v="Kurds, stowaways in lorry from Greece to Italy crushed to death by the load (Jan 6, 2002)"/>
        <s v="stowaway, found dead in a lorry on a ferry from Patras (GR) to Brindisi (I) (Jan 6, 2002)"/>
        <s v="died of hypothermia, found dead by police in the area of Kaldiran (TR) (Jan 4, 2002)"/>
        <s v="died of cold, dead bodies were discovered by police in the area of Kaldiran (TR) (Jan 4, 2002)"/>
        <s v="reported missing after he jumped off a ship in the Corinthian Gulf (GR) (Jan 4, 2002)"/>
        <s v="jumped off a ship in the Corinthian Gulf (GR) died several hours later in a hospital (Jan 4, 2002)"/>
        <s v="died from cold, dead bodies were discovered near Menteres (TR) (Jan 4, 2002)"/>
        <s v="stowaways, suffocated in lorry, thrown out on parking place near Catalca (TR) (Jan 3, 2002)"/>
        <s v="drowned off Lanzarote, Canary Islands (E) after boat shipwrecked on reefs (Jan 2, 2002)"/>
        <s v="picked up by police at border BG-MK, shot to death by police near Skopje (MK) (Jan 2, 2002)"/>
        <s v="stowaways suffocated hidden in false compartment in bus from MA to Spain (Jan 1, 2002)"/>
        <s v="Kurd, stowaway suffocated in container during crossing from Greece to North Italy (Jan 1, 2002)"/>
        <s v="suicide, in Schneckenstein asylum seekers hostel (D) in fear of deportation (Jan 1, 2002)"/>
        <s v="asylum seeker died in child birth in Dublin (IRL), hospital did not know medical history (Jan 1, 2002)"/>
        <s v="suicide, in fear of forced deportation from Belgium (Sep 30, 2001)"/>
        <s v="died in minefield in Northern Greece trying to cross the Turkish-Greek border (Sep 29, 2001). From Del Grande's data set (translated): Found the remains of a man killed by an explosion in the mine fields between Gemisti and Gefyra, at the border between T"/>
        <s v="Expelled from Italy throws himself into the water, in the port of Brindisi, the ferry that was to bring in Vlore, but slams against the hull and died after two days in hospital (Sep 28, 2001)"/>
        <s v="Shipwreck of a Ukrainian ship loaded with immigrants in the Suez Canal, 3 dead and 9 missing (Sep 27, 2001)"/>
        <s v="suicide, hanged himself in a police cell in Les Grisons (CH) in fear of deportation  (Sep 18, 2001)"/>
        <s v="died after a fire in the refugee centre in Saarlouis-Fraulautern (D) (Sep 18, 2001)"/>
        <s v="Parties from Nigeria to cross the Sahara and embark to Europe, 52 people have died in the desert dehydrated after the breaking of the truck they were traveling in Mali and after a march of days, 4 survivors (Sep 18, 2001)"/>
        <s v="Shipwreck off the coast of Rabat, 5 dead (Sep 18, 2001)"/>
        <s v="30 people hidden in a mercantile turkish flow into the sea off the coast of Vlora, 4 drowned (Sep 17, 2001)"/>
        <s v="reportedly drowned after shipwreck near Fuerteventura (E) (Sep 11, 2001)"/>
        <s v="Discovered the bodies of three men drowned on a beach in El Ejido, near Almeria (Sep 12, 2001)"/>
        <s v="suicide, jumped from a building in Berlin (D) in fear of deportation (Sep 10, 2001)"/>
        <s v="drowned, bodies washed ashore near Rabat (MA) after shipwreck (Sep 8, 2001)"/>
        <s v="reportedly drowned, missing after shipwreck near Rabat (MA) (Sep 8, 2001). From Del Grande's data set (translated): Shipwreck off the coast of Kenitra, 13 dead and 46 missing (Sep 8, 2001)"/>
        <s v="found dead while in police custody in Ceuta (E/MA) (Sep 7, 2001)"/>
        <s v="drowned on his way to Spain, found near the beach of Bolonia in Tarifa (E) (Sep 7, 2001)"/>
        <s v="died in a dinghy on the way from Morocco to Tarifa (E) (Sep 4, 2001)"/>
        <s v="dead body is discovered after 188 migrants were intercepted near Tarifa (E) (Sep 4, 2001)"/>
        <s v="5 drowned during the landing of a ship of migrants on the island of Evia (Sep 5, 2001)"/>
        <s v="Landing in Salento, Lecce, passengers thrown into the sea, 1 dead (Aug 25, 2001)"/>
        <s v="drowned, thrown overboard by smugglers near Canary Island of Lobos (E) (Aug 22, 2001). From Del Grande's data set (translated): Landing in the Canary Islands, the smugglers throw passengers overboard to avoid arrest, 9 drowned (Aug 24, 2001)"/>
        <s v="drowned, forced to swim ashore in Almeria (E) but did not know how to swim  (Aug 21, 2001)"/>
        <s v="Found the body of a man who drowned in Cadiz (Aug 21, 2001)"/>
        <s v="suicide, found hanged in Nelson (GB) after his asylum claim was refused (Aug 20, 2001)"/>
        <s v="drowned on her way to Spain, found north of Cabo de Tres Forcas (MA) (Aug 19, 2001)"/>
        <s v="drowned, jumped overboard from a ferry near Dover (GB) during deportation (Aug 19, 2001). From Del Grande's data set (translated): Deported on a ferry from the port of Dover, diving into the sea to escape and drowns (Aug 20, 2001)"/>
        <s v="reportedly drowned, boat sank off Fuerteventura (Canary Island, E) (Aug 18, 2001)"/>
        <s v="drowned when boat sank off Fuerteventura (Canary Island, E) (Aug 18, 2001)"/>
        <s v="body found during police operations near the coasts of Tarifa, Ceuta and Fuertev. (E) (Aug 17, 2001)"/>
        <s v="decaying bodies found in the hold of Panamanian vessel in La Coruna (E) (Aug 12, 2001). From Del Grande's data set (translated): Found in the cargo hold of a Panamanian firm in La Coruna, the lifeless bodies of 2 boys (Aug 13, 2001)"/>
        <s v="stowaway, suffocated in cargo container from Belgium to Ireland, Kurd (Aug 11, 2001)"/>
        <s v="Relief kwassa kwassa off of Mayotte: 1 dead and 7 missing (Aug 11, 2001)"/>
        <s v="He died of a heart attack an hour and a half before boy arrested by agents of the Guardia Civil in Ceuta (Aug 10, 2001)"/>
        <s v="Found the body of a drowned man on the beach of Bolonia, Tarifa (Aug 10, 2001)"/>
        <s v="reportedly drowned, boat was found drifting (E) (Aug 7, 2001). From Del Grande's data set (translated): A boat adrift for five days and no more food on board is finally rescued off the coast of Almeria. Appeal lacks 11 of the 30 passengers. According to t"/>
        <s v="Found in Tanzania, to Pemba, a kwassa kwassa party from Anjouan and Mayotte to the finished adrift for 11 days, 2 dead (Aug 6, 2001)"/>
        <s v="Shipwreck at 15 km from the coast of Anjouan: 26 dead (Aug 6, 2001)"/>
        <s v="Party from Pomoni (Anjouan) and directed to Mayotte, a kwassa kwassa is shipwrecked off the coast of Gnignijou. Drown a 5 year old girl (Aug 5, 2001)"/>
        <s v="drowned while trying to cross the Strait of Gibraltar, body found on the coast near Tarifa (E) (Aug 4, 2001)"/>
        <s v="jumped from court house window in Vienna (A), asylum claim had been rejected (Mar 7, 2001)"/>
        <s v="asylum seeker, died as result of conditions of detention in Turkey  (Jul 21, 2001)"/>
        <s v="fell from window in refugee centre in Mespelbrunn (D) for fear of deportation (Jul 18, 2001)"/>
        <s v="shot dead by Turkish border police (TR/Syria) when refugees bus refused to stop (Jul 15, 2001)"/>
        <s v="Found on a beach in Los Lances, Tarifa in an abandoned boat, 2 bodies on board (Jul 16, 2001)"/>
        <s v="drowned, vessel collided with rocks near Tarifa (E) attempting to escape police (Jul 14, 2001). From Del Grande's data set (translated): A boat crashing against the rocks of La Caleta, in Tarifa, 4 men drown (Jul 16, 2001)"/>
        <s v="died after inhalation of toxic chemicals inside small boat near Tarifa (E) (Jul 14, 2001)"/>
        <s v="Turkish police shoot on a minibus load of immigrants who refuse to stop at a checkpoint in the region of Hatay, near Syria. 2 people are killed and 7 injured (Jul 14, 2001)"/>
        <s v="drowned, body found on a beach in Tarifa (E) (Jul 12, 2001)"/>
        <s v="A man died in hospital in Catania landed in Sicily on July 2 and wounded in the head with an oar by traffickers (Jul 12, 2001)"/>
        <s v="drowned near Bodrum in Turkey when smugglers boat capsized   (Jul 10, 2001)"/>
        <s v="drowned, when vessel capsized near Bodrum at South-West cost of Turkey (Jul 10, 2001)"/>
        <s v="3 bodies recovered off the coast of Dubrovnik, between Scoglitti and Marina di Ragusa (Jul 10, 2001)"/>
        <s v="Ragusa: 4 people thrown overboard by traffickers drown trying to swim to the coast (Jul 9, 2001)"/>
        <s v="A frozen to death on the border crossings between Bulgaria and Greece (Jul 5, 2001)"/>
        <s v="died in a dinghy near Tarifa (E) on the way from Morocco to Spain (Jun 27, 2001)"/>
        <s v="Rescued a boat with 62 passengers in the waters of Tarifa, 1 died on board (Jun 28, 2001)"/>
        <s v="died of inhalation of toxic gas coming from the boat s motor, on the way to Spain (Jun 26, 2001)"/>
        <s v="suicide of asylum seeker in Gimo reception Centre (S) (Jun 23, 2001)"/>
        <s v="Tucked away in the undercarriage of a plane at Gatwick, man rushes to the opening of the truck from a height of several hundred meters (Jun 18, 2001)"/>
        <s v="drowned, jumped into sea from vessel when detected and hit his head, on way to Spain (Jun 15, 2001)"/>
        <s v="A boat hits a rocky islet of Chtapodia, in the Cyclades, and sinks, 6 drowned (Jun 15, 2001)"/>
        <s v="stowaway, frozen to death in wheelbay on flight from Bahrein to Heatrow airport (GB) (Jun 13, 2001)"/>
        <s v="reportedly drowned, when vessel hit a rocky islet near Mykonos (GR) and sank (Jun 13, 2001)"/>
        <s v="drowned when vessel hit a rocky islet near Mykonos (GR) and sank (Jun 13, 2001)"/>
        <s v="Landing in Frigole, Lecce, a man dies for head injury during the trip, slamming against the side of a boat (Jun 14, 2001)"/>
        <s v="stowaway, fell in carpark in Richmond from wheelbay of plane Bahrein-London (GB) (Jun 13, 2001). From Del Grande's data set (translated): London Heathrow Airport. Found the body of a man frozen in the undercarriage of a plane took off from Bahrain, where "/>
        <s v="Found on a beach of Tarifa the corpse of a drowned man (Jun 11, 2001)"/>
        <s v="drowned, after vessel capsized near the South-West coast of Turkey (Jun 10, 2001)"/>
        <s v="hit by a car while escaping police who forced Afghani/Pakistani refugees into a bus (Jun 10, 2001)"/>
        <s v="They die in Trani, Bari, 12 people, thrown overboard by traffickers. The survivors are 22. (Jun 10, 2001)"/>
        <s v="stowaway, found dead in a cargo ship in Sevilla (E) (Jun 8, 2001)"/>
        <s v="killed in car accident, car fell into river in north-west Romania heading for H (Jun 4, 2001)"/>
        <s v="died after falling from a cliff, trying to flee from the Guardia Civil near Tarifa (E) (Jun 3, 2001)"/>
        <s v="drowned, arts found on the beach of Bolonia, Tarifa (E) (May 31, 2001)"/>
        <s v="reportedly drowned, near Fuerte Ventura (E) after patrol boat intercepted vessel (May 29, 2001). From Del Grande's data set (translated): The Civil Guard rescues boat 2 miles from the island of Fuerteventura, in the Canary Islands. Passengers stand up to "/>
        <s v="died of severe burns after fire in asylum seekers centre in Werdau (D) (May 28, 2001)"/>
        <s v="Two dead along the coast of Spain, one in Cadiz and one in Fuerteventura, in the Canary Islands (May 25, 2001)"/>
        <s v="reportedly drowned, found dead on beach near Melilla (E/MA) (May 23, 2001)"/>
        <s v="drowned after small boat capsized near Cadiz (E) (May 23, 2001)"/>
        <s v="suicide, found hanging after arrest in Soto del Real (E) (May 22, 2001)"/>
        <s v="died in marked minefield, crossed into Greece from Turkey via Evros river (May 21, 2001). From Del Grande's data set (translated): After the victims of the previous day, the remains of two other victims of landmines are found in the fields of Evros (May 2"/>
        <s v="died in minefield in Greece trying to cross the Turkish-Greek border (May 20, 2001). From Del Grande's data set (translated): 3 dead and one seriously injured in a minefield greek-Turkish border Evros (May 21, 2001)"/>
        <s v="suicide in refugee centre De Lier (NL) after rejection of asylum application, Kurd  (May 20, 2001)"/>
        <s v="The Libyan authorities announced that they had found in the desert near Murzuq, 93 corpses in a state of decomposition. They were part of a group party from Niger on May 8 and got stuck in the desert after an engine failure the truck they were traveling i"/>
        <s v="body found in wheelbay of Iranian plane at Teheran airport  (May 12, 2001)"/>
        <s v="drowned in the attempt to swim to the beach of the Greek island of Evia (May 8, 2001)"/>
        <s v="1 body found along the coast of Tarifa (May 8, 2001)"/>
        <s v="frozen, trying to cross the snow covered border between Bulgaria and Northern Greece (May 6, 2001)"/>
        <s v="1 body found in the ship's hold cargo Epic game from New Guinea with a cargo of timber (May 4, 2001)"/>
        <s v="stowaway, found dead near Madrid (E) in container coming from Casablanca (MA) (May 2, 2001)"/>
        <s v="drowned near Tarifa (E) when small boat capsized trying to reach Spain (May 1, 2001)"/>
        <s v="drowned near Tarifa (E) after small boat capsized trying to reach Spain (May 1, 2001)"/>
        <s v="drowned near Tarifa (E) after small boat capsized in attempt to reach Spain (May 1, 2001)"/>
        <s v="drowned after small boat capsized near Tarifa (E), on the way to Spain (May 1, 2001)"/>
        <s v="Two dead in Calais trying to hide under the direct trains Channel in England (Apr 26, 2001)"/>
        <s v="drowned, fell into a water-filled quarry near Putzkau (D/CZ) trying to escape police control (Apr 17, 2001)"/>
        <s v="frozen to death at Belles mountain (BG/GR) trying to walk to Greece (Apr 16, 2001). From Del Grande's data set (translated): 4 dead, frozen to death on the passes of the mountains of Belasicas, trying to walk across the border between Bulgaria and Greece."/>
        <s v="One person dies electrocuted while trying to climb over the fences of the terminal of the Channel Tunnel near Calais (Apr 14, 2001)"/>
        <s v="drowned after shipwreck occured 1 month before, bodies found near Tarifa (E) (Apr 2, 2001). From Del Grande's data set (translated): A young man just landed in Tarifa died by falling into a ravine 10 meters deep while he was fleeing from the Guardia Civil"/>
        <s v="skeleton found in minefield between Greek-Turkish border (Mar 28, 2001)"/>
        <s v="expelled Turk, died in minefield at GR/TR border returning to Germany after torture (Mar 28, 2001)"/>
        <s v="reportedly drowned while trying to swim ashore, body found on a beach near Tarifa (E)  (Mar 27, 2001)"/>
        <s v="died after being hit by a truck while leaving Drunten detention centre (NL) in confused state (Mar 26, 2001)"/>
        <s v="died after boat of Italian navy crushed their boat in the Canal Otranto (I) (Mar 23, 2001)"/>
        <s v="drowned on his way to E, found in advanced state of decomposition near Tarifa (E) (Mar 22, 2001). From Del Grande's data set (translated): Found the bodies of 2 boys and 2 girls on the beaches of Tarifa (Mar 22, 2001)"/>
        <s v="stowaway, found dead on motorway near Darro (E) preportedly fallen from lorry (Mar 22, 2001). From Del Grande's data set (translated): A young man falls from the truck in which he was traveling tucked away on the A-340 in Darro, Granada, and bleeds to dea"/>
        <s v="killed by Morroccan refugee who did not want to be deported from jail in Almeria (E)  (Mar 21, 2001)"/>
        <s v="drowned on their way to Spain, found near Tarifa (E) (Mar 20, 2001)"/>
        <s v="drowned after boat crushed, bodies washed ashore along beach near Tarifa (E)  (Mar 20, 2001)"/>
        <s v="drowned, found dead on beach near Tarifa (E) after boat was collided (Mar 20, 2001)"/>
        <s v="Recovered a dead body in front of a backdrop of the island of Pantelleria (Mar 18, 2001)"/>
        <s v="drowned near the coast of Melilla (E/MA) after being forced overboard by smuggler (Mar 15, 2001). From Del Grande's data set (translated): Thrown into the sea from a small boat off the coast of Melilla, 1 dead (Mar 18, 2001)"/>
        <s v="Madrid, discovered a corpse inside a container left from Casablanca, Morocco (Mar 5, 2001)"/>
        <s v="Recovered the bodies of two men drowned off the coast of Tarifa (Mar 5, 2001)"/>
        <s v="died in a van accident near Murcia (E), were undocumented migrant workers (Feb 28, 2001)"/>
        <s v="A truck party to Libya is lost in the desert to avoid border controls of Tidjeri. Three people are able to raise the alarm, but help arrives the Libyan army is only 40 survivors. The Niger police recovered 23 bodies. Another 27 people were buried in the s"/>
        <s v="died after insufficiant medical care at asylum seekers centre Waddingxveen (NL) (Feb 21, 2001)"/>
        <s v="died in refugee centre in Wien, stabbed during a massive fight not stopped by guards (Feb 18, 2001)"/>
        <s v="stowaway, froze to death in wheelbay on flight from Gatwick (GB) to USA (Feb 18, 2001)"/>
        <s v="2 bodies recovered in an advanced state of decomposition on the beaches of Tarifa, perhaps drowned in the sinking of the last week (Feb 11, 2001)"/>
        <s v="2 dead in the hold of a freighter turkish party from Tunisia and landed in Brindisi, where were hidden, probably killed by the fumes of the cargo oil sanza (Feb 8, 2001)"/>
        <s v="Recovered the bodies of 10 men drowned in a shipwreck in the waters of Tarifa, another 20 people are reported missing (Feb 6, 2001)"/>
        <s v="Refugee dies under a train in Eurotunnel Calais terminal (Feb 1, 2001)"/>
        <s v="drowned trying to cross the Iranian-Turkish border near Ert√ºl√º (TR) (Dec 31, 2001)"/>
        <s v="died of hypothermia, found dead in mountains near Turkish-Iranian border (Dec 31, 2001)"/>
        <s v="According to a report by Human Rights Watch, November 2001 to January 2002, at least 4 migrants were killed by Turkish police along the border with Iran frozen to death and 26 others were killed on the border crossings (Jan 1, 2002)"/>
        <s v="drowned, dead bodies discovered by Spanish police near Cabo de Gata (E) (Dec 31, 2001)"/>
        <s v="Man dies frozen to death trying to walk across the border between Turkey and Greece in Edirne (Jan 1, 2002)"/>
        <s v="drowned, forced by smugglers to cross river March (SK-A) by swimming (Dec 31, 2001)"/>
        <s v="electrocuted on top of a train in the Channel Tunnel heading for the GB (Dec 31, 2001). From Del Grande's data set (translated): Man electrocuted by an electric discharge over a train tunnel under the Channel to England (Jan 1, 2002)"/>
        <s v="suicide, jumped off a bridge in Tyneside (GB) in fear of deportation (Dec 31, 2001)"/>
        <s v="drowned, trying to clandestinely get onboard a merchant ship anchored near Ceuta (E/MA) (Dec 26, 2001). From Del Grande's data set (translated): Boy drowned trying to board a freighter anchored in the port of Ceuta (Dec 27, 2001)"/>
        <s v="London Gatwick Airport. Found the bodies of two men frozen in undercarriage of a British Airways plane which were hidden (Dec 25, 2001)"/>
        <s v="He died of hypothermia a man hidden in the hold of a freighter Ivorian direct to Holland (Dec 25, 2001)"/>
        <s v="died in minefield in Northern Greece trying to cross the Turkish-Greek border (Dec 22, 2001). From Del Grande's data set (translated): Found the remains of a man killed by an explosion in the mine fields between Gemisti and Gefyra, at the border between T"/>
        <s v="drowned, found dead on a beach in Punta Aceituno, Canary Islands (E) (Dec 16, 2001). From Del Grande's data set (translated): Found the bodies of two drowned men on the beach in Punta Aceituno, Fuerteventura, in the Canary Islands (Dec 18, 2001)"/>
        <s v="found dead  in a Spanish police station while in detention (Dec 11, 2001)"/>
        <s v="Livorno suffocated in trucks where they were hidden, 4 dead (Dec 12, 2001)"/>
        <s v="Shipwreck off the coast of Fuerteventura, in the Canary Islands. Suspended the search for the missing 7 (Dec 10, 2001)"/>
        <s v="drowned, decomposing bodies washed ashore in Cabestrante in El Ejido (E) (Dec 8, 2001)"/>
        <s v="Suffocated in containers where they were hidden, 8 dead (Dec 9, 2001)"/>
        <s v="Sinks near Cesme small raft live in Greece, 3 killed (Dec 7, 2001)"/>
        <s v="drowned, body washed ashore along the coast of Tarifa (E) (Dec 5, 2001)"/>
        <s v="body found near Tarifa (E) (Dec 4, 2001)"/>
        <s v="electrocuted trying to get on board a Eurostar train at Calais (F) (Dec 3, 2001)"/>
        <s v="Boat rescued off Cesvos, 2 dead, 4 missing (Dec 3, 2001)"/>
        <s v="died of severe burns after fire in asylum seekers centre in Eschwege (D) (Nov 30, 2001)"/>
        <s v="drowned, thrown off a boat near Fuerteventura (E) (Nov 27, 2001). From Del Grande's data set (translated): Drowned a boy thrown into the sea from the rail of the boat on which he was traveling off the coast of Fuerteventura, in the Canary Islands (Nov 29,"/>
        <s v="drowned, found floating off the coast of Ceuta (E/MA) (Nov 24, 2001)"/>
        <s v="fell from 3rd floor in London (GB) as immigration officials attempted to detain him (Nov 24, 2001)"/>
        <s v="stowaway, died of hypothermia in ramp of cargo ship between Ivory Coast//NL (Nov 24, 2001)"/>
        <s v="died in police custody (Brixton-GB) after being arrested, handcuffed and assaulted. (Nov 21, 2001)"/>
        <s v="stowaways, found dead inside container in port Livorno (I) on way to Canada (Nov 11, 2001)"/>
        <s v="stowaways, died inside cargo container on vessel on way from Italy to Canada (Nov 11, 2001)"/>
        <s v="Two died in a shipwreck off the coast of Majicavo, Mayotte (Nov 9, 2001)"/>
        <s v="Shipwreck off the coast of Bodrum, 5 dead, 12 missing (Nov 7, 2001)"/>
        <s v="reportedly drowned on his way to Spain, body found on a beach in Tarifa (E) (Nov 5, 2001)"/>
        <s v="Capsizes off the coast of the Turkish boat heading to Greece, 5 dead (Nov 6, 2001)"/>
        <s v="drowned when raft sank near Puglia (I) (Nov 5, 2001)"/>
        <s v="reportedly drowned, trying to cross the river Morava, border between CZ/SK (Nov 5, 2001)"/>
        <s v="drowned, trying to cross the river Morava, border between Czechia and Slovakia (Nov 5, 2001)"/>
        <s v="stowaway, fallen from lorry and rolled onto motorway from B to Calais (F) (Oct 29, 2001). From Del Grande's data set (translated): It falls under the truck which was traveling on the highway hidden for Calais, France, and died crushed (Oct 30, 2001)"/>
        <s v="stowaway, crushed by trailer of lorry he hid under going from MA to Algeciras (E) (Oct 27, 2001). From Del Grande's data set (translated): Hidden under a truck embarked in Tangier, Morocco, a boy dies crushed by the wheels of the truck at the Port of Alge"/>
        <s v="Dinghy is shipwrecked off the coast of Kos, 1 dead (Oct 26, 2001)"/>
        <s v="Shipwreck of a kwassa kwassa party from Anjouan to Mayotte: 25 dead (Oct 25, 2001)"/>
        <s v="drowned, near Guben (D) trying to swim accross river Neisse (PL-D)  (Oct 24, 2001). From Del Grande's data set (translated): Found the body of a man who drowned trying to cross the river Neisse border between Poland and Germany, in Guben (Oct 25, 2001)"/>
        <s v="drowned in the Strait of Gibraltar, in attempt to swim to Spain from MA (Oct 22, 2001)"/>
        <s v="Kwassa kwassa party Mayotte sinks a couple of miles from the coast of Anjouan, 15 dead (Oct 18, 2001)"/>
        <s v="died after jumping off a bridge onto a train at the French end of Channel Tunnel  (Oct 17, 2001)"/>
        <s v="died from exhaustion in hold of vessel from Turkey to Italy, reportedly pregnant (Oct 14, 2001)"/>
        <s v="Found the body of a man in the ship's hold Akcan I, docked in the port of Crotone (Oct 15, 2001)"/>
        <s v="drowned near the southern coast of Sicily (I), reportedly thrown overboard by traffickers (Oct 6, 2001)"/>
        <s v="Shipwreck off Mliha a kwassa kwassa party from Anjouan to Mayotte, 7 dead (Oct 6, 2001)"/>
        <s v="drowned after dinghy loaded with migrants sunk near Trani (I) (Oct 5, 2001)"/>
        <s v="bodies found in advanced state of decomposition near Tarifa (E) (Oct 1, 2001)"/>
        <s v="reportedly drowned, boat missing after drifting off Spanish coast near Almeria (E) (Jan 24, 2001)"/>
        <s v="drowned after reportedly colliding border guard patrol ship near Tarifa (Jan 21, 2001). From Del Grande's data set (translated): Sinking a boat in the waters of Tarifa, 1 dead and 5 missing at sea (Jan 22, 2001)"/>
        <s v="1 body found, 5 reportedly drowned after small boat capsized near Tarifa (E) (Jan 20, 2001)"/>
        <s v="stowaway, found on ferry from Oostende (B) to Dover (GB), jumped from ship (Jan 19, 2001). From Del Grande's data set (translated): Discovered on the ferry which was traveling hidden, dives into the sea and drowns (Jan 20, 2001)"/>
        <s v="suicide, found hanged in asylum hostel in Leicester (GB) after his asylum  claim was refused (Jan 17, 2001)"/>
        <s v="drowned, trying to swim from deserted Island ashore near Aegean coast (TR) (Jan 11, 2001)"/>
        <s v="reportedly drowned, trying to reach Greece from Turkey with a dinghy (Jan 11, 2001)"/>
        <s v="drowned trying to reach Greece from Turkey with a dinghy (Jan 11, 2001)"/>
        <s v="Kurds, drowned in Southern Adriatic (I) being dumped in sea by smugglers (Jan 11, 2001)"/>
        <s v="Kurd, pregnant, drowned in Southern Adriatic (I) being dumped in sea by smugglers (Jan 11, 2001)"/>
        <s v="died trying to escape out of a hospital window in Milan (I) having no correct papers (Jan 10, 2001)"/>
        <s v="died during boat trip on old defective vessel from Turkey to Greece (Jan 8, 2001)"/>
        <s v="drowned, reportedly his boat capsized and sunk near Fuerteventura (E) (Jan 7, 2001)"/>
        <s v="reportedly drowned, after struggle to keep afloat in small vessel near Almeria (E) (Jan 6, 2001)"/>
        <s v="reportedly dead, forced to walk back and forth between the Turkish/Greek borders (Jan 6, 2001)"/>
        <s v="drowned, forced to cross back over a river towards Greece by Turkish soldiers (Jan 6, 2001)"/>
        <s v="drowned, found at the beach of Banhos ¬¨¬∞rabes near Bolonia/Cadiz (E) (Jan 5, 2001)"/>
        <s v="died in Granges (CH), suffocated during deportation to Nigeria (Jan 4, 2001)"/>
        <s v="died of cardiac problems, after fleeing Germany to go to France in fear of deportation (Jan 4, 2001)"/>
        <s v="Found the body of a man in an advanced state of decomposition on a beach in Tarifa (Jan 3, 2001)"/>
        <s v="kurd, rejected asylum seeker shot trying to escape police in J√∂nk√∂ping (S)  (Jan 2, 2001)"/>
        <s v="murdered after they failed to pay smugglers on their way from Hungary to Austria (Jan 1, 2001)"/>
        <s v="stowaway, hit mortally trying to jump on freight train through Channel tunnel(GB/F) (Jan 1, 2001)"/>
        <s v="Kurd, rejected asylum seeker shot by policeman in J√∂nk√∂ping (S) trying to escape (Jan 1, 2001)"/>
        <s v="stowaway, froze to dead in wheelbay of Lufthansa airplane at Frankfurt (D) airport (Sep 28, 2000). From Del Grande's data set (translated): Frankfurt Airport. Found the bodies of two men frozen in undercarriage of a Lufthansa cargo departed from Malaysia "/>
        <s v="Party from Hamchako, Anjouan, a kwassa kwassa is shipwrecked off the coast of Anjouan, on the route to Mayotte: 12 dead (Sep 22, 2000)"/>
        <s v="suicide, jumped from church tower in Villach (A) afraid of deportation (Sep 18, 2000)"/>
        <s v="Upturned boat stranded off the coast of Skhirat, was directed in Spain, 1 dead and 9 missing (Sep 17, 2000)"/>
        <s v="stowaways, suffocated in container on ship in the harbour of Korinthos (GR) (Sep 15, 2000). From Del Grande's data set (translated): At the port of Korinthos, in a container just downloaded, are found the bodies of three dead men (Sep 16, 2000)"/>
        <s v="drowned after their boat was crushed on the way to Spain, bodies found near Cadiz (E) (Sep 11, 2000)"/>
        <s v="Roma, killed after participating in return project to village of origin near Pristina (XZ) (Sep 10, 2000)"/>
        <s v="Shipwreck in the Strait, off the coast of Ceuta, 2 dead and 7 missing (Sep 6, 2000)"/>
        <s v="reportedly drowned, small boat disappeared on Adriatic Sea near Italy (Sep 1, 2000)"/>
        <s v="2 killed in minefields along the Evros River at the border with Turkey, Kipi. Attempting to cross the border on foot (Sep 1, 2000)"/>
        <s v="fell to death from 6th floor window, trying to escape detention in Berlin K√∂penick (D) (Aug 29, 2000)"/>
        <s v="killed in minefield on Greek-Turkish border trying to cross illegally (Aug 28, 2000). From Del Grande's data set (translated): An explosion in a minefield along the border turkish near Kipoi ago 1 dead. Death on the mines of the north-eastern border 7 peo"/>
        <s v="drowned in river Sava (HR/BH) trying to travel illegally to Western Europe (Aug 28, 2000). From Del Grande's data set (translated): 12 men drowned trying to cross the Sava River to cross the border with Croatia (Aug 29, 2000)"/>
        <s v="drowned, when fisher boat sank near Isola Capo Rizzuto (I) (Aug 27, 2000)"/>
        <s v="reportedly drowned in river Oder (D/PL) near Genschmar (Aug 27, 2000). From Del Grande's data set (translated): Found the body of a man who drowned trying to cross the Oder River on the border between Poland and Germany, to Genschmar (Aug 28, 2000)"/>
        <s v="missing, reportedly drowned near Kos (GR), after small boat capsized (Aug 25, 2000)"/>
        <s v="drowned near Kos (GR), when small boat capsized (Aug 25, 2000). From Del Grande's data set (translated): It overturns a boat in the waters of the island of Kos, 8 dead, 16 missing in sea (Aug 27, 2000)"/>
        <s v="drowned, dinghy sunk decomposing bodies washed ashore in Almeria (E) (Aug 12, 2000)"/>
        <s v="26 died in a shipwreck off the coast of Mayotte (Aug 12, 2000)"/>
        <s v="drowned on his way to Spain, found near Ceuta (E/MA) (Aug 11, 2000)"/>
        <s v="Shipwreck off the coast of Almeria, 4 dead bodies recovered (Aug 12, 2000)"/>
        <s v="suicide, hanged himself with shoelaces in detention centre Hannover-Langenhagen (D) (Aug 11, 2000)"/>
        <s v="Bari thrown overboard by smugglers during the landing. 2 dead, 2 missing (Aug 9, 2000)"/>
        <s v="Shipwreck off the coast of Sada, Mayotte: 10 dead (Aug 9, 2000)"/>
        <s v="Shipwreck off Soulou, Mayotte, 10 dead (Aug 8, 2000)"/>
        <s v="Shipwreck off the coast of Anjouan, on routes to the French island of Mayotte, 9 dead (Aug 8, 2000)"/>
        <s v="missing, reportedly forced by traffickers to jump into Adriatic Sea near Bari (I) (Aug 7, 2000)"/>
        <s v="drowned, reportedly forced by traffickers to jump into Adriatic Sea near Bari (I) (Aug 7, 2000)"/>
        <s v="He died crushed a young man hiding under a truck along the N-340 towards Malaga (Aug 7, 2000)"/>
        <s v="died after being left alone on Italian shore by traffickers fleeing police (Aug 6, 2000)"/>
        <s v="Party from Domoni (Anjouan) a kwassa-kwassa is shipwrecked off the coast of Mayotte, 6 dead (Aug 4, 2000)"/>
        <s v="crushed to death by truck in Sussex (GB) trying to immigrate to Britain illegally (Aug 3, 2000)"/>
        <s v="reportedly drowned, body found in water purification plant Frankfurt Oder (D) (Aug 2, 2000)"/>
        <s v="suicide, laid down in the middle of a highway in Germany for fear of deportation (Jul 29, 2000)"/>
        <s v="reportedly drowned, missing  near Arinaga (E) trying to go to Spain from Morocco (Jul 26, 2000)"/>
        <s v="found near Ceuta (E/MA), reportedly drowned trying to reach Spain (Jul 23, 2000). From Del Grande's data set (translated): Shipwrecked boat heading to Spain in the waters of Ceuta. Found the body of a woman (Jul 24, 2000)"/>
        <s v="found dead near Tarifa (E), reportedly drowned trying to reach Spain (Jul 23, 2000)"/>
        <s v="Landings in Algeciras, 4 drowned (Jul 24, 2000)"/>
        <s v="drowned, after falling into the Adriatic Sea (I) in a collision with a police boat (Jul 23, 2000). From Del Grande's data set (translated): 4 drowned in Otranto, in Apulia, after a collision between a boat and a boat of the Guardia di Finanza (Jul 24, 200"/>
        <s v="found dead near Ceuta (E/MA), drowned trying to reach Spain (Jul 22, 2000)"/>
        <s v="drowned near Algeciras (E) after shipwreck of a boat carrying other 36 migrants (Jul 22, 2000)"/>
        <s v="found dead near Tarifa (E), reportedly drowned trying to reach Spain (Jul 21, 2000)"/>
        <s v="drowned, body found floating in state of decomposition off the coast of Barbate (E) (Jul 17, 2000)"/>
        <s v="died, kept on Lanarca airport (CY) for 11 days while being denied proper medical care (Jul 16, 2000)"/>
        <s v="reportedly drowned near Bojador, Canary Islands (E) (Jul 12, 2000)"/>
        <s v="drowned near Bojador, Canary Islands (E) (Jul 12, 2000)"/>
        <s v="Found the body of a migrant to the sides of the N-340 in Almeria, probably died after being abandoned on the road where the truck was traveling (Jul 10, 2000)"/>
        <s v="Lecce: a landing boat, dead baby of 9 months, falling sugliscogli (Jul 10, 2000)"/>
        <s v="died of injuries, jumping out of police van near Gy√∂r (H) trying to escape deportation (Jul 7, 2000)"/>
        <s v="20 killed in two separate wrecks off the coast of Mayotte (Jul 7, 2000)"/>
        <s v="reportedly drowned, missing after small boat capsized near Tarifa (E) (Jul 4, 2000)"/>
        <s v="drowned, when small boat capsized near Tarifa (E) (Jul 4, 2000)"/>
        <s v="drowned, bodies found in advanced state of decomposition near Tarifa (E) (Jul 4, 2000)"/>
        <s v="reportedly drowned in river Oder (D/PL) near Kienitz (Jul 4, 2000). From Del Grande's data set (translated): Found the body of a man who drowned trying to cross the Oder River on the border between Poland and Germany, in Gross Breesen (Jul 10, 2000)"/>
        <s v="disappeared after being 'released' from detention centre in Berlin (D) (Jul 3, 2000)"/>
        <s v="died after fire caused by rebellion in detention centre Seraino Vulpitta di Trappani (I) (Jun 30, 2000)"/>
        <s v="died in van accident trying to reach Thessaloniki (GR) from Turkey (Jun 30, 2000)"/>
        <s v="asylum seeker, committed suicide in Dublin (IRL) for fear of deportation (Jun 22, 2000)"/>
        <s v="suffocated in sealed trailer of a truck on ferry from Zeebrugge (B) to Dover (GB) (Jun 18, 2000)"/>
        <s v="Shipwreck off the island Mohli, on routes to Mayotte, in the Indian Ocean, 19 dead (Jun 14, 2000)"/>
        <s v="run over by truck on N-340 near San Roque (E) after disembarking illegaly from dinghy (Jun 11, 2000)"/>
        <s v="stowaway, crushed to death in back of a truck on his way to Spain (Jun 7, 2000)"/>
        <s v="drowned, forced by traffickers to jump into Adriatic Sea near Otranto (I) (Jun 5, 2000)"/>
        <s v="Landing along the coasts of Lecce, 2 dead (Jun 6, 2000)"/>
        <s v="suicide, at the asylum seekers transit station (detention) at Frankfurt (D) airport (Jun 4, 2000)"/>
        <s v="Stockholm Airport. Found the bodies of two men frozen to death in the undercarriage of a plane departed from Dominican Republic (Jun 5, 2000)"/>
        <s v="died during deportation, jumped out of ferry which should have deported him; Bari (I) (Jun 2, 2000)"/>
        <s v="died of burns and crushed head after falling from underneath lorry near Rinconcillo (E) (May 29, 2000)"/>
        <s v="A young migrant detained by the police station on Lanzarote, in the Canary Islands. he was beaten. (May 21, 2000)"/>
        <s v="drowned after vessel sank in the Straits of Gibraltar near Tarifa (E) (May 18, 2000)"/>
        <s v="asylum seeker, died due to lack of medical attention in 'pension detention' in Gols (A) (May 16, 2000)"/>
        <s v="The Turkish police opened fire on a group of migrants in Dogubayazit, near Agri, while they were crossing the border illegally with Iran. 9 dead and 5 injured (May 16, 2000)"/>
        <s v="reportedly drowned trying to cross the Strait of Gibraltar (E) (May 13, 2000)"/>
        <s v="missing, reportedly drowned after boat carrying immigrants sank near Cadiz (E) (May 13, 2000)"/>
        <s v="drowned after their boat sank near Cadiz (E) (May 13, 2000)"/>
        <s v="Inflatable Party from Morocco crashing against the rocks in Tarifa, 6 dead (May 13, 2000)"/>
        <s v="reportedly fell out of a truck in front of a car near El Ejido (E) (May 11, 2000)"/>
        <s v="reportedly drowned in river Sava (HR/BH)  when small boat capsized (May 10, 2000). From Del Grande's data set (translated): Sink two boats of migrants into Italy, in the waters of the Sava river, at the border between Bosnia and Croatia, 7 dead and 4 miss"/>
        <s v="reportedly drowned in Moroccan territorial waters, on way to Spain (May 8, 2000)"/>
        <s v="drowned in Moroccan territorial waters, trying to reach Spain in small boat (May 8, 2000)"/>
        <s v="drowned, after ship sank near Tanger (E), authorities did not help in rescue (May 7, 2000)"/>
        <s v="reportedly drowned while trying to reach Spain (May 7, 2000)"/>
        <s v="Shipwreck in the Straits of Gibraltar, on routes to Cadiz, 3 dead and 11 missing (May 8, 2000)"/>
        <s v="A dead man in a minefield along the Evros River, the border between Turkey and Greece, while crossing the border on foot (May 8, 2000)"/>
        <s v="Found the body of a man who drowned trying to cross the Oder River on the border between Poland and Germany, in Kienitz (May 7, 2000)"/>
        <s v="A boat heading to the Canary Islands in the waters of Laayoun capsizes, 12 dead (May 5, 2000)"/>
        <s v="missing, reportedly drowned after collision with coast guards near Otranto (I) (May 4, 2000). From Del Grande's data set (translated): Lecce: an inflatable boat rammed by police at 4 km from the coast. 2 dead, at least 10 missing (May 4, 2000)"/>
        <s v="drowned after their small boat collided with coast guards near Otranto (I) (May 4, 2000)"/>
        <s v="Found the body of a man who drowned trying to cross the river Neisse border between Poland and Germany, to Porajov (May 2, 2000)"/>
        <s v="drowned, near Tarifa (E) trying to reach Spain swimming from a dinghy  (Apr 30, 2000). From Del Grande's data set (translated): Found the bodies of two young men drowned in a shipwreck near Tarifa (Apr 30, 2000)"/>
        <s v="Shipwreck in the stormy waters of the Strait of Gibraltar. One survivor, 1 body recovered and 20 missing (May 1, 2000)"/>
        <s v="Found on the sides of a street in Cadiz the corpse of a migrant died under the wheels of the truck in which he was traveling hidden (May 1, 2000)"/>
        <s v="died after he hit his head when boat driver tried to escape the border police near Otranto (I) (Apr 30, 2000)"/>
        <s v="drowned, found dead 550 meters from Ceuta (E/MA) (Apr 29, 2000)"/>
        <s v="fell from underside truck, run over by car disembarking ferry in Algeciras (E)   (Apr 29, 2000)"/>
        <s v="reportedly drowned, after ship sank near Cadiz (E) (Apr 29, 2000)"/>
        <s v="drowned, found near Malaga (E) after ship wreckage near Cadiz (E) (Apr 29, 2000)"/>
        <s v="drowned when small boat sank in storm near Tarifa (E) on way to Spain (Apr 28, 2000)"/>
        <s v="drowned, body found in advanced state of decomposition near Tarifa (E) (Apr 28, 2000)"/>
        <s v="He died at the hospital in Lecce Man seriously injured after being thrown overboard by traffickers in the land along the coasts of Lecce on April 19 (Apr 24, 2000)"/>
        <s v="found dead floating in Evros river (GR/TR) reportedly trying to cross border  (Apr 22, 2000). From Del Grande's data set (translated): Recovered in the waters of the Evros River at the border between Turkey and Greece, the body of a drowned man (Apr 23, 2"/>
        <s v="stabbed to death in Netherlands by compratiot asylum seeker for fear of deportation (Apr 22, 2000)"/>
        <s v="suicide after killing compatriot asylum seeker in fear of deportation in NL (Apr 22, 2000)"/>
        <s v="drowned, found dead 200 meters from Melilla (E/MA) (Apr 21, 2000)"/>
        <s v="Found in Lanzarote the corpse of a drowned woman during the landing of the first day (Apr 20, 2000)"/>
        <s v="Landing along the coasts of Lecce, 1 dead (Apr 19, 2000)"/>
        <s v="Kurd, drowned when smugglers tried to escape border police near Italian coast (Apr 18, 2000)"/>
        <s v="reportedly drowned, after boat sank near the Canary Islands (E) (Apr 14, 2000)"/>
        <s v="drowned (one woman pregnant) when boat sank near the Canary Islands (E) (Apr 14, 2000). From Del Grande's data set (translated): 2 women die, one of them pregnant, during a landing in Lanzarote, Canary Islands (Apr 16, 2000)"/>
        <s v="2 found dead young hidden in a truck directly in Spain just landed in the port of Almeria (Apr 15, 2000)"/>
        <s v="stowaways, found dead in the trailer of a truck at the port of Almeria (E) (Apr 13, 2000)"/>
        <s v="Hidden in the hold of a freighter Moroccan, 2 men fall into the sea between the docks of Genoa, 1 dead (Apr 14, 2000)"/>
        <s v="reportedly drowned in river Oder (D/PL) near Lebus (Apr 13, 2000). From Del Grande's data set (translated): Found the body of a man who drowned trying to cross the Oder River on the border between Germany and Poland, in Lubusz (Apr 14, 2000)"/>
        <s v="stowaway, drowned, jumped from ship to avoid border control in port of Genova (I) (Apr 12, 2000)"/>
        <s v="drowned, bodies found on a beach near Castillejos (E) (Apr 11, 2000)"/>
        <s v="reportedly drowned, found in Spanish territorial waters near Ceuta (E/MA) (Apr 11, 2000). From Del Grande's data set (translated): Shipwreck in the waters of Ceuta, found the body of one drowned (Apr 13, 2000)"/>
        <s v="died of toxic gas near Tarifa (E) trying to cross the Strait of Gibraltar in small boat (Apr 11, 2000)"/>
        <s v="stowaway, died when lorry hit a bridge near Cheb (CZ) (Apr 9, 2000)"/>
        <s v="suicide, rejected asylum seeker set himself on fire in refugee home R√ºsselsheim (D) (Apr 5, 2000)"/>
        <s v="stowaways, found dead in undercarriage of airplane at Stockholm (S) airport (Apr 5, 2000)"/>
        <s v="died in police custody in Wien (A) after being arrested for illegal stay (Apr 4, 2000)"/>
        <s v="Rescued off the coast of Almeria 5 guys adrift on a raft. One of them dies before reaching the port of Carboneras (Apr 4, 2000)"/>
        <s v="body found near Olbernhaus near D/CZ border (Apr 2, 2000)"/>
        <s v="drowned trying to reach Spain crossing the Strait of Gibraltar in small boat (Mar 31, 2000)"/>
        <s v="found dead, floating near the port of Ceuta (E/MA) (Mar 24, 2000)"/>
        <s v="Kurds, drowned near the island of Kos (GR) reportedly after vessel capsized (Mar 24, 2000). From Del Grande's data set (translated): Boat capsizes in the waters of Kos, 8 dead, including 3 children (Mar 25, 2000)"/>
        <s v="drowned on their way to Spain, found near Cadiz (E) (Mar 23, 2000)"/>
        <s v="body found near Nassau-Frauenstein near D/CZ border (Mar 23, 2000)"/>
        <s v="died in a refugee centre in Gy√∂r (H) under suspicious circumstances (Mar 22, 2000)"/>
        <s v="drowned after small boat capsized near Ceuta (E/MA) (Mar 21, 2000). From Del Grande's data set (translated): Sinking a boat bound for Ceuta, 3 men drown (Mar 23, 2000)"/>
        <s v="reportedly drowned trying to cross the river Morava (A/SK), trying to reach A (Mar 21, 2000). From Del Grande's data set (translated): Man drowns crossing the Morava River at the border between Slovakia and Austria (Mar 22, 2000)"/>
        <s v="drowned, reportedly trying to cross the sea to Italy, body found off the coast of Brindisi (I)  (Mar 19, 2000)"/>
        <s v="died after fire caused by rebellion in detention centre Seraino Vulpitta di Trappani (I) (Mar 13, 2000)"/>
        <s v="shot dead on beach of Tarifa, Cadiz (E) by police while disembarking small boat (Mar 11, 2000)"/>
        <s v="suicide, hanged himself in his house in Salzwedel (D) for fear of deportation (Mar 11, 2000)"/>
        <s v="It overturns a boat load of immigrants into the Danube River, on the border between Slovakia and Austria, 4 dead (Mar 11, 2000)"/>
        <s v="drowned on his way to Spain, found near Bahia Plata (E) (Mar 8, 2000)"/>
        <s v="Found the body of a man who drowned trying to cross the Oder River on the border between Poland and Germany in Frankfurt (Mar 8, 2000)"/>
        <s v="Tucked away on a ship that was entering the port of Bari a man diving into the sea and drowns (Mar 6, 2000)"/>
        <s v="drowned near El Ayhun (MA) after small boat capsized on way to Canaries (E) (Mar 4, 2000)"/>
        <s v="died after being rescued from small boat by border police near coast of Almeria (E) (Mar 3, 2000)"/>
        <s v="drowned, bodies washed ashore near Cadiz (E) (Feb 29, 2000)"/>
        <s v="died after hit his head when forced out of the boat by smugglers near Otranto (I) (Feb 29, 2000)"/>
        <s v="died in Mannheim prison (D) because of lack of medical treatment (Feb 29, 2000)"/>
        <s v="died after their boat was pursued by Italian coast guards (Feb 27, 2000)"/>
        <s v="drowned, after ship wreckage near Canary Islands (E) (Feb 18, 2000)"/>
        <s v="Recovered the bodies of two drowned along the coast of Lecce (Feb 16, 2000)"/>
        <s v="drowned on their way to Spain, found near Bolonia (E) (Feb 14, 2000). From Del Grande's data set (translated): Found on the beach of Bolonia, the bodies of two drowned men (Feb 15, 2000)"/>
        <s v="suicide, because of bad living conditions in asylum centre near Allbruck (D) (Feb 14, 2000)"/>
        <s v="died after jumping out of fast driving train in Germany in fear of deportation (Feb 9, 2000)"/>
        <s v="found dead at shore in Scicli (I), reportedly thrown overboard as stowaways (Feb 4, 2000)"/>
        <s v="died in a detention centre in Wien (A) after being beaten by police (Feb 4, 2000)"/>
        <s v="reportedly drowned in river Nei√üe (D/PL) near Porajow (Feb 4, 2000)"/>
        <s v="stowaways, reportedly drowned when freighter sunk in stormy sea near Antalya (TR) (Dec 31, 2000). From Del Grande's data set (translated): Live in Greece, sinking a few miles from Kemer Georgian cargo ship Pati; 9 bodies recovered, at least 50 missing (Ja"/>
        <s v="stowaways, drowned when ship sunk in stormy waters near Antalya (TR) (Dec 31, 2000)"/>
        <s v="drowned in Aegean sea on their way from Turkey to the Greek island Lesbos (GR) (Dec 31, 2000)"/>
        <s v="drowned in Aegean sea on his way from Turkey to the Greek island Lesbos (GR) (Dec 31, 2000)"/>
        <s v="stowaways, found suffocated in the hull of a ship in Brindisi (I) (Dec 31, 2000)"/>
        <s v="suicide, hang himself from a bed sheet in deportation custody in Schaffhausen (CH) (Dec 31, 2000)"/>
        <s v="suicide, jumped in front of train in Den Bosch (NL) (Dec 31, 2000)"/>
        <s v="froze to death at Belles mountain (GR/BG) trying to reach Greece illegally (Dec 30, 2000). From Del Grande's data set (translated): Trying to enter illegally in Greece, a girl dies frozen to death on foot through the passes of the mountains Belles, the Bu"/>
        <s v="died of hypothermia in the mountains near Ceuta (E/MA) on his way to Spain (Dec 26, 2000). From Del Grande's data set (translated): He died of hypothermia a migrant camped in the mountains of Bel Younesh, waiting to jump the border fence in Ceuta (Dec 27,"/>
        <s v="Recovered a dead body of a fisherman on the beach of Cerano, Brindisi (Dec 27, 2000)"/>
        <s v="stowaway, fell out of undercarriage of British Airways plane near Gatwick airport (GB) (Dec 24, 2000). From Del Grande's data set (translated): Tucked away in the undercarriage of a plane at Gatwick dies frozen to death. The body rushes to the opening of "/>
        <s v="stowaway, fell out of undercarriage of British Airways plane near Gatwick airport (GB) (Dec 23, 2000). From Del Grande's data set (translated): Tucked away in the undercarriage of a plane at Gatwick dies frozen to death. The body rushes to the opening of "/>
        <s v="Found on the beaches of Tarifa bodies of drowned 8 castaways (Dec 22, 2000)"/>
        <s v="reportedly drowned after shipwreck near Tarifa (E) trying to reach Spain (Dec 20, 2000)"/>
        <s v="reportedly drowned, forced off by smuggler near Otranto (I), woman was pregnant (Dec 20, 2000)"/>
        <s v="Kurd, drowned after being forced overboard by smuggler near Otranto (I)  (Dec 20, 2000)"/>
        <s v="Landing in Alimini near Otranto, 1 dead and 2 missing (Dec 21, 2000)"/>
        <s v="burned alive in car crash near Thessaloniki (GR) trying to enter Greece illegally (Dec 20, 2000). From Del Grande's data set (translated): Two men dead in the charred closed hood of a car in which they were hidden and who has had a car accident on fire, n"/>
        <s v="drowned, found on beach of Bolonia (E) (Dec 20, 2000)"/>
        <s v="suicide, found hanged in Nelson, Lancashire (GB) after his asylum claim was refused (Dec 20, 2000)"/>
        <s v="Six men traveling without a visa in a car, near the Croatian border the driver escapes a roadblock, police car chases, shoots and kills the man at the helm (Dec 19, 2000)"/>
        <s v="suicide, hanged himself after having received deportation order (NL) (Dec 18, 2000)"/>
        <s v="died of heart failure during deportation from Budapest International Airport (H) (Dec 17, 2000)"/>
        <s v="drowned,  found dead near Tarifa (E) (Dec 16, 2000). From Del Grande's data set (translated): Found the bodies of three men drowned, 2 in Tarifa and one in Ceuta (Dec 16, 2000)"/>
        <s v="died of cold and exhaustion after having reached the coast of Ceuta swimming (E/MA) (Dec 15, 2000). From Del Grande's data set (translated): A man drowned in an attempt to swim to the beaches of Ceuta (Dec 17, 2000)"/>
        <s v="drowned, found dead at the coast near Tarifa (E) in advanced state of decomposition (Dec 15, 2000)"/>
        <s v="drowned, body found on a beach near Tarifa (E) (Dec 15, 2000)"/>
        <s v="reportedly drowned, found at beach near Algeciras (E) (Dec 15, 2000)"/>
        <s v="reportedly drowned after boat with 27 people sank off near Gulf of Almeria (E) (Dec 14, 2000)"/>
        <s v="suicide, jumped out of train window near railway station Thyrow (D) (Dec 14, 2000)"/>
        <s v="Man dies asphyxiated traveling for hours hidden in the trunk of a car to enter illegally in Sweden (Dec 15, 2000)"/>
        <s v="Direct in Germany, a man dying of starvation through the desert on the border between Kazakhstan and Russia (Dec 15, 2000)"/>
        <s v="drowned, found dead in Spanish territorial waters near Ceuta (E/MA) (Dec 13, 2000)"/>
        <s v="drowned, found dead near the coast of Tarifa (E) (Dec 13, 2000)"/>
        <s v="Found on the beaches of Tarifa the bodies of 3 young drowned (Dec 10, 2000)"/>
        <s v="Found the bodies of four men drowned in the waters of Ceuta and Castillejos, probably victims of a shipwreck that you do not know anything. Since January 2000, according to official sources, the bodies recovered in the waters of Ceuta are 17 (Dec 9, 2000)"/>
        <s v="found dead floating near Almeria (E) reportedly trying to reach Spain (Dec 7, 2000)"/>
        <s v="Probably killed by truck in which they were hiding to land in Spain, 2 men die hit by two cars, one in Cadiz and the other in Almeria (Dec 6, 2000)"/>
        <s v="drowned, when dinghy hit a reef and sank near Tarifa (E) (Dec 4, 2000)"/>
        <s v="He died asphyxiated by the gas motor on the boat which was traveling towards Tarifa (Dec 5, 2000)"/>
        <s v="died by jumping into 300 metre deep gorge trying to flee border police in Greece (Dec 4, 2000)"/>
        <s v="Shipwreck 4 km from the coast of Anjouan, a kwassa kwassa direct Mayotte: 17 dead (Dec 4, 2000)"/>
        <s v="A young man just landed in Tarifa is killed by a shot of an officer of the Civil Guard (Dec 3, 2000)"/>
        <s v="died of exhaustion in hospital, Melilla (E/MA), caught in storm trying to go to Spain (Nov 30, 2000)"/>
        <s v="died of pneumonia in K√§rnten (A), dispute of responsibility within government (Nov 27, 2000)"/>
        <s v="floating near Ceuta (E/MA), drowned trying to enter Spanish fortified enclave by water (Nov 24, 2000). From Del Grande's data set (translated): Found the body of a young man drowned trying to swim to the beaches of Ceuta (Nov 26, 2000)"/>
        <s v="2 men drown trying to cross the Sava River to cross the border with Croatia (Nov 20, 2000)"/>
        <s v="stowaway, died after he was run over by the lorry he was hiding in in Dover (GB) (Nov 16, 2000). From Del Grande's data set (translated): It falls under the truck which was traveling hidden and died under the wheels of the vehicle, in Dover (Nov 17, 2000)"/>
        <s v="shot by Turkish border guards trying to enter Turkey illegally from Iran (Nov 14, 2000). From Del Grande's data set (translated): Two men killed by gunfire Turkish police on the border with Iran, in the province of Van (Nov 15, 2000)"/>
        <s v="Mayotte. Young throws herself from the ship &quot;Ville de Sima&quot; returnee who was in Anjouan and drowns (Nov 13, 2000)"/>
        <s v="suicide, for fear of deportation in Kriftelk (D), authorities denied his psychotic condition (Nov 11, 2000)"/>
        <s v="drowned on his way to Spain, body found dead near Tarifa (E) (Nov 10, 2000)"/>
        <s v="Recovered on the beaches of Tarifa the corpse of a drowned man (Nov 2, 2000)"/>
        <s v="Man killed by Greek police in Kastoria, the border between Greece and Albania. A driving a car loaded with illegal immigrants, had not stopped at the checkpoint (Nov 1, 2000)"/>
        <s v="Shipwreck on the routes between Anjouan and Mayotte, in the Indian Ocean: 11 dead (Oct 30, 2000)"/>
        <s v="drowned, bodies found off coast of Ragusa (I), reportedly thrown overboard by traffickers (Oct 29, 2000)"/>
        <s v="killed by border guards, caught trying to escape from bordercamp Szombathely (H)  (Oct 29, 2000)"/>
        <s v="burned in fire in refugee centre in Hamburg (D) (Oct 28, 2000)"/>
        <s v="kurdish stowaway, found suffocated in container of Greek ship (Oct 25, 2000). From Del Grande's data set (translated): He died suffocated a man hiding in a container on board a Greek ship (Oct 26, 2000)"/>
        <s v="1 dead, 3 hospitalized in serious condition in hospital of Vieste (Foggia), were hidden in a container on a Greek ship direct to Ancona (Oct 26, 2000)"/>
        <s v="found dead on beach near Tarifa (E) trying to cross the Strait of Gibraltar (Oct 23, 2000). From Del Grande's data set (translated): Found the bodies of two migrants drowned, and Almeria to Tarifa (Oct 25, 2000)"/>
        <s v="found dead on beach near Almeria (E) trying to cross the Strait of Gibraltar (Oct 23, 2000)"/>
        <s v="died in van accident near Thessalonoki (GR) (Oct 21, 2000)"/>
        <s v="kurds, found dead at edge of motorway, Foggia (I) reportedly suffocated in van (Oct 17, 2000). From Del Grande's data set (translated): Foggia: asphyxiated on the truck where they were hidden and thrown in the street, 6 dead (Oct 19, 2000)"/>
        <s v="kurd, found dead at edge of motorway near Foggia (I) reportedly suffocated in van (Oct 17, 2000)"/>
        <s v="died in isolation cell of detention centre Steenokerzeel (B) after trying to escape (Oct 12, 2000)"/>
        <s v="reportedly drowned in river Oder (D/PL) near Gro√ü Breesen (Oct 6, 2000)"/>
        <s v="shot by Turkish border police, trying to cross Turkish/Iranian border illegally (Oct 4, 2000)"/>
        <s v="Tucked away in a truck to get to Germany, a man dies in a car accident (Oct 4, 2000)"/>
        <s v="died after fire caused by rebellion in the detention centre Vulpitta in Trapani (I) (Oct 2, 2000)"/>
        <s v="suicide, jumped out of 8th floor window in Frankfurt a. M. (D) in fear of deportation (Jan 29, 2000)"/>
        <s v="hanged himself in refugee home in Singen (D) because of disgraceful treatment/lodging (Jan 24, 2000)"/>
        <s v="suicide, hanged himself in Harmondsworth detention centre (GB) in fear of deportation (Jan 23, 2000)"/>
        <s v="suicide through intoxication in JVA Landshut (D) (Jan 17, 2000)"/>
        <s v="froze to death in the Belles mountains (BG/GR) trying to enter Greece (Jan 13, 2000). From Del Grande's data set (translated): 20 young women crossing the border on foot along the Bulgarian mountain Belles, but can not find who had to wait for them, in th"/>
        <s v="drowned, tried to escape repatriation by jumping from the ferry 'Vega' in Brindisi (I) (Jan 12, 2000). From Del Grande's data set (translated): Man drowns in an attempt to escape during the expulsion, jumping from the ship &quot;Vega&quot; in Brindisi (Jan 13, 2000"/>
        <s v="died after fire caused by rebellion in detention centre Seraino Vulpitta di Trappani (I) (Jan 12, 2000)"/>
        <s v="tried to escape deportation by jumping from merchant ship 'Jolly Rubino' in Genova (I) (Jan 12, 2000). From Del Grande's data set (translated): Man drowns in an attempt to escape during the expulsion, jumping from the merchant ship &quot;Jolly Rubino&quot; in Genoa"/>
        <s v="drowned on his way to Spain, found near Ceuta (E/MA) (Jan 11, 2000)"/>
        <s v="drowned, bodies found near Ceuta (E/MA) (Jan 11, 2000)"/>
        <s v="died of exhaustion in desert crossing the Russian-Kazakh border on way to Germany (Jan 11, 2000)"/>
        <s v="no medical care, seriously ill in border prison Amsterdam South-East (NL) (Jan 11, 2000)"/>
        <s v="asylum seeker, committed suicide in Stockholm (S) in desperation (Jan 11, 2000)"/>
        <s v="stowaway, died by asphyxiation trying to enter Sweden illegally in boot of car (Jan 11, 2000)"/>
        <s v="drowned while trying to cross the Strait of Gibraltar, body found near Tarifa (E)  (Jan 10, 2000)"/>
        <s v="drowned attempting to swim 23 km to Patelleria (I) after their small boat capsized (Jan 10, 2000)"/>
        <s v="fatally injured by border guard in Messopotamia area of Kastoria (GR-AL border) (Jan 10, 2000)"/>
        <s v="leader of a group of refugees in border town Florina shot dead by Greek police (Jan 10, 2000)"/>
        <s v="died after car accident, trying to escape border guards near Reitzenhain (CZ-D) (Jan 10, 2000)"/>
        <s v="killed in minefield on Greek-Turkish border trying to cross illegally (Jan 8, 2000). From Del Grande's data set (translated): An explosion in a minefield along the border turkish near Kipoi ago 1 dead. Death on the mines of the north-eastern border 7 peop"/>
        <s v="found dead, reportedly drowned while trying to reach Spain (Jan 7, 2000)"/>
        <s v="drowned when Turkish boat with 31 immigrants capsized in the Aegean Sea  (Jan 7, 2000)"/>
        <s v="found dead in Fuerteventura (E), reportedlydrowned trying to reach the Canary Isl. (Jan 6, 2000)"/>
        <s v="found dead near Tarifa (E), reportedly drowned trying to reach Spain (Jan 6, 2000)"/>
        <s v="Flips a truck they were traveling hidden 80 people, Komotini near the border with Turkey, 6 dead and 30 injured (Jan 7, 2000)"/>
        <s v="stowaways found dead on Maltese freighter, reportedly suffocated or poisoned (Jan 5, 2000)"/>
        <s v="Found in Tarifa the bodies of 8 young people drowned in a shipwreck (Jan 6, 2000)"/>
        <s v="Landing in Lecce, who died a young man who had slammed his head violently against the hull during the trip (Jan 6, 2000)"/>
        <s v="semi-decomposed body, found on coast of Ceuta (E/MA) (Jan 4, 2000)"/>
        <s v="drowned after boat carrying 20 immigrants sank near Tarifa (E), others missing (Jan 4, 2000). From Del Grande's data set (translated): Found the bodies of two men drowned after being marooned in the sea along the coast of Tarifa by the owner of the boat w"/>
        <s v="found dead in Cadiz (E) reportedly hit by van in which he travelled to Spain (Jan 4, 2000)"/>
        <s v="drowned in river Sava (HR/BH) trying to travel illegally to Western Europe (Jan 4, 2000). From Del Grande's data set (translated): 12 men drowned trying to cross the Sava River to cross the border with Croatia (Aug 29, 2000)"/>
        <s v="died in minefield in Nea Vissa region (GR) near Turkish border (Jan 4, 2000)"/>
        <s v="found dead near Ceuta (E/MA), reportedly drowned while trying to reach Spain (Jan 3, 2000)"/>
        <s v="missing, reportedly drowned trying to cross the Strait of Gibraltar in small boat (Jan 3, 2000)"/>
        <s v="drowned while trying to cross the strait of Gibraltar in a small boat (Jan 3, 2000)"/>
        <s v="Landing in Vieste (Foggia), 1 young man bangs his head on the way down from the hull and dies (Jan 4, 2000)"/>
        <s v="suicide in Liverpool (GB), after her asylum claim was rejected, mother of 3 children (Jan 3, 2000)"/>
        <s v="downed, bodies found in Strait of Otranto (I), reportedly trying to cross illegaly (Jan 2, 2000)"/>
        <s v="homeless migrant, died in fire in empty carriage he slept in at Napels (I) train station (Jan 2, 2000)"/>
        <s v="died in fire in factory (undocumented workers' home) in Legnano (I) (Jan 2, 2000)"/>
        <s v="Kurd, suicide in Weil im Sch√∂nbuch (D) for fear of deportation (Jan 2, 2000)"/>
        <s v="Kurd, suicide in Kirchheim/Teck (D) for fear of deportation (Jan 2, 2000)"/>
        <s v="murdered in GB after being placed in a prison cell with a known violent racist (Jan 2, 2000)"/>
        <s v="missing, reportedly drowned after small boat capsized near El Ayun (MA)  (Jan 1, 2000)"/>
        <s v="sans-papier', died of acute asthma being afraid of going to doctor in Corsica (F) (Jan 1, 2000)"/>
        <s v="Egyptian police force allegedly shot a migrant and seriously injured another while in custody after being caught on the beach."/>
        <s v="35 Sikhs from Afghanistan, including 13 children and one dead man, were found hiding -and trapped- in a shipping container arriving at Tilbury's seaport from Zeebrugge."/>
      </sharedItems>
    </cacheField>
    <cacheField name="location" numFmtId="0">
      <sharedItems containsBlank="1">
        <s v="near Jisr al-Shugour"/>
        <s v="Lemos Vouliagmeni"/>
        <s v="between Italy and Libya"/>
        <s v="near Subotica"/>
        <s v="near Cadiz"/>
        <s v="Brussels"/>
        <s v="Melilla"/>
        <s v="Tisza river near the village of Roszke"/>
        <s v="75 nautical miles off Crete"/>
        <s v="near Zuwara"/>
        <s v="Hökarängen forest"/>
        <s v="near Katherini"/>
        <s v="Perveza"/>
        <s v="28 nautical miles North-west of Tripoli"/>
        <s v="Porto Empedocle"/>
        <s v="Between North Africa and Messina"/>
        <s v="off the coast of Lampedusa"/>
        <s v="Calais"/>
        <s v="Libya"/>
        <s v="Channel of Sicily, 35 miles from Libyan coast"/>
        <s v="off the coast of Libya"/>
        <s v="off the coast of Sabratha"/>
        <s v="35 nautical miles off the coast of Zuwara"/>
        <s v="Off the coast of Zawiya"/>
        <s v="Close to Sardinia"/>
        <s v="Chios"/>
        <s v="Kafr-el-Scheikh governorate, sea shore"/>
        <s v="Ceuta"/>
        <s v="Kilis"/>
        <s v="Kamouna camp near Sarmada, Syria"/>
        <s v="Samos"/>
        <s v="Voulas"/>
        <s v="Channel of Sicily"/>
        <s v="4 miles off Sabratha"/>
        <s v="Bani Walid"/>
        <s v="Idomeni"/>
        <s v="Kos"/>
        <s v="Turkish-Syrian border"/>
        <s v="Izmir"/>
        <s v="Between Egypt and Italy"/>
        <s v="Close to Lampedusa"/>
        <s v="Frankfurt Airport"/>
        <s v="Porto Rafti, Attika"/>
        <s v="Port El-Ketf, Ben Guerdane province"/>
        <s v="Nea Makri"/>
        <s v="Luxembourg"/>
        <s v="Zawiya"/>
        <s v="Voula"/>
        <s v="Oxfordshire"/>
        <s v="Kafr el-Sheikh"/>
        <s v="Sabratha"/>
        <s v="Rodos"/>
        <s v="Tripoli"/>
        <s v="Cagliali"/>
        <s v="Patras"/>
        <s v="Malko Tarnovo"/>
        <s v="Lampedusa"/>
        <s v="Rho"/>
        <s v="Lesvos"/>
        <s v="Kalolimnos"/>
        <s v="Catania"/>
        <s v="Pozallo"/>
        <s v="Near Munich"/>
        <m/>
        <s v="Didim, West Turkey"/>
        <s v="Idlib, Lattakia, Turkish border"/>
        <s v="Kurdish region of Syria "/>
        <s v="Siculiana"/>
        <s v="Ljusne"/>
        <s v="Adana, Turkey"/>
        <s v="Erdemit Bay"/>
        <s v="Seferihisar coast"/>
        <s v="Canakkale"/>
        <s v="Didim"/>
        <s v="Sicily"/>
        <s v="Greek-Macedonian border"/>
        <s v="Skyros"/>
        <s v="Lesbos"/>
        <s v="West Bulgaria"/>
        <s v="Ancona"/>
        <s v="Farmakonissi"/>
        <s v="Foca"/>
        <s v="Channel of Cicily"/>
        <s v="Fournoi"/>
        <s v="BCP &quot;Proizerskiy&quot;"/>
        <s v="Alphen aan den Rijn"/>
        <s v="West Turkey"/>
        <s v="Agathonisi"/>
        <s v=" Seferihisar"/>
        <s v="Paris"/>
        <s v="Italian coasts"/>
        <s v="Northwest Turkey"/>
        <s v=" Fournoi"/>
        <s v="Ayvacik"/>
        <s v="Ikaria"/>
        <s v="Tinos"/>
        <s v="Grande-Synthe"/>
        <s v="Roquetas de Mar"/>
        <s v="Benzu"/>
        <s v="Leros"/>
        <s v="Farmakonisi"/>
        <s v="Cesme"/>
        <s v="Janzour"/>
        <s v="Chechnya"/>
        <s v="Kali"/>
        <s v="Yalıkavak"/>
        <s v="Bodrum"/>
        <s v="Kastelorizo"/>
        <s v="Hassloch"/>
        <s v="147 kilometers south of Cape Bojador"/>
        <s v="Fnideq"/>
        <s v="Coquelles"/>
        <s v="Ro"/>
        <s v="Near Kidal"/>
        <s v="Sinai"/>
        <s v="Ouargla"/>
        <s v="Sunndal"/>
        <s v="Burton upon Trent"/>
        <s v="Canary Islands"/>
        <s v="Cherbourg"/>
        <s v="Alexandroupolis"/>
        <s v="Rafah"/>
        <s v="Near Kos"/>
        <s v="Opatovac"/>
        <s v="Between Morocco and Spain"/>
        <s v="Rhodes"/>
        <s v="Kalymnos"/>
        <s v="Berlin"/>
        <s v="Agathonissi"/>
        <s v="Near Lesbos"/>
        <s v="Zliten"/>
        <s v="Kuşadası "/>
        <s v="Garabulli"/>
        <s v="Ayvalık"/>
        <s v="In the Aegean Sea"/>
        <s v="Sredets"/>
        <s v="Near Calais"/>
        <s v="Baltim"/>
        <s v="Presevo"/>
        <s v="Near Sabartha"/>
        <s v="Near Tripoli"/>
        <s v="Saafeld"/>
        <s v="near Enez"/>
        <s v="Gumusluk"/>
        <s v="Münster"/>
        <s v="Gravelines"/>
        <s v="Near Cesme"/>
        <s v="Near Canakkale"/>
        <s v="Off Libya"/>
        <s v="Coquelles, France"/>
        <s v="near Izmir"/>
        <s v="Off Samos"/>
        <s v="Szeged"/>
        <s v="Orestiada"/>
        <s v="Bicske"/>
        <s v="Misrata"/>
        <s v="near Sardinia"/>
        <s v="near Khoms (Libya)"/>
        <s v="near Symi (Greece)"/>
        <s v="Zuwara"/>
        <s v="Parndorf"/>
        <s v="Between Libya and Sicily"/>
        <s v="Near the southern shores of Italy"/>
        <s v="near Catania (Italy)"/>
        <s v="Salou"/>
        <s v="North of Zouara (Libya)"/>
        <s v="between Mellila and Almeria"/>
        <s v="near Ceuta"/>
        <s v="Between Budapest and Vienna"/>
        <s v="Röszke"/>
        <s v="Tanger"/>
        <s v="Folkestone"/>
        <s v="Between Egypt and Sicily"/>
        <s v="80 kilometres north-west of the Libyan capital Tripoli."/>
        <s v="Dirkou"/>
        <s v="near Arlit, Niger"/>
        <s v="Between Calais and Marck"/>
        <s v="Central Med"/>
        <s v="Off Arlit, Niger"/>
        <s v="Off Egypt"/>
        <s v="Off Téboulba"/>
        <s v="Genas, France"/>
        <s v="Longuenesse"/>
        <s v="Sicily (strait of)        "/>
        <s v="Off Egypt, (Idku)       "/>
        <s v="Veles, macedonia"/>
        <s v="Igoumenítsa, Nome de Thesprotie, Greece"/>
        <s v="Rhodes, Greece"/>
        <s v="about 60 miles (96km) off the Libyan coast and 120 miles (193km) south of the Italian island of Lampedusa."/>
        <s v="Between northern Libya and Italy"/>
        <s v="Between LY and Trapani"/>
        <s v="Between LY and Sicily"/>
        <s v="Off Libya (24 hours after departure)"/>
        <s v="off Borg Borolos, Kafr al-Sheikh"/>
        <s v="East of Symi"/>
        <s v="Off Kos"/>
        <s v="Off Lanzarote"/>
        <s v="off Sicily"/>
        <s v="500m off Harwich"/>
        <s v="Thessaloniki police station"/>
        <s v="Off Lampedusa"/>
        <s v="Boukana beach, near Nador"/>
        <s v="Off Malta"/>
        <s v="Between Tarhuna and Tripoli"/>
        <s v="80km off the Algerian coast"/>
        <s v="Off the Egyptian coast"/>
        <s v="Off Tripoli"/>
        <s v="50km off the Libyan coast"/>
        <s v="Off Al-Qarbuli"/>
        <s v="near Tajoura"/>
        <s v="off the coast of al-Ajami"/>
        <s v="300mi SE of Malta"/>
        <s v="Off Al Garbouli"/>
        <s v="Off Tunisia"/>
        <s v="Off Zuwara, Libya"/>
        <s v="Vluchtgarage center, Amsterdam"/>
        <s v="north of the Libyan coast"/>
        <s v="20 miles off the Libyan coast"/>
        <s v="1 km off the Garbuli, Libya"/>
        <s v="Off Tilos, Greece"/>
        <s v="On the way to Charles de Gaulle airport"/>
        <s v="Tilbury Docks"/>
        <s v="Mediterranean - unknown details"/>
        <s v="100 km east of Tripoli"/>
        <s v="Off Libya/Malta"/>
        <s v="148km from Lampedusa"/>
        <s v="36 nautical miles north of Tripoli"/>
        <s v="Off the Libyan coast"/>
        <s v="Off the Italian coast"/>
        <s v="Off Bodrum"/>
        <s v="Off the coast of Sicily"/>
        <s v="Van, Turkey"/>
        <s v="Off Italy"/>
        <s v="Lesvos, Greece"/>
        <s v="Igoumenitsa, Greece"/>
        <s v="Marquise, France"/>
        <s v="Calais, France"/>
        <s v="Border to Algeria from Niger."/>
        <s v="Ragusa, Italy"/>
        <s v="Off Libya's coast"/>
        <s v="Sudan-Libya border"/>
        <s v="Yarl's Wood Immigration Removal Centre"/>
        <s v="Off Greece"/>
        <s v="Off Greece (Lesbos)"/>
        <s v="Lesbos, Greece"/>
        <s v="Evros river"/>
        <s v="Paris, France"/>
        <s v="Off Corfu"/>
        <s v="south of Lampedusa"/>
        <s v="Strait of Gibraltar"/>
        <s v="Junction 24 of M25"/>
        <s v="Off Almeria"/>
        <s v="Dunkirk, France"/>
        <s v="Amygdaleza detention center"/>
        <s v="near Rumeli Feneri"/>
        <s v="Off Guinea"/>
        <s v="3nm off Tripoli"/>
        <s v="Off Morocco"/>
        <s v="Farmakonisi, Greece"/>
        <s v="Scicli, Italy"/>
        <s v="Grande Garenne, Angouleme"/>
        <s v="egypt"/>
        <s v="punta"/>
        <s v="Ajdabiya, Libya"/>
        <s v="Samos, Greece"/>
        <s v="Haardstee, Amsterdam"/>
        <s v="crotone"/>
        <s v="tarifa"/>
        <s v="Tavaklƒ±, Turkey"/>
        <s v="Malta"/>
        <s v="Manchester airport"/>
        <s v="oinusses"/>
        <s v="Nerder-over-Heembeek"/>
        <s v="calabria"/>
        <s v="Border between Libya and Sudan"/>
        <s v="Eisenh√ºttenstadt, Germany"/>
        <s v="Zurich, Switzerland"/>
        <s v="hoceima"/>
        <s v="Train to Manchester"/>
        <s v="Faya, Chad"/>
        <s v="Parce de la Reine Astrid, Charleroi"/>
        <s v="Tangiers"/>
        <s v="Lefkada"/>
        <s v="Algeria"/>
        <s v="alexandria"/>
        <s v="IDC Harmondsworth"/>
        <s v="evros"/>
        <s v="Rotterdam"/>
        <s v="cadiz"/>
        <s v="mostaganem"/>
        <s v="linosa"/>
        <s v="Sinai, Egypt"/>
        <s v="heathrow"/>
        <s v="thames"/>
        <s v="kirchheim"/>
        <s v="latakia"/>
        <s v="mayotte"/>
        <s v="Rotherham park, UK"/>
        <s v="safi"/>
        <s v="leuca"/>
        <s v="morocco"/>
        <s v="ahmetbeyli"/>
        <s v="igoumenitsa"/>
        <s v="lampione"/>
        <s v="monastir"/>
        <s v="torre"/>
        <s v="barcelona"/>
        <s v="lykofos"/>
        <s v="agrigento"/>
        <s v="thiva"/>
        <s v="korinthia"/>
        <s v="venice"/>
        <s v="gibraltar"/>
        <s v="lanzarote"/>
        <s v="wimereux"/>
        <s v="netherlands"/>
        <s v="A field in Northern Greece"/>
        <s v="tangier"/>
        <s v="Harmondsworth IRC"/>
        <s v="Al Huceima"/>
        <s v="Greece"/>
        <s v="wurzburg"/>
        <s v="italian coast"/>
        <s v="palos"/>
        <s v="libyan"/>
        <s v="cyprus"/>
        <s v="belgium"/>
        <s v="andalusia"/>
        <s v="skikda"/>
        <s v="Algeria to Spain"/>
        <s v="Ain Tmouchent, algeria"/>
        <s v="almeria"/>
        <s v="marettimo"/>
        <s v="amsterdam"/>
        <s v="spain"/>
        <s v="feres"/>
        <s v="kosovo"/>
        <s v="Motril, Granada"/>
        <s v="granada"/>
        <s v="Thriassio Hospital, Attik, greece"/>
        <s v="crete"/>
        <s v="sant antioco"/>
        <s v="tunis"/>
        <s v="sacratif"/>
        <s v="preveza"/>
        <s v="vallo"/>
        <s v="motril"/>
        <s v="fulda"/>
        <s v="pantelleria"/>
        <s v="Tripoli, Libya"/>
        <s v="Italy"/>
        <s v="selinunte"/>
        <s v="adra"/>
        <s v="bari"/>
        <s v="Hal Far, Malta"/>
        <s v="marina"/>
        <s v="rennes"/>
        <s v="kerkennah"/>
        <s v="strasbourg"/>
        <s v="Sidi Bilal, libya"/>
        <s v="puglia"/>
        <s v="cagliari"/>
        <s v="zurich"/>
        <s v="arzew"/>
        <s v="bouharoun, tipaza"/>
        <s v="campsfield"/>
        <s v="colnbrook"/>
        <s v="torremolinos"/>
        <s v="essen"/>
        <s v="Netherland"/>
        <s v="Imola"/>
        <s v="aluche"/>
        <s v="brindisi"/>
        <s v="alexandroupoli"/>
        <s v="tarajal"/>
        <s v="Lybia to Italy"/>
        <s v="nicosia"/>
        <s v="estepona"/>
        <s v="annaba"/>
        <s v="corfu"/>
        <s v="gerstungen"/>
        <s v="sweden"/>
        <s v="gifhorn"/>
        <s v="Oder/Neisse border"/>
        <s v="foggia"/>
        <s v="sardinia"/>
        <s v="Marocco to Spain"/>
        <s v="tamanrasset"/>
        <s v="Great Britain"/>
        <s v="ibiza"/>
        <s v="nottingham"/>
        <s v="valencia"/>
        <s v="Utrecht"/>
        <s v="sandholm, denmark"/>
        <s v="hamburg"/>
        <s v="glasgow"/>
        <s v="leersum, netherlands"/>
        <s v="alvesta, sweden"/>
        <s v="dunkirk"/>
        <s v="Weisslingen, Switzerland"/>
        <s v="Oakington, united kingdom"/>
        <s v="carboneras"/>
        <s v="vottem"/>
        <s v="kafr"/>
        <s v="athens"/>
        <s v="charleroi, belgium"/>
        <s v="naviglo, italy"/>
        <s v="capo"/>
        <s v="langenhagen"/>
        <s v="liverpool"/>
        <s v="Mostviertel, austria"/>
        <s v="vissa"/>
        <s v="Masotti, brescia"/>
        <s v="alicante"/>
        <s v="colombes"/>
        <s v="iraq"/>
        <s v="Santurtzi"/>
        <s v="levante"/>
        <s v="oran"/>
        <s v="algiers"/>
        <s v="milan"/>
        <s v="kabul, afghanistan"/>
        <s v="Alboran, spain"/>
        <s v="senegal"/>
        <s v="Perejil island, spain"/>
        <s v="wien"/>
        <s v="benghazi"/>
        <s v="South Shields, United Kingdom"/>
        <s v="tenerife"/>
        <s v="africa"/>
        <s v="nuremburg"/>
        <s v="Mittweida, germany"/>
        <s v="Trafalgar beach, spain"/>
        <s v="Cartagena"/>
        <s v="marbella"/>
        <s v="malaga"/>
        <s v="Diyarbakr"/>
        <s v="barbate"/>
        <s v="hierro"/>
        <s v="m√ºhlau, germany"/>
        <s v="roma"/>
        <s v="murcia"/>
        <s v="bilbao"/>
        <s v="gela"/>
        <s v="busmantsi"/>
        <s v="bergamo"/>
        <s v="gata"/>
        <s v="gavle, sweden"/>
        <s v="Teteghem, france"/>
        <s v="Caltanissetta"/>
        <s v="aden"/>
        <s v="nuadibu"/>
        <s v="mazara"/>
        <s v="england"/>
        <s v="votanikos"/>
        <s v="montril, spain"/>
        <s v="canary"/>
        <s v="hungary"/>
        <s v="vercelli"/>
        <s v="marsa"/>
        <s v="mytilini"/>
        <s v="pozzallo"/>
        <s v="Tisza"/>
        <s v="Nikaia, greece"/>
        <s v="london"/>
        <s v="banghazi"/>
        <s v="messina, italy"/>
        <s v="syros"/>
        <s v="Norway"/>
        <s v="dakar"/>
        <s v="Varmland, sweden"/>
        <s v="Motril, spain"/>
        <s v="Africa to Italy"/>
        <s v="mali"/>
        <s v="madama"/>
        <s v="portobalo"/>
        <s v="valletta"/>
        <s v="gomera"/>
        <s v="sahara"/>
        <s v="saboun"/>
        <s v="arguineguin"/>
        <s v="minufiyah"/>
        <s v="dakhla"/>
        <s v="zembra"/>
        <s v="almera"/>
        <s v="Fars, Iran"/>
        <s v="Molenbeek-Saint-Jean"/>
        <s v="canaria"/>
        <s v="Spanish coast"/>
        <s v="istanbul"/>
        <s v="kenitra"/>
        <s v="Zonqor Point"/>
        <s v="Caltanisetta"/>
        <s v="vincennes, france"/>
        <s v="Marsaxlokk, malta"/>
        <s v="ayvalik"/>
        <s v="kirklareli"/>
        <s v="dogubayazit"/>
        <s v="kirkuk"/>
        <s v="Klangenfurt, austria"/>
        <s v="Zuwarah"/>
        <s v="Mers el Hedjadj, algeria"/>
        <s v="trapani"/>
        <s v="Larnaca"/>
        <s v="tirajana"/>
        <s v="sfax"/>
        <s v="Brunelleschi"/>
        <s v="ragusa"/>
        <s v="Cherchell"/>
        <s v="Birzebbugia"/>
        <s v="delimara"/>
        <s v="basel, switzerland"/>
        <s v="Xanthi, greece"/>
        <s v="merksplas"/>
        <s v="mabrouk"/>
        <s v="Zella-Mehlis, germany"/>
        <s v="fuerteventura"/>
        <s v="Germany"/>
        <s v="Birkenfeld, germany"/>
        <s v="Pentonville, uk"/>
        <s v="ghana"/>
        <s v="Iskenderun kale, turkey"/>
        <s v="lindholme, uk"/>
        <s v="nelson, uk"/>
        <s v="El Kuntilla, Egypt"/>
        <s v="tarfaya"/>
        <s v="madrid"/>
        <s v="france"/>
        <s v="algeciras"/>
        <s v="Greece to Greece"/>
        <s v="portopalo"/>
        <s v="aegean"/>
        <s v="xarre"/>
        <s v="albania"/>
        <s v="Albania to Greece"/>
        <s v="Sulaimania, iraq"/>
        <s v="Malkara, turkey"/>
        <s v="barrios"/>
        <s v="la luz, spain"/>
        <s v="conil, spain"/>
        <s v="luz, spain"/>
        <s v="Panighina, italy"/>
        <s v="bautzen, germany"/>
        <s v="vega"/>
        <s v="trent vale, uk"/>
        <s v="sudan"/>
        <s v="Libreville, gabon"/>
        <s v="oujda"/>
        <s v="luxemburg"/>
        <s v="tiaret"/>
        <s v="rahouia"/>
        <s v="bethioua"/>
        <s v="balikesir"/>
        <s v="ghazaouet"/>
        <s v="sada"/>
        <s v="Castellon, spain"/>
        <s v="edko"/>
        <s v="poland"/>
        <s v="gambia"/>
        <s v="mostar, bosnia and herzegovina"/>
        <s v="niger"/>
        <s v="Syracuse"/>
        <s v="rostock, germany"/>
        <s v="geneva"/>
        <s v="Beyoƒülu police station, istanbul"/>
        <s v="thessaloniki"/>
        <s v="yukari"/>
        <s v="Algeria to Algeria"/>
        <s v="seferihisar"/>
        <s v="Zakynthos, greece"/>
        <s v="ayun"/>
        <s v="Mestre, italy"/>
        <s v="Haren, netherland"/>
        <s v="marsascala"/>
        <s v="angola"/>
        <s v="palermo"/>
        <s v="Dingli"/>
        <s v="frankfurt"/>
        <s v="Island of Gozo"/>
        <s v="zarzis"/>
        <s v="Greece to Great Britain"/>
        <s v="saint michel de maurienne"/>
        <s v="Kirkuk, iraq"/>
        <s v="boujdour"/>
        <s v="James Brindley Close, uk"/>
        <s v="kolda"/>
        <s v="Nouadhibou, Mauritania"/>
        <s v="mauritania"/>
        <s v="laayoun"/>
        <s v="iran"/>
        <s v="Bucarest airport"/>
        <s v="nouadhibou"/>
        <s v="Azwen, algeria"/>
        <s v="bangladesh"/>
        <s v="chelmsford, uk"/>
        <s v="val d'oise, france"/>
        <s v="Tonghor Yoff, Dakar"/>
        <s v="Bouzedjar, algeria"/>
        <s v="ifni"/>
        <s v="canaries"/>
        <s v="amberg, germany"/>
        <s v="vendicari"/>
        <s v="bordeaux, france"/>
        <s v="lotte, germany"/>
        <s v="modena"/>
        <s v="Sejnane, algeria"/>
        <s v="Birkby, uk"/>
        <s v="Witzwil, switzerland"/>
        <s v="preston, uk"/>
        <s v="Kypoi, greece"/>
        <s v="Remscheider, germany"/>
        <s v="Sejname, tunisia"/>
        <s v="Mediterranean Sea"/>
        <s v="bizerte, tunisia"/>
        <s v="Nador, morocco"/>
        <s v="lamezia"/>
        <s v="Ercis, turkey"/>
        <s v="nouakchott"/>
        <s v="capopassero"/>
        <s v="essex"/>
        <s v="Knightswood, uk"/>
        <s v="Folkestone, uk"/>
        <s v="Neuss, germany"/>
        <s v="Koenigs Wusterhausen, germany"/>
        <s v="aiun"/>
        <s v="Los Cristianos, spain"/>
        <s v="vassel"/>
        <s v="mahdia"/>
        <s v="Geeuwenburg, netherlands"/>
        <s v="Pabrade, lithuania"/>
        <s v="Trondheim, norway"/>
        <s v="Africa to Spain"/>
        <s v="el ai'n, morocco"/>
        <s v="Hansthholm, germany"/>
        <s v="bologna"/>
        <s v="Turkey to Greece"/>
        <s v="osmaniye"/>
        <s v="Barbados"/>
        <s v="caleta"/>
        <s v="Greenbank Drive Centre, uk"/>
        <s v="ahrax"/>
        <s v="Cambridegeshire, uk"/>
        <s v="Fairfield Hospital, uk"/>
        <s v="Alboran"/>
        <s v="bulgaria"/>
        <s v="Czech Republic to Germany"/>
        <s v="bedford"/>
        <s v="rabat"/>
        <s v="Yoff, Mauritania"/>
        <s v="fouka"/>
        <s v="smir"/>
        <s v="Margate, uk"/>
        <s v="Clanfield, uk"/>
        <s v="Kithira Island, greece"/>
        <s v="Rye Hill, uk"/>
        <s v="Rochdale, uk"/>
        <s v="Schrassing, luxemburg"/>
        <s v="Plumstead, uk"/>
        <s v="evia"/>
        <s v="harmondsworth"/>
        <s v="yoff"/>
        <s v="Marseille, france"/>
        <s v="Harlow, uk"/>
        <s v="hania"/>
        <s v="Vlissingen, nl"/>
        <s v="Dannenreich, germany"/>
        <s v="Erzurum"/>
        <s v="saros"/>
        <s v="Yarl's Wood, uk"/>
        <s v="Salford Quays, uk"/>
        <s v="Macedonia"/>
        <s v="kastanies"/>
        <s v="Middleton, uk"/>
        <s v="casablanca"/>
        <s v="Hechtel-Eksel, belgium"/>
        <s v="Mrirt, Nador, morocco"/>
        <s v="bristol"/>
        <s v="Vicenza, italy"/>
        <s v="Dessau, germany"/>
        <s v="Bremen, germany"/>
        <s v="Campsfield, uk"/>
        <s v="dikili"/>
        <s v="Denmark"/>
        <s v="agadez"/>
        <s v="slovakia"/>
        <s v="neisse"/>
        <s v="syria"/>
        <s v="Muradiye, Van, Turkey"/>
        <s v="Linz, austria"/>
        <s v="mazzara"/>
        <s v="austria"/>
        <s v="Wandsworth, uk"/>
        <s v="Bradford, uk"/>
        <s v="yemen"/>
        <s v="Pian Del Lago, italy"/>
        <s v="cairo"/>
        <s v="Kingston, Jamaica"/>
        <s v="canarias"/>
        <s v="carikci"/>
        <s v="Den Haag"/>
        <s v="Schiphol"/>
        <s v="schipol"/>
        <s v="Grenada, spain"/>
        <s v="Birmingham, uk"/>
        <s v="Macedonia to Greece"/>
        <s v="Sarnen, switzerland"/>
        <s v="newcastle"/>
        <s v="Ludwigsfeld, germany"/>
        <s v="afghanistan"/>
        <s v="Turkey"/>
        <s v="vlora"/>
        <s v="harlingen"/>
        <s v="Klibia"/>
        <s v="bruxelles"/>
        <s v="algesiras"/>
        <s v="genova"/>
        <s v="agean"/>
        <s v="Uznach, switzerland"/>
        <s v="livorno"/>
        <s v="Busto Arsizio, italy"/>
        <s v="scotland"/>
        <s v="D√ºsseldorf"/>
        <s v="siracusa"/>
        <s v="Hellin, Spain"/>
        <s v="Valez malaga, spain"/>
        <s v="Eindhoven, netherlands"/>
        <s v="Kozluk, Batman, turkey"/>
        <s v="Prestwich, uk"/>
        <s v="ukraine"/>
        <s v="stockholm"/>
        <s v="Vernier, France"/>
        <s v="lisbon"/>
        <s v="Las Palmas, Spain"/>
        <s v="Luttelgeest, Netherlands"/>
        <s v="kerkenah"/>
        <s v="fuertaventura"/>
        <s v="Hungary to Slovakia"/>
        <s v="Halberstadt, Germany"/>
        <s v="Norwich, UK"/>
        <s v="pasaia"/>
        <s v="Cologne, Germany"/>
        <s v="chiclana"/>
        <s v="Frosinone, Italy"/>
        <s v="agaete"/>
        <s v="targha"/>
        <s v="tetouan"/>
        <s v="Gurpinar, van, turkey"/>
        <s v="West Bromwich, UK"/>
        <s v="Ghar Lapsi, morocco"/>
        <s v="Barbalia, greece"/>
        <s v="Antigua, spain"/>
        <s v="River Tyne, uk"/>
        <s v="Fuhlsb√ºttel, germany"/>
        <s v="licata"/>
        <s v="leicester"/>
        <s v="Sheffield, uk"/>
        <s v="enzar"/>
        <s v="mogadishu"/>
        <s v="Chott Meriem, tunisia"/>
        <s v="rafina"/>
        <s v="Thrace"/>
        <s v="karystos"/>
        <s v="Bellinzone, switzerland"/>
        <s v="zelid"/>
        <s v="Coventry, UK"/>
        <s v="Ivrea, Italy"/>
        <s v="Purmerend, Netherlands"/>
        <s v="Uppsala"/>
        <s v="haslar"/>
        <s v="Lachen, Switzerland"/>
        <s v="coruna"/>
        <s v="havre"/>
        <s v="Traiskirchen, Austria"/>
        <s v="dover"/>
        <s v="Greece to Italy"/>
        <s v="edremit"/>
        <s v="gorizia"/>
        <s v="vienna"/>
        <s v="Eastbourne, UK"/>
        <s v="Blackburn, UK"/>
        <s v="salobre"/>
        <s v="kacem"/>
        <s v="Boxmeer, Netherlands"/>
        <s v="Bahia Feliz, Spain"/>
        <s v="Heatherwood Hospital, UK"/>
        <s v="Diever, Netherlands"/>
        <s v="Valetta"/>
        <s v="Biedenkopf, Germany"/>
        <s v="Manchester, UK"/>
        <s v="Emmen, Netherlands"/>
        <s v="Sartrouville, France"/>
        <s v="Stockport, UK"/>
        <s v="congo"/>
        <s v="Dalem, Switzerland"/>
        <s v="Marmaris, Turkey"/>
        <s v="cameroon"/>
        <s v="Oberberen, Switzerland"/>
        <s v="eisenstadt"/>
        <s v="Rota, Spain"/>
        <s v="Belmarsh prison, UK"/>
        <s v="larache"/>
        <s v="kastoria"/>
        <s v="Polmont Prison, UK"/>
        <s v="La Coruna, Spain"/>
        <s v="symi"/>
        <s v="Channel"/>
        <s v="G√ºtersloh, Germany"/>
        <s v="slovenia"/>
        <s v="teguise"/>
        <s v="Almeria, Spain"/>
        <s v="scoglitti"/>
        <s v="Stadtallendorf, Germany"/>
        <s v="edirne"/>
        <s v="napels"/>
        <s v="Vyssa, Turkey"/>
        <s v="menderes"/>
        <s v="Aslanyazi, turkey"/>
        <s v="Vught, Netherlands"/>
        <s v="lecce"/>
        <s v="K√∂prak√∂y, Tukey"/>
        <s v="Croatia"/>
        <s v="sava"/>
        <s v="naxos"/>
        <s v="Sunderland, UK"/>
        <s v="schneckenstein"/>
        <s v="otranto"/>
        <s v="Lewes Prison, UK"/>
        <s v="Allbruck, Germany"/>
        <s v="Durham, UK"/>
        <s v="Schloss Holte-Stukenbrock, Germany"/>
        <s v="Gribskov, Denmark"/>
        <s v="Corfu, Greece"/>
        <s v="Huddersfield, UK"/>
        <s v="Deuil-la-Barre, France"/>
        <s v="syke, germany"/>
        <s v="sevilla"/>
        <s v="Copenhagen, Denmark"/>
        <s v="Didymus, Greece"/>
        <s v="Leusden, Netherland"/>
        <s v="Frethun, France"/>
        <s v="Appelscha, Netherlands"/>
        <s v="Peloponnese, greece"/>
        <s v="Zwolle, Netherlands"/>
        <s v="Avellino, Italy"/>
        <s v="Kaldiran, turkey"/>
        <s v="Corinthia, greece"/>
        <s v="Menteres, Turkey"/>
        <s v="catalca"/>
        <s v="Skopje, Macedonia"/>
        <s v="dublin"/>
        <s v="gemisti"/>
        <s v="Suez Canal"/>
        <s v="Les Grisons, switzerland"/>
        <s v="Saarlouis-Fraulautern, germany"/>
        <s v="Cabo de Tres Forcas, Morocco"/>
        <s v="Mespelbrunn, Germany"/>
        <s v="Gimo, Sweden"/>
        <s v="gatwick"/>
        <s v="Chtapodia, greece"/>
        <s v="bahrein"/>
        <s v="mykonos"/>
        <s v="Romania to Hungary"/>
        <s v="Werdau, germany"/>
        <s v="Soto del Real, spain"/>
        <s v="De Lier, netherlands"/>
        <s v="teheran"/>
        <s v="Putzkau"/>
        <s v="Drunten, netherland"/>
        <s v="darro"/>
        <s v="Waddingxveen, netherland"/>
        <s v="Slovakia to Slovakia"/>
        <s v="Tyneside, UK"/>
        <s v="El Ejido, spain"/>
        <s v="Ireland"/>
        <s v="Cesvos, greece"/>
        <s v="Eschwege, germany"/>
        <s v="Africa to Netherland"/>
        <s v="Brixton, uk"/>
        <s v="Kopčany"/>
        <s v="morava"/>
        <s v="Turkey to Italy"/>
        <s v="trani"/>
        <s v="Southern Adriatic"/>
        <s v="J√∂nk√∂ping, Sweden"/>
        <s v="Villach, Austria"/>
        <s v="Skhirat, Morocco"/>
        <s v="korinthos"/>
        <s v="pristina, kosovo"/>
        <s v="Albania to Italy"/>
        <s v="kipoi"/>
        <s v="genschmar"/>
        <s v="Sussex, UK"/>
        <s v="arinaga"/>
        <s v="Larnaca airport"/>
        <s v="bojador"/>
        <s v="Gyor, Hungary"/>
        <s v="kienitz"/>
        <s v="trappani"/>
        <s v="San Roque, Spain"/>
        <s v="Rinconcillo, Spain"/>
        <s v="Gols, Austria"/>
        <s v="genoa"/>
        <s v="castillejos"/>
        <s v="Cheb, cz"/>
        <s v="Rosselsheim, germnay"/>
        <s v="Olbernhaus, germany"/>
        <s v="Nassau-Frauenstein, germany"/>
        <s v="Salzwedel, Germany"/>
        <s v="Bahia Plata, Spain"/>
        <s v="Mannheim, germany"/>
        <s v="bolonia"/>
        <s v="scicli"/>
        <s v="Porajow, poland"/>
        <s v="antalya"/>
        <s v="Schaffhausen, Switzerland"/>
        <s v="Den Bosch, Netherland"/>
        <s v="Budapest International Airport"/>
        <s v="Thyrow, Germany"/>
        <s v="Russia"/>
        <s v="K√∂rnten, Austria"/>
        <s v="van province, turkey"/>
        <s v="Kriftelk, Germany"/>
        <s v="Szombathely, Hungary"/>
        <s v="Thessalonoki, Greece"/>
        <s v="Steenokerzeel, Belgium"/>
        <s v="breesen"/>
        <s v="Czech Republic"/>
        <s v="Singen, germany"/>
        <s v="Landshut, germany"/>
        <s v="Asia to Russia"/>
        <s v="Patelleria, italy"/>
        <s v="florina"/>
        <s v="Reitzenhain, germany"/>
        <s v="komotini"/>
        <s v="legnano"/>
        <s v="sch√∂nbuch"/>
        <s v="corsica"/>
        <s v="Alexandria, Egypt"/>
      </sharedItems>
    </cacheField>
    <cacheField name="latitude">
      <sharedItems containsBlank="1" containsMixedTypes="1" containsNumber="1">
        <n v="35.8150919"/>
        <n v="37.8136546"/>
        <n v="33.5784085"/>
        <n v="46.1174981"/>
        <n v="36.5174058"/>
        <n v="50.9010024"/>
        <n v="35.28"/>
        <n v="46.1675227"/>
        <n v="32.6853649"/>
        <n v="32.8708471"/>
        <n v="59.2549613"/>
        <n v="40.2712228"/>
        <n v="38.9633049"/>
        <n v="33.4625958"/>
        <n v="37.2912498"/>
        <n v="35.3626838"/>
        <n v="35.4811424"/>
        <n v="50.95129"/>
        <n v="26.33"/>
        <n v="33.5259117"/>
        <n v="33.2286864"/>
        <n v="33.1328706"/>
        <n v="33.3572511"/>
        <n v="34.0593093"/>
        <n v="37.4798643"/>
        <n v="38.3760672"/>
        <n v="31.540432"/>
        <n v="35.89473"/>
        <n v="36.85"/>
        <n v="36.1914269"/>
        <n v="35.9395293"/>
        <n v="37.713446"/>
        <n v="37.8391619"/>
        <n v="37.2768876"/>
        <n v="32.90608"/>
        <n v="31.797583"/>
        <n v="41.122493"/>
        <n v="36.89"/>
        <n v="36.65"/>
        <n v="37.75"/>
        <n v="38.63"/>
        <n v="32.97"/>
        <n v="35.45"/>
        <n v="50.0351"/>
        <n v="37.882"/>
        <n v="32.8304"/>
        <n v="38.086"/>
        <n v="49.815273"/>
        <n v="32.7610953"/>
        <n v="37.845"/>
        <n v="37.68"/>
        <n v="51.761"/>
        <n v="31.61"/>
        <n v="36.67"/>
        <n v="32.81"/>
        <n v="39.027"/>
        <n v="45.1"/>
        <n v="36.05"/>
        <n v="32.88"/>
        <n v="39.2200767"/>
        <n v="38.25"/>
        <n v="41.97"/>
        <n v="35.5"/>
        <n v="36.1553629"/>
        <n v="36.09"/>
        <n v="36.9"/>
        <n v="37.46"/>
        <n v="36.64"/>
        <n v="32.8"/>
        <n v="36.8"/>
        <n v="37.5"/>
        <n v="21.1"/>
        <n v="48.0"/>
        <n v="37.7"/>
        <n v="39.3"/>
        <n v="37.3"/>
        <n v="35.8"/>
        <n v="39.09"/>
        <m/>
        <n v="36.7"/>
        <n v="38.3"/>
        <n v="61.21"/>
        <n v="50.9"/>
        <n v="36.99"/>
        <n v="39.5"/>
        <n v="41.9"/>
        <n v="38.1"/>
        <n v="39.4"/>
        <n v="37.0"/>
        <n v="37.8"/>
        <n v="41.0"/>
        <n v="38.8"/>
        <n v="39.1"/>
        <n v="42.42"/>
        <n v="43.56"/>
        <n v="37.2"/>
        <n v="39.6"/>
        <n v="66.9"/>
        <n v="52.1"/>
        <n v="39.0"/>
        <n v="48.4"/>
        <n v="41.1"/>
        <n v="36.5"/>
        <n v="39.2"/>
        <n v="40.0"/>
        <n v="39.44"/>
        <n v="37.6"/>
        <n v="37.4653524"/>
        <n v="51.0157"/>
        <n v="36.74585"/>
        <n v="35.9157"/>
        <n v="37.711"/>
        <n v="37.16"/>
        <n v="37.29"/>
        <n v="32.952"/>
        <n v="43.2"/>
        <n v="42.683"/>
        <n v="37.1"/>
        <n v="36.14"/>
        <n v="49.3511"/>
        <n v="26.7"/>
        <n v="50.951"/>
        <n v="35.843"/>
        <n v="50.92"/>
        <n v="41.1223"/>
        <n v="36.15"/>
        <n v="17.9"/>
        <n v="30.0"/>
        <n v="32.189"/>
        <n v="62.635"/>
        <n v="52.8128"/>
        <n v="27.82"/>
        <n v="49.634"/>
        <n v="31.1"/>
        <n v="40.85"/>
        <n v="38.11"/>
        <n v="31.26"/>
        <n v="45.257"/>
        <n v="37.71"/>
        <n v="35.9"/>
        <n v="36.55"/>
        <n v="37.01"/>
        <n v="52.5072"/>
        <n v="37.465"/>
        <n v="32.55"/>
        <n v="37.87"/>
        <n v="33.31"/>
        <n v="39.366"/>
        <n v="37.0211"/>
        <n v="36.155"/>
        <n v="37.299"/>
        <n v="42.3453"/>
        <n v="50.9279"/>
        <n v="39.11"/>
        <n v="32.07"/>
        <n v="42.24"/>
        <n v="33.1"/>
        <n v="34.4"/>
        <n v="50.6392547"/>
        <n v="40.7014"/>
        <n v="50.95"/>
        <n v="31.0"/>
        <n v="37.0502"/>
        <n v="50.9544"/>
        <n v="51.971453"/>
        <n v="51.00283"/>
        <n v="38.3204079"/>
        <s v="35,1"/>
        <n v="38.41"/>
        <n v="37.29721"/>
        <n v="46.232789"/>
        <n v="41.5"/>
        <n v="47.5054954"/>
        <n v="32.6"/>
        <n v="40.08"/>
        <n v="33.29"/>
        <n v="36.59"/>
        <n v="33.0"/>
        <n v="35.0"/>
        <n v="40.1"/>
        <n v="41.07824"/>
        <n v="33.52"/>
        <n v="36.1"/>
        <n v="36.3"/>
        <n v="50.954468"/>
        <n v="47.7"/>
        <n v="46.1861871"/>
        <n v="35.766667"/>
        <n v="35.5059"/>
        <n v="37.291"/>
        <n v="51.081398"/>
        <n v="32.23"/>
        <n v="34.0"/>
        <n v="48.858"/>
        <s v="19.0086"/>
        <n v="18.733"/>
        <n v="19.213588"/>
        <n v="50.9247443"/>
        <n v="34.542858"/>
        <n v="33.641882"/>
        <n v="33.44238"/>
        <n v="35.696508"/>
        <n v="45.7283752"/>
        <n v="50.736744"/>
        <n v="33.06503"/>
        <n v="31.510077"/>
        <n v="41.713846"/>
        <n v="39.50615"/>
        <n v="33.349987"/>
        <n v="36.434963"/>
        <n v="33.867198"/>
        <n v="36.2"/>
        <n v="34.7"/>
        <n v="33.4"/>
        <n v="34.9"/>
        <n v="32.0"/>
        <n v="36.6"/>
        <n v="29.01"/>
        <n v="51.924"/>
        <n v="40.634676"/>
        <n v="33.7"/>
        <n v="38.1260386"/>
        <n v="35.4"/>
        <n v="35.235482"/>
        <n v="32.5"/>
        <n v="36.4"/>
        <n v="32.92"/>
        <n v="33.3"/>
        <n v="32.3"/>
        <n v="34.1"/>
        <n v="52.314079"/>
        <n v="32.9"/>
        <n v="36.0"/>
        <n v="48.9"/>
        <n v="51.46046"/>
        <n v="32.857"/>
        <n v="33.04"/>
        <n v="51.0"/>
        <n v="35.3"/>
        <n v="33.17"/>
        <n v="33.47"/>
        <n v="37.754786"/>
        <n v="33.9"/>
        <n v="36.72986"/>
        <n v="38.494167"/>
        <n v="35.11"/>
        <n v="39.26451"/>
        <n v="50.81451"/>
        <n v="38.0"/>
        <n v="34.574"/>
        <n v="21.8"/>
        <n v="36.926927"/>
        <n v="32.982"/>
        <n v="37.743215"/>
        <n v="33.89"/>
        <n v="20.23"/>
        <n v="52.169628"/>
        <n v="48.856614"/>
        <n v="35.888384"/>
        <n v="35.97"/>
        <n v="51.7"/>
        <n v="51.03"/>
        <n v="38.1262665"/>
        <n v="41.24"/>
        <n v="9.224"/>
        <n v="33.51"/>
        <n v="33.6"/>
        <n v="35.94"/>
        <n v="37.282956"/>
        <n v="36.793212"/>
        <n v="37.508039"/>
        <n v="45.649502"/>
        <n v="26.820553"/>
        <n v="28.569022"/>
        <n v="30.755556"/>
        <n v="37.599994"/>
        <n v="52.311057"/>
        <n v="39.080793"/>
        <n v="35.508622"/>
        <n v="36.018776"/>
        <n v="39.671689"/>
        <n v="35.937496"/>
        <n v="37.983716"/>
        <n v="36.799851"/>
        <n v="53.366786"/>
        <n v="35.292278"/>
        <n v="38.515435"/>
        <n v="39.308771"/>
        <n v="20.0"/>
        <n v="26.3351"/>
        <n v="52.143662"/>
        <n v="47.36865"/>
        <n v="35.249299"/>
        <n v="52.8"/>
        <n v="17.916944"/>
        <n v="50.409626"/>
        <n v="38.833366"/>
        <n v="28.033886"/>
        <n v="31.200092"/>
        <n v="51.48309"/>
        <n v="41.244376"/>
        <n v="51.942889"/>
        <n v="38.370981"/>
        <n v="36.527061"/>
        <n v="35.939838"/>
        <n v="40.845719"/>
        <n v="35.866074"/>
        <n v="24.088938"/>
        <n v="51.47238"/>
        <n v="51.488623"/>
        <n v="50.832793"/>
        <n v="35.52145"/>
        <n v="32.876174"/>
        <n v="-12.8275"/>
        <n v="53.449038"/>
        <n v="14.4903"/>
        <n v="32.310059"/>
        <n v="39.801"/>
        <n v="43.61583"/>
        <n v="31.791702"/>
        <n v="37.99462"/>
        <n v="38.41885"/>
        <n v="35.551211"/>
        <n v="35.77718"/>
        <n v="36.744421"/>
        <n v="41.385064"/>
        <n v="41.119673"/>
        <n v="37.31109"/>
        <n v="38.322579"/>
        <n v="38.002298"/>
        <n v="45.440847"/>
        <n v="36.140751"/>
        <n v="39.16408"/>
        <n v="29.046854"/>
        <n v="50.769517"/>
        <n v="52.132633"/>
        <n v="38.24664"/>
        <n v="41.2"/>
        <n v="39.074208"/>
        <n v="49.791595"/>
        <n v="44.348399"/>
        <n v="32.374298"/>
        <n v="37.22813"/>
        <n v="35.126413"/>
        <n v="50.503887"/>
        <n v="37.544271"/>
        <n v="36.866667"/>
        <n v="36.146155"/>
        <n v="35.30241"/>
        <n v="36.834047"/>
        <n v="37.973976"/>
        <n v="52.370216"/>
        <n v="40.463667"/>
        <n v="40.894241"/>
        <n v="42.602636"/>
        <n v="36.748374"/>
        <n v="37.177336"/>
        <n v="38.041285"/>
        <n v="35.240117"/>
        <n v="39.063264"/>
        <n v="36.81881"/>
        <n v="36.695639"/>
        <n v="38.959265"/>
        <n v="42.434479"/>
        <n v="50.55581"/>
        <n v="36.828221"/>
        <n v="32.882937"/>
        <n v="41.87194"/>
        <n v="37.583372"/>
        <n v="36.750191"/>
        <n v="41.117143"/>
        <n v="35.815"/>
        <n v="36.711697"/>
        <n v="48.113475"/>
        <n v="34.658056"/>
        <n v="48.583148"/>
        <n v="30.134703"/>
        <n v="40.792839"/>
        <n v="39.223841"/>
        <n v="35.85"/>
        <n v="36.623381"/>
        <n v="51.590352"/>
        <n v="51.481969"/>
        <n v="36.622554"/>
        <n v="51.455643"/>
        <n v="55.57156"/>
        <n v="44.36"/>
        <n v="40.385629"/>
        <n v="40.632728"/>
        <n v="36.704636"/>
        <n v="33.81445"/>
        <n v="35.166667"/>
        <n v="36.42985"/>
        <n v="36.902859"/>
        <n v="39.611839"/>
        <n v="50.963579"/>
        <n v="60.128161"/>
        <n v="52.477116"/>
        <n v="52.825559"/>
        <n v="41.462198"/>
        <n v="40.120875"/>
        <n v="35.964373"/>
        <n v="22.785"/>
        <n v="30.153994"/>
        <n v="55.378051"/>
        <n v="39.02001"/>
        <n v="52.954783"/>
        <n v="39.469908"/>
        <n v="52.091667"/>
        <n v="55.201389"/>
        <n v="53.551085"/>
        <n v="55.864237"/>
        <n v="52.012058"/>
        <n v="56.89921"/>
        <n v="51.03456"/>
        <n v="47.43235"/>
        <n v="52.260094"/>
        <n v="36.999117"/>
        <n v="50.671046"/>
        <n v="31.558247"/>
        <n v="50.41081"/>
        <n v="45.450072"/>
        <n v="38.158524"/>
        <n v="52.447828"/>
        <n v="53.408371"/>
        <n v="48.132108"/>
        <n v="48.217686"/>
        <n v="45.472519"/>
        <n v="38.345996"/>
        <n v="48.922062"/>
        <n v="33.223191"/>
        <n v="43.328128"/>
        <n v="39.557242"/>
        <n v="35.696944"/>
        <n v="36.752887"/>
        <n v="45.465454"/>
        <n v="34.528455"/>
        <n v="35.950486"/>
        <n v="14.497401"/>
        <n v="35.913676"/>
        <n v="48.208174"/>
        <n v="32.116667"/>
        <n v="54.999424"/>
        <n v="28.291564"/>
        <n v="-8.783195"/>
        <n v="49.45203"/>
        <n v="50.985315"/>
        <n v="36.697645"/>
        <n v="37.625683"/>
        <n v="36.510071"/>
        <n v="36.721261"/>
        <n v="37.91441"/>
        <n v="36.19002"/>
        <n v="27.725499"/>
        <n v="50.900875"/>
        <n v="41.892916"/>
        <n v="37.992331"/>
        <n v="37.035339"/>
        <n v="43.263013"/>
        <n v="37.074153"/>
        <n v="42.675931"/>
        <n v="45.698264"/>
        <n v="38.77474"/>
        <n v="60.67488"/>
        <n v="51.01792"/>
        <n v="37.490112"/>
        <n v="12.8"/>
        <n v="20.942518"/>
        <n v="23.14632"/>
        <n v="52.355518"/>
        <n v="37.982394"/>
        <n v="47.162494"/>
        <n v="37.140914"/>
        <n v="45.320227"/>
        <n v="35.88301"/>
        <n v="39.106738"/>
        <n v="36.729861"/>
        <n v="48.241408"/>
        <n v="37.970112"/>
        <n v="51.511214"/>
        <n v="38.193814"/>
        <n v="37.423411"/>
        <n v="60.472024"/>
        <n v="14.764504"/>
        <n v="59.729407"/>
        <n v="36.239546"/>
        <n v="17.570692"/>
        <n v="32.183929"/>
        <n v="41.125526"/>
        <n v="35.89779"/>
        <n v="28.103304"/>
        <n v="23.803497"/>
        <n v="30.78004"/>
        <n v="27.793611"/>
        <n v="30.597246"/>
        <n v="23.69751"/>
        <n v="37.125836"/>
        <n v="37.617153"/>
        <n v="29.104381"/>
        <n v="37.369342"/>
        <n v="50.85"/>
        <n v="37.931706"/>
        <n v="41.00527"/>
        <n v="34.264061"/>
        <n v="35.869682"/>
        <n v="31.280267"/>
        <n v="48.847759"/>
        <n v="35.841667"/>
        <n v="39.33589"/>
        <n v="41.733333"/>
        <n v="39.54864"/>
        <n v="35.46883"/>
        <n v="46.62794"/>
        <n v="32.933333"/>
        <n v="35.208889"/>
        <n v="38.017618"/>
        <n v="34.916667"/>
        <n v="27.759555"/>
        <n v="34.745159"/>
        <n v="43.77268"/>
        <n v="36.60709"/>
        <n v="35.825556"/>
        <n v="35.834673"/>
        <n v="47.557421"/>
        <n v="41.130036"/>
        <n v="51.35819"/>
        <n v="30.446042"/>
        <n v="50.658799"/>
        <n v="28.358744"/>
        <n v="51.165691"/>
        <n v="49.651244"/>
        <n v="51.519411"/>
        <n v="52.520007"/>
        <n v="7.946527"/>
        <n v="36.2941"/>
        <n v="53.54368"/>
        <n v="53.835187"/>
        <n v="30.000473"/>
        <n v="27.93556"/>
        <n v="40.416775"/>
        <n v="46.227638"/>
        <n v="36.132977"/>
        <n v="39.599541"/>
        <n v="39.077771"/>
        <n v="36.68169"/>
        <n v="37.075546"/>
        <n v="39.727177"/>
        <n v="41.153332"/>
        <n v="40.261643"/>
        <n v="35.55"/>
        <n v="40.895168"/>
        <n v="43.351149"/>
        <n v="28.386856"/>
        <n v="36.277685"/>
        <n v="43.001693"/>
        <n v="44.171131"/>
        <n v="51.182293"/>
        <n v="28.009757"/>
        <n v="52.988024"/>
        <n v="12.862807"/>
        <n v="0.390841"/>
        <n v="34.686667"/>
        <n v="35.37849"/>
        <n v="35.533333"/>
        <n v="51.924216"/>
        <n v="39.648369"/>
        <n v="35.98"/>
        <n v="35.1"/>
        <n v="43.355524"/>
        <n v="39.984458"/>
        <n v="51.4025"/>
        <n v="51.919438"/>
        <n v="13.443182"/>
        <n v="43.342273"/>
        <n v="17.607789"/>
        <n v="37.075474"/>
        <n v="54.083419"/>
        <n v="46.198392"/>
        <n v="38.32981"/>
        <n v="41.036944"/>
        <n v="40.63935"/>
        <n v="41.025869"/>
        <n v="36.142015"/>
        <n v="38.2"/>
        <n v="37.78816"/>
        <n v="16.666667"/>
        <n v="45.493488"/>
        <n v="53.171826"/>
        <n v="35.861313"/>
        <n v="-11.202692"/>
        <n v="38.115688"/>
        <n v="35.860278"/>
        <n v="50.110922"/>
        <n v="36.0443"/>
        <n v="33.503681"/>
        <n v="51.302229"/>
        <n v="45.217675"/>
        <n v="26.133333"/>
        <n v="53.018822"/>
        <n v="12.89952"/>
        <n v="21.00789"/>
        <n v="27.153611"/>
        <n v="32.427908"/>
        <n v="44.502292"/>
        <n v="23.684994"/>
        <n v="51.735587"/>
        <n v="49.06159"/>
        <n v="14.762683"/>
        <n v="35.579544"/>
        <n v="31.030972"/>
        <n v="49.44032"/>
        <n v="36.868991"/>
        <n v="44.837789"/>
        <n v="52.278385"/>
        <n v="44.648837"/>
        <n v="37.150437"/>
        <n v="53.661998"/>
        <n v="46.99576"/>
        <n v="53.763201"/>
        <n v="39.864207"/>
        <n v="50.85034"/>
        <n v="51.16809"/>
        <n v="34.553128"/>
        <n v="37.27626"/>
        <n v="38.933622"/>
        <n v="39.029381"/>
        <n v="18.084061"/>
        <n v="41.734495"/>
        <n v="51.765908"/>
        <n v="55.899608"/>
        <n v="51.081397"/>
        <n v="51.204197"/>
        <n v="52.295891"/>
        <n v="28.05"/>
        <n v="45.764898"/>
        <n v="35.502446"/>
        <n v="52.873165"/>
        <n v="54.978133"/>
        <n v="63.430515"/>
        <n v="35.010802"/>
        <n v="31.802985"/>
        <n v="57.10269"/>
        <n v="44.494887"/>
        <n v="38.652771"/>
        <n v="37.07"/>
        <n v="13.193887"/>
        <n v="28.3968"/>
        <n v="54.90116"/>
        <n v="35.976458"/>
        <n v="52.276193"/>
        <n v="51.060229"/>
        <n v="42.733883"/>
        <n v="50.414585"/>
        <n v="52.135973"/>
        <n v="34.015049"/>
        <n v="14.743417"/>
        <n v="36.666667"/>
        <n v="49.63675"/>
        <n v="51.389646"/>
        <n v="50.946071"/>
        <n v="36.263269"/>
        <n v="50.746259"/>
        <n v="53.614086"/>
        <n v="49.61001"/>
        <n v="51.484807"/>
        <n v="38.523604"/>
        <n v="51.487453"/>
        <n v="43.296482"/>
        <n v="51.767787"/>
        <n v="35.616667"/>
        <n v="51.453667"/>
        <n v="52.283056"/>
        <n v="39.9"/>
        <n v="45.928847"/>
        <n v="52.193566"/>
        <n v="53.474021"/>
        <n v="41.608635"/>
        <n v="41.645487"/>
        <n v="53.545921"/>
        <n v="33.533333"/>
        <n v="51.12509"/>
        <n v="51.454513"/>
        <n v="45.545479"/>
        <n v="51.822244"/>
        <n v="53.079296"/>
        <n v="39.072097"/>
        <n v="56.26392"/>
        <n v="16.966667"/>
        <n v="48.669026"/>
        <n v="50.482286"/>
        <n v="34.802075"/>
        <n v="38.994722"/>
        <n v="48.30694"/>
        <n v="37.969674"/>
        <n v="47.516231"/>
        <n v="51.457072"/>
        <n v="53.795984"/>
        <n v="15.552727"/>
        <n v="39.203084"/>
        <n v="30.04442"/>
        <n v="17.992731"/>
        <n v="40.346202"/>
        <n v="52.070498"/>
        <n v="52.313025"/>
        <n v="52.486243"/>
        <n v="41.14943"/>
        <n v="46.896129"/>
        <n v="54.978252"/>
        <n v="49.439453"/>
        <n v="33.93911"/>
        <n v="38.963745"/>
        <n v="40.471882"/>
        <n v="53.174638"/>
        <n v="36.105114"/>
        <n v="44.40565"/>
        <n v="47.225671"/>
        <n v="43.548473"/>
        <n v="45.611892"/>
        <n v="56.490671"/>
        <n v="51.227741"/>
        <n v="38.50957"/>
        <n v="36.779923"/>
        <n v="51.441642"/>
        <n v="38.177296"/>
        <n v="53.527039"/>
        <n v="48.379433"/>
        <n v="59.32893"/>
        <n v="43.707408"/>
        <n v="38.725275"/>
        <n v="28.113155"/>
        <n v="52.745242"/>
        <n v="48.066823"/>
        <n v="51.89439"/>
        <n v="52.630886"/>
        <n v="43.32547"/>
        <n v="50.937531"/>
        <n v="36.418702"/>
        <n v="41.639601"/>
        <n v="28.100259"/>
        <n v="35.394932"/>
        <n v="35.57621"/>
        <n v="38.321027"/>
        <n v="52.517664"/>
        <n v="35.827006"/>
        <n v="39.309142"/>
        <n v="28.415292"/>
        <n v="54.986843"/>
        <n v="53.63459"/>
        <n v="37.101709"/>
        <n v="52.636878"/>
        <n v="53.381129"/>
        <n v="35.256944"/>
        <n v="2.033333"/>
        <n v="35.91507"/>
        <n v="38.023446"/>
        <n v="42.0"/>
        <n v="38.013999"/>
        <n v="46.198494"/>
        <n v="40.3"/>
        <n v="52.406822"/>
        <n v="45.467276"/>
        <n v="52.514382"/>
        <n v="59.858564"/>
        <n v="50.787551"/>
        <n v="47.19133"/>
        <n v="43.362344"/>
        <n v="49.49437"/>
        <n v="48.016043"/>
        <n v="51.127876"/>
        <n v="39.587628"/>
        <n v="38.42"/>
        <n v="45.940181"/>
        <n v="50.768035"/>
        <n v="53.748575"/>
        <n v="38.592861"/>
        <n v="35.693271"/>
        <n v="51.645269"/>
        <n v="27.78085"/>
        <n v="51.409994"/>
        <n v="52.854738"/>
        <n v="50.912151"/>
        <n v="53.479324"/>
        <n v="52.785804"/>
        <n v="48.941106"/>
        <n v="53.406754"/>
        <n v="-0.228021"/>
        <n v="46.369718"/>
        <n v="36.163149"/>
        <n v="36.850566"/>
        <n v="7.369722"/>
        <n v="47.45149"/>
        <n v="47.84637"/>
        <n v="36.62629"/>
        <n v="51.497303"/>
        <n v="35.183333"/>
        <n v="40.519269"/>
        <n v="55.982071"/>
        <n v="36.585572"/>
        <n v="51.027979"/>
        <n v="51.903238"/>
        <n v="46.151241"/>
        <n v="29.060072"/>
        <n v="36.893322"/>
        <n v="50.821854"/>
        <n v="41.681808"/>
        <n v="40.851775"/>
        <n v="41.58738"/>
        <n v="38.244854"/>
        <n v="39.75425"/>
        <n v="51.653306"/>
        <n v="40.351516"/>
        <n v="39.968176"/>
        <n v="40.403712"/>
        <n v="37.102103"/>
        <n v="54.906869"/>
        <n v="50.413333"/>
        <n v="40.143898"/>
        <n v="50.871818"/>
        <n v="47.594657"/>
        <n v="54.77525"/>
        <n v="51.871292"/>
        <n v="56.067227"/>
        <n v="53.645792"/>
        <n v="48.975751"/>
        <n v="52.912679"/>
        <n v="37.388096"/>
        <n v="55.676097"/>
        <n v="52.118759"/>
        <n v="50.917288"/>
        <n v="52.9524"/>
        <n v="37.349722"/>
        <n v="52.516775"/>
        <n v="40.914384"/>
        <n v="37.909534"/>
        <n v="41.140406"/>
        <n v="41.997346"/>
        <n v="53.349805"/>
        <n v="40.962655"/>
        <n v="30.840842"/>
        <n v="46.656987"/>
        <n v="49.328575"/>
        <n v="35.435"/>
        <n v="49.913334"/>
        <n v="60.171536"/>
        <n v="51.155455"/>
        <n v="37.411111"/>
        <n v="26.0667"/>
        <n v="37.446719"/>
        <n v="46.784013"/>
        <n v="50.728872"/>
        <n v="40.754548"/>
        <n v="51.974449"/>
        <n v="35.696216"/>
        <n v="51.103951"/>
        <n v="52.534682"/>
        <n v="37.349816"/>
        <n v="52.031297"/>
        <n v="48.60192"/>
        <n v="54.977732"/>
        <n v="36.774063"/>
        <n v="53.41291"/>
        <n v="51.187666"/>
        <n v="52.958346"/>
        <n v="51.458832"/>
        <n v="48.793521"/>
        <n v="49.195098"/>
        <n v="35.922273"/>
        <n v="41.277486"/>
        <n v="40.771667"/>
        <n v="57.782614"/>
        <n v="46.60856"/>
        <n v="33.85"/>
        <n v="37.938637"/>
        <n v="42.672421"/>
        <n v="40.350451"/>
        <n v="52.618489"/>
        <n v="51.156388"/>
        <n v="27.858484"/>
        <n v="34.870244"/>
        <n v="47.687457"/>
        <n v="52.643661"/>
        <n v="36.210462"/>
        <n v="37.667476"/>
        <n v="47.899011"/>
        <n v="35.844609"/>
        <n v="50.079533"/>
        <n v="49.98875"/>
        <n v="50.656873"/>
        <n v="50.767197"/>
        <n v="52.853126"/>
        <n v="36.098208"/>
        <n v="49.487459"/>
        <n v="50.887047"/>
        <n v="36.88414"/>
        <n v="47.707766"/>
        <n v="51.687568"/>
        <n v="47.433177"/>
        <n v="52.218"/>
        <n v="61.52401"/>
        <n v="46.7822"/>
        <n v="38.367942"/>
        <n v="50.083558"/>
        <n v="47.230685"/>
        <n v="50.90793"/>
        <n v="53.629738"/>
        <n v="49.817492"/>
        <n v="47.764064"/>
        <n v="48.539225"/>
        <n v="50.394047"/>
        <n v="40.784526"/>
        <n v="50.155257"/>
        <n v="41.122439"/>
        <n v="45.59834"/>
        <n v="48.09033"/>
        <n v="42.039604"/>
        <n v="0.344922"/>
      </sharedItems>
    </cacheField>
    <cacheField name="longitude">
      <sharedItems containsBlank="1" containsMixedTypes="1" containsNumber="1">
        <n v="36.3123961"/>
        <n v="23.8362307"/>
        <n v="11.9031222"/>
        <n v="19.5601164"/>
        <n v="-6.4323074"/>
        <n v="4.4833857"/>
        <n v="-2.93"/>
        <s v="20.0005179,14"/>
        <n v="25.9012421"/>
        <n v="12.0631696"/>
        <n v="18.0629447"/>
        <n v="22.4930176"/>
        <n v="20.7539809"/>
        <n v="13.1328688"/>
        <n v="13.2358149"/>
        <n v="15.9465353"/>
        <n v="12.5794085"/>
        <n v="1.858686"/>
        <n v="17.22"/>
        <n v="8.0491191"/>
        <n v="12.033724"/>
        <n v="12.2549685"/>
        <n v="11.3470785"/>
        <n v="12.3110937"/>
        <n v="2.4963183"/>
        <n v="25.7167902"/>
        <n v="30.861969"/>
        <n v="-5.32132"/>
        <n v="36.83"/>
        <n v="36.7084276"/>
        <n v="10.8791731"/>
        <n v="26.7753292"/>
        <n v="23.4804105"/>
        <n v="10.8044894"/>
        <n v="12.443467"/>
        <n v="14.053676"/>
        <n v="22.510477"/>
        <n v="27.182"/>
        <n v="37.04"/>
        <n v="26.97"/>
        <n v="26.72"/>
        <n v="24.53"/>
        <n v="12.39"/>
        <n v="8.5735"/>
        <n v="24.013"/>
        <n v="11.616"/>
        <n v="23.98"/>
        <n v="6.129583"/>
        <n v="26.96"/>
        <n v="12.6998942"/>
        <n v="23.76"/>
        <n v="26.94"/>
        <n v="-1.246"/>
        <n v="30.77"/>
        <n v="37.15"/>
        <n v="12.45"/>
        <n v="16.699"/>
        <n v="5.3"/>
        <n v="27.99"/>
        <n v="13.7"/>
        <n v="9.0264574"/>
        <n v="27.73"/>
        <n v="27.51"/>
        <n v="11.98"/>
        <n v="29.4271815"/>
        <n v="26.57"/>
        <n v="26.9"/>
        <n v="15.09"/>
        <n v="14.85"/>
        <n v="12.61"/>
        <n v="27.2"/>
        <n v="11.9"/>
        <n v="22.5"/>
        <n v="11.6"/>
        <n v="27.01"/>
        <n v="26.4"/>
        <n v="36.4"/>
        <n v="26.53"/>
        <m/>
        <n v="37.0"/>
        <n v="13.4"/>
        <n v="26.1"/>
        <n v="17.12"/>
        <n v="1.8"/>
        <n v="35.26"/>
        <n v="27.5"/>
        <n v="26.8"/>
        <n v="16.0"/>
        <n v="12.6"/>
        <n v="22.4"/>
        <n v="26.21"/>
        <n v="22.49"/>
        <n v="13.57"/>
        <n v="26.7"/>
        <n v="26.5"/>
        <n v="29.02"/>
        <n v="4.7"/>
        <n v="26.0"/>
        <n v="27.0"/>
        <n v="26.58"/>
        <n v="2.22"/>
        <n v="16.9"/>
        <n v="30.0"/>
        <n v="26.39"/>
        <n v="26.3"/>
        <n v="25.2"/>
        <n v="26.9676859"/>
        <n v="2.2589"/>
        <n v="-2.65693"/>
        <n v="-5.40833"/>
        <n v="27.16"/>
        <n v="26.2"/>
        <n v="12.907"/>
        <n v="44.6"/>
        <n v="44.3347"/>
        <n v="27.9"/>
        <n v="29.62"/>
        <n v="8.1968"/>
        <n v="-15.0"/>
        <n v="1.861"/>
        <n v="-5.397"/>
        <n v="1.78"/>
        <n v="22.4402"/>
        <n v="29.51"/>
        <n v="0.7"/>
        <n v="34.0"/>
        <n v="4.3962"/>
        <n v="8.1646"/>
        <n v="-1.70278"/>
        <n v="-14.04"/>
        <n v="-1.668"/>
        <n v="27.1"/>
        <n v="25.85"/>
        <n v="26.19"/>
        <n v="34.19"/>
        <n v="19.1235"/>
        <n v="-5.5"/>
        <n v="28.22"/>
        <n v="27.12"/>
        <n v="13.144"/>
        <n v="26.967"/>
        <n v="26.1911"/>
        <n v="26.19101"/>
        <n v="26.191"/>
        <n v="-5.31"/>
        <n v="14.668"/>
        <n v="27.18"/>
        <n v="13.71"/>
        <n v="26.67"/>
        <n v="27.151"/>
        <n v="29.584"/>
        <n v="27.167"/>
        <n v="27.1638"/>
        <n v="1.7875"/>
        <n v="1.86"/>
        <n v="31.05"/>
        <n v="-5.3"/>
        <n v="21.7"/>
        <n v="14.11"/>
        <n v="11.3581621"/>
        <n v="26.02"/>
        <n v="27.09"/>
        <n v="27.223749"/>
        <n v="1.8628"/>
        <n v="7.6240971"/>
        <n v="2.1078"/>
        <n v="26.2969054"/>
        <s v="17,1"/>
        <n v="1.82"/>
        <n v="27.08"/>
        <n v="27.135624"/>
        <n v="20.1404686"/>
        <n v="-5.2"/>
        <n v="18.5903625"/>
        <n v="15.4"/>
        <n v="8.98"/>
        <n v="14.93"/>
        <n v="27.89"/>
        <n v="12.2"/>
        <n v="16.8"/>
        <n v="14.0"/>
        <n v="17.0"/>
        <n v="17.2"/>
        <n v="16.4"/>
        <n v="1.13346"/>
        <n v="12.69"/>
        <n v="-2.7"/>
        <n v="18.9"/>
        <n v="1.862801"/>
        <n v="17.6"/>
        <n v="20.031235199"/>
        <n v="-5.8"/>
        <n v="12.6073"/>
        <n v="1.169456"/>
        <n v="26.64"/>
        <n v="14.1"/>
        <n v="2.2946"/>
        <s v="12.88579"/>
        <n v="7.383"/>
        <n v="1.95"/>
        <n v="6.800537"/>
        <n v="1.8000638"/>
        <n v="13.704729"/>
        <n v="12.847345"/>
        <n v="25.610113"/>
        <n v="11.107726"/>
        <n v="5.0131031"/>
        <n v="2.243632"/>
        <n v="11.199903"/>
        <n v="13.413009"/>
        <n v="30.21185"/>
        <n v="21.770409"/>
        <n v="20.265534"/>
        <n v="13.58879"/>
        <n v="28.217483"/>
        <n v="12.279102"/>
        <n v="12.5"/>
        <n v="15.5"/>
        <n v="15.1"/>
        <n v="15.3"/>
        <n v="15.0"/>
        <n v="30.6"/>
        <n v="27.4"/>
        <n v="-12.79"/>
        <n v="15.2"/>
        <n v="1.44"/>
        <n v="22.943048"/>
        <n v="13.6"/>
        <n v="23.7367192"/>
        <n v="-2.873268"/>
        <n v="13.3"/>
        <n v="-0.9"/>
        <n v="13.335"/>
        <n v="29.7"/>
        <n v="15.7"/>
        <n v="12.3"/>
        <n v="12.1"/>
        <n v="4.975107"/>
        <n v="13.1"/>
        <n v="14.05"/>
        <n v="13.5"/>
        <n v="2.4"/>
        <n v="0.344943"/>
        <n v="14.306"/>
        <n v="12.23"/>
        <n v="1.0"/>
        <n v="12.37"/>
        <n v="14.3"/>
        <n v="13.88"/>
        <n v="13.15"/>
        <n v="13.0"/>
        <n v="26.97777"/>
        <n v="13.44"/>
        <n v="14.84911"/>
        <n v="28.0"/>
        <n v="43.38"/>
        <n v="14.41"/>
        <n v="26.277707"/>
        <n v="1.704929"/>
        <n v="0.5"/>
        <n v="12.605"/>
        <n v="13.64"/>
        <n v="8.56"/>
        <n v="14.725513"/>
        <n v="13.563"/>
        <n v="26.820351"/>
        <n v="25.0"/>
        <n v="12.0"/>
        <n v="-0.503644"/>
        <n v="2.352"/>
        <n v="-5.324636"/>
        <n v="19.7"/>
        <n v="-5.84"/>
        <n v="-0.15"/>
        <n v="-2.5"/>
        <n v="2.38"/>
        <n v="23.7379745"/>
        <n v="29.12"/>
        <n v="-2.3"/>
        <n v="-13.538"/>
        <n v="12.8"/>
        <n v="-5.38"/>
        <n v="27.088338"/>
        <n v="14.706973"/>
        <n v="15.082851"/>
        <n v="0.12473"/>
        <n v="30.802498"/>
        <n v="-16.324539"/>
        <n v="20.225278"/>
        <n v="14.015356"/>
        <n v="4.952201"/>
        <n v="17.12711"/>
        <n v="12.59292"/>
        <n v="-5.600819"/>
        <n v="26.196498"/>
        <n v="14.375416"/>
        <n v="23.72931"/>
        <n v="27.102943"/>
        <n v="-2.279768"/>
        <n v="-2.938097"/>
        <n v="26.220492"/>
        <n v="4.38"/>
        <n v="16.346379"/>
        <n v="17.228331"/>
        <n v="14.641902"/>
        <n v="8.539183"/>
        <n v="-3.937112"/>
        <n v="-2.0"/>
        <n v="19.116667"/>
        <n v="4.446211"/>
        <n v="20.706911"/>
        <n v="1.659626"/>
        <n v="12.7"/>
        <n v="29.918739"/>
        <n v="-0.483529"/>
        <n v="26.135943"/>
        <n v="4.447575"/>
        <n v="26.136346"/>
        <n v="-6.288596"/>
        <n v="0.089767"/>
        <n v="25.873962"/>
        <n v="12.868741"/>
        <n v="32.899829"/>
        <n v="-0.45094"/>
        <n v="0.461426"/>
        <n v="9.572866"/>
        <n v="35.7924"/>
        <n v="13.187507"/>
        <n v="45.166244"/>
        <n v="-1.2996"/>
        <n v="35.8334"/>
        <n v="-9.236617"/>
        <n v="18.356944"/>
        <n v="13.518915"/>
        <n v="-7.09262"/>
        <n v="27.188235"/>
        <n v="27.12872"/>
        <n v="12.317398"/>
        <n v="10.8261"/>
        <n v="-4.092531"/>
        <n v="2.173403"/>
        <n v="26.288073"/>
        <n v="13.576548"/>
        <n v="23.320431"/>
        <n v="22.524509"/>
        <n v="12.315515"/>
        <n v="-5.353585"/>
        <n v="26.372171"/>
        <n v="-13.589973"/>
        <n v="1.610207"/>
        <n v="5.291266"/>
        <n v="21.734574"/>
        <n v="21.824312"/>
        <n v="9.953571"/>
        <n v="9.234647"/>
        <n v="15.09492"/>
        <n v="-6.890386"/>
        <n v="33.429859"/>
        <n v="4.469936"/>
        <n v="2.352222"/>
        <n v="-4.727753"/>
        <n v="6.9"/>
        <n v="-1.494141"/>
        <n v="-1.14489"/>
        <n v="-2.463714"/>
        <n v="12.054691"/>
        <n v="4.895168"/>
        <n v="-3.74922"/>
        <n v="26.172202"/>
        <n v="20.902977"/>
        <n v="-3.516861"/>
        <n v="-3.598557"/>
        <n v="23.541755"/>
        <n v="24.809269"/>
        <n v="8.45407"/>
        <n v="10.16596"/>
        <n v="-3.465102"/>
        <n v="20.751716"/>
        <n v="9.137443"/>
        <n v="9.680845"/>
        <n v="11.940496"/>
        <n v="13.188336"/>
        <n v="12.56738"/>
        <n v="12.825218"/>
        <n v="-3.017606"/>
        <n v="16.871871"/>
        <n v="14.51"/>
        <n v="14.773094"/>
        <n v="-1.675708"/>
        <n v="11.068611"/>
        <n v="7.747882"/>
        <n v="31.254136"/>
        <n v="17.101193"/>
        <n v="9.121661"/>
        <n v="-0.316667"/>
        <n v="2.654829"/>
        <n v="-0.119725"/>
        <n v="-0.526243"/>
        <n v="-4.499477"/>
        <n v="7.011555"/>
        <n v="-4.410332"/>
        <n v="11.712429"/>
        <n v="-3.76085"/>
        <n v="17.941762"/>
        <n v="-4.506699"/>
        <n v="12.700195"/>
        <n v="33.366667"/>
        <n v="-5.149141"/>
        <n v="7.755543"/>
        <n v="19.830605"/>
        <n v="10.067171"/>
        <n v="18.643501"/>
        <n v="10.549576"/>
        <n v="14.197083"/>
        <n v="15.54463"/>
        <n v="9.012893"/>
        <n v="-5.196533"/>
        <n v="5.522778"/>
        <n v="34.035645"/>
        <n v="-3.435973"/>
        <n v="1.482148"/>
        <n v="-1.158109"/>
        <n v="-0.376288"/>
        <n v="5.117778"/>
        <n v="11.401944"/>
        <n v="9.993682"/>
        <n v="-4.251806"/>
        <n v="5.429548"/>
        <n v="14.556001"/>
        <n v="2.375202"/>
        <n v="8.76459"/>
        <n v="0.064304"/>
        <n v="-1.892141"/>
        <n v="5.57847"/>
        <n v="31.085148"/>
        <n v="4.444643"/>
        <n v="9.177592"/>
        <n v="14.742693"/>
        <n v="9.744931"/>
        <n v="-2.991573"/>
        <n v="15.137272"/>
        <n v="21.506965"/>
        <n v="10.531554"/>
        <n v="-0.490686"/>
        <n v="2.253331"/>
        <n v="43.679291"/>
        <n v="-3.033659"/>
        <n v="2.75807"/>
        <n v="-0.633056"/>
        <n v="3.042048"/>
        <n v="9.186516"/>
        <n v="69.171703"/>
        <n v="-3.035088"/>
        <n v="-14.452362"/>
        <n v="-5.418174"/>
        <n v="16.373819"/>
        <n v="20.066667"/>
        <n v="-1.427406"/>
        <n v="-16.62913"/>
        <n v="34.508523"/>
        <n v="11.07675"/>
        <n v="12.974056"/>
        <n v="-4.443222"/>
        <n v="-0.996584"/>
        <n v="-4.882447"/>
        <n v="-4.421266"/>
        <n v="40.230629"/>
        <n v="-5.92248"/>
        <n v="-18.024301"/>
        <n v="12.765471"/>
        <n v="12.48252"/>
        <n v="-1.130458"/>
        <n v="27.43029"/>
        <n v="-2.934985"/>
        <n v="14.240354"/>
        <n v="23.433222"/>
        <n v="9.67727"/>
        <n v="0.08519"/>
        <n v="17.141273"/>
        <n v="2.440483"/>
        <n v="14.062893"/>
        <n v="45.033333"/>
        <n v="-17.036227"/>
        <n v="58.825119"/>
        <n v="-1.17432"/>
        <n v="23.696198"/>
        <n v="19.503304"/>
        <n v="26.848843"/>
        <n v="8.418573"/>
        <n v="14.493757"/>
        <n v="26.557275"/>
        <n v="14.849113"/>
        <n v="22.415221"/>
        <n v="23.642364"/>
        <n v="-0.119824"/>
        <n v="15.554015"/>
        <n v="24.916088"/>
        <n v="8.468946"/>
        <n v="-17.366029"/>
        <n v="13.235402"/>
        <n v="13.007813"/>
        <n v="-3.996166"/>
        <n v="35.233453"/>
        <n v="9.024635"/>
        <n v="14.514106"/>
        <n v="-17.219358"/>
        <n v="11.291889"/>
        <n v="30.991133"/>
        <n v="-15.658889"/>
        <n v="30.987632"/>
        <n v="-15.93698"/>
        <n v="10.802826"/>
        <n v="-0.992914"/>
        <n v="53.045893"/>
        <n v="27.27349"/>
        <n v="4.33"/>
        <n v="-0.660553"/>
        <n v="28.97696"/>
        <n v="-6.578296"/>
        <n v="14.566763"/>
        <n v="34.240191"/>
        <n v="2.439497"/>
        <n v="14.544722"/>
        <n v="26.71281"/>
        <n v="27.216667"/>
        <n v="44.074207"/>
        <n v="44.39098"/>
        <n v="14.30899"/>
        <n v="12.083333"/>
        <n v="0.479722"/>
        <n v="12.537202"/>
        <n v="33.633333"/>
        <n v="-15.57903"/>
        <n v="10.7613"/>
        <n v="11.253604"/>
        <n v="2.196783"/>
        <n v="14.528056"/>
        <n v="14.552498"/>
        <n v="7.592573"/>
        <n v="24.88649"/>
        <n v="4.863547"/>
        <n v="31.181203"/>
        <n v="10.664964"/>
        <n v="-14.053676"/>
        <n v="10.451526"/>
        <n v="7.163161"/>
        <n v="-0.126966"/>
        <n v="13.404954"/>
        <n v="-1.023194"/>
        <n v="35.793903"/>
        <n v="-0.974168"/>
        <n v="-2.219377"/>
        <n v="34.679418"/>
        <n v="-12.91871"/>
        <n v="-3.70379"/>
        <n v="2.213749"/>
        <n v="-5.453909"/>
        <n v="26.40086"/>
        <n v="21.665039"/>
        <n v="15.133875"/>
        <n v="25.520736"/>
        <n v="20.059855"/>
        <n v="20.168331"/>
        <n v="20.786133"/>
        <n v="45.433333"/>
        <n v="26.90943"/>
        <n v="-8.185424"/>
        <n v="-16.553251"/>
        <n v="-6.087779"/>
        <n v="-7.85388"/>
        <n v="12.161842"/>
        <n v="14.423775"/>
        <n v="-15.53205"/>
        <n v="-2.20218"/>
        <n v="30.217636"/>
        <n v="9.453644"/>
        <n v="-1.911389"/>
        <n v="1.32569"/>
        <n v="1.016667"/>
        <n v="-0.266667"/>
        <n v="4.481776"/>
        <n v="27.88261"/>
        <n v="-5.32"/>
        <n v="-1.85"/>
        <n v="-8.255738"/>
        <n v="-0.04495"/>
        <n v="8.641667"/>
        <n v="19.145136"/>
        <n v="-15.310139"/>
        <n v="17.812754"/>
        <n v="8.081666"/>
        <n v="15.286586"/>
        <n v="12.100429"/>
        <n v="6.142296"/>
        <n v="26.314921"/>
        <n v="28.9775"/>
        <n v="22.944606"/>
        <n v="33.189515"/>
        <n v="4.240723"/>
        <n v="26.833333"/>
        <n v="20.898827"/>
        <n v="-9.616667"/>
        <n v="12.246318"/>
        <n v="6.605243"/>
        <n v="14.565384"/>
        <n v="17.873887"/>
        <n v="13.361267"/>
        <n v="14.381389"/>
        <n v="8.682127"/>
        <n v="14.251222"/>
        <n v="11.11538"/>
        <n v="-3.867187"/>
        <n v="6.47587"/>
        <n v="-14.466667"/>
        <n v="-2.189053"/>
        <n v="-14.94427"/>
        <n v="-10.940835"/>
        <n v="-13.203333"/>
        <n v="53.688046"/>
        <n v="26.101538"/>
        <n v="-0.3"/>
        <n v="90.356331"/>
        <n v="0.46855"/>
        <n v="2.158135"/>
        <n v="-17.481736"/>
        <n v="-1.142499"/>
        <n v="-7.885086"/>
        <n v="11.863345"/>
        <n v="15.135476"/>
        <n v="-0.57918"/>
        <n v="7.920044"/>
        <n v="10.920087"/>
        <n v="9.23422"/>
        <n v="-1.79723"/>
        <n v="7.08635"/>
        <n v="-2.70309"/>
        <n v="20.792365"/>
        <n v="4.35171"/>
        <n v="7.126517"/>
        <n v="18.048011"/>
        <n v="9.873071"/>
        <n v="-2.933333"/>
        <n v="16.275751"/>
        <n v="43.375381"/>
        <n v="-15.97842"/>
        <n v="12.290967"/>
        <n v="0.667367"/>
        <n v="-4.360736"/>
        <n v="6.687951"/>
        <n v="13.622838"/>
        <n v="-16.716667"/>
        <n v="3.309457"/>
        <n v="11.045721"/>
        <n v="6.369422"/>
        <n v="25.762997"/>
        <n v="10.395053"/>
        <n v="-7.514648"/>
        <n v="-7.574833"/>
        <n v="8.624268"/>
        <n v="11.342616"/>
        <n v="26.613007"/>
        <n v="36.25"/>
        <n v="-59.543198"/>
        <n v="-13.863823"/>
        <n v="-1.450343"/>
        <n v="14.346722"/>
        <n v="0.096538"/>
        <n v="-0.343955"/>
        <n v="25.48583"/>
        <n v="-0.466655"/>
        <n v="-6.83272"/>
        <n v="-17.485433"/>
        <n v="2.75"/>
        <n v="14.839266"/>
        <n v="1.386834"/>
        <n v="-1.004294"/>
        <n v="22.97737"/>
        <n v="-2.21973"/>
        <n v="-2.161814"/>
        <n v="6.2588"/>
        <n v="0.087142"/>
        <n v="23.858474"/>
        <n v="-0.475554"/>
        <n v="5.36978"/>
        <n v="0.087806"/>
        <n v="5.133333"/>
        <n v="3.570912"/>
        <n v="13.8"/>
        <n v="41.27"/>
        <n v="24.929615"/>
        <n v="-0.482377"/>
        <n v="-2.290393"/>
        <n v="21.745275"/>
        <n v="26.476442"/>
        <n v="-2.201948"/>
        <n v="-7.583333"/>
        <n v="5.367066"/>
        <n v="-2.58791"/>
        <n v="11.535421"/>
        <n v="12.242452"/>
        <n v="8.801694"/>
        <n v="26.888203"/>
        <n v="9.501785"/>
        <n v="7.983333"/>
        <n v="19.699024"/>
        <n v="17.329586"/>
        <n v="38.996815"/>
        <n v="43.768056"/>
        <n v="14.28583"/>
        <n v="13.180775"/>
        <n v="14.550072"/>
        <n v="-0.181782"/>
        <n v="-1.759398"/>
        <n v="48.516388"/>
        <n v="16.311798"/>
        <n v="31.235712"/>
        <n v="-76.792009"/>
        <n v="43.470713"/>
        <n v="4.3007"/>
        <n v="4.772477"/>
        <n v="-1.890401"/>
        <n v="22.071533"/>
        <n v="8.244838"/>
        <n v="-1.61778"/>
        <n v="11.107278"/>
        <n v="67.709953"/>
        <n v="35.243322"/>
        <n v="19.490219"/>
        <n v="5.425152"/>
        <n v="11.1"/>
        <n v="-5.488268"/>
        <n v="8.946256"/>
        <n v="8.982832"/>
        <n v="10.310567"/>
        <n v="8.853127"/>
        <n v="-4.202646"/>
        <n v="6.773456"/>
        <n v="-1.698922"/>
        <n v="-4.100559"/>
        <n v="5.469722"/>
        <n v="41.493993"/>
        <n v="-2.28064"/>
        <n v="31.16558"/>
        <n v="18.06491"/>
        <n v="7.258543"/>
        <n v="-9.150049"/>
        <n v="-15.440883"/>
        <n v="5.85333"/>
        <n v="19.193115"/>
        <n v="11.053734"/>
        <n v="1.297355"/>
        <n v="-1.93014"/>
        <n v="6.960279"/>
        <n v="-6.148541"/>
        <n v="13.342634"/>
        <n v="-15.699674"/>
        <n v="-5.014345"/>
        <n v="-5.368435"/>
        <n v="43.389597"/>
        <n v="-1.995159"/>
        <n v="14.423533"/>
        <n v="26.437219"/>
        <n v="-14.01106"/>
        <n v="-1.461896"/>
        <n v="10.01608"/>
        <n v="13.937331"/>
        <n v="-1.139759"/>
        <n v="-1.470085"/>
        <n v="-2.934167"/>
        <n v="45.35"/>
        <n v="10.560222"/>
        <n v="24.005924"/>
        <n v="24.419899"/>
        <n v="9.026918"/>
        <n v="35.883333"/>
        <n v="-1.519693"/>
        <n v="7.880059"/>
        <n v="4.964061"/>
        <n v="17.638927"/>
        <n v="-1.124062"/>
        <n v="8.856004"/>
        <n v="-8.41154"/>
        <n v="0.107929"/>
        <n v="16.293962"/>
        <n v="1.313403"/>
        <n v="18.94043"/>
        <n v="43.25"/>
        <n v="13.620175"/>
        <n v="0.290472"/>
        <n v="-2.487529"/>
        <n v="-2.549821"/>
        <n v="-0.647622"/>
        <n v="5.956666"/>
        <n v="-15.520694"/>
        <n v="-0.687312"/>
        <n v="6.317742"/>
        <n v="8.530123"/>
        <n v="-2.248485"/>
        <n v="6.897585"/>
        <n v="2.158431"/>
        <n v="-2.158843"/>
        <n v="15.827659"/>
        <n v="10.126025"/>
        <n v="27.971761"/>
        <n v="28.255586"/>
        <n v="12.354722"/>
        <n v="9.16126"/>
        <n v="16.52796"/>
        <n v="-6.362981"/>
        <n v="0.0899"/>
        <n v="-6.15"/>
        <n v="21.268717"/>
        <n v="-3.728159"/>
        <n v="27.842865"/>
        <n v="1.543579"/>
        <n v="8.385753"/>
        <n v="14.995463"/>
        <n v="-13.560306"/>
        <n v="14.42889"/>
        <n v="9.020215"/>
        <n v="26.562269"/>
        <n v="14.268124"/>
        <n v="26.490198"/>
        <n v="27.13824"/>
        <n v="42.881542"/>
        <n v="5.294347"/>
        <n v="18.175016"/>
        <n v="41.870802"/>
        <n v="17.557323"/>
        <n v="25.376114"/>
        <n v="-1.383801"/>
        <n v="12.451111"/>
        <n v="18.491168"/>
        <n v="-0.005832"/>
        <n v="8.136299"/>
        <n v="-1.584852"/>
        <n v="8.647819"/>
        <n v="12.230939"/>
        <n v="-1.785035"/>
        <n v="2.327234"/>
        <n v="8.818135"/>
        <n v="-5.98233"/>
        <n v="12.568337"/>
        <n v="5.40633"/>
        <n v="1.824342"/>
        <n v="6.356303"/>
        <n v="22.352222"/>
        <n v="6.083022"/>
        <n v="14.79028"/>
        <n v="40.232029"/>
        <n v="28.465958"/>
        <n v="21.427996"/>
        <n v="-6.26031"/>
        <n v="26.330751"/>
        <n v="32.32634"/>
        <n v="9.578026"/>
        <n v="6.771879"/>
        <n v="-2.993611"/>
        <n v="9.292279"/>
        <n v="18.185188"/>
        <n v="-0.165058"/>
        <n v="25.568889"/>
        <n v="50.5577"/>
        <n v="25.328862"/>
        <n v="21.401367"/>
        <n v="12.375184"/>
        <n v="-3.781521"/>
        <n v="4.251163"/>
        <n v="51.422945"/>
        <n v="14.235404"/>
        <n v="5.721809"/>
        <n v="-3.289259"/>
        <n v="4.659132"/>
        <n v="17.666016"/>
        <n v="-1.604519"/>
        <n v="-2.815304"/>
        <n v="-8.24389"/>
        <n v="10.039773"/>
        <n v="3.867188"/>
        <n v="-0.10972"/>
        <n v="17.089663"/>
        <n v="16.60673"/>
        <n v="28.476563"/>
        <n v="16.417833"/>
        <n v="18.69873"/>
        <n v="14.161788"/>
        <n v="13.85062"/>
        <n v="-7.03"/>
        <n v="22.932238"/>
        <n v="21.164539"/>
        <n v="18.830566"/>
        <n v="14.545038"/>
        <n v="-0.160135"/>
        <n v="-15.394362"/>
        <n v="33.609009"/>
        <n v="17.650397"/>
        <n v="14.361496"/>
        <n v="3.1"/>
        <n v="-5.384432"/>
        <n v="-4.882537"/>
        <n v="16.909332"/>
        <n v="-5.367784"/>
        <n v="12.369864"/>
        <n v="8.421698"/>
        <n v="13.341127"/>
        <n v="13.532895"/>
        <n v="11.157355"/>
        <n v="-5.820705"/>
        <n v="8.466039"/>
        <n v="14.828072"/>
        <n v="30.70563"/>
        <n v="8.641442"/>
        <n v="5.298033"/>
        <n v="19.26214"/>
        <n v="13.224975"/>
        <n v="105.318756"/>
        <n v="8.56939"/>
        <n v="43.718279"/>
        <n v="8.469386"/>
        <n v="16.621844"/>
        <n v="4.51349"/>
        <n v="13.163799"/>
        <n v="15.472962"/>
        <n v="8.853396"/>
        <n v="12.145922"/>
        <n v="49.21875"/>
        <n v="21.413122"/>
        <n v="7.783938"/>
        <n v="25.406558"/>
        <n v="8.914248"/>
        <n v="14.61606"/>
        <n v="51.4609"/>
      </sharedItems>
    </cacheField>
    <cacheField name="latitude, longitude" numFmtId="0">
      <sharedItems containsBlank="1">
        <s v="35.8150919, 36.3123961"/>
        <s v="37.8136546, 23.8362307"/>
        <s v="33.5784085, 11.9031222"/>
        <s v="46.1174981, 19.5601164"/>
        <s v="36.5174058, -6.4323074"/>
        <s v="50.9010024, 4.4833857"/>
        <s v="35.28, -2.93"/>
        <s v="46.1675227, 20.0005179,14"/>
        <s v="32.6853649, 25.9012421"/>
        <s v="32.8708471, 12.0631696"/>
        <s v="59.2549613, 18.0629447"/>
        <s v="40.2712228, 22.4930176"/>
        <s v="38.9633049, 20.7539809"/>
        <s v="33.4625958, 13.1328688"/>
        <s v="37.2912498, 13.2358149"/>
        <s v="35.3626838, 15.9465353"/>
        <s v="35.4811424, 12.5794085"/>
        <s v="50.95129, 1.858686"/>
        <s v="26.33, 17.22"/>
        <s v="33.5259117, 8.0491191"/>
        <s v="33.2286864, 12.033724"/>
        <s v="33.1328706, 12.2549685"/>
        <s v="33.3572511, 11.3470785"/>
        <s v="34.0593093, 12.3110937"/>
        <s v="37.4798643, 2.4963183"/>
        <s v="38.3760672, 25.7167902"/>
        <s v="31.540432, 30.861969"/>
        <s v="35.89473, -5.32132"/>
        <s v="36.85, 36.83"/>
        <s v="36.1914269, 36.7084276"/>
        <s v="35.9395293, 10.8791731"/>
        <s v="37.713446, 26.7753292"/>
        <s v="37.8391619, 23.4804105"/>
        <s v="37.2768876, 10.8044894"/>
        <s v="32.90608, 12.443467"/>
        <s v="31.797583, 14.053676"/>
        <s v="41.122493, 22.510477"/>
        <s v="36.89, 27.182"/>
        <s v="36.65, 37.04"/>
        <s v="37.75, 26.97"/>
        <s v="38.63, 26.72"/>
        <s v="32.97, 24.53"/>
        <s v="35.45, 12.39"/>
        <s v="50.0351, 8.5735"/>
        <s v="37.882, 24.013"/>
        <s v="32.8304, 11.616"/>
        <s v="38.086, 23.98"/>
        <s v="49.815273, 6.129583"/>
        <s v="37.75, 26.96"/>
        <s v="32.7610953, 12.6998942"/>
        <s v="37.845, 23.76"/>
        <s v="37.68, 26.94"/>
        <s v="51.761, -1.246"/>
        <s v="31.61, 30.77"/>
        <s v="36.67, 37.15"/>
        <s v="32.81, 12.45"/>
        <s v="39.027, 16.699"/>
        <s v="45.1, 5.3"/>
        <s v="36.05, 27.99"/>
        <s v="32.88, 13.7"/>
        <s v="39.2200767, 9.0264574"/>
        <s v="38.25, 27.73"/>
        <s v="41.97, 27.51"/>
        <s v="35.5, 11.98"/>
        <s v="36.1553629, 29.4271815"/>
        <s v="36.09, 26.57"/>
        <s v="36.9, 26.9"/>
        <s v="37.46, 15.09"/>
        <s v="36.64, 14.85"/>
        <s v="32.8, 12.61"/>
        <s v="36.8, 27.2"/>
        <s v="37.5, 11.9"/>
        <s v="21.1, 22.5"/>
        <s v="48, 11.6"/>
        <s v="37.7, 27.01"/>
        <s v="37.7, 26.9"/>
        <s v="39.3, 26.4"/>
        <s v="37.3, 27.2"/>
        <s v="35.8, 36.4"/>
        <s v="39.09, 26.53"/>
        <s v=", "/>
        <s v="36.7, 37"/>
        <s v="37.3, 13.4"/>
        <s v="38.3, 26.1"/>
        <s v="61.21, 17.12"/>
        <s v="50.9, 1.8"/>
        <s v="36.99, 35.26"/>
        <s v="39.5, 26.9"/>
        <s v="41.9, 27.5"/>
        <s v="38.1, 26.8"/>
        <s v="39.4, 26.1"/>
        <s v="37.7, 26.8"/>
        <s v="37, 16"/>
        <s v="37.8, 12.6"/>
        <s v="41, 22.4"/>
        <s v="38.8, 26.4"/>
        <s v="39.1, 26.21"/>
        <s v="42.42, 22.49"/>
        <s v="43.56, 13.57"/>
        <s v="37.2, 26.8"/>
        <s v="36.8, 26.7"/>
        <s v="39.6, 26.5"/>
        <s v="66.9, 29.02"/>
        <s v="52.1, 4.7"/>
        <s v="39, 26"/>
        <s v="37.2, 27"/>
        <s v="37.3, 26.58"/>
        <s v="48.4, 2.22"/>
        <s v="41.1, 16.9"/>
        <s v="39.5, 26.4"/>
        <s v="36.5, 26.5"/>
        <s v="39.2, 26.8"/>
        <s v="40, 30"/>
        <s v="39.44, 26.39"/>
        <s v="37.6, 26.3"/>
        <s v="37.6, 25.2"/>
        <s v="37.4653524, 26.9676859"/>
        <s v="51.0157, 2.2589"/>
        <s v="36.74585, -2.65693"/>
        <s v="35.9157, -5.40833"/>
        <s v="37.711, 26.8"/>
        <s v="37.16, 26.97"/>
        <s v="37.29, 27.16"/>
        <s v="38.3, 26.2"/>
        <s v="32.952, 12.907"/>
        <s v="43.2, 44.6"/>
        <s v="42.683, 44.3347"/>
        <s v="37.1, 27.2"/>
        <s v="36.9, 27.9"/>
        <s v="36.14, 29.62"/>
        <s v="49.3511, 8.1968"/>
        <s v="26.7, -15"/>
        <s v="50.951, 1.861"/>
        <s v="35.843, -5.397"/>
        <s v="50.92, 1.78"/>
        <s v="41.1223, 22.4402"/>
        <s v="36.15, 29.51"/>
        <s v="17.9, 0.7"/>
        <s v="30, 34"/>
        <s v="32.189, 4.3962"/>
        <s v="62.635, 8.1646"/>
        <s v="52.8128, -1.70278"/>
        <s v="27.82, -14.04"/>
        <s v="49.634, -1.668"/>
        <s v="31.1, 27.1"/>
        <s v="40.85, 25.85"/>
        <s v="38.11, 26.19"/>
        <s v="31.26, 34.19"/>
        <s v="45.257, 19.1235"/>
        <s v="37.71, 26.8"/>
        <s v="35.9, -5.5"/>
        <s v="36.55, 28.22"/>
        <s v="37.01, 27.12"/>
        <s v="52.5072, 13.144"/>
        <s v="37.465, 26.967"/>
        <s v="39, 26.1911"/>
        <s v="39.1, 26.2"/>
        <s v="39, 26.19101"/>
        <s v="39, 26.191"/>
        <s v="35.9, -5.31"/>
        <s v="32.55, 14.668"/>
        <s v="37.87, 27.18"/>
        <s v="33.31, 13.71"/>
        <s v="39.366, 26.67"/>
        <s v="37, 27"/>
        <s v="39.1, 26.191"/>
        <s v="37.0211, 27.151"/>
        <s v="36.155, 29.584"/>
        <s v="37.299, 27.167"/>
        <s v="42.3453, 27.1638"/>
        <s v="50.9279, 1.7875"/>
        <s v="39.11, 26.191"/>
        <s v="50.951, 1.86"/>
        <s v="37.1, 27"/>
        <s v="32.07, 31.05"/>
        <s v="39.1, 26.19"/>
        <s v="35.9, -5.3"/>
        <s v="42.24, 21.7"/>
        <s v="33.1, 12.6"/>
        <s v="34.4, 14.11"/>
        <s v="50.6392547, 11.3581621"/>
        <s v="40.7014, 26.02"/>
        <s v="50.95, 1.86"/>
        <s v="31, 27.09"/>
        <s v="37.0502, 27.223749"/>
        <s v="50.9544, 1.8628"/>
        <s v="51.971453, 7.6240971"/>
        <s v="39, 26.21"/>
        <s v="51.00283, 2.1078"/>
        <s v="39, 26.2"/>
        <s v="38.3204079, 26.2969054"/>
        <s v="40, 26.4"/>
        <s v="35,1, 17,1"/>
        <s v="50.92, 1.82"/>
        <s v="31, 27.1"/>
        <s v="38.41, 27.08"/>
        <s v="37.29721, 27.135624"/>
        <s v="46.232789, 20.1404686"/>
        <s v="35.9, -5.2"/>
        <s v="41.5, 26.53"/>
        <s v="47.5054954, 18.5903625"/>
        <s v="32.6, 15.4"/>
        <s v="40.08, 8.98"/>
        <s v="31, 27"/>
        <s v="33.29, 14.93"/>
        <s v="36.59, 27.89"/>
        <s v="33, 12.2"/>
        <s v="48, 16.8"/>
        <s v="35, 14"/>
        <s v="35, 17"/>
        <s v="40.1, 26.4"/>
        <s v="31.1, 27"/>
        <s v="37.7, 17.2"/>
        <s v="37, 16.4"/>
        <s v="41.07824, 1.13346"/>
        <s v="33.52, 12.69"/>
        <s v="36.1, -2.7"/>
        <s v="36.3, 18.9"/>
        <s v="50.954468, 1.862801"/>
        <s v="47.7, 17.6"/>
        <s v="46.1861871, 20.031235199"/>
        <s v="35.766667, -5.8"/>
        <s v="35.5059, 12.6073"/>
        <s v="37.291, 27.08"/>
        <s v="51.081398, 1.169456"/>
        <s v="32.23, 26.64"/>
        <s v="34, 14"/>
        <s v="34.4, 14.1"/>
        <s v="48.858, 2.2946"/>
        <s v="19.0086, 12.88579"/>
        <s v="18.733, 7.383"/>
        <s v="50.95, 1.95"/>
        <s v="19.213588, 6.800537"/>
        <s v="50.9247443, 1.8000638"/>
        <s v="34.542858, 13.704729"/>
        <s v="33.641882, 12.847345"/>
        <s v="33.442380, 25.610113"/>
        <s v="35.696508, 11.107726"/>
        <s v="45.7283752, 5.0131031"/>
        <s v="50.736744, 2.243632"/>
        <s v="37.2, 11.199903"/>
        <s v="33.065030, 13.413009"/>
        <s v="31.510077, 30.21185"/>
        <s v="41.713846, 21.770409"/>
        <s v="39.50615, 20.265534"/>
        <s v="33.349987, 13.58879"/>
        <s v="36.434963, 28.217483"/>
        <s v="33.867198, 12.279102"/>
        <s v="36.2, 12.5"/>
        <s v="34.7, 15.5"/>
        <s v="35, 15.1"/>
        <s v="33.4, 15.3"/>
        <s v="34.9, 15"/>
        <s v="32, 30.6"/>
        <s v="36.6, 27.9"/>
        <s v="36.9, 27.4"/>
        <s v="29.01, -12.79"/>
        <s v="36.1, 15.2"/>
        <s v="51.924, 1.44"/>
        <s v="40.634676, 22.943048"/>
        <s v="33.7, 13.6"/>
        <s v="38.1260386, 23.7367192"/>
        <s v="35.4, 12.6"/>
        <s v="35.235482, -2.873268"/>
        <s v="35.4, 14"/>
        <s v="32.5, 13.3"/>
        <s v="36.4, -0.9"/>
        <s v="33, 30"/>
        <s v="32.92, 13.335"/>
        <s v="33.3, 13.6"/>
        <s v="33, 13.4"/>
        <s v="33.4, 13.3"/>
        <s v="32.3, 29.7"/>
        <s v="34.1, 15.7"/>
        <s v="35, 16"/>
        <s v="33.1, 13.3"/>
        <s v="33, 14"/>
        <s v="34.1, 12.3"/>
        <s v="33, 12.1"/>
        <s v="52.314079, 4.975107"/>
        <s v="33, 13.1"/>
        <s v="33.7, 14.05"/>
        <s v="32.9, 13.5"/>
        <s v="36, 27"/>
        <s v="48.9, 2.4"/>
        <s v="51.46046, 0.344943"/>
        <s v="32.857, 14.306"/>
        <s v="33.04, 12.23"/>
        <s v="51, 1"/>
        <s v="36.4, 13.1"/>
        <s v="35.9, 12.37"/>
        <s v="35.3, 14.3"/>
        <s v="33.17, 13.88"/>
        <s v="33.47, 13.15"/>
        <s v="33, 13"/>
        <s v="37.754786, 26.97777"/>
        <s v="33.9, 13.44"/>
        <s v="36.72986, 14.84911"/>
        <s v="35, 15.7"/>
        <s v="37, 28"/>
        <s v="32.8, 13.1"/>
        <s v="36.1, 15.3"/>
        <s v="38.494167, 43.38"/>
        <s v="37.2, 16"/>
        <s v="36, 15"/>
        <s v="35.5, 12.6"/>
        <s v="35, 15"/>
        <s v="35.11, 14.41"/>
        <s v="39.26451, 26.277707"/>
        <s v="50.81451, 1.704929"/>
        <s v="38, 0.5"/>
        <s v="34.574, 12.605"/>
        <s v="33.04, 13.64"/>
        <s v="21.8, 8.56"/>
        <s v="36.926927, 14.725513"/>
        <s v="32.982, 13.563"/>
        <s v="37.743215, 26.820351"/>
        <s v="33.89, 12.61"/>
        <s v="20.23, 25"/>
        <s v="36, 12"/>
        <s v="52.169628, -0.503644"/>
        <s v="41.1, 26.3"/>
        <s v="48.856614, 2.352"/>
        <s v="35.888384, -5.324636"/>
        <s v="39.2, 19.7"/>
        <s v="35.97, -5.84"/>
        <s v="51.7, -0.15"/>
        <s v="36.3, -2.5"/>
        <s v="51.03, 2.38"/>
        <s v="38.1262665, 23.7379745"/>
        <s v="41.24, 29.12"/>
        <s v="36.4, -2.3"/>
        <s v="50.9, 1.86"/>
        <s v="9.224, -13.538"/>
        <s v="33.51, 12.8"/>
        <s v="33.6, 13.3"/>
        <s v="35.94, -5.38"/>
        <s v="37.282956, 27.088338"/>
        <s v="36.793212, 14.706973"/>
        <s v="37.508039, 15.082851"/>
        <s v="45.649502, 0.12473"/>
        <s v="26.820553, 30.802498"/>
        <s v="28.569022, -16.324539"/>
        <s v="30.755556, 20.225278"/>
        <s v="37.599994, 14.015356"/>
        <s v="52.311057, 4.952201"/>
        <s v="39.080793, 17.12711"/>
        <s v="35.508622, 12.59292"/>
        <s v="36.018776, -5.600819"/>
        <s v="39.671689, 26.196498"/>
        <s v="35.937496, 14.375416"/>
        <s v="37.983716, 23.72931"/>
        <s v="36.799851, 27.102943"/>
        <s v="53.366786, -2.279768"/>
        <s v="35.292278, -2.938097"/>
        <s v="38.515435, 26.220492"/>
        <s v="50.9, 4.38"/>
        <s v="39.308771, 16.346379"/>
        <s v="20, 25"/>
        <s v="26.3351, 17.228331"/>
        <s v="52.143662, 14.641902"/>
        <s v="47.36865, 8.539183"/>
        <s v="35.249299, -3.937112"/>
        <s v="52.8, -2"/>
        <s v="17.916944, 19.116667"/>
        <s v="50.409626, 4.446211"/>
        <s v="38.833366, 20.706911"/>
        <s v="28.033886, 1.659626"/>
        <s v="34.7, 12.7"/>
        <s v="31.200092, 29.918739"/>
        <s v="51.48309, -0.483529"/>
        <s v="41.244376, 26.135943"/>
        <s v="51.942889, 4.447575"/>
        <s v="38.370981, 26.136346"/>
        <s v="36.527061, -6.288596"/>
        <s v="35.939838, 0.089767"/>
        <s v="40.845719, 25.873962"/>
        <s v="35.866074, 12.868741"/>
        <s v="24.088938, 32.899829"/>
        <s v="51.47238, -0.45094"/>
        <s v="51.488623, 0.461426"/>
        <s v="50.832793, 9.572866"/>
        <s v="35.52145, 35.7924"/>
        <s v="32.876174, 13.187507"/>
        <s v="-12.8275, 45.166244"/>
        <s v="53.449038, -1.2996"/>
        <s v="14.4903, 35.8334"/>
        <s v="32.310059, -9.236617"/>
        <s v="39.801, 18.356944"/>
        <s v="43.61583, 13.518915"/>
        <s v="31.791702, -7.09262"/>
        <s v="37.99462, 27.188235"/>
        <s v="38.41885, 27.12872"/>
        <s v="35.551211, 12.317398"/>
        <s v="35.77718, 10.8261"/>
        <s v="36.744421, -4.092531"/>
        <s v="41.385064, 2.173403"/>
        <s v="41.119673, 26.288073"/>
        <s v="37.31109, 13.576548"/>
        <s v="38.322579, 23.320431"/>
        <s v="38.002298, 22.524509"/>
        <s v="45.440847, 12.315515"/>
        <s v="36.140751, -5.353585"/>
        <s v="39.16408, 26.372171"/>
        <s v="29.046854, -13.589973"/>
        <s v="50.769517, 1.610207"/>
        <s v="52.132633, 5.291266"/>
        <s v="38.24664, 21.734574"/>
        <s v="41.2, 26"/>
        <s v="39.074208, 21.824312"/>
        <s v="49.791595, 9.953571"/>
        <s v="44.348399, 9.234647"/>
        <s v="32.374298, 15.09492"/>
        <s v="37.22813, -6.890386"/>
        <s v="35.126413, 33.429859"/>
        <s v="50.503887, 4.469936"/>
        <s v="48.856614, 2.352222"/>
        <s v="37.544271, -4.727753"/>
        <s v="36.866667, 6.9"/>
        <s v="36.146155, -1.494141"/>
        <s v="35.30241, -1.14489"/>
        <s v="36.834047, -2.463714"/>
        <s v="37.973976, 12.054691"/>
        <s v="52.370216, 4.895168"/>
        <s v="40.463667, -3.74922"/>
        <s v="40.894241, 26.172202"/>
        <s v="42.602636, 20.902977"/>
        <s v="36.748374, -3.516861"/>
        <s v="37.177336, -3.598557"/>
        <s v="38.041285, 23.541755"/>
        <s v="35.240117, 24.809269"/>
        <s v="39.063264, 8.45407"/>
        <s v="36.81881, 10.16596"/>
        <s v="36.695639, -3.465102"/>
        <s v="38.959265, 20.751716"/>
        <s v="42.434479, 9.137443"/>
        <s v="50.55581, 9.680845"/>
        <s v="36.828221, 11.940496"/>
        <s v="32.882937, 13.188336"/>
        <s v="41.87194, 12.56738"/>
        <s v="37.583372, 12.825218"/>
        <s v="36.750191, -3.017606"/>
        <s v="41.117143, 16.871871"/>
        <s v="35.815, 14.51"/>
        <s v="36.711697, 14.773094"/>
        <s v="48.113475, -1.675708"/>
        <s v="34.658056, 11.068611"/>
        <s v="48.583148, 7.747882"/>
        <s v="30.134703, 31.254136"/>
        <s v="40.792839, 17.101193"/>
        <s v="39.223841, 9.121661"/>
        <s v="35.85, -0.316667"/>
        <s v="36.623381, 2.654829"/>
        <s v="51.590352, -0.119725"/>
        <s v="51.481969, -0.526243"/>
        <s v="36.622554, -4.499477"/>
        <s v="51.455643, 7.011555"/>
        <s v="55.57156, -4.410332"/>
        <s v="44.36, 11.712429"/>
        <s v="40.385629, -3.76085"/>
        <s v="40.632728, 17.941762"/>
        <s v="36.704636, -4.506699"/>
        <s v="33.81445, 12.700195"/>
        <s v="35.166667, 33.366667"/>
        <s v="36.42985, -5.149141"/>
        <s v="36.902859, 7.755543"/>
        <s v="39.611839, 19.830605"/>
        <s v="50.963579, 10.067171"/>
        <s v="60.128161, 18.643501"/>
        <s v="52.477116, 10.549576"/>
        <s v="52.825559, 14.197083"/>
        <s v="41.462198, 15.54463"/>
        <s v="40.120875, 9.012893"/>
        <s v="35.964373, -5.196533"/>
        <s v="22.785, 5.522778"/>
        <s v="30.153994, 34.035645"/>
        <s v="55.378051, -3.435973"/>
        <s v="39.02001, 1.482148"/>
        <s v="52.954783, -1.158109"/>
        <s v="39.469908, -0.376288"/>
        <s v="52.091667, 5.117778"/>
        <s v="55.201389, 11.401944"/>
        <s v="53.551085, 9.993682"/>
        <s v="55.864237, -4.251806"/>
        <s v="52.012058, 5.429548"/>
        <s v="56.89921, 14.556001"/>
        <s v="51.03456, 2.375202"/>
        <s v="47.43235, 8.76459"/>
        <s v="52.260094, 0.064304"/>
        <s v="36.999117, -1.892141"/>
        <s v="50.671046, 5.57847"/>
        <s v="31.558247, 31.085148"/>
        <s v="50.41081, 4.444643"/>
        <s v="45.450072, 9.177592"/>
        <s v="38.158524, 14.742693"/>
        <s v="52.447828, 9.744931"/>
        <s v="53.408371, -2.991573"/>
        <s v="48.132108, 15.137272"/>
        <s v="48.217686, 21.506965"/>
        <s v="45.472519, 10.531554"/>
        <s v="38.345996, -0.490686"/>
        <s v="48.922062, 2.253331"/>
        <s v="33.223191, 43.679291"/>
        <s v="43.328128, -3.033659"/>
        <s v="39.557242, 2.75807"/>
        <s v="35.696944, -0.633056"/>
        <s v="36.752887, 3.042048"/>
        <s v="45.465454, 9.186516"/>
        <s v="34.528455, 69.171703"/>
        <s v="35.950486, -3.035088"/>
        <s v="14.497401, -14.452362"/>
        <s v="35.913676, -5.418174"/>
        <s v="48.208174, 16.373819"/>
        <s v="32.116667, 20.066667"/>
        <s v="54.999424, -1.427406"/>
        <s v="28.291564, -16.62913"/>
        <s v="-8.783195, 34.508523"/>
        <s v="49.45203, 11.07675"/>
        <s v="50.985315, 12.974056"/>
        <s v="36.697645, -4.443222"/>
        <s v="37.625683, -0.996584"/>
        <s v="36.510071, -4.882447"/>
        <s v="36.721261, -4.421266"/>
        <s v="37.91441, 40.230629"/>
        <s v="36.19002, -5.92248"/>
        <s v="27.725499, -18.024301"/>
        <s v="50.900875, 12.765471"/>
        <s v="41.892916, 12.48252"/>
        <s v="37.992331, -1.130458"/>
        <s v="37.035339, 27.43029"/>
        <s v="43.263013, -2.934985"/>
        <s v="37.074153, 14.240354"/>
        <s v="42.675931, 23.433222"/>
        <s v="45.698264, 9.67727"/>
        <s v="38.77474, 0.08519"/>
        <s v="60.67488, 17.141273"/>
        <s v="51.01792, 2.440483"/>
        <s v="37.490112, 14.062893"/>
        <s v="12.8, 45.033333"/>
        <s v="20.942518, -17.036227"/>
        <s v="23.14632, 58.825119"/>
        <s v="52.355518, -1.17432"/>
        <s v="37.982394, 23.696198"/>
        <s v="47.162494, 19.503304"/>
        <s v="37.140914, 26.848843"/>
        <s v="45.320227, 8.418573"/>
        <s v="35.88301, 14.493757"/>
        <s v="39.106738, 26.557275"/>
        <s v="36.729861, 14.849113"/>
        <s v="48.241408, 22.415221"/>
        <s v="37.970112, 23.642364"/>
        <s v="51.511214, -0.119824"/>
        <s v="38.193814, 15.554015"/>
        <s v="37.423411, 24.916088"/>
        <s v="60.472024, 8.468946"/>
        <s v="14.764504, -17.366029"/>
        <s v="59.729407, 13.235402"/>
        <s v="36.239546, 13.007813"/>
        <s v="17.570692, -3.996166"/>
        <s v="32.183929, 35.233453"/>
        <s v="41.125526, 9.024635"/>
        <s v="35.89779, 14.514106"/>
        <s v="28.103304, -17.219358"/>
        <s v="23.803497, 11.291889"/>
        <s v="30.78004, 30.991133"/>
        <s v="27.793611, -15.658889"/>
        <s v="30.597246, 30.987632"/>
        <s v="23.69751, -15.93698"/>
        <s v="37.125836, 10.802826"/>
        <s v="37.617153, -0.992914"/>
        <s v="29.104381, 53.045893"/>
        <s v="37.369342, 27.27349"/>
        <s v="50.85, 4.33"/>
        <s v="37.931706, -0.660553"/>
        <s v="41.00527, 28.97696"/>
        <s v="34.264061, -6.578296"/>
        <s v="35.869682, 14.566763"/>
        <s v="31.280267, 34.240191"/>
        <s v="48.847759, 2.439497"/>
        <s v="35.841667, 14.544722"/>
        <s v="39.33589, 26.71281"/>
        <s v="41.733333, 27.216667"/>
        <s v="39.54864, 44.074207"/>
        <s v="35.46883, 44.39098"/>
        <s v="46.62794, 14.30899"/>
        <s v="32.933333, 12.083333"/>
        <s v="35.208889, 0.479722"/>
        <s v="38.017618, 12.537202"/>
        <s v="34.916667, 33.633333"/>
        <s v="27.759555, -15.57903"/>
        <s v="34.745159, 10.7613"/>
        <s v="43.77268, 11.253604"/>
        <s v="36.60709, 2.196783"/>
        <s v="35.825556, 14.528056"/>
        <s v="35.834673, 14.552498"/>
        <s v="47.557421, 7.592573"/>
        <s v="41.130036, 24.88649"/>
        <s v="51.35819, 4.863547"/>
        <s v="30.446042, 31.181203"/>
        <s v="50.658799, 10.664964"/>
        <s v="28.358744, -14.053676"/>
        <s v="51.165691, 10.451526"/>
        <s v="49.651244, 7.163161"/>
        <s v="51.519411, -0.126966"/>
        <s v="52.520007, 13.404954"/>
        <s v="7.946527, -1.023194"/>
        <s v="36.2941, 35.793903"/>
        <s v="53.54368, -0.974168"/>
        <s v="53.835187, -2.219377"/>
        <s v="30.000473, 34.679418"/>
        <s v="27.93556, -12.91871"/>
        <s v="40.416775, -3.70379"/>
        <s v="46.227638, 2.213749"/>
        <s v="36.132977, -5.453909"/>
        <s v="39.599541, 26.40086"/>
        <s v="39.077771, 21.665039"/>
        <s v="36.68169, 15.133875"/>
        <s v="37.075546, 25.520736"/>
        <s v="39.727177, 20.059855"/>
        <s v="41.153332, 20.168331"/>
        <s v="40.261643, 20.786133"/>
        <s v="35.55, 45.433333"/>
        <s v="40.895168, 26.90943"/>
        <s v="43.351149, -8.185424"/>
        <s v="28.386856, -16.553251"/>
        <s v="36.277685, -6.087779"/>
        <s v="43.001693, -7.85388"/>
        <s v="44.171131, 12.161842"/>
        <s v="51.182293, 14.423775"/>
        <s v="28.009757, -15.53205"/>
        <s v="52.988024, -2.20218"/>
        <s v="12.862807, 30.217636"/>
        <s v="0.390841, 9.453644"/>
        <s v="34.686667, -1.911389"/>
        <s v="35.37849, 1.32569"/>
        <s v="35.533333, 1.016667"/>
        <s v="35.8, -0.266667"/>
        <s v="51.924216, 4.481776"/>
        <s v="39.648369, 27.88261"/>
        <s v="35.98, -5.32"/>
        <s v="35.1, -1.85"/>
        <s v="43.355524, -8.255738"/>
        <s v="39.984458, -0.04495"/>
        <s v="51.4025, 8.641667"/>
        <s v="51.919438, 19.145136"/>
        <s v="13.443182, -15.310139"/>
        <s v="43.342273, 17.812754"/>
        <s v="17.607789, 8.081666"/>
        <s v="37.075474, 15.286586"/>
        <s v="54.083419, 12.100429"/>
        <s v="46.198392, 6.142296"/>
        <s v="38.32981, 26.314921"/>
        <s v="41.036944, 28.9775"/>
        <s v="40.63935, 22.944606"/>
        <s v="41.025869, 33.189515"/>
        <s v="36.142015, 4.240723"/>
        <s v="38.2, 26.833333"/>
        <s v="37.78816, 20.898827"/>
        <s v="16.666667, -9.616667"/>
        <s v="45.493488, 12.246318"/>
        <s v="53.171826, 6.605243"/>
        <s v="35.861313, 14.565384"/>
        <s v="-11.202692, 17.873887"/>
        <s v="38.115688, 13.361267"/>
        <s v="35.860278, 14.381389"/>
        <s v="50.110922, 8.682127"/>
        <s v="36.0443, 14.251222"/>
        <s v="33.503681, 11.11538"/>
        <s v="51.302229, -3.867187"/>
        <s v="45.217675, 6.47587"/>
        <s v="26.133333, -14.466667"/>
        <s v="53.018822, -2.189053"/>
        <s v="12.89952, -14.94427"/>
        <s v="21.00789, -10.940835"/>
        <s v="27.153611, -13.203333"/>
        <s v="32.427908, 53.688046"/>
        <s v="44.502292, 26.101538"/>
        <s v="36, -0.3"/>
        <s v="23.684994, 90.356331"/>
        <s v="51.735587, 0.46855"/>
        <s v="49.06159, 2.158135"/>
        <s v="14.762683, -17.481736"/>
        <s v="35.579544, -1.142499"/>
        <s v="31.030972, -7.885086"/>
        <s v="49.44032, 11.863345"/>
        <s v="36.868991, 15.135476"/>
        <s v="44.837789, -0.57918"/>
        <s v="52.278385, 7.920044"/>
        <s v="44.648837, 10.920087"/>
        <s v="37.150437, 9.23422"/>
        <s v="53.661998, -1.79723"/>
        <s v="46.99576, 7.08635"/>
        <s v="53.763201, -2.70309"/>
        <s v="39.864207, 20.792365"/>
        <s v="50.85034, 4.35171"/>
        <s v="51.16809, 7.126517"/>
        <s v="34.553128, 18.048011"/>
        <s v="37.27626, 9.873071"/>
        <s v="35.166667, -2.933333"/>
        <s v="38.933622, 16.275751"/>
        <s v="39.029381, 43.375381"/>
        <s v="18.084061, -15.97842"/>
        <s v="41.734495, 12.290967"/>
        <s v="51.765908, 0.667367"/>
        <s v="55.899608, -4.360736"/>
        <s v="51.081397, 1.169456"/>
        <s v="51.204197, 6.687951"/>
        <s v="52.295891, 13.622838"/>
        <s v="28.05, -16.716667"/>
        <s v="45.764898, 3.309457"/>
        <s v="35.502446, 11.045721"/>
        <s v="52.873165, 6.369422"/>
        <s v="54.978133, 25.762997"/>
        <s v="63.430515, 10.395053"/>
        <s v="35.010802, -7.514648"/>
        <s v="31.802985, -7.574833"/>
        <s v="57.10269, 8.624268"/>
        <s v="44.494887, 11.342616"/>
        <s v="38.652771, 26.613007"/>
        <s v="37.07, 36.25"/>
        <s v="13.193887, -59.543198"/>
        <s v="28.3968, -13.863823"/>
        <s v="54.90116, -1.450343"/>
        <s v="35.976458, 14.346722"/>
        <s v="52.276193, 0.096538"/>
        <s v="51.060229, -0.343955"/>
        <s v="42.733883, 25.48583"/>
        <s v="50.414585, 13.007813"/>
        <s v="32, 17"/>
        <s v="52.135973, -0.466655"/>
        <s v="34.015049, -6.83272"/>
        <s v="14.743417, -17.485433"/>
        <s v="36.666667, 2.75"/>
        <s v="49.63675, 14.839266"/>
        <s v="51.389646, 1.386834"/>
        <s v="50.946071, -1.004294"/>
        <s v="36.263269, 22.97737"/>
        <s v="50.746259, -2.21973"/>
        <s v="53.614086, -2.161814"/>
        <s v="49.61001, 6.2588"/>
        <s v="51.484807, 0.087142"/>
        <s v="38.523604, 23.858474"/>
        <s v="51.487453, -0.475554"/>
        <s v="43.296482, 5.36978"/>
        <s v="51.767787, 0.087806"/>
        <s v="35.616667, 5.133333"/>
        <s v="51.453667, 3.570912"/>
        <s v="52.283056, 13.8"/>
        <s v="39.9, 41.27"/>
        <s v="45.928847, 24.929615"/>
        <s v="52.193566, -0.482377"/>
        <s v="53.474021, -2.290393"/>
        <s v="41.608635, 21.745275"/>
        <s v="41.645487, 26.476442"/>
        <s v="53.545921, -2.201948"/>
        <s v="33.533333, -7.583333"/>
        <s v="51.12509, 5.367066"/>
        <s v="51.454513, -2.58791"/>
        <s v="45.545479, 11.535421"/>
        <s v="51.822244, 12.242452"/>
        <s v="53.079296, 8.801694"/>
        <s v="39.072097, 26.888203"/>
        <s v="56.26392, 9.501785"/>
        <s v="16.966667, 7.983333"/>
        <s v="48.669026, 19.699024"/>
        <s v="50.482286, 17.329586"/>
        <s v="34.802075, 38.996815"/>
        <s v="38.994722, 43.768056"/>
        <s v="48.30694, 14.28583"/>
        <s v="37.969674, 13.180775"/>
        <s v="47.516231, 14.550072"/>
        <s v="51.457072, -0.181782"/>
        <s v="53.795984, -1.759398"/>
        <s v="15.552727, 48.516388"/>
        <s v="39.203084, 16.311798"/>
        <s v="30.04442, 31.235712"/>
        <s v="17.992731, -76.792009"/>
        <s v="40.346202, 43.470713"/>
        <s v="52.070498, 4.3007"/>
        <s v="52.313025, 4.772477"/>
        <s v="52.486243, -1.890401"/>
        <s v="41.14943, 22.071533"/>
        <s v="46.896129, 8.244838"/>
        <s v="54.978252, -1.61778"/>
        <s v="49.439453, 11.107278"/>
        <s v="33.93911, 67.709953"/>
        <s v="38.963745, 35.243322"/>
        <s v="40.471882, 19.490219"/>
        <s v="53.174638, 5.425152"/>
        <s v="36.85, 11.1"/>
        <s v="36.105114, -5.488268"/>
        <s v="44.40565, 8.946256"/>
        <s v="47.225671, 8.982832"/>
        <s v="43.548473, 10.310567"/>
        <s v="45.611892, 8.853127"/>
        <s v="56.490671, -4.202646"/>
        <s v="51.227741, 6.773456"/>
        <s v="38.50957, -1.698922"/>
        <s v="36.779923, -4.100559"/>
        <s v="51.441642, 5.469722"/>
        <s v="38.177296, 41.493993"/>
        <s v="53.527039, -2.28064"/>
        <s v="48.379433, 31.16558"/>
        <s v="59.32893, 18.06491"/>
        <s v="43.707408, 7.258543"/>
        <s v="38.725275, -9.150049"/>
        <s v="28.113155, -15.440883"/>
        <s v="52.745242, 5.85333"/>
        <s v="48.066823, 19.193115"/>
        <s v="51.89439, 11.053734"/>
        <s v="52.630886, 1.297355"/>
        <s v="43.32547, -1.93014"/>
        <s v="50.937531, 6.960279"/>
        <s v="36.418702, -6.148541"/>
        <s v="41.639601, 13.342634"/>
        <s v="28.100259, -15.699674"/>
        <s v="35.394932, -5.014345"/>
        <s v="35.57621, -5.368435"/>
        <s v="38.321027, 43.389597"/>
        <s v="52.517664, -1.995159"/>
        <s v="35.827006, 14.423533"/>
        <s v="39.309142, 26.437219"/>
        <s v="28.415292, -14.01106"/>
        <s v="54.986843, -1.461896"/>
        <s v="53.63459, 10.01608"/>
        <s v="37.101709, 13.937331"/>
        <s v="52.636878, -1.139759"/>
        <s v="53.381129, -1.470085"/>
        <s v="35.256944, -2.934167"/>
        <s v="2.033333, 45.35"/>
        <s v="35.91507, 10.560222"/>
        <s v="38.023446, 24.005924"/>
        <s v="42, 26"/>
        <s v="38.013999, 24.419899"/>
        <s v="46.198494, 9.026918"/>
        <s v="40.3, 35.883333"/>
        <s v="52.406822, -1.519693"/>
        <s v="45.467276, 7.880059"/>
        <s v="52.514382, 4.964061"/>
        <s v="59.858564, 17.638927"/>
        <s v="50.787551, -1.124062"/>
        <s v="47.19133, 8.856004"/>
        <s v="43.362344, -8.41154"/>
        <s v="49.49437, 0.107929"/>
        <s v="48.016043, 16.293962"/>
        <s v="51.127876, 1.313403"/>
        <s v="39.587628, 18.94043"/>
        <s v="38.42, 43.25"/>
        <s v="45.940181, 13.620175"/>
        <s v="50.768035, 0.290472"/>
        <s v="53.748575, -2.487529"/>
        <s v="38.592861, -2.549821"/>
        <s v="35.693271, -0.647622"/>
        <s v="51.645269, 5.956666"/>
        <s v="27.78085, -15.520694"/>
        <s v="51.409994, -0.687312"/>
        <s v="52.854738, 6.317742"/>
        <s v="50.912151, 8.530123"/>
        <s v="53.479324, -2.248485"/>
        <s v="52.785804, 6.897585"/>
        <s v="48.941106, 2.158431"/>
        <s v="53.406754, -2.158843"/>
        <s v="-0.228021, 15.827659"/>
        <s v="46.369718, 10.126025"/>
        <s v="36.163149, 27.971761"/>
        <s v="36.850566, 28.255586"/>
        <s v="7.369722, 12.354722"/>
        <s v="47.45149, 9.16126"/>
        <s v="47.84637, 16.52796"/>
        <s v="36.62629, -6.362981"/>
        <s v="51.497303, 0.0899"/>
        <s v="35.183333, -6.15"/>
        <s v="40.519269, 21.268717"/>
        <s v="55.982071, -3.728159"/>
        <s v="36.585572, 27.842865"/>
        <s v="51.027979, 1.543579"/>
        <s v="51.903238, 8.385753"/>
        <s v="46.151241, 14.995463"/>
        <s v="29.060072, -13.560306"/>
        <s v="36.893322, 14.42889"/>
        <s v="50.821854, 9.020215"/>
        <s v="41.681808, 26.562269"/>
        <s v="40.851775, 14.268124"/>
        <s v="41.58738, 26.490198"/>
        <s v="38.244854, 27.13824"/>
        <s v="39.75425, 42.881542"/>
        <s v="51.653306, 5.294347"/>
        <s v="40.351516, 18.175016"/>
        <s v="39.968176, 41.870802"/>
        <s v="45.1, 15.2"/>
        <s v="40.403712, 17.557323"/>
        <s v="37.102103, 25.376114"/>
        <s v="54.906869, -1.383801"/>
        <s v="50.413333, 12.451111"/>
        <s v="40.143898, 18.491168"/>
        <s v="50.871818, -0.005832"/>
        <s v="47.594657, 8.136299"/>
        <s v="54.77525, -1.584852"/>
        <s v="51.871292, 8.647819"/>
        <s v="56.067227, 12.230939"/>
        <s v="53.645792, -1.785035"/>
        <s v="48.975751, 2.327234"/>
        <s v="52.912679, 8.818135"/>
        <s v="37.388096, -5.98233"/>
        <s v="55.676097, 12.568337"/>
        <s v="39, 25"/>
        <s v="52.118759, 5.40633"/>
        <s v="50.917288, 1.824342"/>
        <s v="52.9524, 6.356303"/>
        <s v="37.349722, 22.352222"/>
        <s v="52.516775, 6.083022"/>
        <s v="40.914384, 14.79028"/>
        <s v="37.909534, 40.232029"/>
        <s v="41.140406, 28.465958"/>
        <s v="41.997346, 21.427996"/>
        <s v="53.349805, -6.26031"/>
        <s v="40.962655, 26.330751"/>
        <s v="30.840842, 32.32634"/>
        <s v="46.656987, 9.578026"/>
        <s v="49.328575, 6.771879"/>
        <s v="35.435, -2.993611"/>
        <s v="49.913334, 9.292279"/>
        <s v="60.171536, 18.185188"/>
        <s v="51.155455, -0.165058"/>
        <s v="37.411111, 25.568889"/>
        <s v="26.0667, 50.5577"/>
        <s v="37.446719, 25.328862"/>
        <s v="46.784013, 21.401367"/>
        <s v="50.728872, 12.375184"/>
        <s v="40.754548, -3.781521"/>
        <s v="51.974449, 4.251163"/>
        <s v="35.696216, 51.422945"/>
        <s v="51.103951, 14.235404"/>
        <s v="52.534682, 5.721809"/>
        <s v="37.349816, -3.289259"/>
        <s v="52.031297, 4.659132"/>
        <s v="48.60192, 17.666016"/>
        <s v="54.977732, -1.604519"/>
        <s v="36.774063, -2.815304"/>
        <s v="53.41291, -8.24389"/>
        <s v="51.187666, 10.039773"/>
        <s v="52.958346, 3.867188"/>
        <s v="51.458832, -0.10972"/>
        <s v="48.793521, 17.089663"/>
        <s v="49.195098, 16.60673"/>
        <s v="35.922273, 28.476563"/>
        <s v="41.277486, 16.417833"/>
        <s v="40.771667, 18.69873"/>
        <s v="57.782614, 14.161788"/>
        <s v="46.60856, 13.85062"/>
        <s v="33.85, -7.03"/>
        <s v="37.938637, 22.932238"/>
        <s v="42.672421, 21.164539"/>
        <s v="40.350451, 18.830566"/>
        <s v="52.618489, 14.545038"/>
        <s v="51.156388, -0.160135"/>
        <s v="27.858484, -15.394362"/>
        <s v="34.870244, 33.609009"/>
        <s v="47.687457, 17.650397"/>
        <s v="52.643661, 14.361496"/>
        <s v="51.127876, 3.1"/>
        <s v="36.210462, -5.384432"/>
        <s v="37.667476, -4.882537"/>
        <s v="47.899011, 16.909332"/>
        <s v="35.844609, -5.367784"/>
        <s v="50.079533, 12.369864"/>
        <s v="49.98875, 8.421698"/>
        <s v="50.656873, 13.341127"/>
        <s v="50.767197, 13.532895"/>
        <s v="52.853126, 11.157355"/>
        <s v="36.098208, -5.820705"/>
        <s v="49.487459, 8.466039"/>
        <s v="50.887047, 14.828072"/>
        <s v="36.88414, 30.70563"/>
        <s v="47.707766, 8.641442"/>
        <s v="51.687568, 5.298033"/>
        <s v="47.433177, 19.26214"/>
        <s v="52.218, 13.224975"/>
        <s v="61.52401, 105.318756"/>
        <s v="46.7822, 8.56939"/>
        <s v="38.367942, 43.718279"/>
        <s v="50.083558, 8.469386"/>
        <s v="47.230685, 16.621844"/>
        <s v="50.90793, 4.51349"/>
        <s v="53.629738, 13.163799"/>
        <s v="49.817492, 15.472962"/>
        <s v="47.764064, 8.853396"/>
        <s v="48.539225, 12.145922"/>
        <s v="50.394047, 49.21875"/>
        <s v="40.784526, 21.413122"/>
        <s v="50.155257, 7.783938"/>
        <s v="41.122439, 25.406558"/>
        <s v="45.59834, 8.914248"/>
        <s v="48.09033, 14.61606"/>
        <s v="42.039604, 9.012893"/>
        <s v="0.344922, 51.4609"/>
        <m/>
      </sharedItems>
    </cacheField>
    <cacheField name="Somme Dedoublement">
      <sharedItems containsBlank="1" containsMixedTypes="1" containsNumber="1" containsInteger="1">
        <m/>
        <s v="-1.246, 51.761, -1.246"/>
        <n v="1.0"/>
        <n v="225.0"/>
        <n v="6.0"/>
        <n v="5.0"/>
        <n v="4.0"/>
        <n v="190.0"/>
        <n v="12.0"/>
        <n v="16.0"/>
        <n v="2.0"/>
        <n v="86.0"/>
        <n v="14.0"/>
        <n v="30.0"/>
        <n v="18.0"/>
        <n v="17.0"/>
        <n v="11.0"/>
        <n v="40.0"/>
        <n v="10.0"/>
        <n v="3.0"/>
        <n v="7.0"/>
        <n v="401.0"/>
        <n v="800.0"/>
        <n v="41.0"/>
        <n v="400.0"/>
        <n v="9.0"/>
        <n v="50.0"/>
        <n v="300.0"/>
        <n v="51.0"/>
        <n v="8.0"/>
        <n v="21.0"/>
        <n v="70.0"/>
        <n v="45.0"/>
        <n v="15.0"/>
        <n v="500.0"/>
        <n v="160.0"/>
        <n v="115.0"/>
        <n v="36.0"/>
        <n v="24.0"/>
        <n v="270.0"/>
        <n v="150.0"/>
        <n v="128.0"/>
        <n v="129.0"/>
        <n v="19.0"/>
        <n v="212.0"/>
        <n v="75.0"/>
        <n v="13.0"/>
        <n v="112.0"/>
        <n v="217.0"/>
        <n v="46.0"/>
        <n v="58.0"/>
        <n v="90.0"/>
        <n v="218.0"/>
        <n v="122.0"/>
        <n v="213.0"/>
        <n v="20.0"/>
        <n v="60.0"/>
        <n v="38.0"/>
        <n v="427.0"/>
        <n v="53.0"/>
        <n v="363.0"/>
        <n v="3843.0"/>
        <n v="492.0"/>
        <n v="655.0"/>
        <n v="119.0"/>
        <n v="79.0"/>
        <n v="57.0"/>
        <n v="1371.0"/>
        <n v="149.0"/>
        <n v="127.0"/>
        <n v="27.0"/>
        <n v="133.0"/>
        <n v="188.0"/>
        <n v="31.0"/>
        <n v="185.0"/>
        <n v="63.0"/>
        <n v="35.0"/>
        <n v="1281.0"/>
        <n v="757.0"/>
        <n v="88.0"/>
        <n v="77.0"/>
        <n v="61.0"/>
        <n v="152.0"/>
        <n v="107.0"/>
        <n v="101.0"/>
        <n v="74.0"/>
        <n v="56.0"/>
        <n v="208.0"/>
        <n v="69.0"/>
        <n v="84.0"/>
        <n v="540.0"/>
        <n v="52.0"/>
        <n v="37.0"/>
        <n v="600.0"/>
        <n v="62.0"/>
        <n v="28.0"/>
        <n v="32.0"/>
        <n v="55.0"/>
        <n v="305.0"/>
        <n v="81.0"/>
        <n v="72.0"/>
        <n v="111.0"/>
        <n v="23.0"/>
        <n v="120.0"/>
        <n v="39.0"/>
        <n v="200.0"/>
        <n v="1120.0"/>
        <n v="59.0"/>
        <n v="83.0"/>
        <n v="48.0"/>
        <n v="98.0"/>
        <n v="71.0"/>
        <n v="29.0"/>
        <n v="234.0"/>
        <n v="177.0"/>
        <n v="47.0"/>
        <n v="203.0"/>
        <n v="100.0"/>
        <n v="239.0"/>
        <n v="26.0"/>
        <n v="488.0"/>
        <n v="85.0"/>
        <n v="164.0"/>
        <n v="66.0"/>
        <n v="137.0"/>
        <n v="44.0"/>
        <n v="22.0"/>
        <n v="310.0"/>
        <n v="348.0"/>
        <n v="95.0"/>
        <n v="117.0"/>
        <n v="42.0"/>
        <n v="73.0"/>
        <n v="64.0"/>
        <n v="87.0"/>
        <n v="0.0"/>
      </sharedItems>
    </cacheField>
    <cacheField name="name" numFmtId="0">
      <sharedItems containsBlank="1">
        <m/>
        <s v="51.761, -1.246, -1.246, 51.761, -1.246"/>
        <s v="1 migrant die while crossing the highway"/>
        <s v="17 bodies found on three inflatable dinghies"/>
        <s v="Italian navy finds 11 dead migrants"/>
        <s v="5 migrants drowned in Mediterranean"/>
        <s v="5 Tunisian migrants died trying to reach the Italian island Lampedusa"/>
        <s v="A youg afghan has been found dead in a truck"/>
        <s v="40 Migrants Reported Dead After Dinghy Burst at Sea on May 5 2015"/>
        <s v="Hundreds of migrants rescued and 10 dead in sea off Libya, 3 May 2015"/>
        <s v="3 people die after boat sinks, 2 May 2015"/>
        <s v="Fourteen migrants were killed when they were struck by a train on April 24, 2015"/>
        <s v="Migrant dies in Greece after hiding in bus undercarriage on April 22, 2015"/>
        <s v="2 Boats Carrying 400 People Send Distress Calls"/>
        <s v="200 Migrants Leaves 3 Dead in Rhodes on April 20, 2015"/>
        <s v="700 migrants feared dead in Mediterranean shipwreck on April 19, 2015"/>
        <s v="Severely burnt migrants found stranded in the Mediterranean on April 17, 2015"/>
        <s v="41 feared dead on April 16 2015"/>
        <s v="12 thrown overboard on April 14"/>
        <s v="Ship capsizes off Libya on Apr 15 2015"/>
        <s v="9 dead in shipwreck off Libya on Apr 12 2015"/>
        <s v="One dead on April 11, 2015"/>
        <s v="Shipwreck off Kafr al-Sheikh on April 10, 2015"/>
        <s v="7 dead in Symi on Apr 7 2015"/>
        <s v="5 die on March 17, 2015"/>
        <s v="4 dead off the Canary Islands on March 9, 2015"/>
        <s v="50 dead on March 4, 2015"/>
        <s v="2 Albanians jump ship on Feb 26, 2015"/>
        <s v="Migrants commits suicide at Thessaloniki police station"/>
        <s v="300 die in stormy sea in early February 2015"/>
        <s v="Death of Sayed Mehdi Achmpari"/>
        <s v="29 die of hypothermia off Lampedusa on 9 February 2015"/>
        <s v="8 dead off Morocco on 30 January 2015"/>
        <s v="20 missing off Malta on 22 January 2015"/>
        <s v="12 killed in car chase in Libya on 20 January 2014"/>
        <s v="5 dead off Murcia on Jan 5 2015"/>
        <s v="Death of a diabetic on a raft in September 2014"/>
        <s v="Event off Libya on Sep 29, 2014"/>
        <s v="45 die in shipwreck on September 22, 2014"/>
        <s v="6 dead off Al-Qarbuli on September 15, 2014"/>
        <s v="200 die in shipwreck on September 14, 2014"/>
        <s v="15 Palestinian migrants dead after boat capsizes off Egypt coast on September 13, 2014"/>
        <s v="Shipwreck off Malta on September 12, 2014"/>
        <s v="Event off Malta on 12.09.14"/>
        <s v="Event off Libya"/>
        <s v="Event off Libya on Aug 31, 2014"/>
        <s v="Boat capsizes off Al Garbouli on August 31 2014"/>
        <s v="Event off Tunisia"/>
        <s v="Boat capsizes off Zuwara on August 20, 2014"/>
        <s v="Death of Nassir Guuleed in Amsterdam in August 2014"/>
        <s v="Boat capsizes North of the Libyan coast on 24 August 2014"/>
        <s v="Event off Lampedusa on 24.08.14"/>
        <s v="18 found dead on August 23, 2014"/>
        <s v="Boat sinks 1 kilometers off Libyan coats on 22 Aug 2014"/>
        <s v="Event off Greece on Aug 22, 2014"/>
        <s v="Death of Abdelhak Goradia"/>
        <s v="1 dead in container on Aug 16 2014"/>
        <s v="2 dead recovered on August 3, 2014"/>
        <s v="Event off Libya on Jul 30, 2014"/>
        <s v="20 die in shipwreck on July 29, 2014"/>
        <s v="Run over by a bus"/>
        <s v="Brawl erupts on boat on July 20, 2014"/>
        <s v="Event off Libya on Jul 19, 2014"/>
        <s v="19 suffocate to death on boat on July 19, 2014"/>
        <s v="10 die in rescue operation on July 18, 2014"/>
        <s v="3 die off Libya's shores on July 17, 2014"/>
        <s v="41 feared dead on July 17, 2014"/>
        <s v="Event off Libya on Jul 17, 2014"/>
        <s v="Greece: Two Immingrants Dead near Samos island"/>
        <s v="12 die off Tripoli on July 6, 2014"/>
        <s v="Event off Sicily on Jul 2, 2014"/>
        <s v="75 die at sea on Jul 2, 2014"/>
        <s v="Death in a Libyan cold room on June 30, 2014"/>
        <s v="45 die of suffcation on June 29, 2014"/>
        <s v="17-year-old Afghan refugee beaten to death by police on June 18, 2014"/>
        <s v="1 dead found on June 16, 2014, aboard tanker"/>
        <s v="Event off Sicily on Jun 29, 2014"/>
        <s v="10 found dead on June 14, 2014"/>
        <s v="Event off Italy on Jun 10, 2014"/>
        <s v="5 die as part of SAR operation on June 8, 2014"/>
        <s v="Immigrant found dead on the northeast shores of Lesvos, Greece"/>
        <s v="Afghan kid dies in Igoumenitsa on May 23, 2014"/>
        <s v="Albanian man dies in Calais on March 9, 2014"/>
        <s v="Death of a man of Sudanese origin in Calais on May 23, 2014"/>
        <s v="Death of an Ethiopian national at Calais on March 15, 2014"/>
        <s v="Death of Senay Berthay"/>
        <s v="Death of Mesfin Germa"/>
        <s v="Two dead and one missing en route to Spain on May 28, 2014"/>
        <s v="Event off Lampedusa on 12.05.14"/>
        <s v="Event off Libya on May 11, 2014"/>
        <s v="Convoy abandonned en route to Algeria in May 2014"/>
        <s v="Eritrean migrant dies in Italy on May 7, 2014"/>
        <s v="2 boats capsize off Samos on  May 5, 2014"/>
        <s v="Boat capsizes off Tripoli on May 4, 2014"/>
        <s v="Boat rescued off Libya's coast on May 2, 2014"/>
        <s v="10 die at Sudan-Libya border on April 30, 2014"/>
        <s v="Boat capsizes off Libya's coast on April 30, 2014"/>
        <s v="Death during a rescue operation on April 9, 2014"/>
        <s v="Death at Yearl's Wood on March 30, 2014"/>
        <s v="Event off Greece on March 18, 2014"/>
        <s v="7 migrants drown near Lesvos on March 18, 2014"/>
        <s v="A Pakistani man dies in the Evros in March 2014"/>
        <s v="Shot in Paris on December 22, 2013"/>
        <s v="At Ceuta on February 6, 2014"/>
        <s v="Migrant shot at Calais on Feb 4, 2014"/>
        <s v="Four migrants found dead on packed cargo ship brought to Italy on 31 December 2014"/>
        <s v="4 die near Lampedusa on 23 December 2014"/>
        <s v="Nine migrants die in Strait of Gibraltar on December 19, 2014"/>
        <s v="Death on M25 on December 12, 2014"/>
        <s v="20 missing after storm off Almeria on December 8, 2014"/>
        <s v="17 dead near Lampedusa on Dec 5, 2014"/>
        <s v="10 people thrown overboard on 3 December 2014"/>
        <s v="18 missing migrants presumed dead on Nov 30, 2014"/>
        <s v="2 migrants burn to death in lorry on November 20, 2014"/>
        <s v="Death of Mohamed Asfak on 6 November 2014"/>
        <s v="Boat sinks off north coast of Istanbul on 2 November 2014"/>
        <s v="2 fall overboard near Almeria in November 2014"/>
        <s v="Death of an Ethiopian girl on October 21, 2014 in Calais"/>
        <s v="Event off Guinea on 10.10.14"/>
        <s v="Event off Libya on Oct 3, 2014"/>
        <s v="Shipwreck off Tripoli"/>
        <s v="Event off Morocco"/>
        <s v="At Farmakonisi on  January 19, 2014"/>
        <s v="Shipwreck near Sclicli on September 30, 2013"/>
        <s v="Event at Catania on Sep 29, 2013"/>
        <s v="Death of an undocumented migrant in Angouleme on 21 September 2013"/>
        <s v="Event at Egypt on Sep 18, 2013"/>
        <s v="Event at Punta on Sep 16, 2013"/>
        <s v="Event at Ceuta on Sep 16, 2013"/>
        <s v="Event at Ajdabiya, Libya on September 12, 2013"/>
        <s v="Event at Samos, Greece on September 12, 2013"/>
        <s v="Event at Sicily on September 9, 2013"/>
        <s v="Somali refugee dies in the Netherland in September 2013"/>
        <s v="Event at Catania on Aug 10, 2013"/>
        <s v="Event at Crotone on Aug 09, 2013"/>
        <s v="Event at Lampedusa on August 4, 2013"/>
        <s v="Event at Tarifa on Jul 31, 2013"/>
        <s v="Event at Tavaklƒ±, Turkey on July 31, 2013"/>
        <s v="Event at Malta on July 29, 2013"/>
        <s v="Event at Amygdaleza detention center on July 29, 2013"/>
        <s v="Event at Lampedusa on Jul 27, 2013"/>
        <s v="Event at Kos on Jul 26, 2013"/>
        <s v="Death at Pennine House on 26 July 2013"/>
        <s v="Event at Kos on Jul 25, 2013"/>
        <s v="Event at Melilla on Jul 24, 2013"/>
        <s v="Event at Oinusses on Jul 24, 2013"/>
        <s v="Suicide at Nerder-over-Heembeek on 19 June 2013"/>
        <s v="Event at Calabria on Jun 14, 2013"/>
        <s v="Migrants shot by Libyan border guards in June 2013"/>
        <s v="Event at Libya on May 30, 2013"/>
        <s v="Suicide at Eisenh√ºttenstadt on May 29, 2013"/>
        <s v="Event at Farmakonisi on May 14, 2013"/>
        <s v="Suicide in reaction to deportation warrant"/>
        <s v="Event at Hoceima on Apr 17, 2013"/>
        <s v="Event at Tarifa on Apr 17, 2013"/>
        <s v="Death of Khalid Shahzad"/>
        <s v="Event at Faya, Chad on March 23, 2013"/>
        <s v="Event at Tarifa on Mar 15, 2013"/>
        <s v="Event at Tarifa on Mar 01, 2013"/>
        <s v="Homicide in Charleroi on 14 December 2013"/>
        <s v="Event at Tangiers on December 7, 2013"/>
        <s v="Event at Lefkada on November 16, 2013"/>
        <s v="Event at Algeria on November 1, 2013"/>
        <s v="Event off Lampedusa on Oct 10, 2014"/>
        <s v="Event at Alexandria on Oct 10, 2013"/>
        <s v="Event at Lampedusa on Oct 02, 2013"/>
        <s v="Death of Alois Dvorzac on 23 January 2013"/>
        <s v="Event at Evros on Jan 21, 2013"/>
        <s v="Event at Rotterdam on Jan 17, 2013"/>
        <s v="Event at Chios on Jan 13, 2013"/>
        <s v="Suicide at prison in Zurich"/>
        <s v="Event at Cadiz on Sep 30, 2012"/>
        <s v="Event at Ceuta on Sep 17, 2012"/>
        <s v="Event at Mostaganem on Sep 16, 2012"/>
        <s v="Event at Alexandroupolis on Sep 15, 2012"/>
        <s v="Event at Linosa on Sep 13, 2012"/>
        <s v="Event at Melilla on Sep 09, 2012"/>
        <s v="Event at Sinai, Egypt on Sep 08, 2012"/>
        <s v="Event at Heathrow on Sep 08, 2012"/>
        <s v="Event at Thames on Sep 06, 2012"/>
        <s v="Event at Kirchheim on Sep 4, 2012"/>
        <s v="Event at Latakia on Aug 28, 2012"/>
        <s v="Event at Tripoli on Aug 25, 2012"/>
        <s v="Event at Heathrow on Aug 22, 2012"/>
        <s v="Event at Libya on Aug 18, 2012"/>
        <s v="Event at Evros on Aug 17, 2012"/>
        <s v="Event at Malta on Aug 15, 2012"/>
        <s v="Event at Mayotte on Aug 09, 2012"/>
        <s v="Event at Melilla on Aug 09, 2012"/>
        <s v="Event at Mayotte on Aug 08, 2012"/>
        <s v="Event at Melilla on Jul 31, 2012"/>
        <s v="Event at Rotherham Park, Uk on Jul 29, 2012"/>
        <s v="Event at Lampedusa on Jul 08, 2012"/>
        <s v="Event at Evros on Jul 01, 2012"/>
        <s v="Death of Mamadou Kamara on June 29, 2012"/>
        <s v="Event at Safi on Jun 29, 2012"/>
        <s v="Event at Malta on Jun 28, 2012"/>
        <s v="Event at Leuca on Jun 28, 2012"/>
        <s v="Event at Ancona on Jun 22, 2012"/>
        <s v="Event at Leuca on Jun 18, 2012"/>
        <s v="Event at Morocco on Jun 11, 2012"/>
        <s v="Event at Ahmetbeyli on Jun 08, 2012"/>
        <s v="Event at Izmir on Jun 08, 2012"/>
        <s v="Event at Igoumenitsa on Jun 01, 2012"/>
        <s v="Event at Libya on May 25, 2012"/>
        <s v="Event at Lampedusa on May 24, 2012"/>
        <s v="Event at Lampione on May 24, 2012"/>
        <s v="Event at Mayotte on May 18, 2012"/>
        <s v="Event at Malta on May 07, 2012"/>
        <s v="Event at Monastir on May 06, 2012"/>
        <s v="Event at Torre on May 02, 2012"/>
        <s v="Event at Barcelona on Apr 30, 2012"/>
        <s v="Event at Lykofos on Apr 28, 2012"/>
        <s v="Event at Agrigento on Apr 27, 2012"/>
        <s v="Event at Calabria on Apr 25, 2012"/>
        <s v="Event at Lampedusa on Apr 03, 2012"/>
        <s v="Event at Libya on Mar 30, 2012"/>
        <s v="Event at Evros on Mar 28, 2012"/>
        <s v="Event at Evros on Mar 16, 2012"/>
        <s v="Event at Lampedusa on Mar 15, 2012"/>
        <s v="Event at Evros on Mar 14, 2012"/>
        <s v="Event at Thiva on Feb 29, 2012"/>
        <s v="Event at Korinthia on Feb 28, 2012"/>
        <s v="Event at Evros on Feb 28, 2012"/>
        <s v="Event at Ceuta on Feb 20, 2012"/>
        <s v="Event at Evros on Feb 20, 2012"/>
        <s v="Event at Venice on Feb 04, 2012"/>
        <s v="Event at Melilla on Feb 02, 2012"/>
        <s v="Event at Gibraltar on Feb 02, 2012"/>
        <s v="Event at Lesvos on Dec 14, 2012"/>
        <s v="Event at Lanzarote on Dec 12, 2012"/>
        <s v="Event at Wimereux on Dec 07, 2012"/>
        <s v="Event at Venice on Dec 06, 2012"/>
        <s v="Event at Netherlands on Dec 03, 2012"/>
        <s v="Event at Patras on Dec 02, 2012"/>
        <s v="Woman froze to death in Greece in December 2012"/>
        <s v="Event at Evros on Nov 30, 2012"/>
        <s v="Suicide in prison near Zurich"/>
        <s v="Event at Tarifa on Nov 08, 2012"/>
        <s v="Event at Lampedusa on Nov 06, 2012"/>
        <s v="Event at Tangier on Nov 05, 2012"/>
        <s v="Event at Ceuta on Nov 04, 2012"/>
        <s v="Event at Lampedusa on Nov 03, 2012"/>
        <s v="Death at Harmondsworth IRC on 30 October 2012"/>
        <s v="Event at Lampedusa on Oct 28, 2012"/>
        <s v="Event at Al Huceima on Oct 24, 2012"/>
        <s v="Event at Punta on Oct 22, 2012"/>
        <s v="Event at Melilla on Oct 09, 2012"/>
        <s v="Event at Lampedusa on Oct 06, 2012"/>
        <s v="Event at Evros on Oct 01, 2012"/>
        <s v="Event at Greece on Jan 31, 2012"/>
        <s v="Event at Evros on Jan 29, 2012"/>
        <s v="Event at Wurzburg on Jan 28, 2012"/>
        <s v="Event at Italian Coast on Jan 27, 2012"/>
        <s v="Event at Misrata on Jan 24, 2012"/>
        <s v="Event at Sinai, Egypt on Jan 21, 2012"/>
        <s v="Event at Palos on Jan 21, 2012"/>
        <s v="Event at Melilla on Jan 19, 2012"/>
        <s v="Event at Libya on Jan 14, 2012"/>
        <s v="Event at Libyan on Jan 14, 2012"/>
        <s v="Event at Cyprus on Jan 09, 2012"/>
        <s v="Event at Melilla on Jan 09, 2012"/>
        <s v="Event at Malta on Jan 04, 2012"/>
        <s v="Event at Libya on Jan 03, 2012"/>
        <s v="Event at Sicily on Jan 03, 2012"/>
        <s v="Event at Patras on Jan 03, 2012"/>
        <s v="Event at Belgium on Jan 01, 2012"/>
        <s v="Event at Paris on Sep 27, 2011"/>
        <s v="Event at Calabria on Sep 22, 2011"/>
        <s v="Event at Samos on Sep 20, 2011"/>
        <s v="Event at Andalusia on Sep 13, 2011"/>
        <s v="Event at Skikda on Sep 12, 2011"/>
        <s v="Event at Algeria To Spain on Sep 10, 2011"/>
        <s v="Event at Italian Coast on Sep 10, 2011"/>
        <s v="Event at Ceuta on Sep 05, 2011"/>
        <s v="Event at Calabria on Sep 02, 2011"/>
        <s v="Event at Ain Tmouchent, Algeria on Sep 01, 2011"/>
        <s v="Event at Almeria on Aug 30, 2011"/>
        <s v="Event at Evros on Aug 23, 2011"/>
        <s v="Event at Lampedusa on Aug 18, 2011"/>
        <s v="Event at Sinai, Egypt on Aug 17, 2011"/>
        <s v="Event at Marettimo on Aug 13, 2011"/>
        <s v="Event at Sinai, Egypt on Aug 11, 2011"/>
        <s v="Event at Ceuta on Aug 07, 2011"/>
        <s v="Event at Amsterdam on Aug 03, 2011"/>
        <s v="Event at Evros on Jul 31, 2011"/>
        <s v="Event at Alexandria on Jul 28, 2011"/>
        <s v="Event at Spain on Jul 12, 2011"/>
        <s v="Event at Ceuta on Jul 11, 2011"/>
        <s v="Event at Feres on Jul 09, 2011"/>
        <s v="Event at Sinai, Egypt on Jul 06, 2011"/>
        <s v="Event at Kosovo on Jun 30, 2011"/>
        <s v="Event at Ceuta on Jun 28, 2011"/>
        <s v="Event at Sinai, Egypt on Jun 24, 2011"/>
        <s v="Event at Lampedusa on Jun 24, 2011"/>
        <s v="Event at Motril, Granada on Jun 24, 2011"/>
        <s v="Event at Granada on Jun 24, 2011"/>
        <s v="Event at Sicily on Jun 23, 2011"/>
        <s v="Event at Morocco on Jun 11, 2011"/>
        <s v="Event at Ceuta on Jun 11, 2011"/>
        <s v="Event at Malta on Jun 11, 2011"/>
        <s v="Event at Thriassio Hospital, Attik, Greece on Jun 11, 2011"/>
        <s v="Event at Tripoli on Jun 04, 2011"/>
        <s v="Event at Lampedusa on Jun 04, 2011"/>
        <s v="Event at Lampedusa on Jun 03, 2011"/>
        <s v="Event at Crete on Jun 02, 2011"/>
        <s v="Event at Evros on May 31, 2011"/>
        <s v="Event at Libya on May 28, 2011"/>
        <s v="Event at Sant Antioco on May 28, 2011"/>
        <s v="Event at Tunis on May 22, 2011"/>
        <s v="Event at Sinai, Egypt on May 21, 2011"/>
        <s v="Event at Sacratif on May 21, 2011"/>
        <s v="Event at Lampedusa on May 20, 2011"/>
        <s v="Event at Preveza on May 18, 2011"/>
        <s v="Event at Vallo on May 18, 2011"/>
        <s v="Event at Motril on May 15, 2011"/>
        <s v="Event at Fulda on Aug 04, 2011"/>
        <s v="Event at Lampedusa on May 10, 2011"/>
        <s v="Event at Pantelleria on May 09, 2011"/>
        <s v="Off the coast of Tripoli on May 9, 2011"/>
        <s v="Event at Lampedusa on May 08, 2011"/>
        <s v="Event at Almeria on May 08, 2011"/>
        <s v="Event at sea en route to Italy on May 08, 2011"/>
        <s v="Event at Selinunte on May 06, 2011"/>
        <s v="Event at Adra on May 04, 2011"/>
        <s v="Event at Linosa on Apr 29, 2011"/>
        <s v="Event at Bari on Apr 18, 2011"/>
        <s v="At Hal Far Detention centre on April 16, 2011"/>
        <s v="Event at Malta on Apr 16, 2011"/>
        <s v="Event at Pantelleria on Apr 15, 2011"/>
        <s v="Event at Lampedusa on Apr 12, 2011"/>
        <s v="Event at Pantelleria on Apr 12, 2011"/>
        <s v="Event at Lampedusa on Apr 07, 2011"/>
        <s v="Event at Lampedusa on Apr 02, 2011"/>
        <s v="Event at Tunis on Apr 02, 2011"/>
        <s v="Event at Punta on Apr 01, 2011"/>
        <s v="Event at Marina on Mar 31, 2011"/>
        <s v="Event at Rennes on Mar 31, 2011"/>
        <s v="Event at Tripoli on Mar 30, 2011"/>
        <s v="Event at Lampedusa on Mar 28, 2011"/>
        <s v="Event at Kerkennah on Mar 27, 2011"/>
        <s v="Event at Lampedusa on Mar 27, 2011"/>
        <s v="Event at Libya on Mar 26, 2011"/>
        <s v="Event at Strasbourg on Mar 25, 2011"/>
        <s v="Event at Sidi Bilal, Libya on Mar 24, 2011"/>
        <s v="Event at Crete on Mar 21, 2011"/>
        <s v="Event at Puglia on Mar 21, 2011"/>
        <s v="Event at Evros on Mar 17, 2011"/>
        <s v="Event at Lampedusa on Mar 16, 2011"/>
        <s v="Event at Lampedusa on Mar 13, 2011"/>
        <s v="Event at Cagliari on Mar 11, 2011"/>
        <s v="Event at Zurich on Mar 05, 2011"/>
        <s v="Event at Crete on Mar 04, 2011"/>
        <s v="Event at Arzew on Mar 03, 2011"/>
        <s v="Suicide at prison near Zurich"/>
        <s v="Event at Ceuta on Feb 26, 2011"/>
        <s v="Event at Arzew on Feb 25, 2011"/>
        <s v="Event at Ceuta on Feb 24, 2011"/>
        <s v="Event at Bouharoun, Tipaza on Feb 14, 2011"/>
        <s v="Event at Campsfield on Feb 07, 2011"/>
        <s v="Event at Colnbrook on Feb 06, 2011"/>
        <s v="Event at Lampedusa on Feb 05, 2011"/>
        <s v="Event at Punta on Feb 03, 2011"/>
        <s v="Event at Ancona on Feb 03, 2011"/>
        <s v="Event at Torremolinos on Feb 02, 2011"/>
        <s v="Event at Evros on Dec 31, 2011"/>
        <s v="Event at Essen on Dec 31, 2011"/>
        <s v="Event at Algeria on Dec 29, 2011"/>
        <s v="Event at Evros on Dec 26, 2011"/>
        <s v="Event at Ceuta on Dec 23, 2011"/>
        <s v="Event at Netherland on Dec 21, 2011"/>
        <s v="Event at Imola on Dec 19, 2011"/>
        <s v="Event at Aluche on Dec 18, 2011"/>
        <s v="Event at Malta on Dec 06, 2011"/>
        <s v="Event at Malta on Dec 03, 2011"/>
        <s v="Event at Lampedusa on Dec 01, 2011"/>
        <s v="Event at Ceuta on Nov 27, 2011"/>
        <s v="Event at Brindisi on Nov 26, 2011"/>
        <s v="Event at Brindisi on Nov 25, 2011"/>
        <s v="Event at Alexandroupoli on Nov 23, 2011"/>
        <s v="Event at Evros on Nov 23, 2011"/>
        <s v="Event at Ceuta on Nov 22, 2011"/>
        <s v="Event at Greece on Nov 09, 2011"/>
        <s v="Event at Paris on Nov 04, 2011"/>
        <s v="Event at Malta on Nov 03, 2011"/>
        <s v="Event at Melilla on Nov 01, 2011"/>
        <s v="Event at Lampedusa on Nov 01, 2011"/>
        <s v="Event at Granada on Oct 30, 2011"/>
        <s v="Event at Tarajal on Oct 23, 2011"/>
        <s v="Event at Calabria on Oct 22, 2011"/>
        <s v="Event at Calabria on Oct 17, 2011"/>
        <s v="Event at Punta on Oct 12, 2011"/>
        <s v="Event at Evros on Oct 11, 2011"/>
        <s v="Event at Calais on Oct 04, 2011"/>
        <s v="Event at Misrata on Oct 03, 2011"/>
        <s v="Event at Lybia To Italy on Oct 03, 2011"/>
        <s v="Event at Nicosia on Jan 30, 2011"/>
        <s v="Event at Estepona on Jan 25, 2011"/>
        <s v="Event at Gibraltar on Jan 22, 2011"/>
        <s v="Event at Estepona on Jan 21, 2011"/>
        <s v="Event at Annaba on Jan 17, 2011"/>
        <s v="Event at Pantelleria on Jan 16, 2011"/>
        <s v="Event at Corfu on Jan 15, 2011"/>
        <s v="Event at Arzew on Jan 11, 2011"/>
        <s v="Event at Evros on Jan 11, 2011"/>
        <s v="Event at Gerstungen on Jan 09, 2011"/>
        <s v="Event at Sweden on Jan 09, 2011"/>
        <s v="Event at Lampedusa on Jan 07, 2011"/>
        <s v="Event at Ceuta on Jan 06, 2011"/>
        <s v="Event at Malta on Jan 05, 2011"/>
        <s v="Event at Kerkennah on Jan 03, 2011"/>
        <s v="Event at Tunis on Jan 03, 2011"/>
        <s v="Event at Melilla on Jan 02, 2011"/>
        <s v="Event at Lampedusa on Jan 02, 2011"/>
        <s v="Event at Gifhorn on Jan 02, 2011"/>
        <s v="Event at Sinai, Egypt on Jan 01, 2011"/>
        <s v="Event at Oder/Neisse border in 2011"/>
        <s v="Event at Evros on Sep 30, 2010"/>
        <s v="Event at Foggia on Sep 20, 2010"/>
        <s v="Event at Nicosia on Sep 12, 2010"/>
        <s v="Event at Sinai, Egypt on Sep 10, 2010"/>
        <s v="Event at Ceuta on Sep 10, 2010"/>
        <s v="Event at Sinai, Egypt on Sep 03, 2010"/>
        <s v="Event at Hoceima on Sep 03, 2010"/>
        <s v="Event at Ceuta on Aug 30, 2010"/>
        <s v="Event at Sardinia on Aug 28, 2010"/>
        <s v="Event at Ceuta on Aug 27, 2010"/>
        <s v="Event at Marocco To Spain on Aug 26, 2010"/>
        <s v="Event at Calabria on Aug 24, 2010"/>
        <s v="Event at Venice on Aug 15, 2010"/>
        <s v="Event at Tamanrasset on Aug 14, 2010"/>
        <s v="Event at Sinai on Aug 14, 2010"/>
        <s v="Event at Sinai, Egypt on Aug 13, 2010"/>
        <s v="Event at Annaba on Aug 08, 2010"/>
        <s v="Event at Evros on Aug 05, 2010"/>
        <s v="Event at Calabria on Aug 03, 2010"/>
        <s v="Event at Great Britain on Aug 02, 2010"/>
        <s v="Event at Sinai, Egypt on Jul 28, 2010"/>
        <s v="Event at Ibiza on Jul 27, 2010"/>
        <s v="Event at Nottingham on Jul 24, 2010"/>
        <s v="Event at Calabria on Jul 20, 2010"/>
        <s v="Event at Evros on Jul 11, 2010"/>
        <s v="Event at Valencia on Jul 09, 2010"/>
        <s v="Event at Ibiza on Jul 07, 2010"/>
        <s v="Event at Evros on Jul 06, 2010"/>
        <s v="Somali refugee dies in the Netherland in July 2010"/>
        <s v="Event at Sandholm, Denmark on Jul 03, 2010"/>
        <s v="Event at Hamburg on Jul 02, 2010"/>
        <s v="Event at Glasgow on Jul 02, 2010"/>
        <s v="Event at Evros on Jun 30, 2010"/>
        <s v="Event at Sinai, Egypt on Jun 28, 2010"/>
        <s v="Event at Leersum, Netherlands on Jun 26, 2010"/>
        <s v="Event at Evros on Jun 24, 2010"/>
        <s v="Event at Alvesta, Sweden on Jun 24, 2010"/>
        <s v="Event at Tripoli on May 29, 2010"/>
        <s v="Event at Evros on May 25, 2010"/>
        <s v="Event at Barcelona on May 12, 2010"/>
        <s v="Event at Dunkirk on Apr 20, 2010"/>
        <s v="Event at Sinai, Egypt on Apr 19, 2010"/>
        <s v="Stowaway fell from plane in Weisslingen in May 2010"/>
        <s v="Event at Ceuta on Apr 17, 2010"/>
        <s v="Event at Evros on Apr 17, 2010"/>
        <s v="Event at Hamburg on Apr 15, 2010"/>
        <s v="Event at Oakington, United Kingdom on Apr 14, 2010"/>
        <s v="Event at Carboneras on Apr 12, 2010"/>
        <s v="Event at Lampedusa on Apr 02, 2010"/>
        <s v="Event at Alexandroupoli on Mar 31, 2010"/>
        <s v="Event at Vottem on Mar 31, 2010"/>
        <s v="Event at Kafr on Mar 29, 2010"/>
        <s v="Event at Athens on Mar 27, 2010"/>
        <s v="Event at Sinai, Egypt on Mar 26, 2010"/>
        <s v="Event at Lampedusa on Mar 20, 2010"/>
        <s v="Event at Zurich on Mar 16, 2010"/>
        <s v="Event at Charleroi, Belgium on Mar 05, 2010"/>
        <s v="Event at Ceuta on Mar 04, 2010"/>
        <s v="Event at Naviglo, Italy on Mar 02, 2010"/>
        <s v="Event at Sinai, Egypt on Feb 22, 2010"/>
        <s v="Event at Capo on Feb 09, 2010"/>
        <s v="Event at Langenhagen on Feb 05, 2010"/>
        <s v="Event at Liverpool on Feb 04, 2010"/>
        <s v="Event at Sinai, Egypt on Feb 03, 2010"/>
        <s v="Event at Mostviertel, Austria on Feb 03, 2010"/>
        <s v="Event at Ceuta on Dec 27, 2010"/>
        <s v="Event at Vissa on Dec 19, 2010"/>
        <s v="Event at Vissa on Dec 16, 2010"/>
        <s v="Event at Masotti, Brescia on Dec 11, 2010"/>
        <s v="Event at Sinai, Egypt on Dec 10, 2010"/>
        <s v="Event at Heathrow on Dec 09, 2010"/>
        <s v="Event at Alicante on Dec 07, 2010"/>
        <s v="Event at Patras on Dec 01, 2010"/>
        <s v="Event at Sinai, Egypt on Nov 29, 2010"/>
        <s v="Event at Colombes on Nov 28, 2010"/>
        <s v="Event at Patras on Nov 26, 2010"/>
        <s v="Event at Iraq on Nov 22, 2010"/>
        <s v="Event at Santurtzi on Nov 21, 2010"/>
        <s v="Event at Bari on Nov 15, 2010"/>
        <s v="Event at Sinai, Egypt on Nov 12, 2010"/>
        <s v="Event at Mayotte on Nov 11, 2010"/>
        <s v="Event at Mostaganem on Nov 11, 2010"/>
        <s v="Event at Gibraltar on Nov 07, 2010"/>
        <s v="Event at Alicante on Nov 07, 2010"/>
        <s v="Event at Levante on Nov 07, 2010"/>
        <s v="Event at Granada on Nov 06, 2010"/>
        <s v="Event at Oran on Nov 03, 2010"/>
        <s v="Event at Dunkirk on Nov 03, 2010"/>
        <s v="Event at Algiers on Nov 02, 2010"/>
        <s v="Event at Samos on Nov 01, 2010"/>
        <s v="Event at Sinai, Egypt on Oct 30, 2010"/>
        <s v="Event at Samos on Oct 13, 2010"/>
        <s v="Event at Venice on Oct 03, 2010"/>
        <s v="Event at Great Britain on Oct 02, 2010"/>
        <s v="Event at Milan on Jan 15, 2010"/>
        <s v="Event at Ancona on Jan 11, 2010"/>
        <s v="Event at Sinai, Egypt on Jan 10, 2010"/>
        <s v="Event at Kabul, Afghanistan on Jan 08, 2010"/>
        <s v="Event at Alboran, Spain on Jan 08, 2010"/>
        <s v="Event at Ibiza on Jan 07, 2010"/>
        <s v="Event at Calabria on Jan 06, 2010"/>
        <s v="Event at Paris on Jan 06, 2010"/>
        <s v="Event at Evros on Jan 05, 2010"/>
        <s v="Event at Samos on Jan 04, 2010"/>
        <s v="Event at Sweden on Jan 03, 2010"/>
        <s v="Event at Senegal on Sep 30, 2009"/>
        <s v="Event at Sinai, Egypt on Sep 22, 2009"/>
        <s v="Event at Perejil Island, Spain on Sep 18, 2009"/>
        <s v="Event at Sinai, Egypt on Sep 15, 2009"/>
        <s v="Event at Wien on Sep 13, 2009"/>
        <s v="Event at Tanger on Sep 11, 2009"/>
        <s v="Event at Sinai, Egypt on Sep 08, 2009"/>
        <s v="Event at Benghazi on Sep 07, 2009"/>
        <s v="Event at Brindisi on Sep 07, 2009"/>
        <s v="Event at South Shields, United Kingdom on Sep 07, 2009"/>
        <s v="Event at Sinai, Egypt on Aug 31, 2009"/>
        <s v="Event at Ancona on Aug 31, 2009"/>
        <s v="Event at Tenerife on Aug 28, 2009"/>
        <s v="Event at Africa on Aug 27, 2009"/>
        <s v="Event at Malta on Aug 26, 2009"/>
        <s v="Event at Nuremburg on Aug 24, 2009"/>
        <s v="Event at Mittweida, Germany on Aug 23, 2009"/>
        <s v="Event at Lampedusa on Aug 21, 2009"/>
        <s v="Event at Lampedusa on Aug 19, 2009"/>
        <s v="Event at Brindisi on Aug 19, 2009"/>
        <s v="Event at Trafalgar Beach, Spain on Aug 16, 2009"/>
        <s v="Event at Great Britain on Aug 15, 2009"/>
        <s v="Event at Kos on Aug 12, 2009"/>
        <s v="Event at Cartagena on Aug 10, 2009"/>
        <s v="Event at Pantelleria on Aug 09, 2009"/>
        <s v="Event at Benghazi on Aug 08, 2009"/>
        <s v="Event at Annaba on Aug 07, 2009"/>
        <s v="Event at Igoumenitsa on Aug 06, 2009"/>
        <s v="Event at Sinai, Egypt on Jul 30, 2009"/>
        <s v="Event at Marbella on Jul 26, 2009"/>
        <s v="Event at Greece on Jul 26, 2009"/>
        <s v="Event at Igoumenitsa on Jul 26, 2009"/>
        <s v="Event at Tenerife on Jul 24, 2009"/>
        <s v="Event at Malaga on Jul 23, 2009"/>
        <s v="Event at Diyarbakr on Jul 22, 2009"/>
        <s v="Event at Marbella on Jul 21, 2009"/>
        <s v="Event at Barbate on Jul 16, 2009"/>
        <s v="Event at Hierro on Jul 14, 2009"/>
        <s v="Event at Hierro on Jul 13, 2009"/>
        <s v="Event at M√ºHlau, Germany on Jul 13, 2009"/>
        <s v="Event at Roma on Jul 04, 2009"/>
        <s v="Event at Sinai, Egypt on Jul 02, 2009"/>
        <s v="Event at Calais on Jun 30, 2009"/>
        <s v="Event at Barbate on Jun 28, 2009"/>
        <s v="Event at Sinai, Egypt on Jun 27, 2009"/>
        <s v="Event at Sinai, Egypt on Jun 23, 2009"/>
        <s v="Event at Ancona on Jun 22, 2009"/>
        <s v="Event at Barcelona on Jun 18, 2009"/>
        <s v="Event at Cartagena on Jun 16, 2009"/>
        <s v="Event at Murcia on Jun 16, 2009"/>
        <s v="A man died while washing in Calais, on June 13, 2009"/>
        <s v="Event at Bodrum on Jun 10, 2009"/>
        <s v="Event at Bilbao on Jun 10, 2009"/>
        <s v="Event at Gela on Jun 09, 2009"/>
        <s v="Event at Busmantsi on Jun 09, 2009"/>
        <s v="Event at Bergamo on Jun 07, 2009"/>
        <s v="Event at Tarifa on Jun 03, 2009"/>
        <s v="Event at Ceuta on Jun 02, 2009"/>
        <s v="Event at Gata on Jun 02, 2009"/>
        <s v="Event at Sinai, Egypt on Jun 01, 2009"/>
        <s v="Event at Gavle, Sweden on May 26, 2009"/>
        <s v="Event at Sardinia on May 21, 2009"/>
        <s v="Event at Barcelona on May 18, 2009"/>
        <s v="Event at Teteghem, France on May 18, 2009"/>
        <s v="Event at Paris on May 03, 2009"/>
        <s v="Event at Caltanissetta on May 01, 2009"/>
        <s v="Event at Tarifa on Apr 29, 2009"/>
        <s v="Event at Aden on Apr 22, 2009"/>
        <s v="Event at Gibraltar on Apr 22, 2009"/>
        <s v="Event at Nuadibu on Apr 17, 2009"/>
        <s v="Event at Sicily on Apr 15, 2009"/>
        <s v="Event at Mazara on Apr 07, 2009"/>
        <s v="Event at Paris on Apr 07, 2009"/>
        <s v="Event at Tarifa on Apr 05, 2009"/>
        <s v="Event at England on Apr 04, 2009"/>
        <s v="Event at Lampedusa on Apr 02, 2009"/>
        <s v="Event at Tripoli on Mar 28, 2009"/>
        <s v="Event at Patras on Mar 28, 2009"/>
        <s v="Event at Ancona on Mar 28, 2009"/>
        <s v="Event at Algiers on Mar 25, 2009"/>
        <s v="Event at Venice on Mar 25, 2009"/>
        <s v="Event at Votanikos on Mar 22, 2009"/>
        <s v="Event at Gata on Mar 21, 2009"/>
        <s v="Event at Lampedusa on Mar 18, 2009"/>
        <s v="Event at Roma on Mar 18, 2009"/>
        <s v="Event at Cadiz on Mar 16, 2009"/>
        <s v="Event at Libyan on Mar 15, 2009"/>
        <s v="Event at Palos on Mar 07, 2009"/>
        <s v="Event at Ceuta on Mar 06, 2009"/>
        <s v="Event at Mayotte on Mar 05, 2009"/>
        <s v="Event at Lampedusa on Mar 03, 2009"/>
        <s v="Event at Votanikos on Feb 28, 2009"/>
        <s v="Event at Dunkirk on Feb 24, 2009"/>
        <s v="Event at Montril, Spain on Feb 20, 2009"/>
        <s v="Event at Granada on Feb 20, 2009"/>
        <s v="Event at Lanzarote on Feb 14, 2009"/>
        <s v="Event at Canary on Feb 01, 2009"/>
        <s v="Event at Andalusia on Dec 31, 2009"/>
        <s v="Event at Valencia on Dec 31, 2009"/>
        <s v="Event at Hamburg on Dec 31, 2009"/>
        <s v="Event at Alexandroupoli on Dec 30, 2009"/>
        <s v="Event at Milan on Dec 24, 2009"/>
        <s v="Event at Sinai, Egypt on Dec 17, 2009"/>
        <s v="Event at Hungary on Dec 14, 2009"/>
        <s v="Event at Calais on Dec 14, 2009"/>
        <s v="Event at Mostaganem on Dec 12, 2009"/>
        <s v="Event at Leros on Dec 11, 2009"/>
        <s v="Event at Heathrow on Dec 10, 2009"/>
        <s v="Event at Mayotte on Dec 09, 2009"/>
        <s v="Event at Tangier on Dec 08, 2009"/>
        <s v="Event at Kos on Dec 07, 2009"/>
        <s v="Event at Hierro on Dec 06, 2009"/>
        <s v="Event at Sinai, Egypt on Nov 30, 2009"/>
        <s v="Event at Mayotte on Nov 23, 2009"/>
        <s v="Event at Vercelli on Nov 23, 2009"/>
        <s v="Event at Malaga on Nov 19, 2009"/>
        <s v="Event at Tarifa on Nov 17, 2009"/>
        <s v="Event at Marsa on Nov 15, 2009"/>
        <s v="Event at Sinai, Egypt on Nov 13, 2009"/>
        <s v="Event at Bodrum on Nov 05, 2009"/>
        <s v="Event at Lesvos on Nov 01, 2009"/>
        <s v="Event at Calais on Oct 29, 2009"/>
        <s v="Event at Thames on Oct 29, 2009"/>
        <s v="Event at Cartagena on Oct 28, 2009"/>
        <s v="Event at Sicily on Oct 26, 2009"/>
        <s v="Event at Mytilini on Oct 26, 2009"/>
        <s v="Event at Lesvos on Oct 26, 2009"/>
        <s v="Event at Pozzallo on Oct 25, 2009"/>
        <s v="Event at Tisza on Oct 14, 2009"/>
        <s v="Event at Nikaia, Greece on Oct 09, 2009"/>
        <s v="Event at London on Oct 08, 2009"/>
        <s v="Event at Banghazi on Oct 07, 2009"/>
        <s v="Event at Gela on Oct 06, 2009"/>
        <s v="Event at Hoceima on Jan 30, 2009"/>
        <s v="Event at Tunis on Jan 28, 2009"/>
        <s v="Event at Bodrum on Jan 27, 2009"/>
        <s v="Event at Arzew on Jan 24, 2009"/>
        <s v="Event at Lampedusa on Jan 21, 2009"/>
        <s v="Event at Lampedusa on Jan 20, 2009"/>
        <s v="Event at Tunis on Jan 18, 2009"/>
        <s v="Event at Messina, Italy on Jan 18, 2009"/>
        <s v="Event at Oran on Jan 13, 2009"/>
        <s v="Event at Syros on Jan 12, 2009"/>
        <s v="Event at Alexandroupoli on Jan 11, 2009"/>
        <s v="Event at Calais on Jan 10, 2009"/>
        <s v="Event at Norway on Jan 10, 2009"/>
        <s v="Event at Dakar on Jan 09, 2009"/>
        <s v="Event at Alboran, Spain on Jan 07, 2009"/>
        <s v="Event at Gata on Jan 06, 2009"/>
        <s v="Event at Varmland, Sweden on Jan 05, 2009"/>
        <s v="Event at Libya on Jan 03, 2009"/>
        <s v="Event at Oran on Jan 02, 2009"/>
        <s v="Event at Motril, Spain on Jan 01, 2009"/>
        <s v="Event at Africa To Italy on Sep 30, 2008"/>
        <s v="Event at Latakia on Sep 28, 2008"/>
        <s v="Event at Evros on Sep 26, 2008"/>
        <s v="Event at Evros on Sep 25, 2008"/>
        <s v="Event at Mali on Sep 23, 2008"/>
        <s v="Event at Malta on Sep 23, 2008"/>
        <s v="Event at Egypt on Sep 22, 2008"/>
        <s v="Event at Egypt on Sep 21, 2008"/>
        <s v="Event at Madama on Sep 18, 2008"/>
        <s v="Event at Brindisi on Sep 11, 2008"/>
        <s v="Event at Portobalo on Sep 11, 2008"/>
        <s v="Event at Canary on Sep 09, 2008"/>
        <s v="Event at Sinai, Egypt on Sep 08, 2008"/>
        <s v="Event at Valletta on Sep 08, 2008"/>
        <s v="Event at Gomera on Sep 07, 2008"/>
        <s v="Event at Sahara on Sep 06, 2008"/>
        <s v="Event at Saboun on Sep 04, 2008"/>
        <s v="Event at Alexandria on Sep 04, 2008"/>
        <s v="Event at Arguineguin on Sep 03, 2008"/>
        <s v="Event at Malta on Sep 03, 2008"/>
        <s v="Event at Minufiyah on Aug 31, 2008"/>
        <s v="Event at Annaba on Aug 29, 2008"/>
        <s v="Event at Dakhla on Aug 27, 2008"/>
        <s v="Event at Zembra on Aug 27, 2008"/>
        <s v="Event at Almera on Aug 25, 2008"/>
        <s v="Event at Malta on Aug 24, 2008"/>
        <s v="Event at Malta on Aug 23, 2008"/>
        <s v="Event at Algiers on Aug 23, 2008"/>
        <s v="Event at Sahara on Aug 22, 2008"/>
        <s v="Event at Fars, Iran on Aug 20, 2008"/>
        <s v="Event at Almeria on Aug 20, 2008"/>
        <s v="Event at Sinai, Egypt on Aug 18, 2008"/>
        <s v="Event at Didim on Aug 17, 2008"/>
        <s v="Event at Mali on Aug 11, 2008"/>
        <s v="Event at Sahara on Aug 08, 2008"/>
        <s v="Event at Canary on Aug 08, 2008"/>
        <s v="Death of an undocumented worker in Bruxelles on 5 August 2008"/>
        <s v="Event at Melilla on Aug 04, 2008"/>
        <s v="Event at Mayotte on Aug 03, 2008"/>
        <s v="Event at Mali on Aug 03, 2008"/>
        <s v="Event at Canaria on Aug 03, 2008"/>
        <s v="Event at Almeria on Aug 01, 2008"/>
        <s v="Event at Granada on Aug 01, 2008"/>
        <s v="Event at Libya on Jul 30, 2008"/>
        <s v="Event at Malta on Jul 30, 2008"/>
        <s v="Event at Spanish Coast on Jul 30, 2008"/>
        <s v="Event at Istanbul on Jul 29, 2008"/>
        <s v="Event at Lampedusa on Jul 28, 2008"/>
        <s v="Event at Sardinia on Jul 28, 2008"/>
        <s v="Event at Gomera on Jul 24, 2008"/>
        <s v="Event at Mayotte on Jul 22, 2008"/>
        <s v="Event at Malaga on Jul 22, 2008"/>
        <s v="Event at Calais on Jul 22, 2008"/>
        <s v="Event at Malaga on Jul 21, 2008"/>
        <s v="Event at Sinai, Egypt on Jul 19, 2008"/>
        <s v="Event at Sicily on Jul 19, 2008"/>
        <s v="Event at Sicily on Jul 18, 2008"/>
        <s v="Event at Malta on Jul 17, 2008"/>
        <s v="Event at Nuremburg on Jul 15, 2008"/>
        <s v="Event at Minufiyah on Jul 13, 2008"/>
        <s v="Event at Lampedusa on Jul 13, 2008"/>
        <s v="Event at Calais on Jul 13, 2008"/>
        <s v="Event at Canary on Jul 12, 2008"/>
        <s v="Event at Sinai, Egypt on Jul 11, 2008"/>
        <s v="Event at Arguineguin on Jul 11, 2008"/>
        <s v="Event at Gomera on Jul 10, 2008"/>
        <s v="Event at Kenitra on Jul 09, 2008"/>
        <s v="Event at Malta on Jul 09, 2008"/>
        <s v="Event at Gomera on Jul 08, 2008"/>
        <s v="Event at Punta on Jul 08, 2008"/>
        <s v="Event at Granada on Jul 06, 2008"/>
        <s v="Event at Libyan on Jul 05, 2008"/>
        <s v="Event at Tunis on Jul 05, 2008"/>
        <s v="Event at Arzew on Jul 03, 2008"/>
        <s v="Event at Venice on Jul 03, 2008"/>
        <s v="Event at Zonqor Point on Jun 29, 2008"/>
        <s v="Event at Caltanisetta on Jun 28, 2008"/>
        <s v="Event at Rafah on Jun 27, 2008"/>
        <s v="Event at Venice on Jun 26, 2008"/>
        <s v="Event at Malta on Jun 25, 2008"/>
        <s v="Event at Kafr on Jun 21, 2008"/>
        <s v="Event at Venice on Jun 21, 2008"/>
        <s v="Event at Annaba on Jun 20, 2008"/>
        <s v="Event at Vincennes, France on Jun 20, 2008"/>
        <s v="Event at Sinai, Egypt on Jun 18, 2008"/>
        <s v="Event at Malta on Jun 18, 2008"/>
        <s v="Event at Tenerife on Jun 17, 2008"/>
        <s v="Event at Tunis on Jun 16, 2008"/>
        <s v="Event at Annaba on Jun 16, 2008"/>
        <s v="Event at Malta on Jun 14, 2008"/>
        <s v="Event at Marsaxlokk, Malta on Jun 13, 2008"/>
        <s v="Event at Samos on Jun 11, 2008"/>
        <s v="Event at Ayvalik on Jun 11, 2008"/>
        <s v="Event at Kirklareli on Jun 11, 2008"/>
        <s v="Event at Egypt on Jun 10, 2008"/>
        <s v="Event at Malta on Jun 10, 2008"/>
        <s v="Event at Dogubayazit on Jun 09, 2008"/>
        <s v="Event at Evros on Jun 09, 2008"/>
        <s v="Event at Kirkuk on Jun 08, 2008"/>
        <s v="Event at Klangenfurt, Austria on Dec 05, 2008"/>
        <s v="Event at Zuwarah on Jun 06, 2008"/>
        <s v="Event at Lampedusa on Jun 06, 2008"/>
        <s v="Event at Libya on Jun 05, 2008"/>
        <s v="Event at Linosa on Jun 05, 2008"/>
        <s v="Event at Mers El Hedjadj, Algeria on Jun 03, 2008"/>
        <s v="Event at Lampedusa on Jun 01, 2008"/>
        <s v="Event at Spain on Jun 01, 2008"/>
        <s v="Event at Great Britain on Jun 01, 2008"/>
        <s v="Event at Punta on May 31, 2008"/>
        <s v="Event at Lampedusa on May 30, 2008"/>
        <s v="Event at Trapani on May 28, 2008"/>
        <s v="Event at Larnaca on May 27, 2008"/>
        <s v="Event at Tirajana on May 25, 2008"/>
        <s v="Event at Sfax on May 25, 2008"/>
        <s v="Event at Malta on May 25, 2008"/>
        <s v="Event at Canaria on May 24, 2008"/>
        <s v="Event at Malta on May 23, 2008"/>
        <s v="Event at Brunelleschi on May 23, 2008"/>
        <s v="Event at Ragusa on May 22, 2008"/>
        <s v="Event at Malta on May 21, 2008"/>
        <s v="Event at Cherchell on May 21, 2008"/>
        <s v="Event at Malta on May 19, 2008"/>
        <s v="Event at Samos on May 19, 2008"/>
        <s v="Event at Samos on May 15, 2008"/>
        <s v="Event at Birzebbugia on May 10, 2008"/>
        <s v="Event at Melilla on May 09, 2008"/>
        <s v="Event at Monastir on May 09, 2008"/>
        <s v="Event at Marocco To Spain on May 09, 2008"/>
        <s v="Event at Istanbul on May 09, 2008"/>
        <s v="Event at Evros on May 09, 2008"/>
        <s v="Event at Saboun on May 08, 2008"/>
        <s v="Event at Melilla on May 07, 2008"/>
        <s v="Event at Delimara on May 07, 2008"/>
        <s v="Event at Great Britain on May 07, 2008"/>
        <s v="Event at Libyan on May 05, 2008"/>
        <s v="Event at Hoceima on May 05, 2008"/>
        <s v="Event at Arzew on May 05, 2008"/>
        <s v="Event at Basel, Switzerland on May 05, 2008"/>
        <s v="Event at Xanthi, Greece on May 04, 2008"/>
        <s v="Event at Canary on May 02, 2008"/>
        <s v="Event at Ceuta on May 01, 2008"/>
        <s v="Event at Merksplas on Apr 30, 2008"/>
        <s v="Event at Morocco on Apr 27, 2008"/>
        <s v="Event at Iraq on Apr 27, 2008"/>
        <s v="Event at Lampedusa on Apr 24, 2008"/>
        <s v="Event at Lampedusa on Apr 23, 2008"/>
        <s v="Event at Iraq on Apr 22, 2008"/>
        <s v="Event at Mabrouk on Apr 21, 2008"/>
        <s v="Event at Zella-Mehlis, Germany on Apr 21, 2008"/>
        <s v="Event at Fuerteventura on Apr 20, 2008"/>
        <s v="Event at Sinai, Egypt on Apr 16, 2008"/>
        <s v="Event at Germany on Apr 14, 2008"/>
        <s v="Event at Estepona on Apr 09, 2008"/>
        <s v="Event at Oran on Apr 08, 2008"/>
        <s v="Event at Arzew on Apr 07, 2008"/>
        <s v="Event at Venice on Apr 06, 2008"/>
        <s v="Event at Birkenfeld, Germany on Apr 04, 2008"/>
        <s v="Event at Paris on Apr 03, 2008"/>
        <s v="Event at Barbate on Mar 31, 2008"/>
        <s v="Event at Melilla on Mar 29, 2008"/>
        <s v="Event at Mostaganem on Mar 29, 2008"/>
        <s v="Event at Pentonville, Uk on Mar 29, 2008"/>
        <s v="Event at Melilla on Mar 28, 2008"/>
        <s v="Event at Berlin on Mar 28, 2008"/>
        <s v="Event at Dakhla on Mar 26, 2008"/>
        <s v="Event at Sinai, Egypt on Mar 26, 2008"/>
        <s v="Event at Didim on Mar 22, 2008"/>
        <s v="Event at Zurich on Mar 22, 2008"/>
        <s v="Event at Lampedusa on Mar 18, 2008"/>
        <s v="Event at Ghana on Mar 18, 2008"/>
        <s v="Event at Sinai, Egypt on Mar 17, 2008"/>
        <s v="Event at Iskenderun Kale, Turkey on Mar 13, 2008"/>
        <s v="Event at Lindholme, Uk on Mar 07, 2008"/>
        <s v="Event at Tenerife on Mar 04, 2008"/>
        <s v="Event at Oran on Mar 02, 2008"/>
        <s v="Event at Netherland on Mar 01, 2008"/>
        <s v="Event at Barbate on Feb 29, 2008"/>
        <s v="Event at Sinai, Egypt on Feb 24, 2008"/>
        <s v="Event at Rafah on Feb 18, 2008"/>
        <s v="Event at Nelson, Uk on Feb 17, 2008"/>
        <s v="Event at El Kuntilla, Egypt on Feb 15, 2008"/>
        <s v="Event at Paris on Feb 14, 2008"/>
        <s v="Event at Tarfaya on Feb 12, 2008"/>
        <s v="Event at Madrid on Feb 11, 2008"/>
        <s v="Event at France on Feb 11, 2008"/>
        <s v="Event at Delimara on Feb 10, 2008"/>
        <s v="Event at Great Britain on Feb 10, 2008"/>
        <s v="Event at Alexandroupolis on Feb 09, 2008"/>
        <s v="Event at Great Britain on Feb 08, 2008"/>
        <s v="Event at Motril, Spain on Feb 07, 2008"/>
        <s v="Event at Algeciras on Feb 05, 2008"/>
        <s v="Event at Tarifa on Feb 02, 2008"/>
        <s v="Event at Tarifa on Feb 01, 2008"/>
        <s v="Event at Melilla on Dec 31, 2008"/>
        <s v="Event at Arzew on Dec 31, 2008"/>
        <s v="Event at Busmantsi on Dec 31, 2008"/>
        <s v="Event at Melilla on Dec 23, 2008"/>
        <s v="Event at Ayvacik on Dec 17, 2008"/>
        <s v="Event at Sahara on Dec 10, 2008"/>
        <s v="Event at Venice on Dec 09, 2008"/>
        <s v="Event at Vottem on Dec 09, 2008"/>
        <s v="Event at Sahara on Dec 08, 2008"/>
        <s v="Event at Ayvalik on Dec 07, 2008"/>
        <s v="Event at Canaria on Dec 06, 2008"/>
        <s v="Event at Samos on Dec 05, 2008"/>
        <s v="Event at Kirklareli on Dec 05, 2008"/>
        <s v="Event at Canary on Nov 30, 2008"/>
        <s v="Event at Lampedusa on Nov 27, 2008"/>
        <s v="Event at Greece on Nov 27, 2008"/>
        <s v="Event at Greece To Greece on Nov 24, 2008"/>
        <s v="Event at Mayotte on Nov 20, 2008"/>
        <s v="Event at Algeria on Nov 19, 2008"/>
        <s v="Event at Tenerife on Nov 18, 2008"/>
        <s v="Event at Lampedusa on Nov 12, 2008"/>
        <s v="Event at Hierro on Nov 10, 2008"/>
        <s v="Event at Tenerife on Nov 10, 2008"/>
        <s v="Event at Malta on Nov 08, 2008"/>
        <s v="Event at Portopalo on Nov 08, 2008"/>
        <s v="Event at Gomera on Nov 06, 2008"/>
        <s v="Event at Gomera on Oct 28, 2008"/>
        <s v="Event at Aegean on Oct 28, 2008"/>
        <s v="Event at Egypt on Oct 26, 2008"/>
        <s v="Event at Athens on Oct 25, 2008"/>
        <s v="Event at Xarre on Oct 23, 2008"/>
        <s v="Event at Libya on Oct 22, 2008"/>
        <s v="Event at Albania on Oct 22, 2008"/>
        <s v="Event at Sinai, Egypt on Oct 21, 2008"/>
        <s v="Event at Libyan on Oct 19, 2008"/>
        <s v="Event at Canaria on Oct 19, 2008"/>
        <s v="Event at Albania To Greece on Oct 19, 2008"/>
        <s v="Event at Xarre on Oct 18, 2008"/>
        <s v="Event at France on Oct 18, 2008"/>
        <s v="Event at Canaria on Oct 17, 2008"/>
        <s v="Event at Delimara on Oct 17, 2008"/>
        <s v="Event at Tenerife on Oct 15, 2008"/>
        <s v="Event at Calais on Oct 14, 2008"/>
        <s v="Event at Sinai, Egypt on Oct 13, 2008"/>
        <s v="Event at Venice on Oct 11, 2008"/>
        <s v="Event at Tenerife on Oct 10, 2008"/>
        <s v="Event at Mayotte on Oct 09, 2008"/>
        <s v="Event at Kenitra on Oct 08, 2008"/>
        <s v="Event at Sulaimania, Iraq on Oct 07, 2008"/>
        <s v="Event at Malta on Oct 06, 2008"/>
        <s v="Event at Almeria on Oct 06, 2008"/>
        <s v="Event at Alexandroupolis on Oct 06, 2008"/>
        <s v="Event at Malta on Oct 05, 2008"/>
        <s v="Event at Dogubayazit on Oct 05, 2008"/>
        <s v="Event at Malkara, Turkey on Oct 05, 2008"/>
        <s v="Event at Barrios on Oct 05, 2008"/>
        <s v="Event at Lybia To Italy on Oct 04, 2008"/>
        <s v="Event at Melilla on Oct 04, 2008"/>
        <s v="Event at Estepona on Oct 04, 2008"/>
        <s v="Event at Sardinia on Jan 31, 2008"/>
        <s v="Event at Sinai, Egypt on Jan 29, 2008"/>
        <s v="Event at La Luz, Spain on Jan 28, 2008"/>
        <s v="Event at Venice on Jan 28, 2008"/>
        <s v="Event at Conil, Spain on Jan 22, 2008"/>
        <s v="Event at Skikda on Jan 22, 2008"/>
        <s v="Event at Torre on Jan 21, 2008"/>
        <s v="Event at Luz, Spain on Jan 21, 2008"/>
        <s v="Event at Ancona on Jan 21, 2008"/>
        <s v="Event at Panighina, Italy on Jan 21, 2008"/>
        <s v="Event at Evros on Jan 14, 2008"/>
        <s v="Event at Egypt on Jan 13, 2008"/>
        <s v="Event at Canaria on Jan 12, 2008"/>
        <s v="Event at Lampedusa on Jan 10, 2008"/>
        <s v="Event at Delimara on Jan 10, 2008"/>
        <s v="Event at Barbate on Jan 09, 2008"/>
        <s v="Event at Aegean on Jan 09, 2008"/>
        <s v="Event at Bautzen, Germany on Jan 09, 2008"/>
        <s v="Event at Arguineguin on Jan 08, 2008"/>
        <s v="Event at Vega on Jan 08, 2008"/>
        <s v="Event at Valletta on Jan 08, 2008"/>
        <s v="Event at Sicily on Jan 08, 2008"/>
        <s v="Event at Colnbrook on Jan 08, 2008"/>
        <s v="Event at Trent Vale, Uk on Jan 08, 2008"/>
        <s v="Event at Sudan on Jan 07, 2008"/>
        <s v="Event at Libya on Jan 07, 2008"/>
        <s v="Event at Lybia To Italy on Jan 07, 2008"/>
        <s v="Event at Libreville, Gabon on Jan 06, 2008"/>
        <s v="Event at Istanbul on Jan 06, 2008"/>
        <s v="Event at Minufiyah on Jan 05, 2008"/>
        <s v="Event at Malta on Jan 05, 2008"/>
        <s v="Event at Barbate on Jan 05, 2008"/>
        <s v="Event at Italian Coast on Jan 05, 2008"/>
        <s v="Event at Libya on Jan 04, 2008"/>
        <s v="Event at Nicosia on Jan 04, 2008"/>
        <s v="Event at Merksplas on Jan 04, 2008"/>
        <s v="Event at Great Britain on Jan 04, 2008"/>
        <s v="Event at Dakhla on Jan 03, 2008"/>
        <s v="Event at Oujda on Jan 03, 2008"/>
        <s v="Event at Luxemburg on Jan 03, 2008"/>
        <s v="Event at Tiaret on Jan 02, 2008"/>
        <s v="Event at Rahouia on Jan 02, 2008"/>
        <s v="Event at Bethioua on Jan 02, 2008"/>
        <s v="Event at Mostaganem on Jan 02, 2008"/>
        <s v="Event at Algeria To Spain on Jan 02, 2008"/>
        <s v="Event at Didim on Jan 02, 2008"/>
        <s v="Event at Rotterdam on Jan 02, 2008"/>
        <s v="Event at Oder/Neisse border in 2008"/>
        <s v="Event at Malta on Sep 30, 2007"/>
        <s v="Event at Balikesir on Sep 30, 2007"/>
        <s v="Event at Ceuta on Sep 25, 2007"/>
        <s v="Event at Marocco To Spain on Sep 25, 2007"/>
        <s v="Event at Ghazaouet on Sep 24, 2007"/>
        <s v="Event at Samos on Sep 23, 2007"/>
        <s v="Event at Sada on Sep 23, 2007"/>
        <s v="Event at Canary on Sep 22, 2007"/>
        <s v="Event at Athens on Sep 20, 2007"/>
        <s v="Event at Paris on Sep 19, 2007"/>
        <s v="Event at Castellon, Spain on Sep 18, 2007"/>
        <s v="Event at Gata on Sep 17, 2007"/>
        <s v="Event at Sinai, Egypt on Sep 16, 2007"/>
        <s v="Event at Gata on Sep 15, 2007"/>
        <s v="Event at Alexandria on Sep 14, 2007"/>
        <s v="Event at Pantelleria on Sep 13, 2007"/>
        <s v="Event at Edko on Sep 12, 2007"/>
        <s v="Event at Poland on Sep 12, 2007"/>
        <s v="Event at Mayotte on Sep 11, 2007"/>
        <s v="Event at Dakhla on Sep 11, 2007"/>
        <s v="Event at Hierro on Sep 11, 2007"/>
        <s v="Event at Gambia on Sep 10, 2007"/>
        <s v="Event at Nuadibu on Sep 10, 2007"/>
        <s v="Event at Sacratif on Sep 08, 2007"/>
        <s v="Event at Mostar, Bosnia And Herzegovina on Sep 08, 2007"/>
        <s v="Event at Lesvos on Sep 07, 2007"/>
        <s v="Event at Canaria on Sep 06, 2007"/>
        <s v="Event at Niger on Sep 05, 2007"/>
        <s v="Event at Samos on Sep 05, 2007"/>
        <s v="Event at Dakhla on Sep 02, 2007"/>
        <s v="Event at Syracuse on Aug 31, 2007"/>
        <s v="Event at Malta on Aug 29, 2007"/>
        <s v="Event at Samos on Aug 29, 2007"/>
        <s v="Event at Rostock, Germany on Aug 28, 2007"/>
        <s v="Event at Lampedusa on Aug 27, 2007"/>
        <s v="Event at Lampedusa on Aug 24, 2007"/>
        <s v="Event at Geneva on Aug 24, 2007"/>
        <s v="Event at Cesme on Aug 23, 2007"/>
        <s v="Event at Arzew on Aug 22, 2007"/>
        <s v="Event at Chios on Aug 22, 2007"/>
        <s v="Event at Vallo on Aug 22, 2007"/>
        <s v="Event at Canary on Aug 20, 2007"/>
        <s v="Event at Canaria on Aug 20, 2007"/>
        <s v="Event at Lampedusa on Aug 20, 2007"/>
        <s v="Event at Spanish Coast on Aug 20, 2007"/>
        <s v="Festus Okey shot in Istanbul in August 2007"/>
        <s v="Event at Thessaloniki on Aug 19, 2007"/>
        <s v="Event at Canaria on Aug 18, 2007"/>
        <s v="Event at Fuerteventura on Aug 18, 2007"/>
        <s v="Event at Izmir on Aug 16, 2007"/>
        <s v="Event at Lampedusa on Aug 13, 2007"/>
        <s v="Event at Yukari on Aug 13, 2007"/>
        <s v="Event at Mayotte on Aug 12, 2007"/>
        <s v="Event at Dakar on Aug 11, 2007"/>
        <s v="Event at Lampedusa on Aug 11, 2007"/>
        <s v="Event at Algeria To Algeria on Aug 11, 2007"/>
        <s v="Event at Seferihisar on Aug 11, 2007"/>
        <s v="Event at Lampedusa on Aug 10, 2007"/>
        <s v="Event at Malta on Aug 10, 2007"/>
        <s v="Event at Greece on Aug 10, 2007"/>
        <s v="Event at Albania on Aug 10, 2007"/>
        <s v="Event at Zakynthos, Greece on Aug 09, 2007"/>
        <s v="Event at Lesvos on Aug 09, 2007"/>
        <s v="Event at Motril, Spain on Aug 08, 2007"/>
        <s v="Event at Capo on Aug 08, 2007"/>
        <s v="Event at Malta on Aug 06, 2007"/>
        <s v="Event at Algeciras on Aug 06, 2007"/>
        <s v="Event at Pantelleria on Aug 03, 2007"/>
        <s v="Event at Tenerife on Aug 02, 2007"/>
        <s v="Event at Samos on Aug 01, 2007"/>
        <s v="Event at 'Ayun on Jul 30, 2007"/>
        <s v="Event at Mayotte on Jul 29, 2007"/>
        <s v="Event at Libya on Jul 27, 2007"/>
        <s v="Event at Malta on Jul 27, 2007"/>
        <s v="Event at Sardinia on Jul 26, 2007"/>
        <s v="Event at Oran on Jul 25, 2007"/>
        <s v="Event at Libya on Jul 24, 2007"/>
        <s v="Event at Sicily on Jul 24, 2007"/>
        <s v="Event at Capo on Jul 24, 2007"/>
        <s v="Event at Mayotte on Jul 22, 2007"/>
        <s v="Event at Mazara on Jul 22, 2007"/>
        <s v="Event at Rafah on Jul 22, 2007"/>
        <s v="Event at Malta on Jul 22, 2007"/>
        <s v="Event at 'Ayun on Jul 21, 2007"/>
        <s v="Event at Libyan on Jul 21, 2007"/>
        <s v="Event at Malta on Jul 21, 2007"/>
        <s v="Event at Tenerife on Jul 18, 2007"/>
        <s v="Event at Lampedusa on Jul 17, 2007"/>
        <s v="Event at Libya on Jul 16, 2007"/>
        <s v="Event at Tenerife on Jul 16, 2007"/>
        <s v="Event at Lampedusa on Jul 15, 2007"/>
        <s v="Event at Mestre, Italy on Jul 13, 2007"/>
        <s v="Event at Crete on Jul 11, 2007"/>
        <s v="Event at Haren, Netherland on Jul 11, 2007"/>
        <s v="Event at Senegal on Jul 10, 2007"/>
        <s v="Event at Canaria on Jul 08, 2007"/>
        <s v="Event at Algeciras on Jul 07, 2007"/>
        <s v="Event at Marsascala on Jul 06, 2007"/>
        <s v="Event at Calais on Jul 06, 2007"/>
        <s v="Event at Angola on Jul 05, 2007"/>
        <s v="Event at Gibraltar on Jul 04, 2007"/>
        <s v="Event at Palermo on Jul 04, 2007"/>
        <s v="Event at Tenerife on Jul 03, 2007"/>
        <s v="Event at Tunis on Jul 03, 2007"/>
        <s v="Event at Arzew on Jul 02, 2007"/>
        <s v="Event at Malta on Jun 29, 2007"/>
        <s v="Event at Libyan on Jun 28, 2007"/>
        <s v="Event at Lampedusa on Jun 28, 2007"/>
        <s v="Event at Netherland on Jun 28, 2007"/>
        <s v="Event at Dingli on Jun 27, 2007"/>
        <s v="Event at Malta on Jun 27, 2007"/>
        <s v="Event at Ragusa on Jun 27, 2007"/>
        <s v="Event at Canaria on Jun 26, 2007"/>
        <s v="Event at Frankfurt on Jun 26, 2007"/>
        <s v="Event at Malta on Jun 25, 2007"/>
        <s v="Event at Island Of Gozo on Jun 25, 2007"/>
        <s v="Event at Capo on Jun 25, 2007"/>
        <s v="Event at Lampedusa on Jun 21, 2007"/>
        <s v="Event at Malta on Jun 20, 2007"/>
        <s v="Event at Malta on Jun 19, 2007"/>
        <s v="Event at Lampedusa on Jun 17, 2007"/>
        <s v="Event at Zarzis on Jun 15, 2007"/>
        <s v="Event at Sicily on Jun 15, 2007"/>
        <s v="Event at Libya on Jun 14, 2007"/>
        <s v="Event at Malta on Jun 13, 2007"/>
        <s v="Event at Greece To Great Britain on Jun 13, 2007"/>
        <s v="Event at Saint Michel De Maurienne on Jun 12, 2007"/>
        <s v="Event at Niger on Jun 10, 2007"/>
        <s v="Event at Tripoli on Jun 10, 2007"/>
        <s v="Event at Samos on Jun 10, 2007"/>
        <s v="Event at Kirkuk, Iraq on Jun 08, 2007"/>
        <s v="Event at Canaria on Jun 04, 2007"/>
        <s v="Event at Tunis on Jun 04, 2007"/>
        <s v="Event at Malta on May 31, 2007"/>
        <s v="Event at Boujdour on May 30, 2007"/>
        <s v="Event at Tunis on May 28, 2007"/>
        <s v="Event at Senegal on May 21, 2007"/>
        <s v="Event at Malta on May 21, 2007"/>
        <s v="Event at Valletta on May 20, 2007"/>
        <s v="Event at Lampedusa on May 19, 2007"/>
        <s v="Event at James Brindley Close, Uk on May 18, 2007"/>
        <s v="Event at Malta on May 17, 2007"/>
        <s v="Event at Andalusia on May 10, 2007"/>
        <s v="Event at Lampedusa on May 06, 2007"/>
        <s v="Event at Palermo on May 06, 2007"/>
        <s v="Event at Canary on May 05, 2007"/>
        <s v="Event at Tunis on May 05, 2007"/>
        <s v="Event at Canaria on Apr 29, 2007"/>
        <s v="Event at Canary on Apr 27, 2007"/>
        <s v="Event at Leros on Apr 26, 2007"/>
        <s v="Event at Tenerife on Apr 24, 2007"/>
        <s v="Event at Kolda on Apr 22, 2007"/>
        <s v="Event at Nouadhibou, Mauritania on Apr 22, 2007"/>
        <s v="Event at Mauritania on Apr 22, 2007"/>
        <s v="Event at Malta on Apr 21, 2007"/>
        <s v="Event at Annaba on Apr 20, 2007"/>
        <s v="Event at Paris on Apr 15, 2007"/>
        <s v="Event at Mayotte on Apr 11, 2007"/>
        <s v="Event at Tenerife on Apr 11, 2007"/>
        <s v="Event at Amsterdam on Apr 09, 2007"/>
        <s v="Event at Mayotte on Apr 08, 2007"/>
        <s v="Event at Samos on Apr 07, 2007"/>
        <s v="Event at Canary on Apr 06, 2007"/>
        <s v="Event at Laayoun on Apr 04, 2007"/>
        <s v="Event at Malaga on Apr 03, 2007"/>
        <s v="Event at Iran on Mar 26, 2007"/>
        <s v="Event at Lampedusa on Mar 25, 2007"/>
        <s v="Event at Glasgow on Mar 17, 2007"/>
        <s v="Event at Samos on Mar 16, 2007"/>
        <s v="Event at Bucarest Airport on Mar 16, 2007"/>
        <s v="Event at Algeria To Spain on Mar 11, 2007"/>
        <s v="Event at Tenerife on Mar 07, 2007"/>
        <s v="Event at Malaga on Mar 03, 2007"/>
        <s v="Event at Oujda on Feb 20, 2007"/>
        <s v="Event at Lampedusa on Feb 20, 2007"/>
        <s v="Event at Samos on Feb 15, 2007"/>
        <s v="Event at Nouadhibou on Feb 12, 2007"/>
        <s v="Event at Senegal on Feb 11, 2007"/>
        <s v="Event at Ghazaouet on Feb 10, 2007"/>
        <s v="Event at Azwen, Algeria on Feb 06, 2007"/>
        <s v="Event at Bangladesh on Feb 02, 2007"/>
        <s v="Event at Samos on Feb 01, 2007"/>
        <s v="Event at Cadiz on Dec 31, 2007"/>
        <s v="Event at Barrios on Dec 31, 2007"/>
        <s v="Event at Berlin on Dec 31, 2007"/>
        <s v="Event at Berlin on Dec 29, 2007"/>
        <s v="Event at Ceuta on Dec 27, 2007"/>
        <s v="Event at Evros on Dec 27, 2007"/>
        <s v="Event at Sfax on Dec 25, 2007"/>
        <s v="Event at Spanish Coast on Dec 25, 2007"/>
        <s v="Event at Chelmsford, Uk on Dec 24, 2007"/>
        <s v="Event at Lesvos on Dec 22, 2007"/>
        <s v="Event at Bodrum on Dec 18, 2007"/>
        <s v="Event at Bodrum on Dec 16, 2007"/>
        <s v="Event at Val D'Oise, France on Dec 12, 2007"/>
        <s v="Event at Algeria on Dec 11, 2007"/>
        <s v="Event at Tonghor Yoff, Dakar on Dec 09, 2007"/>
        <s v="Event at Dakhla on Dec 09, 2007"/>
        <s v="Event at Bouzedjar, Algeria on Dec 09, 2007"/>
        <s v="Event at Izmir on Dec 09, 2007"/>
        <s v="Event at Hierro on Dec 08, 2007"/>
        <s v="Event at Crete on Dec 05, 2007"/>
        <s v="Event at Tenerife on Dec 04, 2007"/>
        <s v="Event at Lampedusa on Dec 04, 2007"/>
        <s v="Event at Mayotte on Dec 03, 2007"/>
        <s v="Event at Mostaganem on Dec 03, 2007"/>
        <s v="Event at Canary on Nov 30, 2007"/>
        <s v="Event at Hierro on Nov 28, 2007"/>
        <s v="Event at Marsa on Nov 28, 2007"/>
        <s v="Event at Great Britain on Nov 16, 2007"/>
        <s v="Event at Cyprus on Nov 15, 2007"/>
        <s v="Event at Ifni on Nov 13, 2007"/>
        <s v="Event at Ghazaouet on Nov 13, 2007"/>
        <s v="Event at Canaries on Nov 12, 2007"/>
        <s v="Event at Amberg, Germany on Nov 11, 2007"/>
        <s v="Event at Nouadhibou on Nov 09, 2007"/>
        <s v="Event at Almeria on Nov 09, 2007"/>
        <s v="Event at Albania on Nov 08, 2007"/>
        <s v="Event at Canary on Nov 05, 2007"/>
        <s v="Event at Vendicari on Nov 05, 2007"/>
        <s v="Event at Bordeaux, France on Nov 05, 2007"/>
        <s v="Event at Lotte, Germany on Nov 03, 2007"/>
        <s v="Event at Vendicari on Oct 28, 2007"/>
        <s v="Event at Calabria on Oct 27, 2007"/>
        <s v="Event at Senegal on Oct 23, 2007"/>
        <s v="Event at Kolda on Oct 21, 2007"/>
        <s v="Event at Samos on Oct 21, 2007"/>
        <s v="Event at Mauritania on Oct 17, 2007"/>
        <s v="Event at Modena on Oct 16, 2007"/>
        <s v="Event at Mauritania on Oct 15, 2007"/>
        <s v="Event at Sejnane, Algeria on Oct 15, 2007"/>
        <s v="Event at Gata on Oct 15, 2007"/>
        <s v="Event at Tenerife on Oct 14, 2007"/>
        <s v="Event at Modena on Oct 14, 2007"/>
        <s v="Event at Sinai, Egypt on Oct 13, 2007"/>
        <s v="Event at Lampedusa on Oct 10, 2007"/>
        <s v="Event at Alboran, Spain on Oct 10, 2007"/>
        <s v="Event at Birkby, Uk on Oct 09, 2007"/>
        <s v="Event at Almera on Oct 08, 2007"/>
        <s v="Event at Witzwil, Switzerland on Jan 29, 2007"/>
        <s v="Event at Preston, Uk on Jan 28, 2007"/>
        <s v="Event at Kypoi, Greece on Jan 21, 2007"/>
        <s v="Event at London on Jan 21, 2007"/>
        <s v="Event at Annaba on Jan 17, 2007"/>
        <s v="Event at Samos on Jan 16, 2007"/>
        <s v="Event at Brussels on Jan 14, 2007"/>
        <s v="Event at Remscheider, Germany on Jan 13, 2007"/>
        <s v="Event at Canary on Jan 11, 2007"/>
        <s v="Event at Egypt on Jan 10, 2007"/>
        <s v="Event at Alexandria on Jan 10, 2007"/>
        <s v="Event at Ghazaouet on Jan 10, 2007"/>
        <s v="Event at Sejname, Tunisia on Jan 09, 2007"/>
        <s v="Event at Balikesir on Jan 09, 2007"/>
        <s v="Event at Great Britain on Jan 09, 2007"/>
        <s v="Event at Mediterranean Sea on Jan 08, 2007"/>
        <s v="Event at Portopalo on Jan 08, 2007"/>
        <s v="Event at Mayotte on Jan 07, 2007"/>
        <s v="Event at Canary on Jan 07, 2007"/>
        <s v="Event at Lampedusa on Jan 07, 2007"/>
        <s v="Event at Libya on Jan 06, 2007"/>
        <s v="Event at Bizerte, Tunisia on Jan 06, 2007"/>
        <s v="Event at Lampedusa on Jan 05, 2007"/>
        <s v="Event at Malta on Jan 05, 2007"/>
        <s v="Event at Canary on Jan 03, 2007"/>
        <s v="Event at Nador, Morocco on Jan 03, 2007"/>
        <s v="Event at Tenerife on Jan 02, 2007"/>
        <s v="Event at Sahara on Jan 01, 2007"/>
        <s v="Event at Tenerife on Sep 26, 2006"/>
        <s v="Event at Izmir on Sep 25, 2006"/>
        <s v="Event at Lampedusa on Sep 23, 2006"/>
        <s v="Event at Kenitra on Sep 22, 2006"/>
        <s v="Event at Almeria on Sep 21, 2006"/>
        <s v="Event at Mayotte on Sep 20, 2006"/>
        <s v="Event at Tarifa on Sep 20, 2006"/>
        <s v="Event at Canaries on Sep 16, 2006"/>
        <s v="Event at Lampedusa on Sep 16, 2006"/>
        <s v="Event at Canary on Sep 15, 2006"/>
        <s v="Event at Lamezia on Sep 11, 2006"/>
        <s v="Event at Evros on Sep 11, 2006"/>
        <s v="Event at Sicily on Sep 08, 2006"/>
        <s v="Event at Lampedusa on Sep 07, 2006"/>
        <s v="Event at Ercis, Turkey on Sep 06, 2006"/>
        <s v="Event at Malta on Sep 05, 2006"/>
        <s v="Event at Vallo on Sep 04, 2006"/>
        <s v="Event at Lanzarote on Sep 02, 2006"/>
        <s v="Event at Crete on Sep 02, 2006"/>
        <s v="Event at Lampedusa on Sep 02, 2006"/>
        <s v="Event at Syracuse on Sep 02, 2006"/>
        <s v="Event at London on Sep 02, 2006"/>
        <s v="Event at Syracuse on Sep 01, 2006"/>
        <s v="Event at Canary on Aug 31, 2006"/>
        <s v="Event at Crete on Aug 31, 2006"/>
        <s v="Event at Lampedusa on Aug 31, 2006"/>
        <s v="Event at Calais on Aug 31, 2006"/>
        <s v="Event at Lampedusa on Aug 29, 2006"/>
        <s v="Event at Nouakchott on Aug 28, 2006"/>
        <s v="Event at Sahara on Aug 27, 2006"/>
        <s v="Event at Nouakchott on Aug 26, 2006"/>
        <s v="Event at Canary on Aug 26, 2006"/>
        <s v="Event at Canary on Aug 25, 2006"/>
        <s v="Event at Malta on Aug 25, 2006"/>
        <s v="Event at Lampedusa on Aug 24, 2006"/>
        <s v="Event at Capopassero on Aug 24, 2006"/>
        <s v="Event at Essex on Aug 23, 2006"/>
        <s v="Event at Motril, Spain on Aug 22, 2006"/>
        <s v="Event at Canary on Aug 21, 2006"/>
        <s v="Event at Lampedusa on Aug 19, 2006"/>
        <s v="Event at Sicily on Aug 19, 2006"/>
        <s v="Event at Lampedusa on Aug 18, 2006"/>
        <s v="Event at Libyan on Aug 17, 2006"/>
        <s v="Event at Canary on Aug 16, 2006"/>
        <s v="Event at Knightswood, Uk on Aug 16, 2006"/>
        <s v="Event at Mauritania on Aug 13, 2006"/>
        <s v="Event at Canary on Aug 13, 2006"/>
        <s v="Event at Motril, Spain on Aug 11, 2006"/>
        <s v="Event at Canary on Aug 10, 2006"/>
        <s v="Event at Folkestone, Uk on Aug 09, 2006"/>
        <s v="Event at Neuss, Germany on Aug 04, 2006"/>
        <s v="Event at Canary on Aug 03, 2006"/>
        <s v="Event at Koenigs Wusterhausen, Germany on Aug 01, 2006"/>
        <s v="Event at Aiun on Jul 31, 2006"/>
        <s v="Event at Los Cristianos, Spain on Jul 29, 2006"/>
        <s v="Event at Lampedusa on Jul 29, 2006"/>
        <s v="Event at Lampedusa on Jul 28, 2006"/>
        <s v="Event at Vassel on Jul 28, 2006"/>
        <s v="Event at Senegal on Jul 27, 2006"/>
        <s v="Event at Tenerife on Jul 27, 2006"/>
        <s v="Event at Canary on Jul 26, 2006"/>
        <s v="Event at Mahdia on Jul 25, 2006"/>
        <s v="Event at Geeuwenburg, Netherlands on Jul 25, 2006"/>
        <s v="Event at Evros on Jul 24, 2006"/>
        <s v="Event at Canary on Jul 23, 2006"/>
        <s v="Event at Gela on Jul 23, 2006"/>
        <s v="Event at Canaria on Jul 22, 2006"/>
        <s v="Event at Canary on Jul 22, 2006"/>
        <s v="Event at Canary on Jul 21, 2006"/>
        <s v="Event at Tenerife on Jul 21, 2006"/>
        <s v="Event at Tenerife on Jul 20, 2006"/>
        <s v="Event at Fuerteventura on Jul 17, 2006"/>
        <s v="Event at Pabrade, Lithuania on Jul 15, 2006"/>
        <s v="Event at Trondheim, Norway on Jul 08, 2006"/>
        <s v="Event at Tenerife on Jul 06, 2006"/>
        <s v="Event at Canary on Jul 06, 2006"/>
        <s v="Event at Africa To Spain on Jul 02, 2006"/>
        <s v="Event at Melilla on Jul 02, 2006"/>
        <s v="Event at Bari on Jul 02, 2006"/>
        <s v="Event at Tripoli on Jun 30, 2006"/>
        <s v="Event at El Ai'N, Morocco on Jun 28, 2006"/>
        <s v="Event at Laayoun on Jun 26, 2006"/>
        <s v="Event at Malta on Jun 26, 2006"/>
        <s v="Event at Sada on Jun 25, 2006"/>
        <s v="Event at Essex on Jun 21, 2006"/>
        <s v="Event at Hansthholm, Germany on Jun 18, 2006"/>
        <s v="Event at Arguineguin on Jun 11, 2006"/>
        <s v="Event at Malta on Jun 08, 2006"/>
        <s v="Event at Africa on Jun 07, 2006"/>
        <s v="Event at Bologna on Jun 07, 2006"/>
        <s v="Event at Canary on Jun 06, 2006"/>
        <s v="Event at Samos on Jun 05, 2006"/>
        <s v="Event at Almeria on Jun 04, 2006"/>
        <s v="Event at Malta on Jun 03, 2006"/>
        <s v="Event at Ragusa on Jun 02, 2006"/>
        <s v="Event at Senegal on May 29, 2006"/>
        <s v="Event at Turkey To Greece on May 29, 2006"/>
        <s v="Event at Osmaniye on May 18, 2006"/>
        <s v="Event at Sfax on May 17, 2006"/>
        <s v="Event at Great Britain on May 14, 2006"/>
        <s v="Event at Barbados on May 12, 2006"/>
        <s v="Event at Great Britain on May 12, 2006"/>
        <s v="Event at Canary on May 09, 2006"/>
        <s v="Event at Vallo on May 08, 2006"/>
        <s v="Event at Caleta on May 07, 2006"/>
        <s v="Event at Greenbank Drive Centre, Uk on May 06, 2006"/>
        <s v="Event at Gata on May 05, 2006"/>
        <s v="Event at Safi on May 02, 2006"/>
        <s v="Event at Ahrax on May 02, 2006"/>
        <s v="Event at Sada on May 02, 2006"/>
        <s v="Event at Ceuta on Apr 26, 2006"/>
        <s v="Event at Kenitra on Apr 24, 2006"/>
        <s v="Event at Ceuta on Apr 24, 2006"/>
        <s v="Event at Cambridegeshire, Uk on Apr 22, 2006"/>
        <s v="Event at Germany on Apr 13, 2006"/>
        <s v="Event at Turkey To Greece on Apr 11, 2006"/>
        <s v="Event at Tenerife on Apr 07, 2006"/>
        <s v="Event at Malta on Apr 05, 2006"/>
        <s v="Event at Canary on Apr 03, 2006"/>
        <s v="Event at Tenerife on Apr 02, 2006"/>
        <s v="Event at Lesvos on Mar 31, 2006"/>
        <s v="Event at Ceuta on Mar 28, 2006"/>
        <s v="Event at Nouadhibou on Mar 17, 2006"/>
        <s v="Event at Laayoun on Mar 16, 2006"/>
        <s v="Event at Melilla on Mar 15, 2006"/>
        <s v="Event at Nouadhibou on Mar 14, 2006"/>
        <s v="Event at Canary on Mar 12, 2006"/>
        <s v="Event at Melilla on Mar 11, 2006"/>
        <s v="Event at Africa on Mar 08, 2006"/>
        <s v="Event at Lanzarote on Mar 08, 2006"/>
        <s v="Event at Great Britain on Mar 08, 2006"/>
        <s v="Event at Dakhla on Mar 07, 2006"/>
        <s v="Event at Ayun on Mar 06, 2006"/>
        <s v="Event at Melilla on Mar 06, 2006"/>
        <s v="Event at Bari on Mar 06, 2006"/>
        <s v="Event at Canaries on Mar 05, 2006"/>
        <s v="Event at Ragusa on Mar 05, 2006"/>
        <s v="Event at Ahrax on Mar 04, 2006"/>
        <s v="Event at Tenerife on Mar 03, 2006"/>
        <s v="Event at Gata on Feb 26, 2006"/>
        <s v="Event at Canary on Feb 21, 2006"/>
        <s v="Event at Marocco To Spain on Feb 21, 2006"/>
        <s v="Event at Mayotte on Feb 20, 2006"/>
        <s v="Event at Chios on Feb 19, 2006"/>
        <s v="Event at Fairfield Hospital, Uk on Feb 19, 2006"/>
        <s v="Event at Alboran on Feb 18, 2006"/>
        <s v="Event at Almeria on Feb 18, 2006"/>
        <s v="Event at Chios on Feb 18, 2006"/>
        <s v="Event at Libyan on Feb 17, 2006"/>
        <s v="Event at Bulgaria on Feb 14, 2006"/>
        <s v="Event at Patras on Feb 12, 2006"/>
        <s v="Event at Dakar on Feb 11, 2006"/>
        <s v="Event at Tenerife on Feb 11, 2006"/>
        <s v="Event at Africa To Italy on Feb 08, 2006"/>
        <s v="Event at Czech Republic To Germany on Feb 07, 2006"/>
        <s v="Event on Feb 05, 2006"/>
        <s v="Event at Sada on Feb 04, 2006"/>
        <s v="Event at Canary on Dec 31, 2006"/>
        <s v="Event at Samos on Dec 31, 2006"/>
        <s v="Event at Bedford on Dec 31, 2006"/>
        <s v="Event at Sardinia on Dec 30, 2006"/>
        <s v="Event at Laayoun on Dec 29, 2006"/>
        <s v="Event at Tarfaya on Dec 29, 2006"/>
        <s v="Event at Melilla on Dec 23, 2006"/>
        <s v="Event at Rabat on Dec 22, 2006"/>
        <s v="Event at Oujda on Dec 20, 2006"/>
        <s v="Event at Yoff, Mauritania on Dec 19, 2006"/>
        <s v="Event at Canary on Dec 15, 2006"/>
        <s v="Event at Canary on Dec 13, 2006"/>
        <s v="Event at Marsascala on Dec 13, 2006"/>
        <s v="Event at Dakar on Dec 12, 2006"/>
        <s v="Event at Fouka on Dec 09, 2006"/>
        <s v="Event at Smir on Dec 09, 2006"/>
        <s v="Event at Lampedusa on Dec 08, 2006"/>
        <s v="Event at Ancona on Dec 08, 2006"/>
        <s v="Event at Africa To Spain on Dec 07, 2006"/>
        <s v="Event at Melilla on Dec 07, 2006"/>
        <s v="Event at Marocco To Spain on Dec 07, 2006"/>
        <s v="Event at Margate, Uk on Dec 07, 2006"/>
        <s v="Event at Canary on Dec 06, 2006"/>
        <s v="Event at Essex on Dec 05, 2006"/>
        <s v="Event at Canary on Dec 02, 2006"/>
        <s v="Event at Tenerife on Dec 02, 2006"/>
        <s v="Event at Samos on Dec 01, 2006"/>
        <s v="Event at Canary on Nov 29, 2006"/>
        <s v="Event at Laayoun on Nov 25, 2006"/>
        <s v="Event at Ceuta on Nov 20, 2006"/>
        <s v="Event at Izmir on Nov 18, 2006"/>
        <s v="Event at Seferihisar on Nov 11, 2006"/>
        <s v="Event at Dakar on Nov 07, 2006"/>
        <s v="Event at Clanfield, Uk on Nov 04, 2006"/>
        <s v="Event at Ghazaouet on Nov 01, 2006"/>
        <s v="Event at Athens on Oct 31, 2006"/>
        <s v="Event at Algeria on Oct 26, 2006"/>
        <s v="Event at Netherland on Oct 26, 2006"/>
        <s v="Event at Oran on Oct 25, 2006"/>
        <s v="Event at Malta on Oct 24, 2006"/>
        <s v="Event at Malta on Oct 23, 2006"/>
        <s v="Event at Smir on Oct 11, 2006"/>
        <s v="Event at Kithira Island, Greece on Oct 09, 2006"/>
        <s v="Event at Evros on Oct 08, 2006"/>
        <s v="Event at Rye Hill, Uk on Oct 05, 2006"/>
        <s v="Event at Canary on Oct 04, 2006"/>
        <s v="Event at Rochdale, Uk on Oct 01, 2006"/>
        <s v="Event at Oran on Jan 29, 2006"/>
        <s v="Event at Schrassing, Luxemburg on Jan 29, 2006"/>
        <s v="Event at Plumstead, Uk on Jan 23, 2006"/>
        <s v="Event at Hoceima on Jan 22, 2006"/>
        <s v="Event at Evia on Jan 20, 2006"/>
        <s v="Event at Harmondsworth on Jan 18, 2006"/>
        <s v="Event at Yoff on Jan 11, 2006"/>
        <s v="Event at Marseille, France on Jan 11, 2006"/>
        <s v="Event at Ancona on Jan 11, 2006"/>
        <s v="Event at Africa on Jan 10, 2006"/>
        <s v="Event at Harlow, Uk on Jan 10, 2006"/>
        <s v="Event at Iraq on Jan 09, 2006"/>
        <s v="Event at Malta on Jan 09, 2006"/>
        <s v="Event at Hierro on Jan 08, 2006"/>
        <s v="Event at Crete on Jan 08, 2006"/>
        <s v="Event at Hania on Jan 08, 2006"/>
        <s v="Event at Dakar on Jan 07, 2006"/>
        <s v="Event at Canary on Jan 07, 2006"/>
        <s v="Event at Lampedusa on Jan 07, 2006"/>
        <s v="Event at Vlissingen, Nl on Jan 07, 2006"/>
        <s v="Event at Dannenreich, Germany on Jan 07, 2006"/>
        <s v="Event at Sahara on Jan 06, 2006"/>
        <s v="Event at Canary on Jan 06, 2006"/>
        <s v="Event at Melilla on Jan 06, 2006"/>
        <s v="Event at London on Jan 05, 2006"/>
        <s v="Event at Canary on Jan 04, 2006"/>
        <s v="Event at Lampedusa on Jan 03, 2006"/>
        <s v="Event at Lesvos on Jan 03, 2006"/>
        <s v="Event at Great Britain on Jan 03, 2006"/>
        <s v="Event at Iran on Jan 01, 2006"/>
        <s v="Event at Oder/Neisse border in 2006"/>
        <s v="Event at Canary on Sep 30, 2005"/>
        <s v="Event at Ceuta on Sep 30, 2005"/>
        <s v="Event at Agrigento on Sep 28, 2005"/>
        <s v="Event at Cyprus on Sep 27, 2005"/>
        <s v="Event at Ceuta on Sep 27, 2005"/>
        <s v="Event at Cyprus on Sep 26, 2005"/>
        <s v="Event at Marina on Sep 26, 2005"/>
        <s v="Event at Lampedusa on Sep 23, 2005"/>
        <s v="Event at Erzurum on Sep 22, 2005"/>
        <s v="Event at Dakhla on Sep 20, 2005"/>
        <s v="Event at Tunis on Sep 20, 2005"/>
        <s v="Event at Chios on Sep 18, 2005"/>
        <s v="Event at Melilla on Sep 14, 2005"/>
        <s v="Event at Saros on Sep 14, 2005"/>
        <s v="Event at Yarl'S Wood, Uk on Sep 14, 2005"/>
        <s v="Event at Salford Quays, Uk on Sep 13, 2005"/>
        <s v="Event at Agrigento on Sep 12, 2005"/>
        <s v="Event at Macedonia on Sep 12, 2005"/>
        <s v="Event at Geneva on Sep 12, 2005"/>
        <s v="Event at Melilla on Sep 11, 2005"/>
        <s v="Event at Kastanies on Sep 11, 2005"/>
        <s v="Event at Gela on Sep 10, 2005"/>
        <s v="Event at Greece on Sep 09, 2005"/>
        <s v="Event at Middleton, Uk on Sep 03, 2005"/>
        <s v="Event at Melilla on Sep 01, 2005"/>
        <s v="Event at Melilla on Aug 28, 2005"/>
        <s v="Event at Mayotte on Aug 21, 2005"/>
        <s v="Event at Malta on Aug 18, 2005"/>
        <s v="Event at Tenerife on Aug 15, 2005"/>
        <s v="Event at Lampedusa on Aug 15, 2005"/>
        <s v="Event at Casablanca on Aug 12, 2005"/>
        <s v="Event at Hechtel-Eksel, Belgium on Aug 11, 2005"/>
        <s v="Event at Crete on Aug 07, 2005"/>
        <s v="Event at Lesvos on Aug 07, 2005"/>
        <s v="Event at Canaries on Aug 05, 2005"/>
        <s v="Event at Sicily on Aug 04, 2005"/>
        <s v="Event at Brussels on Aug 02, 2005"/>
        <s v="Event at Mrirt, Nador, Morocco on Aug 01, 2005"/>
        <s v="Event at Kos on Jul 19, 2005"/>
        <s v="Event at Izmir on Jul 12, 2005"/>
        <s v="Event at Malta on Jul 10, 2005"/>
        <s v="Event at Bristol on Jul 06, 2005"/>
        <s v="Event at Vicenza, Italy on Jul 03, 2005"/>
        <s v="Event at Hoceima on Jul 01, 2005"/>
        <s v="Event at Dessau, Germany on Jun 30, 2005"/>
        <s v="Event at Bremen, Germany on Jun 30, 2005"/>
        <s v="Event at Campsfield, Uk on Jun 26, 2005"/>
        <s v="Event at Dikili on Jun 25, 2005"/>
        <s v="Event at Malta on Jun 22, 2005"/>
        <s v="Event at Canary on Jun 19, 2005"/>
        <s v="Event at Denmark on Jun 18, 2005"/>
        <s v="Event at Agadez on Jun 17, 2005"/>
        <s v="Event at Mayotte on Jun 16, 2005"/>
        <s v="Event at Greece on Jun 15, 2005"/>
        <s v="Event at Slovakia on Jun 15, 2005"/>
        <s v="Event at Neisse on Jun 15, 2005"/>
        <s v="Event at Canaria on Jun 14, 2005"/>
        <s v="Event at Morocco on Jun 12, 2005"/>
        <s v="Event at Tanger on Jun 12, 2005"/>
        <s v="Event at Melilla on Jun 09, 2005"/>
        <s v="Event at Crete on Jun 07, 2005"/>
        <s v="Event at Ceuta on Jun 03, 2005"/>
        <s v="Event at Ayvacik on May 29, 2005"/>
        <s v="Event at Evros on May 28, 2005"/>
        <s v="Event at Agadez on May 26, 2005"/>
        <s v="Event at Ceuta on May 25, 2005"/>
        <s v="Event at Lampedusa on May 24, 2005"/>
        <s v="Event at Libya on May 15, 2005"/>
        <s v="Event at Canary on May 02, 2005"/>
        <s v="Event at Fuerteventura on Apr 30, 2005"/>
        <s v="Event at Farmakonisi on Apr 25, 2005"/>
        <s v="Event at Chios on Apr 25, 2005"/>
        <s v="Event at Syria on Apr 24, 2005"/>
        <s v="Event at Tarifa on Apr 18, 2005"/>
        <s v="Event at Sicily on Apr 14, 2005"/>
        <s v="Event at Muradiye, Van, Turkey on Apr 14, 2005"/>
        <s v="Event at Sicily on Apr 12, 2005"/>
        <s v="Event at Canary on Apr 11, 2005"/>
        <s v="Event at Oran on Apr 10, 2005"/>
        <s v="Event at Linz, Austria on Apr 09, 2005"/>
        <s v="Event at Tarfaya on Apr 07, 2005"/>
        <s v="Event at Evros on Apr 03, 2005"/>
        <s v="Event at Hierro on Mar 30, 2005"/>
        <s v="Event at Punta on Mar 24, 2005"/>
        <s v="Event at Ragusa on Mar 23, 2005"/>
        <s v="Event at Sicily on Mar 23, 2005"/>
        <s v="Event at Mazzara on Mar 23, 2005"/>
        <s v="Event at Laayoun on Mar 11, 2005"/>
        <s v="Event at Brussels on Mar 07, 2005"/>
        <s v="Event at Sada on Mar 06, 2005"/>
        <s v="Event at Canary on Mar 04, 2005"/>
        <s v="Event at Algeciras on Feb 26, 2005"/>
        <s v="Event at Oran on Feb 25, 2005"/>
        <s v="Event at Oran on Feb 24, 2005"/>
        <s v="Event at Almeria on Feb 24, 2005"/>
        <s v="Event at Germany on Feb 24, 2005"/>
        <s v="Event at Almeria on Feb 21, 2005"/>
        <s v="Event at Austria on Feb 21, 2005"/>
        <s v="Event at Alboran, Spain on Feb 20, 2005"/>
        <s v="Event at Libya on Feb 17, 2005"/>
        <s v="Event at Libyan on Feb 17, 2005"/>
        <s v="Event at Wandsworth, Uk on Feb 13, 2005"/>
        <s v="Event at Cesme on Feb 10, 2005"/>
        <s v="Event at Bradford, Uk on Feb 06, 2005"/>
        <s v="Event at Yemen on Dec 31, 2005"/>
        <s v="Event at Pian Del Lago, Italy on Dec 31, 2005"/>
        <s v="Event at Cairo on Dec 29, 2005"/>
        <s v="Event at Africa To Spain on Dec 26, 2005"/>
        <s v="Event at Almeria on Dec 26, 2005"/>
        <s v="Event at Africa To Spain on Dec 24, 2005"/>
        <s v="Event at Tarifa on Dec 24, 2005"/>
        <s v="Event at Cadiz on Dec 23, 2005"/>
        <s v="Event at Niger on Dec 20, 2005"/>
        <s v="Event at Nouadhibou on Dec 18, 2005"/>
        <s v="Event at Kingston, Jamaica on Dec 10, 2005"/>
        <s v="Event at Adra on Dec 09, 2005"/>
        <s v="Event at Kastanies on Dec 09, 2005"/>
        <s v="Event at Morocco on Dec 04, 2005"/>
        <s v="Event at Aiun on Dec 02, 2005"/>
        <s v="Event at Canarias on Dec 02, 2005"/>
        <s v="Event at Tarifa on Nov 29, 2005"/>
        <s v="Event at Canaria on Nov 27, 2005"/>
        <s v="Event at Carikci on Nov 27, 2005"/>
        <s v="Event at Almeria on Nov 26, 2005"/>
        <s v="Event at Bologna on Nov 24, 2005"/>
        <s v="Event at Slovakia on Nov 24, 2005"/>
        <s v="Event at Ragusa on Nov 23, 2005"/>
        <s v="Event at Den Haag on Nov 22, 2005"/>
        <s v="Event at Ceuta on Nov 18, 2005"/>
        <s v="Event at Ragusa on Nov 17, 2005"/>
        <s v="Event at Athens on Nov 14, 2005"/>
        <s v="Event at Gela on Nov 08, 2005"/>
        <s v="Event at Andalusia on Nov 04, 2005"/>
        <s v="Event at Linosa on Nov 03, 2005"/>
        <s v="Event at Cesme on Nov 03, 2005"/>
        <s v="Event at Morocco on Nov 02, 2005"/>
        <s v="Event at Lamezia on Oct 31, 2005"/>
        <s v="Event at Adra on Oct 30, 2005"/>
        <s v="Event at Schiphol on Oct 25, 2005"/>
        <s v="Event at Schipol on Oct 25, 2005"/>
        <s v="Event at Amsterdam on Oct 25, 2005"/>
        <s v="Event at Crete on Oct 24, 2005"/>
        <s v="Event at Malta on Oct 24, 2005"/>
        <s v="Event at Italian Coast on Oct 24, 2005"/>
        <s v="Event at Hamburg on Oct 20, 2005"/>
        <s v="Event at Algeria on Oct 17, 2005"/>
        <s v="Event at Grenada, Spain on Oct 12, 2005"/>
        <s v="Event at Gibraltar on Oct 11, 2005"/>
        <s v="Event at Birmingham, Uk on Oct 10, 2005"/>
        <s v="Event at Gela on Oct 08, 2005"/>
        <s v="Event at Macedonia To Greece on Oct 08, 2005"/>
        <s v="Event at Ceuta on Oct 07, 2005"/>
        <s v="Event at Melilla on Oct 05, 2005"/>
        <s v="Event at Great Britain on Oct 05, 2005"/>
        <s v="Event at Algeria on Oct 03, 2005"/>
        <s v="Event at Canaria on Oct 03, 2005"/>
        <s v="Event at Turkey To Greece on Jan 31, 2005"/>
        <s v="Event at Merksplas on Jan 24, 2005"/>
        <s v="Event at Sarnen, Switzerland on Jan 22, 2005"/>
        <s v="Event at Canary on Jan 18, 2005"/>
        <s v="Event at Fuerteventura on Jan 09, 2005"/>
        <s v="Event at Ceuta on Jan 09, 2005"/>
        <s v="Event at Samos on Jan 09, 2005"/>
        <s v="Event at Albania on Jan 09, 2005"/>
        <s v="Event at Newcastle on Jan 09, 2005"/>
        <s v="Event at Netherland on Jan 09, 2005"/>
        <s v="Event at Ludwigsfeld, Germany on Jan 06, 2005"/>
        <s v="Event at Fuerteventura on Jan 05, 2005"/>
        <s v="Event at Africa To Spain on Jan 03, 2005"/>
        <s v="Event at Niger on Jan 02, 2005"/>
        <s v="Event at Afghanistan on Jan 02, 2005"/>
        <s v="Event at Turkey on Jan 02, 2005"/>
        <s v="Event at Ayun on Jan 01, 2005"/>
        <s v="Event at Oder/Neisse border in 2005"/>
        <s v="Event at Vlora on Sep 30, 2004"/>
        <s v="Event at Fuerteventura on Sep 29, 2004"/>
        <s v="Event at Paris on Sep 28, 2004"/>
        <s v="Event at Harlingen on Sep 28, 2004"/>
        <s v="Event at Germany on Sep 26, 2004"/>
        <s v="Event at Newcastle on Sep 25, 2004"/>
        <s v="Event at Tunis on Sep 23, 2004"/>
        <s v="Event at Zarzis on Sep 20, 2004"/>
        <s v="Event at Klibia on Sep 20, 2004"/>
        <s v="Event at Samos on Sep 19, 2004"/>
        <s v="Event at Lesvos on Sep 14, 2004"/>
        <s v="Event at Melilla on Sep 09, 2004"/>
        <s v="Event at Fuerteventura on Sep 08, 2004"/>
        <s v="Event at Hoceima on Sep 08, 2004"/>
        <s v="Event at Bruxelles on Sep 07, 2004"/>
        <s v="Event at Lanzarote on Sep 06, 2004"/>
        <s v="Event at Ceuta on Sep 03, 2004"/>
        <s v="Event at Tangier on Sep 02, 2004"/>
        <s v="Event at Algeciras on Aug 30, 2004"/>
        <s v="Event at Egypt on Aug 29, 2004"/>
        <s v="Event at Cairo on Aug 28, 2004"/>
        <s v="Event at Algesiras on Aug 28, 2004"/>
        <s v="Event at Genova on Aug 24, 2004"/>
        <s v="Event at Algeciras on Aug 23, 2004"/>
        <s v="Event at Lesbos on Aug 22, 2004"/>
        <s v="Event at Agean on Aug 21, 2004"/>
        <s v="Event at Barrios on Aug 21, 2004"/>
        <s v="Event at Fuerteventura on Aug 20, 2004"/>
        <s v="Event at Motril, Spain on Aug 20, 2004"/>
        <s v="Event at Granada on Aug 20, 2004"/>
        <s v="Event at Barrios on Aug 20, 2004"/>
        <s v="Event at Rotterdam on Aug 19, 2004"/>
        <s v="Event at Sahara on Aug 16, 2004"/>
        <s v="Event at Sahara on Aug 15, 2004"/>
        <s v="Event at Laayoun on Aug 15, 2004"/>
        <s v="Event at Uznach, Switzerland on Aug 14, 2004"/>
        <s v="Event at Fuerteventura on Aug 12, 2004"/>
        <s v="Event at Algeciras on Aug 09, 2004"/>
        <s v="Event at Sicily on Aug 09, 2004"/>
        <s v="Event at Merksplas on Aug 08, 2004"/>
        <s v="Event at Libya on Aug 07, 2004"/>
        <s v="Event at Punta on Aug 07, 2004"/>
        <s v="Event at Sicily on Aug 07, 2004"/>
        <s v="Event at Evros on Aug 05, 2004"/>
        <s v="Event at Great Britain on Aug 05, 2004"/>
        <s v="Event at Ceuta on Aug 02, 2004"/>
        <s v="Event at Cadiz on Jul 31, 2004"/>
        <s v="Event at Tarifa on Jul 30, 2004"/>
        <s v="Event at Punta on Jul 29, 2004"/>
        <s v="Event at Livorno on Jul 29, 2004"/>
        <s v="Event at Busto Arsizio, Italy on Jul 27, 2004"/>
        <s v="Event at Melilla on Jul 25, 2004"/>
        <s v="Event at Scotland on Jul 22, 2004"/>
        <s v="Event at D√ºsseldorf on Jul 20, 2004"/>
        <s v="Event at Harmondsworth on Jul 18, 2004"/>
        <s v="Event at Colnbrook on Jul 10, 2004"/>
        <s v="Event at Siracusa on Jul 07, 2004"/>
        <s v="Event at Crete on Jul 05, 2004"/>
        <s v="Event at Hellin, Spain on Jul 04, 2004"/>
        <s v="Event at Sicily on Jul 01, 2004"/>
        <s v="Event at Capo on Jun 28, 2004"/>
        <s v="Event at Great Britain on Jun 24, 2004"/>
        <s v="Event at Lampedusa on Jun 23, 2004"/>
        <s v="Event at Valez Malaga, Spain on Jun 13, 2004"/>
        <s v="Event at Eindhoven, Netherlands on Jun 13, 2004"/>
        <s v="Event at Crete on Jun 06, 2004"/>
        <s v="Event at Sfax on Jun 05, 2004"/>
        <s v="Event at Tunis on Jun 05, 2004"/>
        <s v="Event at Kozluk, Batman, Turkey on Jun 01, 2004"/>
        <s v="Event at Prestwich, Uk on May 27, 2004"/>
        <s v="Event at Cadiz on May 24, 2004"/>
        <s v="Event at Ukraine on May 24, 2004"/>
        <s v="Event at Stockholm on May 23, 2004"/>
        <s v="Event at Canary on May 22, 2004"/>
        <s v="Event at Canary on May 19, 2004"/>
        <s v="Event at Vernier, France on May 18, 2004"/>
        <s v="Event at Lisbon on May 17, 2004"/>
        <s v="Event at Glasgow on May 17, 2004"/>
        <s v="Event at Las Palmas, Spain on May 16, 2004"/>
        <s v="Event at Paris on May 16, 2004"/>
        <s v="Event at London on May 14, 2004"/>
        <s v="Event at Luttelgeest, Netherlands on May 14, 2004"/>
        <s v="Event at Africa To Italy on May 07, 2004"/>
        <s v="Event at Evros on May 07, 2004"/>
        <s v="Event at Tripoli on May 06, 2004"/>
        <s v="Event at Crete on May 05, 2004"/>
        <s v="Event at Kerkenah on May 04, 2004"/>
        <s v="Event at Ghana on May 01, 2004"/>
        <s v="Event at Cartagena on Apr 26, 2004"/>
        <s v="Event at Fuerteventura on Apr 22, 2004"/>
        <s v="Event at Granada on Apr 22, 2004"/>
        <s v="Event at Granada on Apr 21, 2004"/>
        <s v="Event at Africa To Spain on Apr 18, 2004"/>
        <s v="Event at Hamburg on Apr 18, 2004"/>
        <s v="Event at Fuerteventura on Apr 16, 2004"/>
        <s v="Event at Fuertaventura on Apr 16, 2004"/>
        <s v="Event at Hungary To Slovakia on Apr 16, 2004"/>
        <s v="Event at Dakhla on Apr 11, 2004"/>
        <s v="Event at Fuerteventura on Apr 11, 2004"/>
        <s v="Event at Evros on Apr 11, 2004"/>
        <s v="Event at Sfax on Apr 05, 2004"/>
        <s v="Event at Ceuta on Apr 03, 2004"/>
        <s v="Event at Halberstadt, Germany on Apr 03, 2004"/>
        <s v="Event at Melilla on Mar 31, 2004"/>
        <s v="Event at Mayotte on Mar 28, 2004"/>
        <s v="Event at Norwich, Uk on Mar 13, 2004"/>
        <s v="Event at Tunis on Mar 09, 2004"/>
        <s v="Event at Tangiers on Mar 08, 2004"/>
        <s v="Event at Pasaia on Feb 29, 2004"/>
        <s v="Event at Cologne, Germany on Feb 27, 2004"/>
        <s v="Event at Chiclana on Feb 25, 2004"/>
        <s v="Event at Turkey To Greece on Feb 23, 2004"/>
        <s v="Event at Ayvalik on Feb 23, 2004"/>
        <s v="Event at Melilla on Feb 21, 2004"/>
        <s v="Event at Laayoun on Feb 14, 2004"/>
        <s v="Event at Tunis on Feb 09, 2004"/>
        <s v="Event at Ceuta on Feb 08, 2004"/>
        <s v="Event at Sweden on Feb 08, 2004"/>
        <s v="Event at Cadiz on Feb 07, 2004"/>
        <s v="Event at Frosinone, Italy on Feb 06, 2004"/>
        <s v="Event at Ghana on Feb 04, 2004"/>
        <s v="Event at Great Britain on Feb 03, 2004"/>
        <s v="Event at Niger on Dec 31, 2004"/>
        <s v="Event at Lanzarote on Dec 31, 2004"/>
        <s v="Event at Madama on Dec 31, 2004"/>
        <s v="Event at Afghanistan on Dec 31, 2004"/>
        <s v="Event at Schipol on Dec 31, 2004"/>
        <s v="Event at Agaete on Dec 29, 2004"/>
        <s v="Event at Targha on Dec 29, 2004"/>
        <s v="Event at Canaria on Dec 25, 2004"/>
        <s v="Event at Canary on Dec 25, 2004"/>
        <s v="Event at Canaria on Dec 23, 2004"/>
        <s v="Event at Fuerteventura on Dec 22, 2004"/>
        <s v="Event at Fuerteventura on Dec 21, 2004"/>
        <s v="Event at Tetouan on Dec 21, 2004"/>
        <s v="Event at Gurpinar, Van, Turkey on Dec 21, 2004"/>
        <s v="Event at Fuerteventura on Dec 20, 2004"/>
        <s v="Event at West Bromwich, Uk on Dec 19, 2004"/>
        <s v="Event at Fuerteventura on Dec 17, 2004"/>
        <s v="Event at Fuerteventura on Dec 16, 2004"/>
        <s v="Event at Melilla on Dec 16, 2004"/>
        <s v="Event at Ghar Lapsi, Morocco on Dec 15, 2004"/>
        <s v="Event at Malta on Dec 15, 2004"/>
        <s v="Event at Barbalia, Greece on Dec 14, 2004"/>
        <s v="Event at Samos on Dec 13, 2004"/>
        <s v="Event at Fuerteventura on Dec 10, 2004"/>
        <s v="Event at Samos on Dec 10, 2004"/>
        <s v="Event at Evros on Dec 06, 2004"/>
        <s v="Event at Fuerteventura on Dec 02, 2004"/>
        <s v="Event at Brussels on Nov 29, 2004"/>
        <s v="Event at Fuerteventura on Nov 27, 2004"/>
        <s v="Event at Antigua, Spain on Nov 27, 2004"/>
        <s v="Event at River Tyne, Uk on Nov 26, 2004"/>
        <s v="Event at Paris on Nov 15, 2004"/>
        <s v="Event at Tripoli on Nov 13, 2004"/>
        <s v="Event at Malta on Nov 13, 2004"/>
        <s v="Event at Evros on Nov 13, 2004"/>
        <s v="Event at Malta on Nov 12, 2004"/>
        <s v="Event at Canary on Nov 11, 2004"/>
        <s v="Event at Turkey on Nov 10, 2004"/>
        <s v="Event at Great Britain on Nov 08, 2004"/>
        <s v="Event at Ceuta on Nov 03, 2004"/>
        <s v="Event at Fuhlsb√ºTtel, Germany on Nov 03, 2004"/>
        <s v="Event at Africa To Italy on Nov 01, 2004"/>
        <s v="Event at Ancona on Nov 01, 2004"/>
        <s v="Event at Licata on Oct 27, 2004"/>
        <s v="Event at Africa To Italy on Oct 22, 2004"/>
        <s v="Event at Tarfaya on Oct 16, 2004"/>
        <s v="Event at Tarfaya on Oct 14, 2004"/>
        <s v="Event at Lampedusa on Oct 14, 2004"/>
        <s v="Event at Leicester on Oct 14, 2004"/>
        <s v="Event at Malta on Oct 13, 2004"/>
        <s v="Event at Sheffield, Uk on Oct 13, 2004"/>
        <s v="Event at Samos on Oct 11, 2004"/>
        <s v="Event at London on Oct 11, 2004"/>
        <s v="Event at Aegean on Oct 10, 2004"/>
        <s v="Event at Enzar on Oct 08, 2004"/>
        <s v="Event at Agadez on Oct 07, 2004"/>
        <s v="Event at Bizerte, Tunisia on Oct 06, 2004"/>
        <s v="Event at Mogadishu on Oct 05, 2004"/>
        <s v="Event at Evros on Oct 05, 2004"/>
        <s v="Event at Germany on Oct 04, 2004"/>
        <s v="Event at Libya on Oct 03, 2004"/>
        <s v="Event at Chott Meriem, Tunisia on Oct 02, 2004"/>
        <s v="Event at Rafina on Jan 29, 2004"/>
        <s v="Event at Evros on Jan 29, 2004"/>
        <s v="Event at Thrace on Jan 29, 2004"/>
        <s v="Event at Karystos on Jan 28, 2004"/>
        <s v="Event at Evia on Jan 28, 2004"/>
        <s v="Event at Libya on Jan 24, 2004"/>
        <s v="Event at Libya on Jan 23, 2004"/>
        <s v="Event at Fuerteventura on Jan 20, 2004"/>
        <s v="Event at Lampedusa on Jan 20, 2004"/>
        <s v="Event at Fuerteventura on Jan 17, 2004"/>
        <s v="Event at Fuerteventura on Jan 15, 2004"/>
        <s v="Event at Vlora on Jan 11, 2004"/>
        <s v="Event at Hungary on Jan 10, 2004"/>
        <s v="Event at Niger on Jan 09, 2004"/>
        <s v="Event at Lampedusa on Jan 09, 2004"/>
        <s v="Event at Pantelleria on Jan 08, 2004"/>
        <s v="Event at Bellinzone, Switzerland on Jan 08, 2004"/>
        <s v="Event at Libya on Jan 07, 2004"/>
        <s v="Event at Cadiz on Jan 07, 2004"/>
        <s v="Event at Zelid on Jan 07, 2004"/>
        <s v="Event at Austria on Jan 07, 2004"/>
        <s v="Event at Coventry, Uk on Jan 07, 2004"/>
        <s v="Event at Casablanca on Jan 06, 2004"/>
        <s v="Event at Ivrea, Italy on Jan 06, 2004"/>
        <s v="Event at Purmerend, Netherlands on Jan 06, 2004"/>
        <s v="Event at Uppsala on Jan 06, 2004"/>
        <s v="Event at Mogadishu on Jan 05, 2004"/>
        <s v="Event at Haslar on Jan 04, 2004"/>
        <s v="Event at Scotland on Jan 04, 2004"/>
        <s v="Event at Gibraltar on Jan 03, 2004"/>
        <s v="Event at Pasaia on Jan 02, 2004"/>
        <s v="Event at Lachen, Switzerland on Jan 01, 2004"/>
        <s v="Event at Coruna on Sep 30, 2003"/>
        <s v="Event at Havre on Sep 30, 2003"/>
        <s v="Event at Evros on Sep 28, 2003"/>
        <s v="Event at Albania on Sep 22, 2003"/>
        <s v="Event at Ceuta on Sep 17, 2003"/>
        <s v="Event at Lesbos on Sep 17, 2003"/>
        <s v="Event at Great Britain on Sep 17, 2003"/>
        <s v="Event at Paris on Sep 09, 2003"/>
        <s v="Event at Evros on Sep 08, 2003"/>
        <s v="Event at Fuerteventura on Sep 07, 2003"/>
        <s v="Event at Traiskirchen, Austria on Sep 07, 2003"/>
        <s v="Event at Dover on Sep 06, 2003"/>
        <s v="Event at Greece To Italy on Aug 31, 2003"/>
        <s v="Event at Leuca on Aug 31, 2003"/>
        <s v="Event at Lampedusa on Aug 30, 2003"/>
        <s v="Event at Lanzarote on Aug 29, 2003"/>
        <s v="Event at Spain on Aug 29, 2003"/>
        <s v="Event at Brindisi on Aug 25, 2003"/>
        <s v="Event at Harlingen on Aug 22, 2003"/>
        <s v="Event at Lampedusa on Aug 17, 2003"/>
        <s v="Event at England on Aug 17, 2003"/>
        <s v="Event at Tarifa on Aug 16, 2003"/>
        <s v="Event at France on Aug 16, 2003"/>
        <s v="Event at Lesbos on Aug 13, 2003"/>
        <s v="Event at Edremit on Aug 12, 2003"/>
        <s v="Event at Algiers on Aug 02, 2003"/>
        <s v="Event at Fuerteventura on Jul 31, 2003"/>
        <s v="Event at Ceuta on Jul 31, 2003"/>
        <s v="Event at Slovakia on Jul 31, 2003"/>
        <s v="Event at Fuerteventura on Jul 30, 2003"/>
        <s v="Event at Fuerteventura on Jul 27, 2003"/>
        <s v="Event at Gorizia on Jul 26, 2003"/>
        <s v="Event at Fuerteventura on Jul 24, 2003"/>
        <s v="Event at Libya on Jul 18, 2003"/>
        <s v="Event at Aiun on Jul 17, 2003"/>
        <s v="Event at Vienna on Jul 14, 2003"/>
        <s v="Event at England on Jul 14, 2003"/>
        <s v="Event at Tarifa on Jul 13, 2003"/>
        <s v="Event at Motril, Spain on Jul 10, 2003"/>
        <s v="Event at Fuerteventura on Jul 08, 2003"/>
        <s v="Event at Harmondsworth on Jul 04, 2003"/>
        <s v="Event at Fuerteventura on Jul 01, 2003"/>
        <s v="Event at Lampedusa on Jun 28, 2003"/>
        <s v="Event at Capo on Jun 28, 2003"/>
        <s v="Event at Ceuta on Jun 24, 2003"/>
        <s v="Event at Tarifa on Jun 22, 2003"/>
        <s v="Event at Sfax on Jun 19, 2003"/>
        <s v="Event at Tripoli on Jun 18, 2003"/>
        <s v="Event at Eastbourne, Uk on Jun 17, 2003"/>
        <s v="Event at Lampedusa on Jun 15, 2003"/>
        <s v="Event at Tarifa on Jun 13, 2003"/>
        <s v="Event at Fuerteventura on Jun 10, 2003"/>
        <s v="Event at Blackburn, Uk on Jun 06, 2003"/>
        <s v="Event at Mayotte on Jun 05, 2003"/>
        <s v="Event at Salobre on Jun 05, 2003"/>
        <s v="Event at Kacem on Jun 04, 2003"/>
        <s v="Event at Fuerteventura on Jun 02, 2003"/>
        <s v="Event at Fuerteventura on May 30, 2003"/>
        <s v="Event at Boxmeer, Netherlands on May 16, 2003"/>
        <s v="Event at Lampedusa on May 14, 2003"/>
        <s v="Event at Salobre on May 05, 2003"/>
        <s v="Event at Great Britain on May 04, 2003"/>
        <s v="Event at Cadiz on Apr 25, 2003"/>
        <s v="Event at Lanzarote on Apr 24, 2003"/>
        <s v="Event at Bahia Feliz, Spain on Apr 09, 2003"/>
        <s v="Event at Heatherwood Hospital, Uk on Apr 08, 2003"/>
        <s v="Event at Thrace on Mar 31, 2003"/>
        <s v="Event at Hierro on Mar 30, 2003"/>
        <s v="Event at Evros on Mar 25, 2003"/>
        <s v="Event at Diever, Netherlands on Mar 24, 2003"/>
        <s v="Event at Valetta on Mar 10, 2003"/>
        <s v="Event at Heathrow on Mar 10, 2003"/>
        <s v="Event at Morocco on Mar 09, 2003"/>
        <s v="Event at Lampedusa on Mar 09, 2003"/>
        <s v="Event at Evia on Mar 09, 2003"/>
        <s v="Event at Biedenkopf, Germany on Mar 09, 2003"/>
        <s v="Event at Manchester, Uk on Mar 08, 2003"/>
        <s v="Event at Ceuta on Mar 01, 2003"/>
        <s v="Event at Mayotte on Feb 27, 2003"/>
        <s v="Event at Slovakia on Feb 27, 2003"/>
        <s v="Event at Fuerteventura on Feb 24, 2003"/>
        <s v="Event at Paris on Feb 24, 2003"/>
        <s v="Event at Dover on Feb 23, 2003"/>
        <s v="Event at Calais on Feb 22, 2003"/>
        <s v="Event at Emmen, Netherlands on Feb 21, 2003"/>
        <s v="Event at Fuerteventura on Feb 19, 2003"/>
        <s v="Event at Fuerteventura on Feb 11, 2003"/>
        <s v="Event at Sicily on Feb 09, 2003"/>
        <s v="Event at Sartrouville, France on Feb 08, 2003"/>
        <s v="Event at Fuerteventura on Feb 05, 2003"/>
        <s v="Event at Stockport, Uk on Feb 04, 2003"/>
        <s v="Event at Ceuta on Feb 02, 2003"/>
        <s v="Event at Congo on Dec 31, 2003"/>
        <s v="Event at London on Dec 31, 2003"/>
        <s v="Event at Dalem, Switzerland on Dec 26, 2003"/>
        <s v="Event at Rhodes, Greece on Dec 19, 2003"/>
        <s v="Event at Marmaris, Turkey on Dec 19, 2003"/>
        <s v="Event at Turkey To Greece on Dec 19, 2003"/>
        <s v="Event at Tripoli on Dec 11, 2003"/>
        <s v="Event at Cameroon on Dec 11, 2003"/>
        <s v="Event at Granada on Dec 04, 2003"/>
        <s v="Event at Lampedusa on Dec 03, 2003"/>
        <s v="Event at Fuerteventura on Dec 02, 2003"/>
        <s v="Event at Oberberen, Switzerland on Dec 01, 2003"/>
        <s v="Event at Fuerteventura on Nov 30, 2003"/>
        <s v="Event at Ceuta on Nov 22, 2003"/>
        <s v="Event at Cadiz on Nov 15, 2003"/>
        <s v="Event at Libyan on Nov 12, 2003"/>
        <s v="Event at Pantelleria on Nov 10, 2003"/>
        <s v="Event at Motril, Spain on Nov 07, 2003"/>
        <s v="Event at Tunis on Nov 06, 2003"/>
        <s v="Event at Cadiz on Oct 26, 2003"/>
        <s v="Event at Ceuta on Oct 25, 2003"/>
        <s v="Event at Eisenstadt on Oct 25, 2003"/>
        <s v="Event at Cadiz on Oct 24, 2003"/>
        <s v="Event at Rota, Spain on Oct 21, 2003"/>
        <s v="Event at Tunis on Oct 20, 2003"/>
        <s v="Event at Lampedusa on Oct 19, 2003"/>
        <s v="Event at Belmarsh Prison, Uk on Oct 19, 2003"/>
        <s v="Event at Libya on Oct 18, 2003"/>
        <s v="Event at Lampedusa on Oct 18, 2003"/>
        <s v="Event at Larache on Oct 17, 2003"/>
        <s v="Event at Lampedusa on Oct 16, 2003"/>
        <s v="Event at Lampedusa on Oct 10, 2003"/>
        <s v="Event at Pantelleria on Oct 10, 2003"/>
        <s v="Event at Paris on Oct 10, 2003"/>
        <s v="Event at Bedford on Oct 10, 2003"/>
        <s v="Event at Africa To Spain on Oct 05, 2003"/>
        <s v="Event at Tirajana on Oct 04, 2003"/>
        <s v="Event at Lampedusa on Oct 02, 2003"/>
        <s v="Event at Ceuta on Oct 02, 2003"/>
        <s v="Event at Evia on Oct 02, 2003"/>
        <s v="Event at Tarifa on Jan 31, 2003"/>
        <s v="Event at Malaga on Jan 31, 2003"/>
        <s v="Event at Haslar on Jan 30, 2003"/>
        <s v="Event at France on Jan 22, 2003"/>
        <s v="Event at Leuca on Jan 18, 2003"/>
        <s v="Event at Canary on Jan 18, 2003"/>
        <s v="Event at Fuerteventura on Jan 18, 2003"/>
        <s v="Event at Tangier on Jan 18, 2003"/>
        <s v="Event at Paris on Jan 17, 2003"/>
        <s v="Event at Motril, Spain on Jan 17, 2003"/>
        <s v="Event at Tanger on Jan 16, 2003"/>
        <s v="Event at Ceuta on Jan 16, 2003"/>
        <s v="Event at Fuerteventura on Jan 15, 2003"/>
        <s v="Event at Ceuta on Jan 15, 2003"/>
        <s v="Event at Fuerteventura on Jan 14, 2003"/>
        <s v="Event at Amsterdam on Jan 13, 2003"/>
        <s v="Event at Cadiz on Jan 12, 2003"/>
        <s v="Event at Kastoria on Jan 12, 2003"/>
        <s v="Event at Sahara on Jan 11, 2003"/>
        <s v="Event at Cadiz on Jan 11, 2003"/>
        <s v="Event at Amsterdam on Jan 11, 2003"/>
        <s v="Event at Larache on Jan 10, 2003"/>
        <s v="Event at Polmont Prison, Uk on Jan 10, 2003"/>
        <s v="Event at Algesiras on Jan 09, 2003"/>
        <s v="Event at Algeciras on Jan 09, 2003"/>
        <s v="Event at Tunis on Jan 09, 2003"/>
        <s v="Event at La Coruna, Spain on Jan 09, 2003"/>
        <s v="Event at Havre on Jan 09, 2003"/>
        <s v="Event at Tunis on Jan 08, 2003"/>
        <s v="Event at Glasgow on Jan 08, 2003"/>
        <s v="Event at Fuerteventura on Jan 07, 2003"/>
        <s v="Event at Africa To Spain on Jan 07, 2003"/>
        <s v="Event at Barbate on Jan 07, 2003"/>
        <s v="Event at Fuerteventura on Jan 06, 2003"/>
        <s v="Event at Symi on Jan 06, 2003"/>
        <s v="Event at Evros on Jan 06, 2003"/>
        <s v="Event at Channel on Jan 06, 2003"/>
        <s v="Event at G√ºTersloh, Germany on Jan 06, 2003"/>
        <s v="Event at Ceuta on Jan 05, 2003"/>
        <s v="Event at Slovenia on Jan 05, 2003"/>
        <s v="Event at Slovakia on Jan 05, 2003"/>
        <s v="Event at Melilla on Jan 04, 2003"/>
        <s v="Event at Lampedusa on Jan 04, 2003"/>
        <s v="Event at Lanzarote on Jan 03, 2003"/>
        <s v="Event at Tarifa on Jan 03, 2003"/>
        <s v="Event at Teguise on Jan 02, 2003"/>
        <s v="Event at Thrace on Jan 02, 2003"/>
        <s v="Event at Melilla on Jan 01, 2003"/>
        <s v="Event at Tarifa on Jan 01, 2003"/>
        <s v="Event at Almeria, Spain on Jan 01, 2003"/>
        <s v="Event at Granada on Jan 01, 2003"/>
        <s v="Event at Almeria on Sep 26, 2002"/>
        <s v="Event at Lesbos on Sep 25, 2002"/>
        <s v="Event at Iran on Sep 21, 2002"/>
        <s v="Event at Scoglitti on Sep 21, 2002"/>
        <s v="Event at Paris on Sep 15, 2002"/>
        <s v="Event at Sicily on Sep 14, 2002"/>
        <s v="Event at Capo on Sep 14, 2002"/>
        <s v="Event at Germany on Sep 13, 2002"/>
        <s v="Event at Algeciras on Sep 12, 2002"/>
        <s v="Event at Greece To Italy on Sep 07, 2002"/>
        <s v="Event at Malaga on Sep 06, 2002"/>
        <s v="Event at Tarifa on Sep 04, 2002"/>
        <s v="Event at Stadtallendorf, Germany on Sep 01, 2002"/>
        <s v="Event at Edirne on Aug 31, 2002"/>
        <s v="Event at Napels on Aug 30, 2002"/>
        <s v="Event at Vyssa, Turkey on Aug 27, 2002"/>
        <s v="Event at Fuerteventura on Aug 21, 2002"/>
        <s v="Event at Paris on Aug 18, 2002"/>
        <s v="Event at Hoceima on Aug 17, 2002"/>
        <s v="Event at Mayotte on Aug 09, 2002"/>
        <s v="Event at Barbate on Aug 09, 2002"/>
        <s v="Event at Menderes on Aug 05, 2002"/>
        <s v="Event at Puglia on Aug 05, 2002"/>
        <s v="Event at Mayotte on Aug 03, 2002"/>
        <s v="Event at Tarifa on Aug 01, 2002"/>
        <s v="Event at Fuerteventura on Jul 29, 2002"/>
        <s v="Event at Paris on Jul 29, 2002"/>
        <s v="Event at Vlora on Jul 20, 2002"/>
        <s v="Event at Fuerteventura on Jul 10, 2002"/>
        <s v="Event at Athens on Jul 05, 2002"/>
        <s v="Event at Venice on Jul 04, 2002"/>
        <s v="Event at Bristol on Jul 04, 2002"/>
        <s v="Event at Fuerteventura on Jul 03, 2002"/>
        <s v="Event at Lampedusa on Jul 02, 2002"/>
        <s v="Event at Ceuta on Jul 02, 2002"/>
        <s v="Event at Brindisi on Jul 01, 2002"/>
        <s v="Event at Kos on Jun 27, 2002"/>
        <s v="Event at Kos on Jun 26, 2002"/>
        <s v="Event at Africa To Spain on Jun 23, 2002"/>
        <s v="Event at Turkey To Greece on Jun 23, 2002"/>
        <s v="Event at Aslanyazi, Turkey on Jun 23, 2002"/>
        <s v="Event at Vught, Netherlands on Jun 22, 2002"/>
        <s v="Event at Lanzarote on Jun 18, 2002"/>
        <s v="Event at Aslanyazi, Turkey on Jun 18, 2002"/>
        <s v="Event at Sicily on Jun 14, 2002"/>
        <s v="Event at England on Jun 11, 2002"/>
        <s v="Event at Izmir on Jun 10, 2002"/>
        <s v="Event at Melilla on Jun 07, 2002"/>
        <s v="Event at Lecce on Jun 07, 2002"/>
        <s v="Event at Sudan on Jun 01, 2002"/>
        <s v="Event at Iran on May 30, 2002"/>
        <s v="Event at Izmir on May 30, 2002"/>
        <s v="Event at Izmir on May 28, 2002"/>
        <s v="Event at Melilla on May 25, 2002"/>
        <s v="Event at Cyprus on May 22, 2002"/>
        <s v="Event at K√∂Prak√∂Y, Tukey on May 22, 2002"/>
        <s v="Event at Cyprus on May 21, 2002"/>
        <s v="Event at Croatia on May 19, 2002"/>
        <s v="Event at Heathrow on May 15, 2002"/>
        <s v="Event at Heathrow on May 14, 2002"/>
        <s v="Event at Sava on May 12, 2002"/>
        <s v="Event at Paris on May 11, 2002"/>
        <s v="Event at Tarifa on May 08, 2002"/>
        <s v="Event at Calais on May 05, 2002"/>
        <s v="Event at Lanzarote on Apr 23, 2002"/>
        <s v="Event at Naxos on Apr 16, 2002"/>
        <s v="Event at Dover on Apr 14, 2002"/>
        <s v="Event at Heathrow on Apr 14, 2002"/>
        <s v="Event at Istanbul on Apr 13, 2002"/>
        <s v="Event at London on Apr 13, 2002"/>
        <s v="Event at Sunderland, Uk on Apr 08, 2002"/>
        <s v="Event at Bulgaria on Apr 01, 2002"/>
        <s v="Event at Schneckenstein on Mar 31, 2002"/>
        <s v="Event at Evros on Mar 26, 2002"/>
        <s v="Event at Libya on Mar 25, 2002"/>
        <s v="Event at Evros on Mar 19, 2002"/>
        <s v="Event at Melilla on Mar 14, 2002"/>
        <s v="Event at Otranto on Mar 10, 2002"/>
        <s v="Event at Lampedusa on Mar 06, 2002"/>
        <s v="Event at Syria on Mar 04, 2002"/>
        <s v="Event at Gorizia on Mar 01, 2002"/>
        <s v="Event at Belgium on Mar 01, 2002"/>
        <s v="Event at Melilla on Feb 19, 2002"/>
        <s v="Event at Lewes Prison, Uk on Feb 19, 2002"/>
        <s v="Event at Calais, France on Feb 19, 2002"/>
        <s v="Event at France on Feb 17, 2002"/>
        <s v="Event at Bulgaria on Feb 16, 2002"/>
        <s v="Event at Allbruck, Germany on Feb 14, 2002"/>
        <s v="Event at Tarifa on Feb 12, 2002"/>
        <s v="Event at Heathrow on Feb 11, 2002"/>
        <s v="Event at Kastoria on Feb 10, 2002"/>
        <s v="Event at Durham, Uk on Feb 09, 2002"/>
        <s v="Event at Bulgaria on Feb 03, 2002"/>
        <s v="Event at Almeria on Feb 01, 2002"/>
        <s v="Event at Lecce on Feb 01, 2002"/>
        <s v="Event at Italian Coast on Feb 01, 2002"/>
        <s v="Event at Agadez on Dec 31, 2002"/>
        <s v="Event at Symi on Dec 31, 2002"/>
        <s v="Event at Evia on Dec 31, 2002"/>
        <s v="Event at Schloss Holte-Stukenbrock, Germany on Dec 31, 2002"/>
        <s v="Event at Paris on Dec 29, 2002"/>
        <s v="Event at Gribskov, Denmark on Dec 27, 2002"/>
        <s v="Event at Malaga on Dec 26, 2002"/>
        <s v="Event at Tarifa on Dec 25, 2002"/>
        <s v="Event at Chios on Dec 24, 2002"/>
        <s v="Event at Corfu, Greece on Dec 23, 2002"/>
        <s v="Event at Huddersfield, Uk on Dec 23, 2002"/>
        <s v="Event at Lampedusa on Dec 21, 2002"/>
        <s v="Event at Evia on Dec 19, 2002"/>
        <s v="Event at Evia on Dec 18, 2002"/>
        <s v="Event at Greece on Dec 15, 2002"/>
        <s v="Event at Calais on Dec 15, 2002"/>
        <s v="Event at Thrace on Dec 12, 2002"/>
        <s v="Event at Algeciras on Dec 08, 2002"/>
        <s v="Event at France on Dec 05, 2002"/>
        <s v="Event at Deuil-La-Barre, France on Dec 04, 2002"/>
        <s v="Event at Heathrow on Dec 04, 2002"/>
        <s v="Event at Birmingham, Uk on Dec 02, 2002"/>
        <s v="Event at Cadiz on Dec 01, 2002"/>
        <s v="Event at Turkey on Dec 01, 2002"/>
        <s v="Event at Iran on Nov 30, 2002"/>
        <s v="Event at Oujda on Nov 30, 2002"/>
        <s v="Event at Laayoun on Nov 29, 2002"/>
        <s v="Event at Tripoli on Nov 29, 2002"/>
        <s v="Event at Aegean on Nov 29, 2002"/>
        <s v="Event at Tarifa on Nov 21, 2002"/>
        <s v="Event at Hungary on Nov 20, 2002"/>
        <s v="Event at Syke, Germany on Nov 14, 2002"/>
        <s v="Event at Larache on Nov 12, 2002"/>
        <s v="Event at Larache on Nov 10, 2002"/>
        <s v="Event at Sevilla on Nov 09, 2002"/>
        <s v="Event at Greece on Nov 06, 2002"/>
        <s v="Event at Menderes on Nov 05, 2002"/>
        <s v="Event at Great Britain on Nov 04, 2002"/>
        <s v="Event at Otranto on Nov 02, 2002"/>
        <s v="Event at Copenhagen, Denmark on Nov 01, 2002"/>
        <s v="Event at Mayotte on Oct 26, 2002"/>
        <s v="Event at Lesbos on Oct 20, 2002"/>
        <s v="Event at Tunis on Oct 18, 2002"/>
        <s v="Event at Lesbos on Oct 15, 2002"/>
        <s v="Event at Algeciras on Oct 12, 2002"/>
        <s v="Event at Algeciras on Oct 10, 2002"/>
        <s v="Event at Turkey To Greece on Oct 09, 2002"/>
        <s v="Event at Didymus, Greece on Oct 09, 2002"/>
        <s v="Event at Barbate on Oct 07, 2002"/>
        <s v="Event at Canary on Oct 05, 2002"/>
        <s v="Event at Fuerteventura on Oct 05, 2002"/>
        <s v="Event at Africa To Spain on Oct 04, 2002"/>
        <s v="Event at Cadiz on Oct 01, 2002"/>
        <s v="Event at Leusden, Netherland on Jan 30, 2002"/>
        <s v="Event at Spain on Jan 25, 2002"/>
        <s v="Event at Canary on Jan 20, 2002"/>
        <s v="Event at Iran on Jan 19, 2002"/>
        <s v="Event at Frethun, France on Jan 18, 2002"/>
        <s v="Event at Kos on Jan 11, 2002"/>
        <s v="Event at Patras on Jan 11, 2002"/>
        <s v="Event at Livorno on Jan 11, 2002"/>
        <s v="Event at Turkey To Greece on Jan 10, 2002"/>
        <s v="Event at Appelscha, Netherlands on Jan 10, 2002"/>
        <s v="Event at Mayotte on Jan 09, 2002"/>
        <s v="Event at Barbate on Jan 09, 2002"/>
        <s v="Event at Tunis on Jan 09, 2002"/>
        <s v="Event at Peloponnese, Greece on Jan 09, 2002"/>
        <s v="Event at Brindisi on Jan 09, 2002"/>
        <s v="Event at Zwolle, Netherlands on Jan 09, 2002"/>
        <s v="Event at Kenitra on Jan 08, 2002"/>
        <s v="Event at Sicily on Jan 08, 2002"/>
        <s v="Event at Turkey To Greece on Jan 08, 2002"/>
        <s v="Event at Netherland on Jan 08, 2002"/>
        <s v="Event at Tarifa on Jan 07, 2002"/>
        <s v="Event at Avellino, Italy on Jan 07, 2002"/>
        <s v="Event at Bari on Jan 07, 2002"/>
        <s v="Event at Fuerteventura on Jan 06, 2002"/>
        <s v="Event at Ceuta on Jan 06, 2002"/>
        <s v="Event at Greece To Italy on Jan 06, 2002"/>
        <s v="Event at Brindisi on Jan 06, 2002"/>
        <s v="Event at Kaldiran, Turkey on Jan 04, 2002"/>
        <s v="Event at Corinthia, Greece on Jan 04, 2002"/>
        <s v="Event at Menteres, Turkey on Jan 04, 2002"/>
        <s v="Event at Catalca on Jan 03, 2002"/>
        <s v="Event at Lanzarote on Jan 02, 2002"/>
        <s v="Event at Skopje, Macedonia on Jan 02, 2002"/>
        <s v="Event at Marocco To Spain on Jan 01, 2002"/>
        <s v="Event at Greece To Italy on Jan 01, 2002"/>
        <s v="Event at Schneckenstein on Jan 01, 2002"/>
        <s v="Event at Dublin on Jan 01, 2002"/>
        <s v="Event at Belgium on Sep 30, 2001"/>
        <s v="Event at Gemisti on Sep 29, 2001"/>
        <s v="Event at Brindisi on Sep 27, 2001"/>
        <s v="Event at Suez Canal on Sep 26, 2001"/>
        <s v="Event at Les Grisons, Switzerland on Sep 18, 2001"/>
        <s v="Event at Saarlouis-Fraulautern, Germany on Sep 18, 2001"/>
        <s v="Event at Sahara on Sep 17, 2001"/>
        <s v="Event at Rabat on Sep 17, 2001"/>
        <s v="Event at Vlora on Sep 16, 2001"/>
        <s v="Event at Fuerteventura on Sep 11, 2001"/>
        <s v="Event at Almeria on Sep 11, 2001"/>
        <s v="Event at Berlin on Sep 10, 2001"/>
        <s v="Event at Rabat on Sep 08, 2001"/>
        <s v="Event at Kenitra on Sep 08, 2001"/>
        <s v="Event at Ceuta on Sep 07, 2001"/>
        <s v="Event at Tarifa on Sep 07, 2001"/>
        <s v="Event at Tarifa on Sep 04, 2001"/>
        <s v="Event at Evia on Sep 04, 2001"/>
        <s v="Event at Lecce on Aug 24, 2001"/>
        <s v="Event at Canary on Aug 22, 2001"/>
        <s v="Event at Almeria, Spain on Aug 21, 2001"/>
        <s v="Event at Cadiz on Aug 20, 2001"/>
        <s v="Event at Nelson, Uk on Aug 20, 2001"/>
        <s v="Event at Cabo De Tres Forcas, Morocco on Aug 19, 2001"/>
        <s v="Event at Dover on Aug 19, 2001"/>
        <s v="Event at Fuerteventura on Aug 18, 2001"/>
        <s v="Event at Tarifa on Aug 17, 2001"/>
        <s v="Event at Coruna on Aug 12, 2001"/>
        <s v="Event at Belgium on Aug 11, 2001"/>
        <s v="Event at Mayotte on Aug 10, 2001"/>
        <s v="Event at Ceuta on Aug 09, 2001"/>
        <s v="Event at Tarifa on Aug 09, 2001"/>
        <s v="Event at Almeria on Aug 07, 2001"/>
        <s v="Event at Mayotte on Aug 05, 2001"/>
        <s v="Event at Mayotte on Aug 04, 2001"/>
        <s v="Event at Tarifa on Aug 04, 2001"/>
        <s v="Event at Vienna on Mar 07, 2001"/>
        <s v="Event at Turkey on Jul 21, 2001"/>
        <s v="Event at Mespelbrunn, Germany on Jul 18, 2001"/>
        <s v="Event at Syria on Jul 15, 2001"/>
        <s v="Event at Tarifa on Jul 15, 2001"/>
        <s v="Event at Tarifa on Jul 14, 2001"/>
        <s v="Event at Syria on Jul 13, 2001"/>
        <s v="Event at Tarifa on Jul 12, 2001"/>
        <s v="Event at Catania on Jul 11, 2001"/>
        <s v="Event at Bodrum on Jul 10, 2001"/>
        <s v="Event at Scoglitti on Jul 09, 2001"/>
        <s v="Event at Ragusa on Jul 08, 2001"/>
        <s v="Event at Bulgaria on Jul 04, 2001"/>
        <s v="Event at Tarifa on Jun 27, 2001"/>
        <s v="Event at Spanish Coast on Jun 26, 2001"/>
        <s v="Event at Gimo, Sweden on Jun 23, 2001"/>
        <s v="Event at Gatwick on Jun 17, 2001"/>
        <s v="Event at Spanish Coast on Jun 15, 2001"/>
        <s v="Event at Chtapodia, Greece on Jun 14, 2001"/>
        <s v="Event at Bahrein on Jun 13, 2001"/>
        <s v="Event at Mykonos on Jun 13, 2001"/>
        <s v="Event at Lecce on Jun 13, 2001"/>
        <s v="Event at Heathrow on Jun 13, 2001"/>
        <s v="Event at Tarifa on Jun 10, 2001"/>
        <s v="Event at Turkey To Greece on Jun 10, 2001"/>
        <s v="Event at Turkey on Jun 10, 2001"/>
        <s v="Event at Bari on Jun 09, 2001"/>
        <s v="Event at Sevilla on Jun 08, 2001"/>
        <s v="Event at Romania To Hungary on Jun 04, 2001"/>
        <s v="Event at Tarifa on Jun 03, 2001"/>
        <s v="Event at Tarifa on May 31, 2001"/>
        <s v="Event at Fuerteventura on May 29, 2001"/>
        <s v="Event at Werdau, Germany on May 28, 2001"/>
        <s v="Event at Fuerteventura on May 24, 2001"/>
        <s v="Event at Melilla on May 23, 2001"/>
        <s v="Event at Cadiz on May 23, 2001"/>
        <s v="Event at Soto Del Real, Spain on May 22, 2001"/>
        <s v="Event at Evros on May 21, 2001"/>
        <s v="Event at Evros on May 20, 2001"/>
        <s v="Event at De Lier, Netherlands on May 20, 2001"/>
        <s v="Event at Libyan on May 17, 2001"/>
        <s v="Event at Teheran on May 12, 2001"/>
        <s v="Event at Evia on May 08, 2001"/>
        <s v="Event at Tarifa on May 07, 2001"/>
        <s v="Event at Bulgaria on May 06, 2001"/>
        <s v="Event at Italy on May 03, 2001"/>
        <s v="Event at Casablanca on May 02, 2001"/>
        <s v="Event at Tarifa on May 01, 2001"/>
        <s v="Event at Calais on Apr 25, 2001"/>
        <s v="Event at Putzkau on Apr 17, 2001"/>
        <s v="Event at Bulgaria on Apr 16, 2001"/>
        <s v="Event at Calais on Apr 13, 2001"/>
        <s v="Event at Tarifa on Apr 02, 2001"/>
        <s v="Event at Turkey To Greece on Mar 28, 2001"/>
        <s v="Event at Tarifa on Mar 27, 2001"/>
        <s v="Event at Drunten, Netherland on Mar 26, 2001"/>
        <s v="Event at Otranto on Mar 23, 2001"/>
        <s v="Event at Tarifa on Mar 22, 2001"/>
        <s v="Event at Darro on Mar 22, 2001"/>
        <s v="Event at Almeria on Mar 21, 2001"/>
        <s v="Event at Tarifa on Mar 20, 2001"/>
        <s v="Event at Pantelleria on Mar 17, 2001"/>
        <s v="Event at Melilla on Mar 15, 2001"/>
        <s v="Event at Casablanca on Mar 04, 2001"/>
        <s v="Event at Tarifa on Mar 04, 2001"/>
        <s v="Event at Murcia on Feb 28, 2001"/>
        <s v="Event at Libyan on Feb 25, 2001"/>
        <s v="Event at Waddingxveen, Netherland on Feb 21, 2001"/>
        <s v="Event at Wien on Feb 18, 2001"/>
        <s v="Event at Gatwick on Feb 18, 2001"/>
        <s v="Event at Tarifa on Feb 10, 2001"/>
        <s v="Event at Brindisi on Feb 07, 2001"/>
        <s v="Event at Tarifa on Feb 05, 2001"/>
        <s v="Event at Calais on Feb 01, 2001"/>
        <s v="Event at Iran on Dec 31, 2001"/>
        <s v="Event at Gata on Dec 31, 2001"/>
        <s v="Event at Edirne on Dec 31, 2001"/>
        <s v="Event at Slovakia To Slovakia on Dec 31, 2001"/>
        <s v="Event at England on Dec 31, 2001"/>
        <s v="Event at Tyneside, Uk on Dec 31, 2001"/>
        <s v="Event at Ceuta on Dec 26, 2001"/>
        <s v="Event at Gatwick on Dec 24, 2001"/>
        <s v="Event at Netherland on Dec 24, 2001"/>
        <s v="Event at Gemisti on Dec 22, 2001"/>
        <s v="Event at Fuerteventura on Dec 16, 2001"/>
        <s v="Event at Spain on Dec 11, 2001"/>
        <s v="Event at Livorno on Dec 11, 2001"/>
        <s v="Event at Fuerteventura on Dec 09, 2001"/>
        <s v="Event at El Ejido, Spain on Dec 08, 2001"/>
        <s v="Event at Ireland on Dec 08, 2001"/>
        <s v="Event at Cesme on Dec 06, 2001"/>
        <s v="Event at Tarifa on Dec 05, 2001"/>
        <s v="Event at Tarifa on Dec 04, 2001"/>
        <s v="Event at Calais on Dec 03, 2001"/>
        <s v="Event at Cesvos, Greece on Dec 02, 2001"/>
        <s v="Event at Eschwege, Germany on Nov 30, 2001"/>
        <s v="Event at Fuerteventura on Nov 27, 2001"/>
        <s v="Event at Ceuta on Nov 24, 2001"/>
        <s v="Event at London on Nov 24, 2001"/>
        <s v="Event at Africa To Netherland on Nov 24, 2001"/>
        <s v="Event at Brixton, Uk on Nov 21, 2001"/>
        <s v="Event at Livorno on Nov 11, 2001"/>
        <s v="Event at Mayotte on Nov 08, 2001"/>
        <s v="Event at Bodrum on Nov 06, 2001"/>
        <s v="Event at Tarifa on Nov 05, 2001"/>
        <s v="Event at Greece on Nov 05, 2001"/>
        <s v="Event at Puglia on Nov 05, 2001"/>
        <s v="Event at Morava on Nov 05, 2001"/>
        <s v="Event at Calais on Oct 29, 2001"/>
        <s v="Event at Algeciras on Oct 27, 2001"/>
        <s v="Event at Kos on Oct 25, 2001"/>
        <s v="Event at Mayotte on Oct 24, 2001"/>
        <s v="Event at Neisse on Oct 24, 2001"/>
        <s v="Event at Gibraltar on Oct 22, 2001"/>
        <s v="Event at Mayotte on Oct 17, 2001"/>
        <s v="Event at Calais, France on Oct 17, 2001"/>
        <s v="Event at Turkey To Italy on Oct 14, 2001"/>
        <s v="Event at Crotone on Oct 14, 2001"/>
        <s v="Event at Sicily on Oct 06, 2001"/>
        <s v="Event at Mayotte on Oct 05, 2001"/>
        <s v="Event at Trani on Oct 05, 2001"/>
        <s v="Event at Tarifa on Oct 01, 2001"/>
        <s v="Event at Almeria on Jan 24, 2001"/>
        <s v="Event at Tarifa on Jan 21, 2001"/>
        <s v="Event at Tarifa on Jan 20, 2001"/>
        <s v="Event at Dover on Jan 19, 2001"/>
        <s v="Event at Leicester on Jan 17, 2001"/>
        <s v="Event at Aegean on Jan 11, 2001"/>
        <s v="Event at Turkey To Greece on Jan 11, 2001"/>
        <s v="Event at Southern Adriatic on Jan 11, 2001"/>
        <s v="Event at Milan on Jan 10, 2001"/>
        <s v="Event at Turkey To Greece on Jan 08, 2001"/>
        <s v="Event at Fuerteventura on Jan 07, 2001"/>
        <s v="Event at Almeria on Jan 06, 2001"/>
        <s v="Event at Turkey To Greece on Jan 06, 2001"/>
        <s v="Event at Cadiz on Jan 05, 2001"/>
        <s v="Event at Niger on Jan 04, 2001"/>
        <s v="Event at France on Jan 04, 2001"/>
        <s v="Event at Tarifa on Jan 02, 2001"/>
        <s v="Event at J√∂Nk√∂Ping, Sweden on Jan 02, 2001"/>
        <s v="Event at Austria on Jan 01, 2001"/>
        <s v="Event at Calais, France on Jan 01, 2001"/>
        <s v="Event at J√∂Nk√∂Ping, Sweden on Jan 01, 2001"/>
        <s v="Event at Frankfurt on Sep 28, 2000"/>
        <s v="Event at Mayotte on Sep 21, 2000"/>
        <s v="Event at Villach, Austria on Sep 18, 2000"/>
        <s v="Event at Skhirat, Morocco on Sep 16, 2000"/>
        <s v="Event at Korinthos on Sep 15, 2000"/>
        <s v="Event at Cadiz on Sep 11, 2000"/>
        <s v="Event at Pristina, Kosovo on Sep 10, 2000"/>
        <s v="Event at Ceuta on Sep 05, 2000"/>
        <s v="Event at Albania To Italy on Sep 01, 2000"/>
        <s v="Event at Evros on Aug 31, 2000"/>
        <s v="Event at Berlin on Aug 29, 2000"/>
        <s v="Event at Kipoi on Aug 28, 2000"/>
        <s v="Event at Sava on Aug 28, 2000"/>
        <s v="Event at Capo on Aug 27, 2000"/>
        <s v="Event at Genschmar on Aug 27, 2000"/>
        <s v="Event at Kos on Aug 25, 2000"/>
        <s v="Event at Almeria on Aug 12, 2000"/>
        <s v="Event at Mayotte on Aug 11, 2000"/>
        <s v="Event at Ceuta on Aug 11, 2000"/>
        <s v="Event at Almeria on Aug 11, 2000"/>
        <s v="Event at Langenhagen on Aug 11, 2000"/>
        <s v="Event at Bari on Aug 08, 2000"/>
        <s v="Event at Sada on Aug 08, 2000"/>
        <s v="Event at Mayotte on Aug 07, 2000"/>
        <s v="Event at Bari on Aug 07, 2000"/>
        <s v="Event at Malaga on Aug 06, 2000"/>
        <s v="Event at Italian Coast on Aug 06, 2000"/>
        <s v="Event at Mayotte on Aug 03, 2000"/>
        <s v="Event at Sussex, Uk on Aug 03, 2000"/>
        <s v="Event at Frankfurt on Aug 02, 2000"/>
        <s v="Event at Germany on Jul 29, 2000"/>
        <s v="Event at Arinaga on Jul 26, 2000"/>
        <s v="Event at Ceuta on Jul 23, 2000"/>
        <s v="Event at Tarifa on Jul 23, 2000"/>
        <s v="Event at Algeciras on Jul 23, 2000"/>
        <s v="Event at Otranto on Jul 23, 2000"/>
        <s v="Event at Ceuta on Jul 22, 2000"/>
        <s v="Event at Algeciras on Jul 22, 2000"/>
        <s v="Event at Tarifa on Jul 21, 2000"/>
        <s v="Event at Barbate on Jul 17, 2000"/>
        <s v="Event at Larnaca Airport on Jul 16, 2000"/>
        <s v="Event at Bojador on Jul 12, 2000"/>
        <s v="Event at Almeria on Jul 09, 2000"/>
        <s v="Event at Lecce on Jul 09, 2000"/>
        <s v="Event at Gyor, Hungary on Jul 07, 2000"/>
        <s v="Event at Mayotte on Jul 06, 2000"/>
        <s v="Event at Tarifa on Jul 04, 2000"/>
        <s v="Event at Kienitz on Jul 04, 2000"/>
        <s v="Event at Berlin on Jul 03, 2000"/>
        <s v="Event at Trappani on Jun 30, 2000"/>
        <s v="Event at Thessaloniki on Jun 30, 2000"/>
        <s v="Event at Dublin on Jun 22, 2000"/>
        <s v="Event at Dover on Jun 18, 2000"/>
        <s v="Event at Mayotte on Jun 13, 2000"/>
        <s v="Event at San Roque, Spain on Jun 11, 2000"/>
        <s v="Event at Spain on Jun 07, 2000"/>
        <s v="Event at Otranto on Jun 05, 2000"/>
        <s v="Event at Lecce on Jun 05, 2000"/>
        <s v="Event at Frankfurt on Jun 04, 2000"/>
        <s v="Event at Stockholm on Jun 04, 2000"/>
        <s v="Event at Bari on Jun 02, 2000"/>
        <s v="Event at Rinconcillo, Spain on May 29, 2000"/>
        <s v="Event at Lanzarote on May 20, 2000"/>
        <s v="Event at Tarifa on May 18, 2000"/>
        <s v="Event at Gols, Austria on May 16, 2000"/>
        <s v="Event at Dogubayazit on May 15, 2000"/>
        <s v="Event at Gibraltar on May 13, 2000"/>
        <s v="Event at Cadiz on May 13, 2000"/>
        <s v="Event at Tarifa on May 12, 2000"/>
        <s v="Event at El Ejido, Spain on May 11, 2000"/>
        <s v="Event at Sava on May 10, 2000"/>
        <s v="Event at Morocco on May 08, 2000"/>
        <s v="Event at Tanger on May 07, 2000"/>
        <s v="Event at Marocco To Spain on May 07, 2000"/>
        <s v="Event at Cadiz on May 07, 2000"/>
        <s v="Event at Evros on May 07, 2000"/>
        <s v="Event at Kienitz on May 06, 2000"/>
        <s v="Event at Laayoun on May 04, 2000"/>
        <s v="Event at Otranto on May 04, 2000"/>
        <s v="Event at Neisse on May 01, 2000"/>
        <s v="Event at Tarifa on Apr 30, 2000"/>
        <s v="Event at Gibraltar on Apr 30, 2000"/>
        <s v="Event at Cadiz on Apr 30, 2000"/>
        <s v="Event at Otranto on Apr 30, 2000"/>
        <s v="Event at Ceuta on Apr 29, 2000"/>
        <s v="Event at Algeciras on Apr 29, 2000"/>
        <s v="Event at Cadiz on Apr 29, 2000"/>
        <s v="Event at Tarifa on Apr 28, 2000"/>
        <s v="Event at Lecce on Apr 23, 2000"/>
        <s v="Event at Evros on Apr 22, 2000"/>
        <s v="Event at Netherlands on Apr 22, 2000"/>
        <s v="Event at Netherland on Apr 22, 2000"/>
        <s v="Event at Melilla on Apr 21, 2000"/>
        <s v="Event at Lanzarote on Apr 19, 2000"/>
        <s v="Event at Lecce on Apr 18, 2000"/>
        <s v="Event at Italian Coast on Apr 18, 2000"/>
        <s v="Event at Canary on Apr 14, 2000"/>
        <s v="Event at Lanzarote on Apr 14, 2000"/>
        <s v="Event at Almeria on Apr 14, 2000"/>
        <s v="Event at Almeria on Apr 13, 2000"/>
        <s v="Event at Genoa on Apr 13, 2000"/>
        <s v="Event at Poland on Apr 13, 2000"/>
        <s v="Event at Genova on Apr 12, 2000"/>
        <s v="Event at Castillejos on Apr 11, 2000"/>
        <s v="Event at Ceuta on Apr 11, 2000"/>
        <s v="Event at Tarifa on Apr 11, 2000"/>
        <s v="Event at Cheb, Cz on Apr 09, 2000"/>
        <s v="Event at Rosselsheim, Germnay on Apr 05, 2000"/>
        <s v="Event at Stockholm on Apr 05, 2000"/>
        <s v="Event at Wien on Apr 04, 2000"/>
        <s v="Event at Carboneras on Apr 03, 2000"/>
        <s v="Event at Olbernhaus, Germany on Apr 02, 2000"/>
        <s v="Event at Gibraltar on Mar 31, 2000"/>
        <s v="Event at Ceuta on Mar 24, 2000"/>
        <s v="Event at Kos on Mar 24, 2000"/>
        <s v="Event at Cadiz on Mar 23, 2000"/>
        <s v="Event at Nassau-Frauenstein, Germany on Mar 23, 2000"/>
        <s v="Event at Gyor, Hungary on Mar 22, 2000"/>
        <s v="Event at Ceuta on Mar 21, 2000"/>
        <s v="Event at Morava on Mar 21, 2000"/>
        <s v="Event at Brindisi on Mar 19, 2000"/>
        <s v="Event at Trappani on Mar 13, 2000"/>
        <s v="Event at Tarifa on Mar 11, 2000"/>
        <s v="Event at Salzwedel, Germany on Mar 11, 2000"/>
        <s v="Event at Slovakia on Mar 10, 2000"/>
        <s v="Event at Bahia Plata, Spain on Mar 08, 2000"/>
        <s v="Event at Frankfurt on Mar 07, 2000"/>
        <s v="Event at Bari on Mar 05, 2000"/>
        <s v="Event at Canaries on Mar 04, 2000"/>
        <s v="Event at Almeria on Mar 03, 2000"/>
        <s v="Event at Cadiz on Feb 29, 2000"/>
        <s v="Event at Otranto on Feb 29, 2000"/>
        <s v="Event at Mannheim, Germany on Feb 29, 2000"/>
        <s v="Event at Italian Coast on Feb 27, 2000"/>
        <s v="Event at Canary on Feb 18, 2000"/>
        <s v="Event at Lecce on Feb 15, 2000"/>
        <s v="Event at Bolonia on Feb 14, 2000"/>
        <s v="Event at Allbruck, Germany on Feb 14, 2000"/>
        <s v="Event at Germany on Feb 09, 2000"/>
        <s v="Event at Scicli on Feb 04, 2000"/>
        <s v="Event at Wien on Feb 04, 2000"/>
        <s v="Event at Porajow, Poland on Feb 04, 2000"/>
        <s v="Event at Antalya on Dec 31, 2000"/>
        <s v="Event at Lesbos on Dec 31, 2000"/>
        <s v="Event at Brindisi on Dec 31, 2000"/>
        <s v="Event at Schaffhausen, Switzerland on Dec 31, 2000"/>
        <s v="Event at Den Bosch, Netherland on Dec 31, 2000"/>
        <s v="Event at Bulgaria on Dec 30, 2000"/>
        <s v="Event at Ceuta on Dec 26, 2000"/>
        <s v="Event at Brindisi on Dec 26, 2000"/>
        <s v="Event at Gatwick on Dec 24, 2000"/>
        <s v="Event at Gatwick on Dec 23, 2000"/>
        <s v="Event at Tarifa on Dec 21, 2000"/>
        <s v="Event at Tarifa on Dec 20, 2000"/>
        <s v="Event at Otranto on Dec 20, 2000"/>
        <s v="Event at Thessaloniki on Dec 20, 2000"/>
        <s v="Event at Bolonia on Dec 20, 2000"/>
        <s v="Event at Nelson, Uk on Dec 20, 2000"/>
        <s v="Event at Croatia on Dec 18, 2000"/>
        <s v="Event at Netherland on Dec 18, 2000"/>
        <s v="Event at Budapest International Airport on Dec 17, 2000"/>
        <s v="Event at Tarifa on Dec 16, 2000"/>
        <s v="Event at Ceuta on Dec 15, 2000"/>
        <s v="Event at Tarifa on Dec 15, 2000"/>
        <s v="Event at Algeciras on Dec 15, 2000"/>
        <s v="Event at Almeria on Dec 14, 2000"/>
        <s v="Event at Thyrow, Germany on Dec 14, 2000"/>
        <s v="Event at Sweden on Dec 14, 2000"/>
        <s v="Event at Russia on Dec 14, 2000"/>
        <s v="Event at Ceuta on Dec 13, 2000"/>
        <s v="Event at Tarifa on Dec 13, 2000"/>
        <s v="Event at Tarifa on Dec 09, 2000"/>
        <s v="Event at Ceuta on Dec 08, 2000"/>
        <s v="Event at Almeria on Dec 07, 2000"/>
        <s v="Event at Cadiz on Dec 05, 2000"/>
        <s v="Event at Tarifa on Dec 04, 2000"/>
        <s v="Event at Albania To Greece on Dec 04, 2000"/>
        <s v="Event at Mayotte on Dec 03, 2000"/>
        <s v="Event at Tarifa on Dec 02, 2000"/>
        <s v="Event at Melilla on Nov 30, 2000"/>
        <s v="Event at K√∂Rnten, Austria on Nov 27, 2000"/>
        <s v="Event at Ceuta on Nov 24, 2000"/>
        <s v="Event at Sava on Nov 19, 2000"/>
        <s v="Event at Dover on Nov 16, 2000"/>
        <s v="Event at Van Province, Turkey on Nov 14, 2000"/>
        <s v="Event at Mayotte on Nov 12, 2000"/>
        <s v="Event at Kriftelk, Germany on Nov 11, 2000"/>
        <s v="Event at Tarifa on Nov 10, 2000"/>
        <s v="Event at Tarifa on Nov 01, 2000"/>
        <s v="Event at Kastoria on Oct 31, 2000"/>
        <s v="Event at Mayotte on Oct 29, 2000"/>
        <s v="Event at Ragusa on Oct 29, 2000"/>
        <s v="Event at Szombathely, Hungary on Oct 29, 2000"/>
        <s v="Event at Hamburg on Oct 28, 2000"/>
        <s v="Event at Greece To Italy on Oct 25, 2000"/>
        <s v="Event at Ancona on Oct 25, 2000"/>
        <s v="Event at Tarifa on Oct 23, 2000"/>
        <s v="Event at Almeria on Oct 23, 2000"/>
        <s v="Event at Thessalonoki, Greece on Oct 21, 2000"/>
        <s v="Event at Foggia on Oct 17, 2000"/>
        <s v="Event at Steenokerzeel, Belgium on Oct 12, 2000"/>
        <s v="Event at Breesen on Oct 06, 2000"/>
        <s v="Event at Iran on Oct 04, 2000"/>
        <s v="Event at Czech Republic on Oct 03, 2000"/>
        <s v="Event at Trapani on Oct 02, 2000"/>
        <s v="Event at Frankfurt on Jan 29, 2000"/>
        <s v="Event at Singen, Germany on Jan 24, 2000"/>
        <s v="Event at Harmondsworth on Jan 23, 2000"/>
        <s v="Event at Landshut, Germany on Jan 17, 2000"/>
        <s v="Event at Bulgaria on Jan 13, 2000"/>
        <s v="Event at Vega on Jan 12, 2000"/>
        <s v="Event at Trappani on Jan 12, 2000"/>
        <s v="Event at Genova on Jan 12, 2000"/>
        <s v="Event at Ceuta on Jan 11, 2000"/>
        <s v="Event at Asia To Russia on Jan 11, 2000"/>
        <s v="Event at Amsterdam on Jan 11, 2000"/>
        <s v="Event at Stockholm on Jan 11, 2000"/>
        <s v="Event at Sweden on Jan 11, 2000"/>
        <s v="Event at Tarifa on Jan 10, 2000"/>
        <s v="Event at Patelleria, Italy on Jan 10, 2000"/>
        <s v="Event at Kastoria on Jan 10, 2000"/>
        <s v="Event at Florina on Jan 10, 2000"/>
        <s v="Event at Reitzenhain, Germany on Jan 10, 2000"/>
        <s v="Event at Kipoi on Jan 08, 2000"/>
        <s v="Event at Marocco To Spain on Jan 07, 2000"/>
        <s v="Event at Aegean on Jan 07, 2000"/>
        <s v="Event at Fuerteventura on Jan 06, 2000"/>
        <s v="Event at Tarifa on Jan 06, 2000"/>
        <s v="Event at Komotini on Jan 06, 2000"/>
        <s v="Event at Africa To Spain on Jan 05, 2000"/>
        <s v="Event at Tarifa on Jan 05, 2000"/>
        <s v="Event at Lecce on Jan 05, 2000"/>
        <s v="Event at Ceuta on Jan 04, 2000"/>
        <s v="Event at Tarifa on Jan 04, 2000"/>
        <s v="Event at Cadiz on Jan 04, 2000"/>
        <s v="Event at Sava on Jan 04, 2000"/>
        <s v="Event at Vissa on Jan 04, 2000"/>
        <s v="Event at Ceuta on Jan 03, 2000"/>
        <s v="Event at Gibraltar on Jan 03, 2000"/>
        <s v="Event at Foggia on Jan 03, 2000"/>
        <s v="Event at Liverpool on Jan 03, 2000"/>
        <s v="Event at Otranto on Jan 02, 2000"/>
        <s v="Event at Napels on Jan 02, 2000"/>
        <s v="Event at Legnano on Jan 02, 2000"/>
        <s v="Event at Sch√∂Nbuch on Jan 02, 2000"/>
        <s v="Event at Kirchheim on Jan 02, 2000"/>
        <s v="Event at Great Britain on Jan 02, 2000"/>
        <s v="Event at Ayun on Jan 01, 2000"/>
        <s v="Event at Corsica on Jan 01, 2000"/>
        <s v="Migrant shot in Egypt in 2014"/>
        <s v="One man died in a container"/>
      </sharedItems>
    </cacheField>
    <cacheField name="route (Frontex)" numFmtId="0">
      <sharedItems containsBlank="1">
        <m/>
        <s v="Eastern Mediterranean route"/>
        <s v="Central Mediterranean route"/>
        <s v="Western Balkan route"/>
        <s v="Western Mediterranean route"/>
        <s v="Western African route"/>
        <s v="Apulia and Calabria route"/>
        <s v="Central European Route"/>
        <s v="Eastern Borders route"/>
        <s v="Circular route from Greece and Albania"/>
      </sharedItems>
    </cacheField>
    <cacheField name="source" numFmtId="0">
      <sharedItems containsBlank="1">
        <s v="SOHR"/>
        <s v="Greek Coast Guard"/>
        <s v="DPA"/>
        <s v="Telegraph"/>
        <s v="IOM"/>
        <s v="Belga"/>
        <s v="Huffington Post"/>
        <s v="UNHCR"/>
        <s v="Reuters"/>
        <s v="Red Cresecent"/>
        <s v="The Local"/>
        <s v="ABC"/>
        <s v="Irish Examiner"/>
        <s v="IOM Italy"/>
        <s v="Nord Littorale"/>
        <s v="CBC"/>
        <s v="Italian Coast Guard"/>
        <s v="Libyan Coast guard"/>
        <s v="The Telegraph"/>
        <s v="Are You Syrious"/>
        <s v="MENA agency"/>
        <s v="Yabiladi"/>
        <s v="The Daily Beast"/>
        <s v="BBC"/>
        <s v="IOM Rome"/>
        <s v="Giornale di Sicilia"/>
        <s v="UNSMIL, IOM"/>
        <s v="Voria"/>
        <s v="CNN Türk"/>
        <s v="The Times"/>
        <s v="Daily Star"/>
        <s v="Frankfurter Allgemeine Zeitung"/>
        <s v="AFP"/>
        <s v="Le Quotidien"/>
        <s v="Guardian"/>
        <s v="Sputnik"/>
        <s v="Syrian Observatory for Human Rights"/>
        <s v="Reuters, IOM Italy"/>
        <s v="Le Monde"/>
        <s v="IOM Greece"/>
        <s v="El Diario"/>
        <s v="Dogan news agency"/>
        <s v="Hurriyet Daily"/>
        <s v="SOHR, DW"/>
        <s v="Anadolu news agency"/>
        <s v="News24"/>
        <s v="Doctorts of the World"/>
        <s v="Hürriyet"/>
        <s v="Figaro"/>
        <s v="Daily Mail"/>
        <s v="Hurrieyet Daily"/>
        <s v="Corriere Adriatico"/>
        <s v="Independent"/>
        <s v="Barents Observer"/>
        <s v="New York Times"/>
        <s v="Daily Sabah"/>
        <s v="Ekathimerini"/>
        <s v="Migrant Report"/>
        <s v="Paris-Soire"/>
        <s v="La Voix du Nord"/>
        <s v="Euronews"/>
        <s v="Red Cross"/>
        <s v="Turkish Coast Guard"/>
        <s v="Leros News"/>
        <s v="AP"/>
        <s v="Doğan News Agency"/>
        <s v="Moroccan authoriries"/>
        <s v="France 24"/>
        <s v="Codis"/>
        <s v="Swedish police"/>
        <s v="French Authorities"/>
        <s v="British Police"/>
        <s v="LA Times"/>
        <s v="Greek authorities"/>
        <s v="Libya’s Red Crescent"/>
        <s v="Turkish Coast Guards"/>
        <s v="Red Crescent"/>
        <s v="Greek Coast Guards"/>
        <s v="Spanish radio station Cadena SER"/>
        <s v="Macedonian media"/>
        <s v="Serbian media"/>
        <s v="German local news (MDR)"/>
        <s v="Greek Coastguards"/>
        <s v="state-run Anadolu Agency "/>
        <s v="Associated Press"/>
        <s v="French General Attorney"/>
        <s v="Turkey's state-run Anadolu Agency"/>
        <s v="Hurrieyet"/>
        <s v="Hungarian Police"/>
        <s v="Spanish Coast Guards"/>
        <s v="Police"/>
        <s v="Hungarian State television (MTI)"/>
        <s v="Frontex"/>
        <s v="Greek goverment"/>
        <s v="Libyan Coastguards"/>
        <s v="Austrian Police"/>
        <s v="MSF"/>
        <s v="Croix Rouge"/>
        <s v="Libération"/>
        <s v="The Guardian"/>
        <s v="Index.hu"/>
        <s v="France Info"/>
        <s v="BFM"/>
        <s v="Le Parisien"/>
        <s v="The Independant"/>
        <s v="France 3"/>
        <s v="Dispatch times"/>
        <s v="20 Minutes"/>
        <s v="L'Opinion (MA)"/>
        <s v="DailyMail"/>
        <s v="Le Figaro"/>
        <s v="Lyon Capitale"/>
        <s v="The wall street journal"/>
        <s v="usatoday"/>
        <s v="dailynewsegypt"/>
        <s v="thelocal.it"/>
        <s v="ABCnews"/>
        <s v="greekreporter"/>
        <m/>
        <s v="Times of Malta"/>
        <s v="MadaMasr"/>
        <s v="Greek Reporter"/>
        <s v="H√ºrriyet"/>
        <s v="El Mundo"/>
        <s v="East Anglian Daily Times"/>
        <s v="Socialist Worker"/>
        <s v="NYT"/>
        <s v="adnkronos.com, Reuters"/>
        <s v="Anadolu Agency"/>
        <s v="El Periodico"/>
        <s v="Libyan Navy, AJE"/>
        <s v="Ma'an"/>
        <s v="AP, IOM"/>
        <s v="Volkskrant"/>
        <s v="Italian Navy"/>
        <s v="Thomson Reuters"/>
        <s v="Rue89"/>
        <s v="Sky News"/>
        <s v="Libya Herals"/>
        <s v="Secours catholique"/>
        <s v="ToM, Malta Independent"/>
        <s v="Ansa"/>
        <s v="BBC, Al Jazeera"/>
        <s v="Al Jazeera"/>
        <s v="UNHCR/dpa"/>
        <s v="Ansa Mediterranean"/>
        <s v="Dakar Echo"/>
        <s v="L'Expression"/>
        <s v="Freedom Newspaper"/>
        <s v="ToM"/>
        <s v="lesvosnews"/>
        <s v="Neo Kosmos"/>
        <s v="El Pa√≠s, Europa Press"/>
        <s v="Al Jazeera, BBC"/>
        <s v="International Business Times"/>
        <s v="IOL news"/>
        <s v="Sudan Tribune"/>
        <s v="Zeit"/>
        <s v="taz"/>
        <s v="EnetEnglish"/>
        <s v="Amnesty International"/>
        <s v="Lib√©ration"/>
        <s v="Xinhua, ANSA"/>
        <s v="ITV"/>
        <s v="World Bulletin"/>
        <s v="Press Association"/>
        <s v="euroweeklynews"/>
        <s v="SZ"/>
        <s v="tagesspiegel"/>
        <s v="Repubblica"/>
        <s v="Ouest-France"/>
        <s v="Diario Sur"/>
        <s v="Diktyo"/>
        <s v="Channel Africa"/>
        <s v="Dichtbij"/>
        <s v="Naharnet"/>
        <s v="KEERFA"/>
        <s v="Manchester Evening News"/>
        <s v="DHnet"/>
        <s v="MISNA"/>
        <s v="PNN"/>
        <s v="Verein Bildung f√ºr alle"/>
        <s v="El Pais"/>
        <s v="Cameroon Online"/>
        <s v="MUGAK/ElDia"/>
        <s v="TSA/FE"/>
        <s v="PICUM"/>
        <s v="TgCom"/>
        <s v="FE/SUR"/>
        <s v="Gulf News"/>
        <s v="BBC/IRR/Evening Standard/MNS"/>
        <s v="IRR/ZimEye"/>
        <s v="RTA/INDd/VRF/Karawane"/>
        <s v="FE/CypMail"/>
        <s v="MNS/FE"/>
        <s v="Guardian Un./IRR"/>
        <s v="WSLS10/FE"/>
        <s v="FE"/>
        <s v="FE/Ansamed"/>
        <s v="VOA/UN/IRR"/>
        <s v="FE/20Me"/>
        <s v="Universal/AFP"/>
        <s v="Universal/AFP/PICUM"/>
        <s v="MUGAK/LV"/>
        <s v="IRR/Star"/>
        <s v="PICUM/MAS/LRP/FE"/>
        <s v="PICUM/Skai"/>
        <s v="EUobserver/MaltaToday/MaltaStar/TimesM"/>
        <s v="TimesM/MaltaToday/FR-H"/>
        <s v="LR/FE"/>
        <s v="PICUM/Infomob/FE/LR"/>
        <s v="PICUM/LRB/FE/Infomob"/>
        <s v="Reu/AFP/Le Monde/Migreurop/SP/MNS/FE"/>
        <s v="MNS/FE/Migreurop"/>
        <s v="PICUM/TVXS/MNS"/>
        <s v="Migreurop/LRP"/>
        <s v="FE/ANSA"/>
        <s v="Le Monde/AFP/Migreurop"/>
        <s v="TNNum"/>
        <s v="MUGAK/Raz"/>
        <s v="IRR/MUGAK/LV/18Des/EP/EPress"/>
        <s v="Migreurop/KTG/TF1/PICUM/Clandestina/Age/Skai/Ta Nea/ERT"/>
        <s v="LR/Migreurop/PUCUM/FE"/>
        <s v="AGI"/>
        <s v="Migreurop/AFP"/>
        <s v="PICUM/Age/Clandestina"/>
        <s v="PICUM/Age"/>
        <s v="PICUM/LR/jW"/>
        <s v="PICUM/Proto"/>
        <s v="PICUM/Infomob/Ta Nea/Skai"/>
        <s v="PICUM/Infomob/Skai/Clandestina"/>
        <s v="MNS"/>
        <s v="Migreurop/PICUM/AdnK/MP"/>
        <s v="MUGAK/Raz/Diario de Noticias/ElDia/SUR/VDG"/>
        <s v="IRR/Mail Online/21Miles/DailyRec/ThisIsKent"/>
        <s v="CDS/FE"/>
        <s v="DutchN/Migreurop/RNW/PICUM/ENAR"/>
        <s v="PICUM/patrasT"/>
        <s v="PICUM/ClandestinE/Infomob/TK/MNS"/>
        <s v="Sur"/>
        <s v="MUA"/>
        <s v="La Voz de Galicia"/>
        <s v="IRR"/>
        <s v="FFM/Acoge/FE/Que/VK"/>
        <s v="ABC/FE"/>
        <s v="LR/MUGAK/EP/ELC/LV/PICUM/UNHCR/HRW/ABC/DNA/Diario de Noticias/Deia/gara.net/VDG/watchthemed/MNS"/>
        <s v="PICUM/Rizo"/>
        <s v="MNS/PICUM"/>
        <s v="PICUM/Clandestina/Skai/ToV"/>
        <s v="FR-BW/INDd/ARD/"/>
        <s v="HRS/SD/MainP/U4IB/SOS/Karawane"/>
        <s v="MUGAK/Verdad"/>
        <s v="Abcds"/>
        <s v="PICUM/FE/TimesM/AFP/jW"/>
        <s v="CypMail"/>
        <s v="BBC/Gulf/SP/WIK/IlMess"/>
        <s v="Kathimerini"/>
        <s v="MNS/FTRC/Raz/Le Monde/Lib‚àö√†ration"/>
        <s v="Clandestina"/>
        <s v="Today Zaman"/>
        <s v="Sur/Mugak"/>
        <s v="El Watan"/>
        <s v="Apdha"/>
        <s v="ClandestinE/Son Dakika/MNS"/>
        <s v="Adnkronos"/>
        <s v="Al Masry Al Yawm"/>
        <s v="NBK/VK/Eindhovens Dagblad/IMA/MNS"/>
        <s v="ClandestinE/Frontexplode"/>
        <s v="FE/Libero"/>
        <s v="Ansamed"/>
        <s v="Al Masry Al Youm"/>
        <s v="WSWS/LV/MNS/Karawane"/>
        <s v="FE/VDG"/>
        <s v="PICUM/FE/AdnK"/>
        <s v="FE/PICUM/Diario de Navarra"/>
        <s v="TimesM"/>
        <s v="LR"/>
        <s v="LR/ANSA/Reu/Migreurop/Raz/Mail Online/Irish Times/MSN/ABC/ELC/EP/Gara.net/LV/Verdad/DiarioVasco/Aljazeera/AVUI/PICUM/MUGAK/PerCat/LV/ELM"/>
        <s v="KI/MNS"/>
        <s v="FE/AFP"/>
        <s v="FE/ilClandestino"/>
        <s v="ANSA/FE"/>
        <s v="Agenzia Habeshia"/>
        <s v="ABC/Mugak"/>
        <s v="Fortress Europe"/>
        <s v="HessenR/HNA/Welt/SP"/>
        <s v="Europa Press"/>
        <s v="Humano/Publico/MUGAK/EP"/>
        <s v="MNS/TimesM"/>
        <s v="LR/FE/MAS/Mail Online"/>
        <s v="Telegraph/MAS/CDM"/>
        <s v="AFP/Le Monde/Migreurop/Romandie/LR"/>
        <s v="Tg3"/>
        <s v="FE/GRR"/>
        <s v="Il clandestino"/>
        <s v="Quotidiano/LR/Migeurop/Kaosenlared/RAI/PICUM/MUGAK/Quotidiano"/>
        <s v="PUB/Reu/TunisieSoir/GuardianUn/MUGAK/Quotidiano"/>
        <s v="Guardian Un./PerCat/AdnK"/>
        <s v="Quotidiano/LR/Migeurop/Kaosenlared/RAI"/>
        <s v="Seneweb/Nouvel Obs"/>
        <s v="ORF"/>
        <s v="clandestinE"/>
        <s v="LR/AFP/Le Figaro/EP/Diario de Noticias/TunisieSoir"/>
        <s v="ElW"/>
        <s v="Migreurop/AP"/>
        <s v="NZZ"/>
        <s v="Faro/FE/DiarioVasco"/>
        <s v="El Faro"/>
        <s v="GuardianUn"/>
        <s v="Migreurop/Mugak/UNHCR/Reu/Universo/GuardianUn/BBC/LR"/>
        <s v="FE/PICUM"/>
        <s v="PICUM/FE/ANSA/ClandestinE"/>
        <s v="CMau/KI"/>
        <s v="VRF"/>
        <s v="El Pueblo de Ceuta"/>
        <s v="Vrijheid"/>
        <s v="Corriere della Sera"/>
        <s v="IRR/ICARE/MUGAK"/>
        <s v="LESP"/>
        <s v="FE/ElDia/MUGAK"/>
        <s v="FE/LR/PICUM/LRB/Blitz/MUGAK/Raz/ABC/VDG"/>
        <s v="DRARI/INDf"/>
        <s v="FE/AFM"/>
        <s v="MNS/BBC/LESP/LR/Le Monde/Newsaust/Mugak/Diario de Navarra"/>
        <s v="LePhare"/>
        <s v="GuardianUn/MUGAK/ELM/VDG/Raz/ABC/AVUI/PerCat/VK/SUR/Publico/ElDia/ELC/Diario Vasco/PACE/Verdad/Migreurop/UNHCR/ECRE/br2/AFP/HRW"/>
        <s v="Humano"/>
        <s v="FE/Migreurop/ElW"/>
        <s v="ClandestinE/FE/AFP/KI/VK/MNS/BBC"/>
        <s v="FE/Le MatinDZ"/>
        <s v="UNHCR/Sveriges"/>
        <s v="SP/FE/Le Figaro"/>
        <s v="Migreurop"/>
        <s v="Karawane/taz/jW/waz"/>
        <s v="German Federal Police"/>
        <s v="Zaman/NOB"/>
        <s v="Migreurop/FE/FaiNoti"/>
        <s v="KISA/CypMail"/>
        <s v="ElDia/LV/MUGAK/Diario de Navarra/Diario de Noticias"/>
        <s v="Diario De Sevilla"/>
        <s v="Swiss Info"/>
        <s v="MAC"/>
        <s v="ANSA/Gazzettino"/>
        <s v="Il Gazzettino"/>
        <s v="AFP/FocusNews/AllWAfrica"/>
        <s v="Les Temps D Algerie/FE"/>
        <s v="GuardianUn."/>
        <s v="EP/Provincias/DiarioVasco/RoundTown"/>
        <s v="Guardian Un./BBC/IRR/ThisIsNott/TheHuff/NoBordersNott/MNS"/>
        <s v="Provincias"/>
        <s v="Provincias/EP/RoundTown"/>
        <s v="Provincias/EP/MNS/RoundTown"/>
        <s v="RTV Utrecht"/>
        <s v="CPH/IRR/MNS"/>
        <s v="WSWS/Migreurop/CaucKnot/SP/jW/taz/AN/IRR/MNS"/>
        <s v="GuardianUn/IRR/Migreurop/TheHerlad/MNS/Independent"/>
        <s v="GuardianUn/IRR/TheHerlad/MNS/Migreurop/Independent"/>
        <s v="Hurriet"/>
        <s v="aduc/Doorbraak/SunaT/IRR"/>
        <s v="TimesM/Migreurop/AFP"/>
        <s v="UNHCR/DS"/>
        <s v="SetDirecta/FAIV/EP/PerCat/IRR"/>
        <s v="lHumanit"/>
        <s v="Provincias/SUR/Can7"/>
        <s v="PICUM/UNHCR"/>
        <s v="jW/Karawane/IRR/FR-H"/>
        <s v="GuardianUn/IndyMedia/MornStar/IRR"/>
        <s v="PUB/SUR/Provincias/Can7/Nerja/MUGAK/EP/ABC/Diario de Navarra/ELM/ELC/MNS"/>
        <s v="Migreurop/IRR/ST"/>
        <s v="Le Monde/MP/FE/KI"/>
        <s v="IRR/MNS"/>
        <s v="AdnK/Swiss.ch/BBC/UNHCR/Augen Auf/DerBund/IPSNA/KZ/NI/IRR/MNS/Aid/SSF"/>
        <s v="MNS/FIDH/IRR"/>
        <s v="MNS/MUGAK/SUR"/>
        <s v="Everyone Group"/>
        <s v="FE/Swiss.ch"/>
        <s v="762/IRR"/>
        <s v="DerStandard/Salzburger Nachrichten"/>
        <s v="MUGAK/ELM"/>
        <s v="Frontexplode/MNS"/>
        <s v="MNS/LR/Africa-News"/>
        <s v="GuardianUn/NR/IndGB/Demotix/BBC/Rue89/FE/PICUM/IRR/Socialist Worker/NOB"/>
        <s v="Provincias/Deia/Diario de Navarra/Raz/ElDia"/>
        <s v="Europe1/MNS/Parisen"/>
        <s v="Migreurop/Kinisi/FE"/>
        <s v="Europe1/FE/PICUM/MNS"/>
        <s v="EP/ELC"/>
        <s v="Almasr alyoum"/>
        <s v="info/FE"/>
        <s v="Les Temps dAlgrie"/>
        <s v="EFE/SUR"/>
        <s v="Les Temps d'Algerie/Migreurop"/>
        <s v="EFE"/>
        <s v="Diario de Noticias/Diario de Navarra/ABC/SUR/Publico"/>
        <s v="El Khaber"/>
        <s v="PICUM/IRR"/>
        <s v="Info Soir"/>
        <s v="KI/FE/AP/Migreurop/ECRE"/>
        <s v="Map"/>
        <s v="LaNVenezia"/>
        <s v="LR/IRR"/>
        <s v="Migreurop/FE/Kinisi/CorAdriatico"/>
        <s v="LR/ECRE"/>
        <s v="ECRE/LR"/>
        <s v="MNS/Telegraaf"/>
        <s v="EP/Provincias/RoundTown"/>
        <s v="Parisen"/>
        <s v="TimesM/Migreurop"/>
        <s v="VK"/>
        <s v="UNHCR/Sverinsge"/>
        <s v="NOB/FE"/>
        <s v="AFP/EP/DiarioVasco/Razon/ELM/ELC/PerCat/Xinhua/APDHA/NOB"/>
        <s v="DerStandard/FRO/WIKO/Asyl in Not/RoterP"/>
        <s v="AP/FE"/>
        <s v="FE/GiovaniE"/>
        <s v="CDS/NOB"/>
        <s v="ShieldsG/IRR"/>
        <s v="Adnk"/>
        <s v="Diario de Noticia/ElDia/ABC/Verdad/DNG/Deia/gara.net/Diario de Navarra/PUB/DiarioVasco/EP/ELM/PICUM/NOB"/>
        <s v="Gara/MUGAK/NOB"/>
        <s v="ARI"/>
        <s v="LR/CDS/GE/FE/MUGAK/EP/AFP/GARA/ANSA/Nouvel Obs/ASGI/NOB"/>
        <s v="LatinAHTribune"/>
        <s v="La Verdad"/>
        <s v="BBC/Migreurop/NOB"/>
        <s v="Can7/VDG/ElDia/Publico"/>
        <s v="France Presse"/>
        <s v="Diario de Navarra"/>
        <s v="Verdad/Diario de Navarra"/>
        <s v="IlMess/IRR"/>
        <s v="Telegraph/Mail Online/Evening Standard/PICUM/Congoo/Haaba"/>
        <s v="PICUM/SUR/Publico/EP/ELM/Verdad/DiarioVasco/MNS/NOB/AdnE"/>
        <s v="PICUM/LR/MP/NOB"/>
        <s v="EP/AVUI/MUGAK"/>
        <s v="LV/Verdad/PICUM/NOB"/>
        <s v="FE/Ansa/Le Monde/NOB"/>
        <s v="EP"/>
        <s v="Picum/EveryOne Group/NOB"/>
        <s v="REU/NOB"/>
        <s v="La Verdad de Murcia"/>
        <s v="IRR/UPP/NewsD"/>
        <s v="SetDirecta/FAIV"/>
        <s v="VoixDuNord"/>
        <s v="Reu/Ya.F/MSF/MRAP/CSE10/AFP"/>
        <s v="EFE/NOB"/>
        <s v="MUGAK/Can7/EFE/UNHCR/LR/GARA"/>
        <s v="MUGAK/EFE/Diario de Navarra/PICUM/EHAR/NOB"/>
        <s v="MUGAK/EFE/ElDia/Diario de Navarra"/>
        <s v="MUGAK/TimesM/Diario de Navarra/Verdad/LR/PUN/VDG/LR/SIR/Deia/Nouvel Obs/Tisc/IlMess/LS/CDS/MOP/AFP/Migreurop/NOB"/>
        <s v="ABC/MUGAK/EP/ELM/LV/EFE/Diario de Navarra /GARA/DNG/Verdad/ElDia/EPress/APDHA/ELC/MNS/NOB"/>
        <s v="Apcom"/>
        <s v="ABC/MUGAK/Deia/DiariodeNavarra/DNG/APDHA/Berria/LV/PerCat/AVU/DNA/DiarioVasco/Verdad/Raz/GARA/Can7/ELC/VDG/ELM/EP/Publico/DM/SP/AN/VK/CGIL/FE/LR/CDS/Unit√©/Euronews/ANSA/Migreurop/RF/FTCR/AEDH/NYtimes/IANS/UNHCR/GuardianUn./MNS/TW/Stuff/Mediapart/SBS/CF/R"/>
        <s v="Nigerian Tribune"/>
        <s v="CDS/ANSA/AdnK/NOB"/>
        <s v="NR/IRR"/>
        <s v="MUGAK/EFE/PUB/NOB"/>
        <s v="Publico"/>
        <s v="LS/FE/ANSA/Ach/AFP/LSW/NOB"/>
        <s v="CARTA/ElW"/>
        <s v="MUGAK/DNA/SUR/PUB/EFE/ELM/NOB"/>
        <s v="NOB/LR"/>
        <s v="EP/Verdad/ELM/RAZ/MUGAK"/>
        <s v="Malango"/>
        <s v="ANSA/AVV/NOB"/>
        <s v="KI/IRR/MNS"/>
        <s v="Nord Littoral"/>
        <s v="NOB/REU"/>
        <s v="La Razn"/>
        <s v="Can7/ABC/Publico/ELM/DiariodeNoticias/Deia/EP/Raz/ELC/VDG/Verdad/ElDia/PerCat/LV/AVUI/SUR/GARA/DiariodeNavarra/DiarioVasco/DNG/Tribuna/SOS/PrensaLibre/SP/Canadian/CadSER/NYboat/MUGAK/ENAR/MSN/MAG/VOA/BostonH/DN/Migreurop/20Mf/WOL/MNS/STAMPA/Liberazione/AF"/>
        <s v="ABC/EP/MUGAK/ELM/Diario de Navarra/SUR/Can7/ELC/Deia/Der Standard/AFP/NOB"/>
        <s v="LV"/>
        <s v="SP"/>
        <s v="FE/Migreurop/AP/Le Figaro/CDS/ANSA/Unita /TodZam"/>
        <s v="EveryOne Group/LR/Migreurop"/>
        <s v="NOB/TodZam"/>
        <s v="IRR/UxbGaz"/>
        <s v="Malanga"/>
        <s v="FE/Picum/Cesdop/NOB"/>
        <s v="Publico/EP/Diario de Noticia/VDG/Gara/Verdad/Diario de Navarra"/>
        <s v="Publico/AFP/MigrantsOM"/>
        <s v="CDS"/>
        <s v="EP/FE"/>
        <s v="Ansa Med"/>
        <s v="Lib‚àö√†ration/PrivateSource/Libelille"/>
        <s v="EXP/UnSarda/EarthT/EP/PUB/PICUM/NOB"/>
        <s v="LR/Can7/Picum/NOB"/>
        <s v="LR/TDN/Le Figaro/CDS/Migreurop/ANSA/gara.net/Picum/NOB"/>
        <s v="Picum/UNMIK/NOB"/>
        <s v="Anarkismo/IRR"/>
        <s v="FE/VOA"/>
        <s v="Can7/MUGAK"/>
        <s v="AFP/REU/NOB"/>
        <s v="Quotidien dOran"/>
        <s v="LR/ASCA"/>
        <s v="LR/CDS"/>
        <s v="LR/MP/AdnK/ANSA/NOB"/>
        <s v="LR/FE/LPC/PICUM/APDHA/CDS/AEDH/LIDU"/>
        <s v="QUOTI/FE"/>
        <s v="FE/KI/NOB"/>
        <s v="KI"/>
        <s v="FE/Mail Online/IRR"/>
        <s v="UNHCR/IRR"/>
        <s v="Iht"/>
        <s v="VK/Zeit/MET"/>
        <s v="FE/NAN/NT/ODILI"/>
        <s v="AFP/MAG"/>
        <s v="LR/NOB"/>
        <s v="Kuna"/>
        <s v="NOB/KI"/>
        <s v="Nahda Masr"/>
        <s v="Irin"/>
        <s v="Rai News 24"/>
        <s v="Al-Massa'iya"/>
        <s v="Al-Karama"/>
        <s v="NOB"/>
        <s v="SP/JW"/>
        <s v="Telegraph/MaltaIndependent/Ia/PICUM/MNS/LR/NOB/WB/jW"/>
        <s v="FE/SoirInfo"/>
        <s v="CMG"/>
        <s v="BBC/NYtimes/GuardianUn/PICUM/MSN/NOB"/>
        <s v="HURRIYET/NOB"/>
        <s v="PICUM/EP"/>
        <s v="PICUM/EP/NOB"/>
        <s v="La Capitale"/>
        <s v="Mareeg"/>
        <s v="Ideal"/>
        <s v="NOB/TimesM"/>
        <s v="Ua/Raz/Mugak"/>
        <s v="Picum/LR/NOB"/>
        <s v="NOB/MAC"/>
        <s v="NOB/France24"/>
        <s v="Terred errance"/>
        <s v="EP/NOB"/>
        <s v="Reu"/>
        <s v="Reu/Picum"/>
        <s v="TimesM/NOB"/>
        <s v="NOB/ItalyMAG/VK"/>
        <s v="Libelille"/>
        <s v="Gara"/>
        <s v="Publico/NOB"/>
        <s v="MNS/NOB"/>
        <s v="NOB/EP"/>
        <s v="MNS/EP/PICUM/NOB"/>
        <s v="Tripoli Post"/>
        <s v="CDS/Giornale/Stampa/LR/SD/PICUM/NOB/NOB"/>
        <s v="KH/FE/NOB"/>
        <s v="PICUM/TL"/>
        <s v="NOB/UNSarda"/>
        <s v="Al-Masry Al-Yawm"/>
        <s v="CDS/LR/NOB"/>
        <s v="Mrap/IRR/BTB/Lib‚àö√†ration"/>
        <s v="Il Tempo"/>
        <s v="NOB/Diario de Navarra"/>
        <s v="Al-Badil"/>
        <s v="NOB/TEMPO"/>
        <s v="EarthT/PICUM/NOB"/>
        <s v="KI/FE/PICUM/NOB"/>
        <s v="Anatolie"/>
        <s v="Haber"/>
        <s v="Falter"/>
        <s v="MNS/Picum/FE"/>
        <s v="AP/MUGAK/SUR"/>
        <s v="Turkish Daily News"/>
        <s v="Sh/NOB/IRR"/>
        <s v="NOB/FE/ABC"/>
        <s v="LR/MP"/>
        <s v="NOB/AdnK"/>
        <s v="Yen"/>
        <s v="NOB/Verdad"/>
        <s v="Picum/Nt7/TodZam/NOB"/>
        <s v="NOB/DiarioSur"/>
        <s v="CDS/SP/NOB"/>
        <s v="SSF"/>
        <s v="TySp/NOB/MPG/JA/NOB"/>
        <s v="Le Soir"/>
        <s v="FE/Welt/ST/MNS/Picum/Reu/APDHA/MB/BBC/NOB"/>
        <s v="Ftcr/HNS/CPD"/>
        <s v="Ftcr/CPD/HNS"/>
        <s v="Ftcr/CPD/HNS/NOB"/>
        <s v="jW/Karawane"/>
        <s v="NOB/EarthT"/>
        <s v="NOB/Sur"/>
        <s v="Algeria Watch"/>
        <s v="El Khabar"/>
        <s v="Reu./Picum/NOB"/>
        <s v="IRR/20Mf"/>
        <s v="Verdad/MUGAK/EP"/>
        <s v="IRR/BBC/OBS"/>
        <s v="MUGAK/Sur/EFE"/>
        <s v="Assabah"/>
        <s v="Xinhua"/>
        <s v="NR/AugenAufCH"/>
        <s v="FE/CDS"/>
        <s v="BBC/WIK/Independent/Times/IRR"/>
        <s v="TP/NOB"/>
        <s v="Le Quotidien dOran"/>
        <s v="Statewatch/VG/SCH/Dag"/>
        <s v="Amnesty"/>
        <s v="MNS/IRR"/>
        <s v="AOL/Publico/Terra/ABC/adn/EPress/Kaoenlared/ASSI/Diagonal/DiarioRJ/MadD/20ME"/>
        <s v="Guardian Un./IRR/INDgb/4wardUK/JCWI"/>
        <s v="NOB/Ideal"/>
        <s v="TySp/NOB"/>
        <s v="AI/Diversity/MUGAK/Connect/EP/Tribuna/ELM/LV/ELC/SUR/VDG/Provincias/PICUM/BBC/FMLN/NOB"/>
        <s v="GloDP/IRR"/>
        <s v="MUGAK/Publico/SUR/NOB"/>
        <s v="PICUM/AFP/ANSA/NOB"/>
        <s v="PICUM/MNS/AlgerieMonde"/>
        <s v="Corriere"/>
        <s v="IRR/MNS/GRAPPE/CRACPE/VRF"/>
        <s v="Earth Times"/>
        <s v="NOB/HURRIYET"/>
        <s v="EP/MFS/PICUM/NOB"/>
        <s v="FE/IntHeraldTribune/NOB"/>
        <s v="N24/AFP/NOB"/>
        <s v="Algerie Monde"/>
        <s v="ABC/AFP"/>
        <s v="FE/AdnK/UnSarda/LS/NOB"/>
        <s v="ElDia/Top News/ABC/FE/PICUM/Mugak/EFE/gara.net/DiarioVasco/Deia/Diario de Navarra/DNG/AVUI/Verdad/VDG/Provincias/Can7/ELM/NOB"/>
        <s v="El Dia"/>
        <s v="RAI/FE/NOB"/>
        <s v="IntHeraldTribune/NOB/VK/MUGAK"/>
        <s v="GARA/FE"/>
        <s v="ECRE/ST/Vluchteling/IRR/MNS"/>
        <s v="FE/Javno/NOB"/>
        <s v="HRW"/>
        <s v="NOB/TySp"/>
        <s v="Reu/Picum/Javno/NOB"/>
        <s v="CDS/ST/EpolisR/NOB"/>
        <s v="ElDia/Top News/ABC/FE"/>
        <s v="Picum/FE/TOM/NOB"/>
        <s v="Usa Today"/>
        <s v="NOB/LR/EB/GuidaS/ANSA"/>
        <s v="NOB/HaberT"/>
        <s v="Reu/Ftcr/EP/NOB"/>
        <s v="KI/NOB"/>
        <s v="EP/MUGAK/Diario de Navarra/ELM/APDHA/Sur/EFE"/>
        <s v="QUOTI/NOB"/>
        <s v="Picum/NOB"/>
        <s v="Romagna Oggi"/>
        <s v="romagnaoggi/NOB/FE"/>
        <s v="KI/ANA/PICUM/HR"/>
        <s v="Al-Dustur"/>
        <s v="IRR/ARI"/>
        <s v="ABC/MUGAK/PrensaLibre/ElDia/NOB/jW/VK"/>
        <s v="ANSA, Jw/NOB"/>
        <s v="AFP/Picum/jW"/>
        <s v="Ndtv/IRR"/>
        <s v="MNS/Independent/WP/Spits/Telegraph"/>
        <s v="Ua"/>
        <s v="TodZam"/>
        <s v="Al Wafd"/>
        <s v="LR/SD"/>
        <s v="HNS"/>
        <s v="Al Badil"/>
        <s v="IRR/AFP/NOB"/>
        <s v="Hln/IRR/Afrik/MNS/Indymedia/NOB"/>
        <s v="Panapress"/>
        <s v="ASTI"/>
        <s v="FE/QUOTI"/>
        <s v="Xi/NOB"/>
        <s v="Statewatch/IN/IKN"/>
        <s v="EPress"/>
        <s v="Guardian Un./ST/Telegraph/Picum/ELM/MUGAK/EP/Publico/MNS/Can7/ABC/LV/OSF"/>
        <s v="ElDia/EFE/EP/Can7/ELM"/>
        <s v="MNS/PICUM/IRR"/>
        <s v="EP/ELM/EFE"/>
        <s v="IntHeraldTribune"/>
        <s v="MNS/VK"/>
        <s v="Jeune Afrique"/>
        <s v="EP/FE/NOB"/>
        <s v="Afrol/APDA/MUGAK/ELM/Diario de Noticias/LV/Canarias7"/>
        <s v="MNS/KI"/>
        <s v="EP/ELM/APDHA/ProAsyl/IRR/AN/NBF/SUR/Provincias/MUGAK/EFE"/>
        <s v="KI/FE/MNS"/>
        <s v="MP/Reu/Gara.net/LV"/>
        <s v="FE/ilMess/KI"/>
        <s v="GARA/VK"/>
        <s v="MNS/Vivre/TribuneGeneve/LeCourrier"/>
        <s v="MUGAK/Diario de Navarra/LV/PerCat/ABC/SUR/Provincias/ElDia/Vasco/ELM"/>
        <s v="EP/ELM/Deia"/>
        <s v="ANSA/FE/LR/INF/MAG/CDS"/>
        <s v="Radikal"/>
        <s v="MNS/EarthT"/>
        <s v="ELM/Verdad/EP/LV/ElDia"/>
        <s v="EP/MNS"/>
        <s v="MAG/CDS"/>
        <s v="Anatolian"/>
        <s v="LeMonde"/>
        <s v="SudQ"/>
        <s v="QUOTI"/>
        <s v="ICARE/BBC/GuardianUN/SP/TheGlobe/DPS/IntHeraldTribune/PrensaLibre/Mugak/PrensaGrafica/TDN/AP/CNN/UNHCR/MNS/NOB"/>
        <s v="Reu./PICUM"/>
        <s v="Il Piccolo"/>
        <s v="EP/FE/Reu/EITB24"/>
        <s v="Afrik"/>
        <s v="La Sicilia"/>
        <s v="Alter Forum"/>
        <s v="Guardian Un./BBC/DS/AP/FR/VK/LR/MNS/EP/Raz/Mugak/SP/NOB/Berliner Zitg/EP"/>
        <s v="MNS/Reu/LR"/>
        <s v="HNS/Migreurop/MSN"/>
        <s v="EP/EPress"/>
        <s v="LR/Unita/CDS/Tgcom/AP/MNS"/>
        <s v="AthensNewsAgency/NOB"/>
        <s v="NRC/Nopoliceraid/AD"/>
        <s v="ELM/DiarioVasco/Diario de Navarra/MNS/Diario de Noticias/ABC/PUB/ELC/MUGAK/APDHA/PICUM/Vivre"/>
        <s v="MNS/BBC"/>
        <s v="Salam"/>
        <s v="IRR/TheHerald/SC"/>
        <s v="ANSA/LR/Unita/MP/Alicenews"/>
        <s v="taz/MNS"/>
        <s v="SVZV"/>
        <s v="ELM/EFE"/>
        <s v="FL/jW/IRR"/>
        <s v="LR/MNS"/>
        <s v="BBC/IRR"/>
        <s v="Nouvel Obs"/>
        <s v="FE/TySp/Aps"/>
        <s v="Aps"/>
        <s v="ANSA/LS"/>
        <s v="FE/LR/BBC/EB/Reu./LS/ANSA/MNS/Indipendent/MM/UNHCR"/>
        <s v="Se/IRR"/>
        <s v="Reu./FE/TimesM/ANSA/MNS"/>
        <s v="Le Journal"/>
        <s v="Italpress"/>
        <s v="FE/MUGAK/Diario de Noticias/Can7/EP"/>
        <s v="Reu./FE/Diario de Noticias"/>
        <s v="ELM/EP"/>
        <s v="EP/FE/CadSER"/>
        <s v="KI/FE"/>
        <s v="ELM/EP/EXP"/>
        <s v="book:LosInvisiblesDeKolda/Mugak/ELM/FE"/>
        <s v="EXP/EP/jW"/>
        <s v="EP/EXP/jW/ELM"/>
        <s v="FE/LaN/ElW"/>
        <s v="IRR/REF/Lib‚àö√†ration"/>
        <s v="Le Monde/NOB"/>
        <s v="MUGAK/EP/NOB"/>
        <s v="MUGAK/EP/ABC/Diario de Noticias/NOB"/>
        <s v="Karawane"/>
        <s v="JA"/>
        <s v="NOB/PressTv"/>
        <s v="EP/EFE"/>
        <s v="TDN/FE/TodZam"/>
        <s v="LUnit"/>
        <s v="BBC/icS/EveningTimes/INDgb/Independent/TheHerald/SC/HimalayanTimes/IRR"/>
        <s v="FE/KI/DPA"/>
        <s v="WSWS/DPA/IRR"/>
        <s v="MNS/VK/NOB"/>
        <s v="Mountada Rihab"/>
        <s v="NYtimes/QNE/deleteTB/PICUM"/>
        <s v="Khaleej/PR/IntHeraldTribune/MNS/PR/IntHeraldTribune/AOL/PICUM/MNS"/>
        <s v="News 24"/>
        <s v="KI/AthensNewsAgency/Khaleej/NOB/MNS/PICUM"/>
        <s v="EP/MUGAK/APDHA/PICUM/NOB"/>
        <s v="MNS/IN/jW/IRR"/>
        <s v="IntHeraldTribune/NOB"/>
        <s v="As-Sabah"/>
        <s v="Inquest/IRR"/>
        <s v="TDN/NOB"/>
        <s v="TDN/KI/Ya.D/NOB"/>
        <s v="NOB/FE/QUOTI"/>
        <s v="Walfadjri"/>
        <s v="Le Quotidien d'Oran"/>
        <s v="In"/>
        <s v="FE/Tgcom/LS"/>
        <s v="TDN/IRR/MNS/NOB"/>
        <s v="Can7/NOB"/>
        <s v="Afrol News"/>
        <s v="MNS/METROF/IRR"/>
        <s v="MUGAK/AFVIC"/>
        <s v="MNS/PICUM/LESP/jW/LR/MUGAK/AVUI"/>
        <s v="Icare/EFE/EP/EPress/Le Soleil/AFVIC/MUGAK/Taz"/>
        <s v="Seneweb"/>
        <s v="MNS/PICUM/Le Courrier"/>
        <s v="INDi/ASGI/GLOPRO"/>
        <s v="MNS/PICUM/Can7/EFE/MUGAK"/>
        <s v="MP/INDi/ASGI/GLOPRO"/>
        <s v="Ahn"/>
        <s v="ABC/MUGAK/NOB"/>
        <s v="HEXAM/IRR"/>
        <s v="Vivre/Polbe"/>
        <s v="MNS/TP"/>
        <s v="NOB/IRR"/>
        <s v="La Nuova Sardegna"/>
        <s v="AngolaPress/MNS/PICUM/Vivre"/>
        <s v="DPA/MNS/EP"/>
        <s v="LAT"/>
        <s v="TheNews"/>
        <s v="LR/CDS/Unita/RAI/ANSA/IlMess"/>
        <s v="ANSA/GazzettaSud/AdnK/FE/HNS/Migreurop"/>
        <s v="FE/TI/Malta Independent/MP/LR/CDS/SP/ProAsyl/Reu/jW/MNS"/>
        <s v="Bladi"/>
        <s v="FE/Bladi"/>
        <s v="FE/EP"/>
        <s v="News24/NOB"/>
        <s v="Noticias de Alava"/>
        <s v="SC/TP/FE/TDN/MNS/FR-BB/NOB/PICUM/PR/jW"/>
        <s v="LR/FE/IntHeraldTribune/NOB/PICUM/Unipa"/>
        <s v="Hoy"/>
        <s v="NOB/APDHA"/>
        <s v="ELM/FE/NOB/EITB24/PICUM/Kaosenlared/NODO50/APDHA"/>
        <s v="FE/LR/MM/NOB/Unipa"/>
        <s v="ELM/FE/NOB/EITB24/APDHA"/>
        <s v="FE/agrigentoweb"/>
        <s v="Turkish Press"/>
        <s v="LR/Le Monde/GuidaS/MNS/Statewatch/Reu/FE/NOB/Unipa/IntHeraldTribune"/>
        <s v="Lanzarote digital"/>
        <s v="IRR/Streathamguardian"/>
        <s v="Liberation"/>
        <s v="EP/FE/NOB/News24/MNS/GuardianUn/daz/FR-BB/APDHA"/>
        <s v="MNS/Reu/FE/BBC/NOB"/>
        <s v="MNS/FE/EP/BBC/ELM/MAG/PICUM/CRIDEM/APDHA"/>
        <s v="MNS/Unipa"/>
        <s v="ANSA/FE/LR"/>
        <s v="India eNews"/>
        <s v="Motril digital"/>
        <s v="IM/LR"/>
        <s v="CDS/IM/MET/LR/FIEI/Statewatch/NOB/Newsaust"/>
        <s v="Statewatch/FE/Unipa"/>
        <s v="PICUM/AFVIC"/>
        <s v="ANSA/CDS/BBC/IM/Reu/GuardianUn/MNS/FE/LR/Statewatch/PICUM/AFVIC/IPL/NOB/FR-BB/Unipa/DS/ORF"/>
        <s v="Angola Press"/>
        <s v="Statewatch/FE/NOB/APDHA"/>
        <s v="TheHerald/IRR"/>
        <s v="NOB/APDHA/jW"/>
        <s v="Mirror/BBC/IRR"/>
        <s v="ProAsyl/PICUM/Hiergeb"/>
        <s v="NOB/TS"/>
        <s v="IPL/LR/FE/Statewatch/NOB"/>
        <s v="BBC/IPL/FE/LR/Statewatch/MNS/NOB/Unipa"/>
        <s v="MNS/LR/FE/IPL/Statewatch/NOB/MM/Unipa"/>
        <s v="MNS/ELM/FE/Statewatch/NOB/Pravda/APDHA/taz/jW"/>
        <s v="MNS/ELM/FE/Pravda/NOB/APDHA/taz/jW"/>
        <s v="Statewatch/APDHA"/>
        <s v="Statewatch/ELM/FE/Reu/IPL"/>
        <s v="PICUM/KI/MNS/NOB"/>
        <s v="MNS/ELM/FE/Statewatch/BBC/PICUM/NOB/APDHA/taz"/>
        <s v="Statewatch/FE/CDS/IPL"/>
        <s v="Statewatch"/>
        <s v="Statewatch/FE/ELM/PICUM/APDHA"/>
        <s v="MNS/ELM/FE/PICUM/APDHA"/>
        <s v="PICUM/ELM/MNS/Statewatch/FE/NOB/APDHA"/>
        <s v="MNS/NR"/>
        <s v="PICUM/MNS/Statewatch/FE/EP/NOB/APDHA/jW"/>
        <s v="MAG/NRC/IND/Statewatch/FE/ELM/NOB/APDHA/MNS/INDd"/>
        <s v="Statewatch/LR/FE"/>
        <s v="MNS/APDHA"/>
        <s v="EB/Statewatch/FE"/>
        <s v="Statewatch/TP/NCAs"/>
        <s v="BBC/PICUM/NOB/IRR/EADT"/>
        <s v="CPH/MNS/NR/UNHCR"/>
        <s v="FE/ELM/MNS/APDHA/NOB/TySp/Gaymengc/TS"/>
        <s v="NOB/Gaymengc/FE/ELM/TS/MNS/APDHA"/>
        <s v="MP/ADUC/SAP/AFFIT/GLOPRO/LESP/ILD"/>
        <s v="MNS/PICUM/LV/ICARE/APDHA"/>
        <s v="PICUM/KI/NCAs/Statewatch/MNS/FE/NOB/TP"/>
        <s v="APHDA"/>
        <s v="IMK"/>
        <s v="FECL/IPL/Ya.N/PICUM/MNS/FE/TDN/NOB/AFP"/>
        <s v="IPL/Statewatch/FE/Unipa"/>
        <s v="IRR/BBC"/>
        <s v="MNS/IRR/IPL/Statewatch/FE/EP/NOB/APDHA"/>
        <s v="Thenews/IRR"/>
        <s v="APDHA/BBC/Guardianun/Aljazeera/PICUM/NOB/MNS/FE/ELM/jW"/>
        <s v="TS/APDHA"/>
        <s v="IRR/icliverpool"/>
        <s v="Statewatch/NOB/Unipa"/>
        <s v="Statewatch/NOB"/>
        <s v="Statewatch/FE/ELM/NODO50"/>
        <s v="Sparta"/>
        <s v="TDN/FE/PR"/>
        <s v="TS/ELM/FE/Statewatch/NOB/APDHA"/>
        <s v="FE/Statewatch/NOB/Unipa"/>
        <s v="Statewatch/FE/ELM/NOB/APDHA"/>
        <s v="NOB/MNS/Statewatch/KI/FE"/>
        <s v="Statewatch/AFVIC/APDHA"/>
        <s v="MAG/Statewatch/FE/ELM/NOB/APDHA/VK"/>
        <s v="eltelegramma/APDHA"/>
        <s v="RochdaleObs/IRR"/>
        <s v="Vita/MNS/Picum/Statewatch/FE/ELM/IPL/NOB/AFVIC/APDHA/NYtimes/VK"/>
        <s v="Statewatch/FE/ELM/ICARE/VITA/PICUM/IPL/MP/NOB/AI/AFVIC/APDHA/jW/NYtimes"/>
        <s v="Statewatch/FE/NOB"/>
        <s v="Afvic"/>
        <s v="Statewatch/MNS/APDHA"/>
        <s v="Mayotte sans frontires"/>
        <s v="Manchester"/>
        <s v="MNS/Statewatch/APDHA/NOB"/>
        <s v="Statewatch/FE/KI"/>
        <s v="Statewatch/MNS"/>
        <s v="PR"/>
        <s v="LR/FE/MNS/PICUM/Unipa"/>
        <s v="Berliner Ztg/MOZ/Tagesspiegel"/>
        <s v="Statewatch/IPL/MNS/NOB/Pravda/AFP"/>
        <s v="FE/ELM/MNS"/>
        <s v="GHM"/>
        <s v="LaN/FE"/>
        <s v="APDHA/ABC"/>
        <s v="APDHA/ICARE"/>
        <s v="Reu./WSWS"/>
        <s v="TimesM/IntHeraldTribune/CNN/NOB/Vita/NA/EP/PR/FE/MNS/APDHA/PICUM/WSWS/Reu/INDgb/jW/DS"/>
        <s v="TimesM/IntHeraldTribune/PR/FE/APDHA/USAToday/MNS/NOB"/>
        <s v="TmesM/IntHeraldTribune/PR/FE/USAToday/MNS/APDHA/NOB"/>
        <s v="Europa sur"/>
        <s v="ANSA/Unipa"/>
        <s v="Statewatch/ELM/FE"/>
        <s v="El Telegrama"/>
        <s v="BBC/essexchronicle/GuardianUn/PICUM/NOB/IRR/EADT"/>
        <s v="MNS/PUB/APDHA"/>
        <s v="YatchingWorld/FE/ELM/MNS/APDHA"/>
        <s v="AFVIC/MP/Reu/ELM/FE/NOB/News24/MNS/APDHA/PICUM/AFVIC/News24/ABC/Raz"/>
        <s v="MP/ELM"/>
        <s v="AFVIC/MP/Reu/ELM/FE/NOB/News24/CNN/MNS/APDHA/PICUM/AFVIC/News24/ABC/Raz"/>
        <s v="IntHerald/KI/FE/NOB"/>
        <s v="TDN/TP/Ya.D"/>
        <s v="MNS/Statewatch/FE/ELM/Boston/NOB/APDHA/DS"/>
        <s v="MNS/Statewatch/FE/ELM/Boston/NOB/APDHA"/>
        <s v="NOB/KUNA/FE/APDHA"/>
        <s v="Voorvlucht/Oz"/>
        <s v="MP/MM/FE/Unipa/TimesM"/>
        <s v="KI/MP/PICUM/ABC/FE"/>
        <s v="KI/FE/MNS/FR-BB"/>
        <s v="NCADC/UNHCR/IRR"/>
        <s v="IRR/RochdaleObs"/>
        <s v="Satewatch/Aujourd hui/FE"/>
        <s v="Odysseus/PlaZa"/>
        <s v="AFVIC/MNS/Statewatch/APDHA"/>
        <s v="Statewatch/KI/FE/NOB"/>
        <s v="Statewatch/NCADC/IRR/NOB"/>
        <s v="INDm/Vatan/PR/MNS/LaDep"/>
        <s v="FE/LR"/>
        <s v="MNS/APDHA/YatchingWorld"/>
        <s v="ELM/FE/MNS/NOB/Rawstory/PICUM/APDHA"/>
        <s v="FE/FR-BB"/>
        <s v="KI/FE/NOB"/>
        <s v="MNS/Statewatch/FE/ELM/Boston/NOB"/>
        <s v="ELM/FE/BBC/TS/Statewatch/NOB/APDHA"/>
        <s v="ANSA/LR"/>
        <s v="Oz"/>
        <s v="BF/VK/IN"/>
        <s v="NYtimes"/>
        <s v="IRR/Telegraph/Independent"/>
        <s v="BorderlineEU"/>
        <s v="witness (Sarfraz Ali Khan)"/>
        <s v="Ardh"/>
        <s v="NR/NRC/VK/NOB/AI/Terra"/>
        <s v="ILM/NOB"/>
        <s v="LS/GDS"/>
        <s v="La Repubblica"/>
        <s v="AFVIC/NOB"/>
        <s v="MNS/Spiegel/NOB"/>
        <s v="AFVIC/AI"/>
        <s v="NCADC/BBC/MNS/Statewatch/TI/Leedstoday/IRR"/>
        <s v="NCADC/Manchester Evening News/IRR"/>
        <s v="Il Manifesto"/>
        <s v="Le Courrier/Vivre"/>
        <s v="MNS/KI/FE"/>
        <s v="Middleton Guardian/IRR"/>
        <s v="APDHA/MP/IND/NOB"/>
        <s v="MNS/NOB/Unipa"/>
        <s v="G.Sicilia/Unipa"/>
        <s v="Universal Embassy (B)"/>
        <s v="NCADC/IRR"/>
        <s v="VRF/IND/St.W/VRF/SP/AN/MDR/ARI/PR/Afr.Courier/I Oury Jalloh"/>
        <s v="VRF/Statewatch/Karawane"/>
        <s v="TI/IRR/NCADC/BBC/PICUM/Independent"/>
        <s v="ORF/Unipa"/>
        <s v="Basler Zeitung"/>
        <s v="Le Monde Diplomatique"/>
        <s v="Migration News Sheet"/>
        <s v="Zweites Deutsches Fernsehen"/>
        <s v="Ministero interni tedesco"/>
        <s v="BBC/APDHA/AFVIC/NCAs/IstitutoInnocenti/NOB"/>
        <s v="MNS/AFVIC/VK/LR/FE/ELM/NOB/AI"/>
        <s v="MAG"/>
        <s v="NOB/Thestar"/>
        <s v="LR/NOB/Unipa"/>
        <s v="ANA/APDHA/NOB"/>
        <s v="Tagesanzeiger/Swiss Parliament"/>
        <s v="Rainews24"/>
        <s v="TheStandard/NR/MNS/ORF/PICUM/WIKO"/>
        <s v="MNS/PICUM/NOB"/>
        <s v="TI/MAG/DPA/taz"/>
        <s v="taz/NOB"/>
        <s v="STR"/>
        <s v="PICUM/Statewatch/MNS/NOB/Unipa"/>
        <s v="El Periodico Mediterraneo"/>
        <s v="AFVIC/ATMF/NOB"/>
        <s v="YABI/AFP"/>
        <s v="AFP/YABI"/>
        <s v="taz/ARI"/>
        <s v="NR"/>
        <s v="CDS/LR"/>
        <s v="LR/CDS/PICUM"/>
        <s v="MNS/Statewatch/Ya.N/KI/FE/NOB"/>
        <s v="YP/IRR"/>
        <s v="IHRC"/>
        <s v="ILM/MP/Lib"/>
        <s v="MNS/Statewatch/FE/ELM"/>
        <s v="MNS/News24/FE/VK"/>
        <s v="MNS/Statewatch/NOB"/>
        <s v="IRR/WIK"/>
        <s v="Statewatch/ELM/FENOB"/>
        <s v="ACN/AFVIC/PICUM"/>
        <s v="AFVIC/APDHA"/>
        <s v="ACN"/>
        <s v="MNS/Statewatch/FE/ELM/ABC/Raz/MUGAK"/>
        <s v="MNS/Statewatch/FE/ELM/NOB/PICUM"/>
        <s v="State Border Service (UA)"/>
        <s v="FE/LR/NOB"/>
        <s v="MAG/PICUM/Oz/NU"/>
        <s v="LR/MP/AD/MNS/Statewatch/FE/CDS/NOB/Unipa"/>
        <s v="Unita/MNS/GDS/MP/LS/BBC/NOB/Unipa"/>
        <s v="AngolaPress"/>
        <s v="MAG/MNS"/>
        <s v="MP"/>
        <s v="MNS/Statewatch"/>
        <s v="LR/MAG/MNS/Statewatch/VK/Vivre/ASKV/FE/PICUM/NRC/NOB/Parool/ASKV/CR"/>
        <s v="LR/MAG/MNS/Statewatch/VK/Vivre/ASKV/FE/PICUM/NRC/NOB/Parool/Oz"/>
        <s v="LR/MAG/MNS/Statewatch/VK/Vivre/ASKV/FE/PICUM/NRC/NOB/Parool/CR"/>
        <s v="MNS/MM/FE/NOB"/>
        <s v="Exodus"/>
        <s v="MNS/LR/VK"/>
        <s v="Peter bourough today"/>
        <s v="TP/PICUM/NOB"/>
        <s v="De Gentenaar"/>
        <s v="Vivre"/>
        <s v="PICUM/PAJOL/MAG/APDHA/MNS/NOB"/>
        <s v="Statewatch/MUGAK/ABC/Raz"/>
        <s v="APDHA/Chabacka"/>
        <s v="The Australian"/>
        <s v="Le Matin/Vivre"/>
        <s v="Cpgb"/>
        <s v="VK/aduc/Diario de Noticias/Diario de Navarra"/>
        <s v="LESP/Gatti/Migreurop"/>
        <s v="Evening Gazette"/>
        <s v="GuardianUn./KI/BBC/SD-Agencies/AJC/IP/Vivre/LR"/>
        <s v="GuardianUn./KI/BBC/SD-Agencies/AJC/IP/Vivre/YaN/Moscow Times/LR"/>
        <s v="slovensko.com"/>
        <s v="INDd"/>
        <s v="Tunezine"/>
        <s v="MP/AP/PICUM"/>
        <s v="Afrology"/>
        <s v="MUGAK/PICUM/MNS"/>
        <s v="MUGAK/APDHA/Statewatch"/>
        <s v="MUGAK/APDHA/PICUM"/>
        <s v="ISMD/UE/INDbe/EmekaIst."/>
        <s v="MUGAK"/>
        <s v="Whashington Times"/>
        <s v="ANA"/>
        <s v="MUGAK/APDHA"/>
        <s v="RAI/ANSA/ILM"/>
        <s v="DerStandard"/>
        <s v="ELM/GRP/ANA/MUGAK/Statewatch/La Opini‚àö√µn"/>
        <s v="ELM/GRP/ANA/MUGAK/La Opini‚àö√µn"/>
        <s v="ELM/LOP/APDHA/MUGAK/StW"/>
        <s v="MUGAK/Statewatch"/>
        <s v="LOP/MUGAK/APDHA/Statewatch"/>
        <s v="MC/MP/ILM/MUGAK/APDHA/MNS/DS/ABC/Raz"/>
        <s v="MC/MP/ILM/GRP/MUGAK/APDHA/MNS"/>
        <s v="UE/MNS/sgcv"/>
        <s v="CDS/Vivre"/>
        <s v="Vivre/BBC/IRR/LaS/RO/LS/MUGAK/Vivre/LR"/>
        <s v="Vivre/BBC/IRR/LaS/RO/LS/MUGAK/LR/DS/VK"/>
        <s v="PAIH"/>
        <s v="MC"/>
        <s v="MNS/MC/MUGAK/Terra/TN/Vivre"/>
        <s v="ADN"/>
        <s v="RIS"/>
        <s v="MC/APDHA"/>
        <s v="IRR/SC/The Herald/NCADC"/>
        <s v="IRR/MSN/ERB/NCADC"/>
        <s v="NCADC/IRR/Inquest/PPO"/>
        <s v="ANA/ART"/>
        <s v="SC/BBC/IRR/NCADC"/>
        <s v="ILM/Unipa"/>
        <s v="EindhovensDagblad/MAG/VK"/>
        <s v="LS/ANSA"/>
        <s v="APDHA/PICUM"/>
        <s v="PUB"/>
        <s v="MNS/ERB/UNHCR"/>
        <s v="SP/Statewatch/MNS/MUGAK/MC"/>
        <s v="JdeGe/CO"/>
        <s v="MNS/PUB/OCPM"/>
        <s v="IRR/PAIH/SCOT/SM/NCADC"/>
        <s v="LS/STR/ILM/Unipa"/>
        <s v="YaN"/>
        <s v="MET/IRR"/>
        <s v="jW/taz/EPP"/>
        <s v="FR-NRW/Vivre/MC/Statewatch/YaN"/>
        <s v="FR-NRW/MC/VK"/>
        <s v="MNS/MUGAK/APDHA"/>
        <s v="MC/MNS/Statewatch"/>
        <s v="RP/Indymedia/"/>
        <s v="ANA/CDS/Vivre/MUGAK/Statewatch/DS"/>
        <s v="ANA/CDS/MT/Vivre/MUGAK/StW./MNS/SFGate/DS/VK"/>
        <s v="APDHA/MUGAK/VK"/>
        <s v="AN"/>
        <s v="NOB/MNS"/>
        <s v="PICUM/Unipa"/>
        <s v="IRR/GuardianUn"/>
        <s v="LESP/Gatti"/>
        <s v="Nova TV(27/10/2005)"/>
        <s v="MNS/APDGA/MUGAK"/>
        <s v="MNS/APDHA/MUGAK"/>
        <s v="AFVIC/SP/MP/MNS/PICUM/Vivre/APDHA/MUGAK/NOB"/>
        <s v="MNS/Vivre"/>
        <s v="Ahdath Magribia"/>
        <s v="APDHA/MUGAK"/>
        <s v="MNS/MUGAK"/>
        <s v="MNS/MM/NOB/Unipa"/>
        <s v="MNS/AFVIC/Libertaddigital/NOB"/>
        <s v="AFVIC/Statewatch/APDHA/MUGAK/ABC/Raz"/>
        <s v="AFVIC/Statewatch/MUGAK/APDHA/ABC/Raz"/>
        <s v="ANA/ANSA/Unipa"/>
        <s v="ORF/NOB"/>
        <s v="Xinhuanet"/>
        <s v="GuardianUn./IRR/Scotman News"/>
        <s v="ProAsyl"/>
        <s v="NOB/Vivre"/>
        <s v="LR/Unipa"/>
        <s v="APDHA/MUGAK/AFVIC/DPA"/>
        <s v="Corsera"/>
        <s v="MP/Statewatch"/>
        <s v="MP/Statewatch/MNS/di-ve news/Unipa"/>
        <s v="NCADC"/>
        <s v="MNS/Vivre/VK"/>
        <s v="FR-Th"/>
        <s v="FR-NRW/ANA/ANSA/Unipa"/>
        <s v="NON"/>
        <s v="NON/FORBES"/>
        <s v="Unipa"/>
        <s v="YaN/MNS/MC/NOB"/>
        <s v="Tiroler Tageszeitung/Salzburger Nachrichten/Yahoo/MC/NOB/MNS"/>
        <s v="MLKO"/>
        <s v="Vivre/MNS"/>
        <s v="Servir"/>
        <s v="MP/ANSA"/>
        <s v="Akin"/>
        <s v="IRR/NCADC"/>
        <s v="PORTS/ERB/IRR/NCADC"/>
        <s v="MNS/Fl√ºchtlingsrat-Brandenburg/BBC"/>
        <s v="AI"/>
        <s v="AFP/MNS/Vivre"/>
        <s v="BBC/Statewatch/AP"/>
        <s v="MNS/Asyl in Not"/>
        <s v="GuardianUn/Inquest/BBC/IRR"/>
        <s v="IRR/Vita"/>
        <s v="Vita"/>
        <s v="Di-ve.com (Malta)"/>
        <s v="VK/NRC/Oz/Zelf"/>
        <s v="Trouw/VK/PLi"/>
        <s v="LR/IPL/Unipa"/>
        <s v="BBC News"/>
        <s v="BBC/CARF/Kurdmedia/IRR"/>
        <s v="Twee Vandaag"/>
        <s v="MNS/AFP"/>
        <s v="IRR/MUGAK"/>
        <s v="NOB/Mumbaicentral"/>
        <s v="AFP/MNS/MUGAK/Statewatch"/>
        <s v="AFP/MUGAK"/>
        <s v="IET/ILP"/>
        <s v="IPL/Unipa"/>
        <s v="IRR/Malmoe/COE"/>
        <s v="Statewatch/AFP/MNS/GuardianUn/MUGAK"/>
        <s v="Statewatch/MUGAK/MNS"/>
        <s v="Indymedia/MUGAK"/>
        <s v="CARF/Metropolitan Police/IRR/NCADC"/>
        <s v="MNS/NOB/IPL/Vita/TL/Unipa"/>
        <s v="Statewatch/MNS/AFP/GuardianUn/ABC/Observer/LR/YaN/SP/VK/Vivre/Vita/IPL/TL/Unipa/ProAsyl"/>
        <s v="Statewatch/MNS/AFP/GuardianU/ABC/Observer/LR/YaN/SP/VK/Vivre/Vita/IPL/TL/Unipa"/>
        <s v="Modern Ghana"/>
        <s v="BBC/MNS/YaN/IRR"/>
        <s v="Statewatch/MNS/AFP/TG/PLi/IND/Nouvel Obs./TN/AGI/SP/ VK/LR/IPL/CNNit/ CDS/ILN/Unipa/ProAsyl"/>
        <s v="Statewatch/MNS/AFP/TG/PLi/IND/LR/IPL/CNNit/ILN/CDS"/>
        <s v="LR/IPL/CNNit/ILN/CDS/TL"/>
        <s v="MNS/ANP"/>
        <s v="MNS/The Herald/NCADC/ERB/IRR"/>
        <s v="icB/IRR/NCADC"/>
        <s v="Malta Independent/MNS/FIDH"/>
        <s v="YaN/GDS/ILM/IPL/TL"/>
        <s v="MNS/Fl√ºchtlingsrat-Brandenburg/ILM"/>
        <s v="MNS/ERB"/>
        <s v="BBC/Socialist Worker/NCADC/IRR/Asylum Policy/gay.com UK/IRR"/>
        <s v="AFP/MNS/NO"/>
        <s v="DVHN"/>
        <s v="PUB/NOB/MUGAK"/>
        <s v="MNS/GuardianUn./MUGAK/ABC/Raz"/>
        <s v="MNS/Grand Paris"/>
        <s v="Statewatch/MNS/MUGAK"/>
        <s v="Statewatch/ProAsyl/FR-NieSa/ARI"/>
        <s v="MNS/NI/AP/SP/Kurier/Vielfaltletter/BBC/MUGAK/IMK"/>
        <s v="Vivre/MNS/Indymedia/Augen auf/"/>
        <s v="Pana"/>
        <s v="MNS/Die Bunte"/>
        <s v="Statewatch/MNS/Indymedia/VK/AP/GuardianUn/Trouw/MUGAK/MP/BELT/GRP/BWT/APDHA/PICUM"/>
        <s v="MNS/Vivre/TL"/>
        <s v="NOB/TL/IPL"/>
        <s v="MSN/WOZ/TL/Vivre"/>
        <s v="Miami Herald/TL"/>
        <s v="IRR/NCADC/ERB"/>
        <s v="Statewatch/LR/MNS/Pogledi/GuardianUn/VK/SP/Vivre/DPA"/>
        <s v="Statewatch/LR/MNS/YaN/Pogledi/GuardianUn/VK/SP/Vivre/MiamiHarold/Vita/IPL/MUGAK/DPA"/>
        <s v="Statewatch/LR/MNS/YaN/Pogledi/GuardianUn/VK/SP/Vivre/MiamiHarold/Vita/IPL/MUGAK"/>
        <s v="Statewatch/MNS/LR/SP/IPL/DPA"/>
        <s v="Statewatch/MNS/LR/SP/TL/Mugak/IPL/"/>
        <s v="Statewatch/MNS/LR/IPL"/>
        <s v="INDi/IPL/Unipa"/>
        <s v="L'Humanit"/>
        <s v="VK/AP/DPA/AFP/Statewatch/MUGAK"/>
        <s v="IRR/NCADC/CARF/MNS"/>
        <s v="MNS/Vita"/>
        <s v="MNS/Vivre/AFP/AP/TL"/>
        <s v="Cgt"/>
        <s v="NCADC/AI/AN/VK/Vivre/MNS/borderzerolist/IND/JT/Statewatch/MUGAK/IRR"/>
        <s v="MNS/Vivre/MUGAK"/>
        <s v="MNS/ Spits/ AFP"/>
        <s v="MNS/APDHA/MUGAK/IRR"/>
        <s v="VK/AC/AFVIC/CW/demo"/>
        <s v="SH"/>
        <s v="SOS"/>
        <s v="Haarlems Dagblad"/>
        <s v="MNS/AFP/MUGAK"/>
        <s v="ERB"/>
        <s v="TL"/>
        <s v="HRFT/AFP"/>
        <s v="HRFT"/>
        <s v="VK/MNS/IRR/TL/LR/MUGAK/Vita"/>
        <s v="Morgeng./MNS"/>
        <s v="VK/AP/Morgengr./MNS/HRFT/ICARE/IRR/inq7/HRA/Reu/Vita/MUGAK"/>
        <s v="Kurdish Observer"/>
        <s v="INDd/jW/IRR"/>
        <s v="OBV/MUGAK"/>
        <s v="ANP/AFP"/>
        <s v="MNS/taz/AFP"/>
        <s v="HRFT/ECRE/Vita/TL"/>
        <s v="Statewatch/IRR"/>
        <s v="AP/MNS"/>
        <s v="Statewatch/VK"/>
        <s v="Statewatch/VK/TL/Vita"/>
        <s v="NCADC/CARF/IRR/ERB/BBC"/>
        <s v="VK/MigrantNews/MNS/AFP/CNN/DPA/ANP/SZ/Rheinpfalz/Statewatch/TG/MUGAK/ProAsyl"/>
        <s v="VK/MigrantNews/MNS/AFP/CNN/DPA/ANP/SZ/Rheinpfalz/Statewatch/TG/MUGAK/TL/Vita"/>
        <s v="VK/MNS/HRFT/IRR"/>
        <s v="NRC"/>
        <s v="HRFT/ProAsyl"/>
        <s v="Spits/MNS/MN/TL"/>
        <s v="Spits/MNS/HRFT"/>
        <s v="MNS/Vivre/Parool/HRFT"/>
        <s v="MNS/HRFT"/>
        <s v="MNS/HRFT/NCAs"/>
        <s v="VK/SP"/>
        <s v="AFP/ARI/VK/StGallerTagblatt/BBC"/>
        <s v="AFP/IRR"/>
        <s v="allAfrica/IRR"/>
        <s v="Socialist Worker/IRR"/>
        <s v="AFP/MNS/AP"/>
        <s v="MNS/Vivre/HRFT/AP"/>
        <s v="AIg"/>
        <s v="MNS/AP/IRR"/>
        <s v="AP/MNS/IRR"/>
        <s v="SAGA/ARI/IRR"/>
        <s v="GuardianUn/Annanova/Telegraph/Myjoyonline/IRR/IstitutoInnocenti/NCAs"/>
        <s v="GHM/OMCT/YaN/ProAsyl"/>
        <s v="KI/IRR"/>
        <s v="WB/FR-NRW/NW/MNS"/>
        <s v="NCADC/AI/NOB/AN/Vivre/AFP/borderzerolist/LeMonde/JT/IND/MUGAK"/>
        <s v="SOS/MUGAK/APDHA"/>
        <s v="MNS/AP"/>
        <s v="IRR/YT/NCADC"/>
        <s v="NOB/Telegraaf"/>
        <s v="CARF/IRR"/>
        <s v="Edinburgh Evening News"/>
        <s v="NCADC/CARF/IRR"/>
        <s v="VK/AFP"/>
        <s v="VK/MNS/DPA"/>
        <s v="MGHR"/>
        <s v="Pateras de la vida"/>
        <s v="MNS/FR/taz/Tagesspiegel/AFP"/>
        <s v="Socialist Worker/NCADC/IRR"/>
        <s v="MNS/CNN/AFP/DPA/Vita"/>
        <s v="AFP/MNS/CNN/DPA/Statewatch/Vita"/>
        <s v="MNS/Gr√∂n Ungdom/IRR"/>
        <s v="MNS/NCAs"/>
        <s v="L'Opinion"/>
        <s v="Freies Wort"/>
        <s v="IRAINC"/>
        <s v="MNS/AP/Telegraaf/MUGAK"/>
        <s v="IRR/TL/Vita"/>
        <s v="MAG/VK"/>
        <s v="AP/Tagesspiegel"/>
        <s v="Trouw"/>
        <s v="VK/Reu/The News/MNS"/>
        <s v="VK/Reu/The News/MNS/HRA/MUGAK"/>
        <s v="DPA/MNS/HRFT"/>
        <s v="KO"/>
        <s v="NW"/>
        <s v="MN"/>
        <s v="Indymedia/SFR"/>
        <s v="MNS/AP/IRR/ODP"/>
        <s v="ODP"/>
        <s v="MNS/ODP"/>
        <s v="Macedonian Press Agency"/>
        <s v="MNS/IRR/CARF/NCADC"/>
        <s v="CARF/IRR/MNS"/>
        <s v="OBP"/>
        <s v="AFP/VK/SZ/MET/AP/NCADC/MNS/Waterford News/RTE/KO/MN/NCADC/MUGAK/INDie"/>
        <s v="NW/Mugak/ELM/DiarioVasco"/>
        <s v="MNS/Malmoe"/>
        <s v="Statewatch/MUGAK"/>
        <s v="MNS/VK/AFP"/>
        <s v="Mugak/GARA/MNS"/>
        <s v="OBV/IRR"/>
        <s v="MNS/DPA"/>
        <s v="MNS/Mugak/EP"/>
        <s v="Gara/Diario Vasco"/>
        <s v="MNS/IRR/Mugak/EP/AFP"/>
        <s v="MNS/ELM"/>
        <s v="Athens News Agency"/>
        <s v="DPA/Athens News Agency"/>
        <s v="PRIME"/>
        <s v="MNS/NW/ELM/EP/Gara/DiarioVasco"/>
        <s v="British Broadcasting Corporation"/>
        <s v="EIS/NW/LausitzerRundschau/FreiePresse/MNS/IRR/ARI"/>
        <s v="MNS/EP"/>
        <s v="NOS"/>
        <s v="EP/GARA"/>
        <s v="MNS/DiarioVasco/Gara"/>
        <s v="NCADC/INexile/Telegraph/IRR"/>
        <s v="Spits/VK/MNS/HRFT/BBC/NCAs/IstitutoInnocenti/NCAs"/>
        <s v="Der Standard"/>
        <s v="CARF/IRR/NCADC/ERB"/>
        <s v="Mugak/Gara"/>
        <s v="CARF/NCADC/IRR"/>
        <s v="AmsStadsblad/VK"/>
        <s v="IRR/INDgb"/>
        <s v="MNS/AFP/NCADC/DPA/NCADC"/>
        <s v="MNS/ELM/PUB"/>
        <s v="AP/IRR/Der Standard"/>
        <s v="MNS/NW DPA/Vita/TL"/>
        <s v="IRR/Vita/TL/LS"/>
        <s v="CARF/MNS/Statewatch/IRR/NCADC/IRN"/>
        <s v="WB"/>
        <s v="AugenAuf/CCSI/SOS-CH/BAZ/LeTemps/AI/MNS/NOB/Statewatch/IRR/AFP/Vivre/MUGAK/NCADC"/>
        <s v="taz/IRR/ARI/BBC"/>
        <s v="taz/IRN"/>
        <s v="Diario Vasco"/>
        <s v="ERRC"/>
        <s v="Giuliano News Chronicle"/>
        <s v="ARI/FRBer/Liga f√ºr Mr./MNS/taz"/>
        <s v="MNS/AFP/taz/IFIR"/>
        <s v="German Government"/>
        <s v="AFP/AP/BBC"/>
        <s v="InformeRaxen"/>
        <s v="DiariodeNoticias"/>
        <s v="Morgengr./Statewatch/FR-NieSa/ProAsyl/IRR/HRS"/>
        <s v="VK/No Pasaran/IRR/NCRM"/>
        <s v="taz/MNS/VK"/>
        <s v="MNS/DiariodeNavarra/EP/Mugak"/>
        <s v="DiariodeNoticias/EP"/>
        <s v="ISAGC"/>
        <s v="ELM/Mugak/ABC/Raz"/>
        <s v="ILM/CDS"/>
        <s v="Irish Times"/>
        <s v="VK/Parool/dpa/AP/Mugak/Reuters/AP/NBK/NCADC/Open"/>
        <s v="EP/ELM"/>
        <s v="MNS/taz"/>
        <s v="taz/Pax Christi/FR/IRR/MNS"/>
        <s v="ILM"/>
        <s v="I Care/Town Crier"/>
        <s v="Ananova"/>
        <s v="I Care/The Entertainer Online"/>
        <s v="I Care/The Entertainer Online/ABC/Raz"/>
        <s v="MNS/GARA"/>
        <s v="Athen News"/>
        <s v="Giuliano News Chronicle/LS/Vita/TL"/>
        <s v="taz/Giuliano News Chronicle/AFP/IRR"/>
        <s v="AFP/MNS/Diario Vasco"/>
        <s v="AFP/MNS/Diario Vasco/TAZ"/>
        <s v="AFP/EP"/>
        <s v="Giuliano News Chronicle/ANSA"/>
        <s v="ELM/GARA/MNS"/>
        <s v="MNS/GARA/ELM"/>
        <s v="VK/taz/NOS teletext/DPA"/>
        <s v="taz/ICARE/Ananova/MNS"/>
        <s v="SOS/Menschenrechte/Malmoe"/>
        <s v="MGHR/Hungary"/>
        <s v="Salzburger Nachrichten"/>
        <s v="ANSA/ILM/CDS"/>
        <s v="EP/ELM/LV/MNS/Diario/VSF/MUGAK"/>
        <s v="DiarioVasco"/>
        <s v="SAGA/ARI"/>
        <s v="DPA/IRR"/>
        <s v="AFP/AHDA/I Care/Malmoe"/>
        <s v="DPA/Reu/MNS/Morgengr./MN/NW/LaOpini‚àö√µn"/>
        <s v="La Opini‚àö√µn"/>
        <s v="Den Blanken"/>
        <s v="MNS/Parool/Telegraph"/>
        <s v="CARF/IRR/NCADC"/>
        <s v="IFIR"/>
        <s v="Reu/UNHCR/MNS/MGHR/IRR/HHC/MUGAK/NCADC"/>
        <s v="ELM"/>
        <s v="MNS/ELM/ DiarioVasco"/>
        <s v="ELM/GARA"/>
        <s v="RosaAntifa/Format/DerStandard/DieGr√ºnen/DPA/Malmoe"/>
        <s v="Ohr"/>
        <s v="MRAX/MNS/Statewatch/IRR"/>
        <s v="taz/DPA/AFP"/>
        <s v="Deutsche Press Agentur"/>
        <s v="MP/ARCI/L.B.CPT/GdV/quibla/INDi"/>
        <s v="IMEDANA"/>
        <s v="VSF"/>
        <s v="N√§tverket mot rasism"/>
        <s v="GHM/OMCT"/>
        <s v="ICARE"/>
        <s v="IRR/CARF/NCADC"/>
        <s v="IRR/BBC/Mojuk/GuardianUn/zahidmubarekinquiry/Statewatch/Inquest"/>
        <s v="No Pasaran"/>
        <s v="Middle East Eye"/>
      </sharedItems>
    </cacheField>
    <cacheField name="source_url">
      <sharedItems containsBlank="1" containsMixedTypes="1" containsNumber="1">
        <s v="http://edition.cnn.com/2016/06/20/middleeast/sohr-turkey-syria-border-shooting/"/>
        <s v="http://www.hcg.gr/node/12832"/>
        <s v="http://www.dpa-international.com/news/international/italy-coastguard-1230-sea-migrants-rescued-one-body-recovered-a-49628405.html"/>
        <s v="http://www.telegraph.co.uk/news/2016/06/13/hungary-and-serbia-turning-a-blind-eye-to-thousands-of-migrants/"/>
        <m/>
        <s v="http://bx1.be/news/un-corps-sans-vie-decouvert-dans-un-avion-de-brussels-airlines/"/>
        <s v="http://www.huffpostmaghreb.com/2016/06/08/migrant-meurt-melilla_n_10351888.html"/>
        <s v="http://www.dw.com/en/unhcr-calls-for-investigation-into-river-drowning-of-syrian-refugee-in-hungary/a-19307392"/>
        <s v="http://in.reuters.com/article/europe-migrants-greece-iom-idINKCN0YT1LQ"/>
        <s v="http://www.reuters.com/article/us-europe-migrants-libya-idUSKCN0YR0IZ"/>
        <s v="http://www.thelocal.se/20160602/reports-dead-girl-was-16-year-old-asylum-seeker"/>
        <s v="http://abcnews.go.com/International/wireStory/latest-eu-nations-extend-border-checks-39521792"/>
        <s v="http://www.hcg.gr/node/12607"/>
        <s v="http://www.irishexaminer.com/ireland/migrants-body-found-on-dinghy-by-le-roisin-crew-402369.html"/>
        <s v="http://www.nordlittoral.fr/faits-divers/calais-mort-d-un-migrant-afghan-percute-par-un-camion-ia0b0n312327"/>
        <s v="http://www.cbc.ca/news/world/migrant-drownings-1.3605484"/>
        <s v="http://palermo.repubblica.it/cronaca/2016/05/27/news/terzo_naufragio_in_tre_giorni_dieci_corpi_recuperati_decine_di_dispersi-140753076/?ref=HREA-1&amp;refresh_ce"/>
        <s v="http://news.nationalpost.com/news/world/bodies-spotted-in-the-mediterranean-sea-after-migrant-boat-sinks-off-of-libyas-coast"/>
        <s v="http://www.thenational.ae/world/europe/700-refugees-believed-drowned-in-the-mediterranean-in-three-days-says-un"/>
        <s v="http://www.telegraph.co.uk/news/2016/05/22/italy-launches-search-for-missing-migrant-boat-off-sardinia/"/>
        <s v="https://archive.is/GuXGI"/>
        <s v="http://english.ahram.org.eg/NewsContent/1/64/216993/Egypt/Politics-/Two-bodies-found-near-sea-shore-in-Egypts-Kafr-ElS.aspx"/>
        <s v="http://www.yabiladi.com/articles/details/44551/ceuta-marocain-meurt-essayant-rejoindre.html"/>
        <s v="http://www.thedailybeast.com/articles/2016/05/09/isis-s-war-kills-syrian-orphans.html?via=desktop&amp;source=twitter"/>
        <s v="http://www.nordlittoral.fr/faits-divers/un-refugie-percute-sur-la-rocade-de-calais-meurt-un-ia0b0n306611"/>
        <s v="http://www.bbc.co.uk/news/world-middle-east-36214290"/>
        <s v="http://www.hcg.gr/node/12503"/>
        <s v="http://www.hcg.gr/node/12500"/>
        <s v="http://ragusa.gds.it/2016/05/02/sbarco-a-pozzallo-i-sopravvissuti-30-migranti-morti-in-mare-durante-i-soccorsi_507200/"/>
        <s v="http://www.middleeasteye.net/news/scores-missing-latest-sinking-libyan-coast-828095045"/>
        <s v="http://unsmil.unmissions.org/Default.aspx?tabid=3543&amp;ctl=Details&amp;mid=6187&amp;Itemid=2099587&amp;language=en-US"/>
        <s v="http://www.independent.co.uk/news/world/europe/syrian-refugee-dies-after-being-hit-by-police-van-at-idomeni-refugee-camp-in-greece-a6994161.html"/>
        <s v="http://www.hcg.gr/node/12428"/>
        <s v="http://www.cnnturk.com/turkiye/kiliste-roketli-saldiri-sonucu-olenlerin-sayisi-5e-yukseldi"/>
        <s v="https://www.almasdarnews.com/article/syrian-women-children-shot-dead-turkish-border-guards/"/>
        <s v="http://www.hcg.gr/node/12395"/>
        <s v="http://www.dailystar.co.uk/news/latest-news/508405/Body-dead-refugee-child-girl-3-fisherman-net-Turkey"/>
        <s v="http://www.unhcr.org/57177c199.html"/>
        <s v="http://www.thelocal.it/20160418/over-400-italy-bound-migrants-drowned-in-latest-boat-tragedy"/>
        <s v="http://www.faz.net/aktuell/rhein-main/asylbewerber-laeuft-auf-a3-und-wird-getoetet-14177883.html"/>
        <s v="http://www.hcg.gr/node/12375"/>
        <s v="https://www.lorientlejour.com/article/980558/tunisie-les-depouilles-de-sept-migrants-repechees-au-large-du-sud-du-pays.html"/>
        <s v="http://www.hcg.gr/node/12371"/>
        <s v="http://www.lequotidien.lu/politique-et-societe/luxembourg-silence-sur-le-mysterieux-suicide-dun-refugie-russe/"/>
        <s v="http://www.romandie.com/news/Grece-5-migrants-dont-1-enfant-se-sont-noyes-en/693154.rom"/>
        <s v="https://www.theguardian.com/world/2016/apr/09/libya-influx-migrants-europe"/>
        <s v="http://www.hcg.gr/node/12311"/>
        <s v="http://www.hcg.gr/node/12307"/>
        <s v="http://www.theguardian.com/world/2016/apr/02/teenager-from-kurdistan-dies-under-lorry-in-oxfordshire"/>
        <s v="http://sputniknews.com/world/20160331/1037266113/migrant-ship-sinks.html"/>
        <s v="http://www.mirror.co.uk/news/world-news/turkey-shoots-dead-syrian-refugees-7659394"/>
        <s v="http://www.reuters.com/article/us-europe-migrants-italy-idUSKCN0WW2AY"/>
        <s v="http://www.lemonde.fr/europe/article/2016/03/31/calais-un-migrant-meurt-renverse-par-un-camion_4892827_3214.html"/>
        <s v="http://www.hcg.gr/node/12257"/>
        <s v="https://www.cihan.com.tr/en/libya-coast-washed-ashore-2043333.htm"/>
        <n v="9.0264574"/>
        <s v="http://www.hcg.gr/node/12249"/>
        <s v="http://www.hurriyetdailynews.com/Default.aspx?pageID=238&amp;nid=96847"/>
        <s v="http://www.shanghaidaily.com/article/article_xinhua.aspx?id=324209"/>
        <s v="http://www.hcg.gr/node/12224"/>
        <s v="http://www.nst.com.my/news/2016/03/133955/nine-migrants-drown-libya-hundreds-rescued"/>
        <s v="http://news.xinhuanet.com/english/2016-03/18/c_135199264.htm"/>
        <s v="http://www.globalpost.com/article/6745938/2016/03/14/eight-migrants-missing-greece-protest-erupts-border-camp"/>
        <s v="http://www.hurriyetdailynews.com/Default.aspx?pageID=238&amp;nid=96589&amp;NewsCatID=351"/>
        <s v="http://www.eldiario.es/desalambre/Muere-Melilla-inmigrante-intentar-alcanzar_0_494150689.html"/>
        <s v="http://uk.reuters.com/article/uk-europe-migrants-macedonia-idUKKCN0WG0ZS"/>
        <s v="http://af.reuters.com/article/topNews/idAFKCN0WD28X"/>
        <s v="http://www.hcg.gr/node/12172"/>
        <s v="http://www.hcg.gr/node/12175"/>
        <s v="http://www.reuters.com/article/us-europe-migrants-turkey-idUSKCN0WC0PI"/>
        <s v="http://www.hurriyetdailynews.com/death-toll-in-latest-boat-tragedy-rises-to-25.aspx?pageID=238&amp;nid=96135"/>
        <s v="http://www.syriahr.com/en/?p=44763"/>
        <s v="http://aa.com.tr/tr/guncel/snhr-suriyede-rejim-gucleri-sivilleri-dogrudan-hedef-aliyor/529687"/>
        <s v="http://www.radikal.com.tr/kilis-haber/sigindiklari-okulda-da-rus-bombasindan-kacamadilar-1512501/"/>
        <s v="http://www.skynews.com.au/news/world/europe/2016/02/20/two-refugees-drown-off-the-coast-of-sicily.html"/>
        <s v="http://www.news24.com/World/News/4-year-old-afghan-boy-dies-on-migrant-boat-20160217"/>
        <s v="http://news.yahoo.com/sweden-opens-murder-probe-over-death-refugee-centre-204106936.html"/>
        <s v="https://www.doctorsoftheworld.org.uk/blog/entry/attacks-on-calais-migrants-on-the-rise"/>
        <s v="http://www.hurriyet.com.tr/suriyeli-bebek-besin-yetersizligi-ve-soguktan-oldu-40051147"/>
        <s v="http://www.lefigaro.fr/flash-actu/2016/02/10/97001-20160210FILWWW00174-calais-probablement-un-migrant-retrouve-mort.php"/>
        <s v="http://www.dailysabah.com/nation/2016/02/08/tragedy-strikes-migrants-in-the-aegean-again-27-dead"/>
        <s v="http://www.dailymail.co.uk/news/article-3435843/Two-migrant-women-dead-cold-Bulgaria-Minister.html"/>
        <s v="http://www.hurriyetdailynews.com/nine-migrants-drown-off-turkeys-aegean-coast.aspx?pageID=238&amp;nID=94644&amp;NewsCatID=341"/>
        <s v="http://www.hurriyetdailynews.com/Default.aspx?pageID=238&amp;nid=94597&amp;NewsCatID=341"/>
        <s v="http://aa.com.tr/en/turkey/39-dead-as-refugee-boat-sinks-off-western-turkey/512627"/>
        <s v="http://www.hcg.gr/node/11948"/>
        <s v="http://www.hcg.gr/node/11954"/>
        <s v="http://uk.reuters.com/article/us-europe-migrants-italy-idUKKCN0V6211"/>
        <s v="http://www.bbc.co.uk/news/world-europe-35430667"/>
        <s v="http://www.dailysabah.com/nation/2016/01/27/at-least-seven-refugees-including-2-children-drown-in-aegean-near-greek-island"/>
        <s v="http://www.ndtv.com/world-news/5-drown-off-turkey-in-new-aegean-migrant-tragedy-reports-1270306"/>
        <s v="http://www.ekathimerini.com/205388/article/ekathimerini/news/victim-of-border-attack-a-pakistani-national-police-say"/>
        <s v="http://www.hcg.gr/node/11895"/>
        <s v="http://www.hcg.gr/node/11888"/>
        <s v="http://www.hcg.gr/node/11886"/>
        <s v="http://www.unhcr.org/56aa19556.html"/>
        <s v="http://www.corriereadriatico.it/ancona/ancona_investimento_mortale_pedone_perde_la_vita_via_conca-1504453.html"/>
        <s v="http://www.hcg.gr/node/11885"/>
        <s v="http://news.yahoo.com/german-coalition-fails-resolve-rift-refugees-114516379.html"/>
        <s v="http://uk.reuters.com/article/uk-europe-migrants-greece-idUKKCN0V00NF"/>
        <s v="http://www.sfgate.com/world/article/12-seeking-asylum-drown-off-Turkey-in-rough-6775123.php"/>
        <s v="http://news.trust.org/item/20160121185544-w7al4"/>
        <s v="http://missingmigrants.iom.int/"/>
        <s v="http://www.hcg.gr/node/11863"/>
        <s v="http://www.independent.co.uk/news/uk/home-news/refugee-crisis-death-of-afghan-boy-who-suffocated-in-lorry-shows-failure-to-deal-with-calais-a6818261.html"/>
        <s v="http://thebarentsobserver.com/borders/2016/01/man-found-dead-arctic-migrant-route#.Vpzff6XcUlg.twitter"/>
        <s v="http://www.nytimes.com/aponline/2016/01/18/world/europe/ap-eu-netherlands-migrant-death.html?_r=0"/>
        <s v="http://www.hcg.gr/node/11850"/>
        <s v="http://www.dailymail.co.uk/news/article-3402432/Six-refugees-dead-Greek-island-number-people-drowned-trying-cross-Mediterranean-surpasses-60-two-weeks-2016.html"/>
        <s v="http://www.dailysabah.com/nation/2016/01/15/4-people-including-3-children-drown-as-refugee-boat-sinks-off-turkeys-aegean-coast"/>
        <s v="http://www.ekathimerini.com/205103/article/ekathimerini/news/baby-found-dead-on-greece-migrant-boat"/>
        <s v="http://migrantreport.org/5327-2/"/>
        <s v="http://uk.reuters.com/article/uk-europe-migrants-turkey-idUKKCN0US1GN20160114"/>
        <s v="http://www.francesoir.fr/societe-faits-divers/orly-un-mort-retrouve-dans-un-avion-air-france"/>
        <s v="http://news.yahoo.com/one-dead-5-missing-migrant-boat-italy-coastguard-142601270.html"/>
        <s v="http://www.hcg.gr/node/11813"/>
        <s v="http://www.hurriyetdailynews.com/bus-carrying-migrants-in-aegean-crashes-six-killed.aspx?pageID=238&amp;nID=93581&amp;NewsCatID=341"/>
        <s v="http://www.hurriyetdailynews.com/eight-killed-in-new-migrant-bus-accident-in-western-turkey.aspx?pageID=238&amp;nID=93633&amp;NewsCatID=341"/>
        <s v="https://web.archive.org/save/http://news.yahoo.com/latest-4-people-killed-migrant-bus-crash-turkey-084537979.html"/>
        <s v="http://www.hcg.gr/node/11806"/>
        <s v="https://web.archive.org/save/http://news.yahoo.com/bodies-nine-migrants-found-washed-turkey-beach-report-081952667.html"/>
        <s v="http://www.hcg.gr/node/11802"/>
        <s v="http://www.hcg.gr/node/11797"/>
        <s v="https://web.archive.org/save/http://news.yahoo.com/drowned-toddler-becomes-first-2016-migrant-casualty-aegean-215810825.html"/>
        <s v="https://web.archive.org/web/20151228174035/http://www.lavoixdunord.fr/region/grande-synthe-un-migrant-retrouve-mort-dans-une-remorque-ia17b47594n3242877?xtor=RSS-2"/>
        <s v="http://web.archive.org/web/20151227145207/http://www.euronews.com/2015/12/26/african-migrants-protest-in-spanish-city-of-roquetas-de-mar/"/>
        <s v="https://web.archive.org/web/20151226074455/http://www.aljazeera.com/news/2015/12/drown-hundreds-migrants-swim-ceuta-151225150532407.html"/>
        <s v="https://web.archive.org/save/http://news.yahoo.com/latest-luxembourg-fm-says-eu-migrant-response-failed-125412714.html"/>
        <s v="https://web.archive.org/save/http://news.yahoo.com/eight-migrants-including-3-children-drown-off-turkey-083736411.html"/>
        <s v="https://web.archive.org/web/20151225062806/http://www.reuters.com/article/us-europe-migrants-greece-idUSKBN0U61E420151223"/>
        <s v="https://web.archive.org/web/20151222142124/http://www.hurriyetdailynews.com/69-afghan-refugees-rescued-two-migrants-drown-in-aegean----.aspx?pageID=238&amp;nID=92805&amp;NewsCatID=341"/>
        <s v="https://web.archive.org/save/http://news.yahoo.com/two-migrants-drown-108-rescued-off-libya-coastguard-191153452.html"/>
        <s v="https://web.archive.org/web/20151221133732/http://www.thelocal.no/20151218/chechens-deported-from-norway-were-killed"/>
        <s v="https://web.archive.org/web/20151221132933/http://www.hurriyetdailynews.com/latest-boat-accidents-kill-eight-migrants-off-western-turkey.aspx?pageID=238&amp;nID=92698&amp;NewsCatID=341"/>
        <s v="https://web.archive.org/web/20151221132526/http://customwire.ap.org/dynamic/stories/E/EU_EUROPE_MIGRANTS?SITE=AP&amp;SECTION=HOME&amp;TEMPLATE=DEFAULT&amp;CTIME=2015-12-19-14-14-31"/>
        <s v="https://web.archive.org/web/20151218140224/http://www.sbs.com.au/news/article/2015/12/18/four-iraqis-drown-migrant-boat-capsizes"/>
        <s v="https://web.archive.org/save/http://www.afp.com/en/news/five-migrants-three-them-children-drown-way-greece"/>
        <s v="https://web.archive.org/web/20151217143410/http://www.hurriyetdailynews.com/six-more-migrant-children-drown-in-aegean-off-turkey.aspx?pageID=238&amp;nID=92588&amp;NewsCatID=341"/>
        <s v="https://web.archive.org/web/20151216131425/http://aa.com.tr/en/turkey/-four-dead-as-refugee-boat-sinks-off-turkish-coast/491747"/>
        <s v="https://web.archive.org/web/20151216121427/http://www.ekathimerini.com/204350/article/ekathimerini/news/three-of-six-migrants-confirmed-drowned"/>
        <s v="http://www.dw.com/en/afghan-stabbed-to-death-in-refugee-shelter-in-germany/a-18919786"/>
        <s v="https://web.archive.org/web/20151215142018/http://www.hurriyetdailynews.com/afghan-refugee-carries-drowned-daughter-in-turkeys-west.aspx?pageID=238&amp;nID=92502&amp;NewsCatID=341"/>
        <s v="https://web.archive.org/web/20151211133239/http://www.hurriyetdailynews.com/four-refugees-drown-nine-missing-as-boat-capsizes-in-aegean-sea.aspx?pageID=238&amp;nID=92333&amp;NewsCatID=341"/>
        <s v="https://web.archive.org/web/20151210135324/http://www.hurriyetdailynews.com/12-migrants-killed-as-two-boats-capsize-off-aegean-coast.aspx?PageID=238&amp;NID=92261&amp;NewsCatID=341"/>
        <s v="https://web.archive.org/web/20151209191937/http://elpais.com/m/elpais/2015/12/09/inenglish/1449654627_462892.html"/>
        <s v="https://web.archive.org/web/20151209220435/http://www.wsj.com/articles/12-dead-10-missing-after-migrant-boat-sinks-in-aegean-sea-1449661072"/>
        <s v="https://web.archive.org/web/20151208133049/http://bigstory.ap.org/article/bb6ee17a91cc450eb3e2bdd4993759a9/6-migrant-children-drown-turkeys-coast"/>
        <s v="https://web.archive.org/web/20151208132707/http://www.bfmtv.com/societe/jungle-de-calais-un-migrant-soudanais-mort-poignarde-935172.html"/>
        <s v="https://web.archive.org/web/20151204142408/http://observers.france24.com/fr/20151203-migrants-morts-asphyxies-ceuta-bavure-forces-ordre-maroc-cameroun"/>
        <s v="https://web.archive.org/web/20151204130702/http://www.nordlittoral.fr/accueil/un-migrant-est-mort-percute-par-une-camionnette-jeudi-soir-ia0b0n264911"/>
        <s v="https://web.archive.org/web/20151204125743/http://www.ekathimerini.com/204000/article/ekathimerini/news/greeks-recover-migrants-body-3-still-missing"/>
        <s v="https://web.archive.org/save/http://news.yahoo.com/migrant-dies-greek-macedonian-border-second-day-clashes-114510207.html"/>
        <s v="https://web.archive.org/web/20151202144947/http://www.ekathimerini.com/203956/article/ekathimerini/news/child-drowns-as-refugee-boat-tries-to-reach-greek-shores"/>
        <s v="https://web.archive.org/web/20151202144147/http://aa.com.tr/en/turkey/30-missing-as-refugee-boat-sinks-off-turkish-coast/484147"/>
        <s v="https://web.archive.org/save/http://news.yahoo.com/four-dead-migrant-truck-attacked-mali-sources-232725101.html"/>
        <s v="https://web.archive.org/web/20151127134944/http://bigstory.ap.org/article/4fff1adefed741cc934ded0a1c4db711/6-migrant-children-drown-way-greece"/>
        <s v="https://web.archive.org/web/20151124160544/https://en-maktoob.news.yahoo.com/6-sudanese-found-shot-dead-near-egypt-israel-103758812.html"/>
        <s v="http://www.hurriyetdailynews.com/4-year-old-syrian-migrant-girl-found-dead-off-turkeys-bodrum-coast.aspx?pageID=238&amp;nID=91545&amp;NewsCatID=341"/>
        <s v="http://www.theguardian.com/world/2015/nov/24/fire-at-algerian-migrant-camp-leaves-18-people-dead"/>
        <s v="http://www.thelocal.no/20151120/girl-stabbed-to-death-at-norway-refugee-centre"/>
        <s v="http://www.lexpress.fr/actualites/1/societe/nord-un-migrant-meurt-percute-par-une-voiture-pres-de-grande-synthe_1737824.html"/>
        <s v="http://www.bbc.com/news/uk-england-stoke-staffordshire-34857071"/>
        <s v="http://latino.foxnews.com/latino/news/2015/11/18/migrant-boat-capsizes-off-coast-spain-1-dead-17-missing/"/>
        <s v="http://www.hurriyetdailynews.com/one-of-15-missing-in-bodrum-boat-capsizing-found-dead.aspx?pageID=238&amp;nID=91425&amp;NewsCatID=341"/>
        <s v="http://www.bfmtv.com/societe/un-demandeur-d-asile-afghan-retrouve-mort-a-cherbourg-930961.html"/>
        <s v="http://news.yahoo.com/migrant-boat-overturns-near-greek-island-least-8-070232080.html"/>
        <s v="http://news.yahoo.com/latest-migrants-condemn-paris-attacks-155038414.html"/>
        <s v="http://www.latimes.com/world/middleeast/la-fg-egypt-migrants-shooting-20151115-story.html"/>
        <s v="http://www.romandie.com/news/Turquie-18-migrants-en-route-vers-la-Grece-noyes-lors-de-deux/647699.rom"/>
        <s v="http://www.aa.com.tr/en/turkey/refugee-boat-sinks-off-western-turkey-14-dead/471476"/>
        <s v="http://national.bgnnews.com/one-dead-as-refugee-boat-sinks-in-aegean-sea-haberi/10795"/>
        <s v="http://www.hurriyetdailynews.com/hundreds-of-migrants-rescued-off-eastern-greek-islands.aspx?pageID=238&amp;nID=90879&amp;NewsCatID=351"/>
        <s v="http://www.reuters.com/article/2015/11/05/us-europe-migrants-greece-drowning-idUSKCN0SU0VW20151105#GiiOXof6tIsejXtq.97"/>
        <s v="http://www.nytimes.com/aponline/2015/11/03/world/europe/ap-eu-europe-migrants-the-latest.html?_r=0"/>
        <s v="http://uk.reuters.com/article/2015/11/02/uk-europe-greece-migrants-drowning-idUKKCN0SR0YW20151102"/>
        <s v="http://news.yahoo.com/38-missing-aegean-migrant-boat-sinking-102457060.html"/>
        <s v="http://www.foxnews.com/world/2015/10/31/latest-afghan-woman-63-dies-in-refugee-camp-in-croatia-1st-migrant-death-in/"/>
        <s v="http://www.huffpostmaghreb.com/2015/11/01/immigration-clandestine-espagne_n_8447004.html"/>
        <s v="http://www.independent.co.uk/news/world/europe/refugee-crisis-21-more-asylum-seekers-die-in-latest-disasters-in-aegean-sea-a6714546.html"/>
        <s v="http://www.bbc.com/news/world-europe-34675406"/>
        <s v="http://www.usnews.com/news/world/articles/2015/10/29/germany-arrests-suspect-in-bosnian-boys-disappearance"/>
        <s v="http://www.independent.com.mt/articles/2015-10-29/world-news/Greek-coast-guard-rescues-242-after-boat-capsizes-near-Lesbos-11-dead-6736144407"/>
        <s v="http://www.reuters.com/article/2015/10/28/us-migrants-greece-shipwreck-idUSKCN0SM2MI20151028"/>
        <s v="http://www.bfmtv.com/international/grece-deux-nouveaux-corps-de-migrants-decouverts-sur-des-iles-en-egee-925247.html"/>
        <s v="http://www.nytimes.com/2015/10/26/world/europe/two-children-among-migrants-killed-after-boat-sinks-off-greece.html?_r=0"/>
        <s v="http://www.lorientlejour.com/article/951419/espagne-noyade-dun-migrant-a-ceuta-apres-un-naufrage.html"/>
        <s v="http://www.lavoixdunord.fr/region/migrants-fauches-par-une-voiture-a-calais-un-mort-une-ia33b48581n3126857#utm_medium=redaction&amp;utm_source=twitter&amp;utm_campaign=page-fan-vdn"/>
        <s v="http://www.abc.net.au/news/2015-10-26/libya-finds-43-bodies-of-apparent-migrants-on-beach/6883802"/>
        <s v="http://www.hurriyetdailynews.com/two-migrants-killed-16-missing-in-aegean-sea-for-two-days.aspx?pageID=238&amp;nid=90229"/>
        <s v="http://www.turkishweekly.net/2015/10/17/news/refugee-boat-sinks-off-turkish-coast-12-dead/"/>
        <s v="http://news.yahoo.com/four-migrants-drown-off-greek-island-one-missing-074635709.html"/>
        <s v="http://www.itele.fr/monde/video/cinq-nouveaux-refugies-trouvent-la-mort-en-mediterranee-140524"/>
        <s v="http://mashable.com/2015/10/16/bulgaria-afghanistan-migrant/?utm_cid=mash-com-Tw-main-link%237S5etCaC0WqY#QE3Mkm1jjqqY"/>
        <s v="http://www.leparisien.fr/nord-pas-de-calais/calais-un-migrant-meurt-percute-par-un-train-de-marchandises-16-10-2015-5190523.php"/>
        <s v="http://news.yahoo.com/migrant-woman-baby-child-drown-trying-reach-greece-204014079.html"/>
        <s v="http://www.wsj.com/articles/syrian-woman-dies-after-being-hit-by-car-near-eurotunnel-in-calais-1444898481"/>
        <s v="https://www.washingtonpost.com/world/middle_east/rubber-boat-with-lebanon-family-of-12-sinks-in-aegean-sea/2015/10/15/87e9941c-7356-11e5-ba14-318f8e87a2fc_story.html"/>
        <s v="http://www.independent.co.uk/news/world/europe/eight-missing-after-refugee-boat-collides-with-rescue-vessel-off-greek-coast-a6694941.html http://www.reuters.com/article/2015/10/15/eurozone-migrants-greece-idUSL8N12F4FY20151015"/>
        <s v="https://www.dailystar.com.lb/News/Middle-East/2015/Oct-11/318464-11-migrants-drown-as-boat-capsizes-off-egypt.ashx"/>
        <s v="http://uk.reuters.com/article/2015/10/09/uk-eurozone-greece-migrants-idUKKCN0S30DZ20151009"/>
        <s v="http://statewatch.org/news/2015/oct/ceuta-border-two-dead.htm"/>
        <s v="http://www.independent.mk/articles/22794/Refugee+Crisis+One+Killed+in+Accident+Near+Vranje,+Two+Children+Drown+Near+Kos"/>
        <s v="http://www.timesofisrael.com/libyan-red-crescent-says-bodies-of-95-migrants-washed-ashore/"/>
        <s v="http://www.lefigaro.fr/flash-actu/2015/10/05/97001-20151005FILWWW00407-un-refugie-mort-dans-un-foyer-incendie.php"/>
        <s v="http://greece.greekreporter.com/2015/09/30/refugee-boat-capsized-near-mytilene-woman-and-young-child-tragically-die-in-waters/"/>
        <s v="http://www.hurriyetdailynews.com/one-migrant-dead-five-others-missing-in-aegean-boat-capsizing.aspx?pageID=238&amp;nid=89175&amp;NewsCatID=341&amp;utm_source=dlvr.it&amp;utm_medium=twitter"/>
        <s v="http://www.rtbf.be/info/dossier/drames-de-la-migration-les-candidats-refugies-meurent-aux-portes-de-l-europe/detail_un-refugie-retrouve-mort-dans-un-camion-pres-du-port-de-calais?id=9093612"/>
        <s v="http://news.yahoo.com/migrants-feared-missing-off-greeces-kos-island-141427880.html"/>
        <s v="http://www.cbc.ca/news/world/syrian-refugees-turkey-1.3245691"/>
        <s v="http://uk.reuters.com/article/2015/09/24/uk-europe-migrants-calais-death-idUKKCN0RO0VK20150924"/>
        <s v="http://abcnews.go.com/International/wireStory/syrian-refugee-ate-poisonous-mushroom-dies-germany-33921183"/>
        <s v="http://www.ekathimerini.com/201798/article/ekathimerini/news/two-missing-as-migrant-boat-sinks-at-sea"/>
        <s v="http://www.lavoixdunord.fr/region/migrants-le-corps-repeche-a-gravelines-est-celui-du-ia33b48581n3100418"/>
        <s v="http://www.independent.co.uk/news/world/europe/refugee-crisis-fiveyearold-girl-dies-and-14-people-missing-after-latest-boat-disaster-10508965.html?origin=internalSearch"/>
        <s v="http://www.ouest-france.fr/refugies-une-fillette-syrienne-de-4-ans-se-noie-au-large-de-la-turquie-3697172"/>
        <s v="http://www.rtl.fr/actu/international/turquie-13-migrants-noyes-apres-la-collision-entre-leur-bateau-et-un-ferry-7779784446"/>
        <s v="http://www.euronews.com/2015/09/18/seven-dead-in-migrant-boat-tragedy-off-libyan-coast/"/>
        <s v="http://www.bbc.com/news/uk-34287750"/>
        <s v="http://economictimes.indiatimes.com/news/international/world-news/22-dead-after-greece-bound-migrant-boat-sinks-off-turkey-report/articleshow/48969590.cms"/>
        <s v="http://www.hurriyetdailynews.com/at-least-22-migrants-drown-as-boat-capsizes-in-aegean-sea.aspx?pageID=238&amp;nid=88492&amp;NewsCatID=341"/>
        <s v="http://www.theguardian.com/world/2015/sep/14/babies-and-children-among-34-dead-in-aegean-migrant-boat-sinking?CMP=share_btn_tw"/>
        <s v="http://uk.reuters.com/article/2015/09/10/europe-migrants-hungary-death-idUKL5N11G1Z420150910"/>
        <s v="http://ar.globedia.com/rescatado-cadaver-inmigrante-estrecho-gibraltar"/>
        <s v="http://www.7sur7.be/7s7/fr/1505/Monde/article/detail/2445752/2015/09/04/Un-migrant-mort-en-Hongrie-un-autre-en-Grece.dhtml"/>
        <s v="http://www.lefigaro.fr/flash-actu/2015/09/04/97001-20150904FILWWW00384-hongrie-un-migrant-retrouve-mort.php"/>
        <s v="http://www.wsj.com/articles/migrants-feared-drowned-after-boat-capsizes-off-libyan-coast-1441368304"/>
        <s v="http://news.yahoo.com/refugee-baby-dies-greek-island-clashes-lesbos-195539172.html"/>
        <s v="https://twitter.com/FrontexEU/status/638994645708615680"/>
        <s v="http://www.reuters.com/article/2015/09/02/us-europe-migrants-turkey-idUSKCN0R20IJ20150902"/>
        <s v="http://www.news24.com/Africa/News/Migrant-boat-accident-Toll-hits-37-20150831"/>
        <s v="http://www.theguardian.com/world/2015/aug/30/teenage-migrant-killed-in-shootout-between-greek-police-and-smugglers"/>
        <s v="http://www.theguardian.com/world/2015/aug/27/at-least-30-dead-after-boat-carrying-migrants-sinks-in-mediterranean"/>
        <s v="http://www.ft.com/cms/s/0/83323a26-4cc0-11e5-9b5d-89a026fda5c9.html#axzz3k5quE1Mi"/>
        <s v="http://www.lefigaro.fr/flash-actu/2015/08/25/97001-20150825FILWWW00114-migrants-un-ado-mort-apres-avoir-ete-secouru.php"/>
        <s v="http://www.aa.com.tr/tr/s/580137--ege-denizinde-kacaklari-tasiyan-tekne-batti"/>
        <s v="http://bigstory.ap.org/article/9b67577e90904ca495bff7c28d29ebd6/migrant-boat-capsizes-greek-island-1-dead-6-rescued#"/>
        <s v="http://www.h24info.ma/monde/international/sur-lile-de-kos-la-situation-toujours-explosive-malgre-les-mesures-prises/35588#ad-image-0"/>
        <s v="http://www.usnews.com/news/world/articles/2015/08/19/greek-coast-guard-rescues-hundreds-off-aegean-islands"/>
        <s v="http://uk.reuters.com/article/2015/08/19/uk-europe-migrants-turkey-syria-idUKKCN0QO1AQ20150819"/>
        <s v="http://uk.reuters.com/article/2015/08/17/uk-europe-migrants-idUKKCN0QM1KT20150817"/>
        <s v="http://www.reuters.com/article/2015/08/16/us-europe-migrants-italy-idUSKCN0QL0JG20150816"/>
        <s v="http://www.liberation.fr/monde/2015/08/11/en-espagne-une-ville-en-etat-de-siege-apres-la-mort-d-un-senegalais_1362048"/>
        <s v="http://www.lemonde.fr/europe/article/2015/08/06/200-migrants-en-provenance-de-libye-toujours-portes-disparus-en-mediterranee_4714311_3214.html"/>
        <s v="http://www.lemonde.fr/europe/article/2015/08/03/en-espagne-un-migrant-meurt-asphyxie-dans-une-valise-quatre-autres-se-noient-en-mediterranee_4709892_3214.html"/>
        <s v="http://www.theguardian.com/world/2015/aug/02/italian-coastguard-rescues-1800-migrants"/>
        <s v="http://www.lavoixdunord.fr/region/intrusion-de-pres-de-500-migrants-dans-le-site-du-ia33b48581n2932235"/>
        <s v="http://www.hu-lala.org/un-migrant-trouve-la-mort-dans-le-sud-de-la-hongrie/"/>
        <s v="http://www.lorientlejour.com/article/932429/maroc-un-migrant-tue-en-marge-dune-operation-devacuation-de-squats-a-tanger-autorites.html"/>
        <s v="http://www.francetvinfo.fr/monde/europe/naufrage-a-lampedusa/douze-migrants-sont-morts-noyes-en-mediterranee-500-autres-ont-ete-secourus_991383.html"/>
        <s v="http://www.lemonde.fr/immigration-et-diversite/article/2015/07/07/naufrage-d-un-bateau-de-migrants-entre-la-turquie-et-la-grece_4674062_1654200.html"/>
        <s v="http://www.bfmtv.com/societe/calais-un-migrant-mort-noye-en-tentant-de-s-introduire-sur-le-site-d-eurotunnel-903263.html"/>
        <s v="http://www.leparisien.fr/faits-divers/calais-deces-d-un-migrant-brule-dans-le-tunnel-sous-la-manche-20-07-2015-4959303.php"/>
        <s v="http://www.independent.co.uk/news/uk/home-news/calais-crisis-teenage-migrant-found-dead-on-top-of-eurotunnel-train-10412548.html"/>
        <s v="http://france3-regions.francetvinfo.fr/nord-pas-de-calais/un-migrant-retrouve-mort-au-terminal-britannique-d-eurotunnel-775727.html"/>
        <s v="http://www.independent.co.uk/news/world/europe/mediterranean-migrant-crisis-diabetic-child-dies-on-migrant-boat-after-traffickers-throw-her-insulin-overboard-10402029.html"/>
        <s v="http://www.dispatchtimes.com/italian-coast-guard-rescues-414-boat-migrants-including-4-newborns/19661/"/>
        <s v="http://www.euronews.com/2015/07/28/fourteen-migrant-bodies-recovered-in-the-continuing-exodus-from-north-africa/"/>
        <s v="http://www.20minutes.fr/monde/1659567-20150729-mort-migrant-calais-passe-site-eurotunnel"/>
        <s v="http://www.franceinfo.fr/actu/societe/article/un-jeune-migrant-electrocute-sur-le-toit-d-un-eurostar-710689"/>
        <s v="https://www.iom.int/fr/news/loim-evoque-la-decouverte-de-nouvelles-victimes-dans-le-sahara-parmi-les-migrants-en-route-pour"/>
        <s v="http://www.leparisien.fr/international/migrants-2-500-personnes-secourues-par-l-italie-un-mort-et-un-blesse-par-balles-23-06-2015-4885539.php"/>
        <s v="http://www.lopinion.ma/def.asp?codelangue=23&amp;id_info=46636&amp;date_ar=2015-6-24%2014:37:00"/>
        <s v="http://www.dailymail.co.uk/news/article-3173971/The-migrant-express-Stowaways-leap-aboard-UK-bound-freight-trains-sneak-Channel-Tunnel-amid-Calais-chaos.html"/>
        <s v="http://www.msf.org.uk/article/migrants-saddened-by-loss-of-life-during-rescue"/>
        <s v="http://news.yahoo.com/18-migrants-found-dead-nigers-desert-iom-says-140938318.html"/>
        <s v="http://www.lavoixdunord.fr/region/coquelles-un-migrant-tue-en-traversant-l-a16-la-nuit-ia33b48583n2859280"/>
        <s v="http://www.businessinsider.com/afp-4200-migrants-rescued-in-med-friday-17-dead-coastguard-2015-5#ixzz3buespTga"/>
        <s v="http://news.yahoo.com/italian-navy-finds-11-dead-migrants-rescues-hundreds-160013554.html"/>
        <s v="http://www.lefigaro.fr/flash-actu/2015/05/25/97001-20150525FILWWW00083-cinq-migrants-noyes-en-mediterranee.php"/>
        <s v="http://www.lefigaro.fr/flash-actu/2015/05/23/97001-20150523FILWWW00055-cinq-migrants-morts-en-mer-49-secourus.php"/>
        <s v="http://www.lyoncapitale.fr/Journal/Lyon/Actualite/Actualites/Accident/Un-jeune-migrant-afghan-retrouve-mort-a-Genas"/>
        <s v="http://www.20minutes.fr/lille/1602395-20150506-nord-passeur-kurde-ecroue-retrouve-mort-cellule"/>
        <s v="http://www.wsj.com/articles/40-migrants-reported-dead-after-dinghy-burst-at-sea-1430828951"/>
        <s v="http://www.usatoday.com/story/news/world/2015/05/03/italy-coast-guard-rescue-migrants-sea/26824999/"/>
        <s v="http://www.dailynewsegypt.com/2015/05/03/3-illegal-immigrants-die-after-boat-sinks/"/>
        <s v="http://www.reuters.com/article/2015/04/24/us-macedonia-migrants-idUSKBN0NF0JD20150424"/>
        <s v="http://www.thelocal.it/20150423/migrant-dies-trying-to-smuggle-onto-car-ferry-to-italy"/>
        <s v="http://abcnews.go.com/International/wireStory/eu-beef-border-agency-confront-migrant-influx-30439077"/>
        <s v="http://greece.greekreporter.com/2015/04/20/tragedy-with-200-migrants-leaves-3-dead-in-rhodes/"/>
        <s v="http://www.theguardian.com/world/2015/apr/19/700-migrants-feared-dead-mediterranean-shipwreck-worst-yet"/>
        <s v="https://ruptly.tv/vod/view/27158/italy-severely-burnt-migrants-found-stranded-in-the-mediterranean-graphic"/>
        <s v="http://passeursdhospitalites.wordpress.com/2014/08/12/encore-un-gosse-mort-a-la-frontiere/"/>
        <s v="http://www.efsyn.gr/?p=216196"/>
        <s v="http://en.europeonline-magazine.eu/leaditaly-demands-help-with-migrants-as-12-more-bodies-found-at-seaby-helen-maguire-dpa_345270.html"/>
        <s v="http://www.dakar-echo.com/un-zodiac-avec-11-senegalais-coule-a-tanger-deux-senegalais-meurent-noyes-9-rescapes/#.VY8kEMhI5kA.twitter"/>
        <s v="http://www.lexpressiondz.com/linformation_en_continue/218726-six-migrants-syriens-ont-trouve-la-mort-au-large-de-la-turquie.html"/>
        <s v="http://time.com/2940451/italy-navy-corpses-migrant-boat/"/>
        <s v="http://www.lesvosnews.gr/?p=3300"/>
        <s v="http://neoskosmos.com/news/en/Afghan-immigrant-dies-in-back-of-truck"/>
        <s v="http://www.armentieres.maville.com/actu/actudet_-pas-de-calais-un-albanais-retrouve-mort-sur-une-aire-d-autoroute_fil-2508233_actu.Htm?xtor=RSS-4&amp;utm_source=RSS_MVI_armentieres&amp;utm_medium=RSS&amp;utm_campaign=RSS"/>
        <s v="http://www.dailymail.co.uk/news/article-2639807/Migrant-crushed-death-Calais-British-bus-trying-hide-aboard-UK.html"/>
        <s v="http://www.dailymail.co.uk/news/article-2640906/Police-surround-Calais-camp-prepare-remove-migrants.html"/>
        <s v="http://politica.elpais.com/politica/2014/05/28/actualidad/1401285544_986009.html"/>
        <s v="http://www.iol.co.za/news/africa/13-migrants-found-dead-in-sahara-1.1686153"/>
        <s v="http://www.ansamed.info/ansamed/en/news/sections/generalnews/2014/05/08/eritrean-migrant-died-from-blows-suffered-in-libya_5cd4e351-6e88-4c6e-b76c-0536c18e2f69.html"/>
        <s v="http://www.theguardian.com/world/2014/may/05/many-dead-migrant-boast-capsizes-greece"/>
        <s v="http://www.theguardian.com/world/2014/may/11/migrant-boat-sinks-coast-libya"/>
        <s v="http://www.sudantribune.com/spip.php?article50867"/>
        <s v="http://www.zeit.de/gesellschaft/zeitgeschehen/2014-04/italienische-marine-bootsfluechtlinge-mittelmeer"/>
        <s v="http://www.bbc.com/news/uk-26845350"/>
        <s v="http://www.enetenglish.gr/?i=news.en.home&amp;id=1813"/>
        <s v="http://rue89.nouvelobs.com/2014/02/27/cest-lhistoire-dun-clandestin-tunisien-abattu-plein-paris-250273"/>
        <s v="http://www.amnesty.org/en/news/spain-accountability-urged-appalling-migrant-deaths-ceuta-2014-02-14"/>
        <s v="http://www.sueddeutsche.de/politik/vorwuerfe-wegen-toten-vor-griechischer-insel-grenzschuetzer-sollen-fluechtlinge-aufs-meer-geschleppt-haben-1.1887459"/>
        <s v="http://www.tagesspiegel.de/weltspiegel/unglueck-auf-dem-mittelmeer-zehn-fluechtlinge-vor-sizilien-ertrunken/8866422.html"/>
        <s v="http://palermo.repubblica.it/cronaca/2013/09/30/news/sbarco_tragico_a_ragusa_annegano_tredici_immigrati-67571864/"/>
        <s v="http://www.repubblica.it/solidarieta/2013/09/19/news/egitto_guardia_costiera_spara_su_barca_di_rifugiati_siriani_diretta_verso_l_italia-66861534/"/>
        <s v="http://www.abc.es/espana/20130916/abci-cadaver-inmigrantes-201309161435.html"/>
        <s v="http://www.diariosur.es/v/20130917/melilla/buscan-doce-inmigrantes-desaparecidos-20130917.html"/>
        <s v="http://www.ansa.it/ansamed/en/news/sections/generalnews/2013/10/31/Immigration-10-60-lost-Libyan-desert-found_9549184.html"/>
        <s v="http://www.dailystar.com.lb/News/Middle-East/2013/Sep-12/230999-syrian-refugee-detained-in-greece-as-family-burned-rights-group.ashx"/>
        <s v="http://www.channelafrica.org/portal/site/ChannelAfrica/menuitem.0440eb803775db47ee41ee41674daeb9/?vgnextoid=66e88101fa101410VgnVCM10000077d4ea9bRCRD&amp;vgnextfmt=default"/>
        <s v="http://ricerca.repubblica.it/repubblica/archivio/repubblica/2013/08/11/la-strage-dei-ragazzi-in-fuga-dalla.html?ref=search"/>
        <s v="http://www.repubblica.it/solidarieta/immigrazione/2013/08/19/news/chiuso_il_cie_di_crotone_devastato_da_una_rivolta_dopo_la_morte_di_un_immigrato-64989177/?ref=search"/>
        <s v="http://www.naharnet.com/stories/en/93135-three-migrants-drown-on-perilous-trek-to-italy-in-rubber-dinghy"/>
        <s v="http://www.abc.es/agencias/noticia.asp?noticia=1470784"/>
        <s v="http://www.hurriyetdailynews.com/at-least-24-illegal-migrants-drown-in-aegean-sea.aspx?pageID=238&amp;nid=51748&amp;NewsCatID=359"/>
        <s v="http://www.timesofmalta.com/articles/view/20130729/local/press-digest.479895"/>
        <s v="http://news.kuwaittimes.net/hunt-in-athens-after-detention-camp-riot/"/>
        <s v="http://www.repubblica.it/cronaca/2013/07/28/news/immigrazione_naufragio_31_morti-63857909/?ref=search"/>
        <s v="http://www.ekathimerini.com/4dcgi/_w_articles_wsite1_1_27/07/2013_511538"/>
        <s v="http://www.ekathimerini.com/4dcgi/_w_articles_wsite1_1_26/07/2013_511396"/>
        <s v="http://www.abc.es/espana/20130725/rc-nuevo-asalto-valla-melilla-201307251949.html"/>
        <s v="http://www.ekathimerini.com/4dcgi/_w_articles_wsite1_1_25/07/2013_511115"/>
        <s v="http://www.repubblica.it/cronaca/2013/06/15/news/calabria_una_neonata_senza_mamma_tra_i_159_immigrati_arrivati_a_roccella-61143123/?ref=search"/>
        <s v="http://www.misna.org/en/other/hundreds-of-migrants-deported-from-libya-to-niger-30-05-2013-813.html"/>
        <s v="http://www.pnn.de/brandenburg-berlin/755823/"/>
        <s v="http://www.ekathimerini.com/4dcgi/_w_articles_wsite1_1_15/05/2013_499041"/>
        <s v="http://www.bildung-fuer-alle.ch/artikel/selbstmord-von-asz-und-bleiberecht-aktivist-wegen-bevorstehender-ausschaffung-%E2%80%93-500-personen"/>
        <s v="http://www.diariosur.es/v/20130418/andalucia/inmigrante-muere-tarifa-otros-20130418.html"/>
        <s v="http://www.iom.int/cms/render/live/en/sites/iom/home/news-and-views/press-briefing-notes/pbn-2013/pbn-listing/chadian-migrants-expelled-from-l.html"/>
        <s v="http://ccaa.elpais.com/ccaa/2013/03/16/andalucia/1363437379_530495.html"/>
        <s v="http://ccaa.elpais.com/ccaa/2013/03/02/andalucia/1362228735_012663.html"/>
        <s v="http://www.cameroononline.org/2013/12/07/sub-saharan-africans-tangiers-revolt-migrants-death/"/>
        <s v="http://www.ekathimerini.com/4dcgi/_w_articles_wsite1_1_16/11/2013_528141"/>
        <s v="http://www.nation.com.pk/pakistan-news-newspaper-daily-english-online/international/01-Nov-2013/bodies-of-87-migrants-found-in-niger-desert"/>
        <s v="http://www.repubblica.it/solidarieta/emergenza/2013/10/11/news/profughi_dall_egitto-68401013/?ref=HREA-1"/>
        <s v="http://palermo.repubblica.it/cronaca/2013/10/03/news/naufraga_barcone_morti_a_lampedusa-67780674/?ref=HREA-1"/>
        <s v="http://www.ekathimerini.com/4dcgi/_w_articles_wsite1_1_22/01/2013_479643"/>
        <s v="http://www.bbc.co.uk/news/world-europe-21080561"/>
        <s v="http://www.ekathimerini.com/4dcgi/_w_articles_wsite1_1_14/01/2013_478257"/>
        <s v="http://www.bildung-fuer-alle.ch/artikel/kraftvoller-protest-gegen-todesfall-polizeigef%C3%A4ngnis"/>
        <s v="http://fortresseurope.blogspot.com/2012/01/spagna-trovati-i-corpi-di-2-naufraghi.html"/>
        <s v="http://fortresseurope.blogspot.it/2012/09/spagna-ritrovato-un-cadavere-ceuta.html"/>
        <s v="http://fortresseurope.blogspot.it/2012/09/algeria-annega-un-ragazzo-sulla-rotta.html"/>
        <s v="http://fortresseurope.blogspot.it/2012/09/linosa-ritrovato-un-cadavere-sugli.html"/>
        <s v="http://fortresseurope.blogspot.it/2012/09/egitto-ucciso-25enne-eritreo-al-confine.html"/>
        <s v="http://fortresseurope.blogspot.com/2012/08/famiglia-siriana-annegata-al-largo-di.html"/>
        <s v="http://fortresseurope.blogspot.com/2012/08/libia-39-egiziani-annegati-in-un.html"/>
        <s v="http://fortresseurope.blogspot.com/2012/08/grecia-crollano-gli-arrivi-un-morto.html"/>
        <s v="http://fortresseurope.blogspot.com/2012/08/malta-4-morti-in-mare.html"/>
        <s v="http://fortresseurope.blogspot.com/2012/09/naufragio-lampedusa-1-morto-e-40.html"/>
        <s v="http://fortresseurope.blogspot.com/2012/09/turchia-naufragio-izmir-58-morti.html"/>
        <s v="http://fortresseurope.blogspot.com/2012/02/grecia-3-afghani-morti-asfissiati-in-un.html"/>
        <s v="http://fortresseurope.blogspot.it/2012/05/10-dispersi-nel-canale-di-sicilia.html"/>
        <s v="http://fortresseurope.blogspot.it/2012/05/lampedusa-ritrovato-un-cadavere-in-mare.html"/>
        <s v="http://fortresseurope.blogspot.co.uk/2012/05/malta-sbarco-sulla-spiaggia-dei-turisti.html"/>
        <s v="http://fortresseurope.blogspot.it/2012/07/tunisia-naufragio-monastir-3-morti-in.html"/>
        <s v="http://fortresseurope.blogspot.co.uk/2012/04/grecia-in-fuga-da-pattuglie-frontex-3.html"/>
        <s v="http://fortresseurope.blogspot.co.uk/2012/04/sicilia-sedicenne-annegato-in-uno.html"/>
        <s v="http://fortresseurope.blogspot.co.uk/2012/04/sicilia-10-dispersi-nella-traversata.html"/>
        <s v="http://fortresseurope.blogspot.com/2012/03/lampedusa-5-morti-su-una-barca-soccorsa.html"/>
        <s v="http://fortresseurope.blogspot.com/2012/02/ceuta-muore-tentando-di-passare-la.html"/>
        <s v="http://fortresseurope.blogspot.co.uk/2012/04/ragazzi-di-tunisi-dispersi-al-largo-di.html"/>
        <s v="http://fortresseurope.blogspot.com/2012/03/spagna-morti-annegati-2-ragazzi-melilla.html"/>
        <s v="http://fortresseurope.blogspot.com/2012/02/spagna-29-cadaveri-ripescati-in-mare.html"/>
        <s v="http://www.repubblica.it/esteri/2012/12/15/news/grecia_naufraga_barcone_di_migranti_sedici_morti_e_undici_dispersi-48800854/?ref=search"/>
        <s v="http://politica.elpais.com/politica/2012/12/13/actualidad/1355400561_102722.html"/>
        <s v="http://fortresseurope.blogspot.it/2012/07/venezia-un-morto-sul-traghetto-dalla.html"/>
        <s v="http://www.amnesty.ch/de/themen/asyl-migration/asylpolitik-schweiz/dok/2012/suizid-in-ausschaffungshaft-amnesty-international-fordert-eine-unabhaengige-untersuchung"/>
        <s v="http://fortresseurope.blogspot.it/2012/11/spagna-sospese-ricerche-di-3-dispersi.html"/>
        <s v="http://fortresseurope.blogspot.it/2012/11/spagna-recuperato-un-cadavere-al-largo.html"/>
        <s v="http://fortresseurope.blogspot.it/2012/11/lampedusa-trovato-un-altro-cadavere.html"/>
        <s v="http://fortresseurope.blogspot.it/2012/11/marocco-89-morti-in-una-settimana-nello.html"/>
        <s v="http://fortresseurope.blogspot.it/2012/11/spagna-un-30enne-morto-annegato-ceuta.html"/>
        <s v="http://fortresseurope.blogspot.it/2012/11/libia-11-morti-140-miglia-sud-di.html"/>
        <s v="http://fortresseurope.blogspot.it/2012/10/lampedusa-i-pescatori-trovano-2.html"/>
        <s v="http://fortresseurope.blogspot.it/2012/10/spagna-14-morti-e-4-dispersi-in-un.html"/>
        <s v="http://fortresseurope.blogspot.it/2012/10/spagna-ripescato-un-cadavere-punta.html"/>
        <s v="http://fortresseurope.blogspot.it/2012/10/spagna-naufragio-melilla-muore-una.html"/>
        <s v="http://fortresseurope.blogspot.it/2012/07/libia-54-dispersi-in-mare-sud-di.html"/>
        <s v="http://fortresseurope.blogspot.com/2012/01/grecia-un-morto-e-6-dispersi-sul.html"/>
        <s v="http://fortresseurope.blogspot.com/2012/01/grecia-5-morti-sulla-rotta-per-litalia.html"/>
        <s v="http://fortresseurope.blogspot.com/2012/01/libia-ritrovati-15-corpi-dopo-il.html"/>
        <s v="http://fortresseurope.blogspot.com/2012/01/egitto-un-uomo-e-una-donna-uccisi-nel.html"/>
        <s v="http://fortresseurope.blogspot.com/2012/01/marocco-4-ragazzi-annegati-tra-nador-e.html"/>
        <s v="http://fortresseurope.blogspot.com/2012/01/libia-55-dispersi-sulla-rotta-per.html"/>
        <s v="http://fortresseurope.blogspot.com/2012/01/melilla-ritrovato-un-cadavere-horcas.html"/>
        <s v="http://fortresseurope.blogspot.com/2011/01/nel-camion-si-erano-nascosti-in-tre-per.html"/>
        <s v="http://fortresseurope.blogspot.com/2011/09/ancora-una-strage-su-una-delle-rotte.html"/>
        <s v="http://fortresseurope.blogspot.com/2011/09/turchia-naufragio-sulla-rotta-per-samos.html"/>
        <s v="http://medios.mugak.eu/noticias/noticia/291089"/>
        <s v="http://fortresseurope.blogspot.com/2011/09/algeria-2-harraga-morti-e-15-dispersi.html"/>
        <s v="http://docs.google.com/viewer?url=http://www.apdha.org/media/FronteraSur2012.pdf"/>
        <s v="http://fortresseurope.blogspot.com/2011/09/ionio-4-morti-e-15-dispersi-al-largo-di.html"/>
        <s v="http://fortresseurope.blogspot.com/2011/09/algeria-14-ragazzi-dispersi-sulla-rotta.html"/>
        <s v="http://fortresseurope.blogspot.com/2011/08/dispersi-in-mare-2-tunisini-nuova.html"/>
        <s v="http://fortresseurope.blogspot.com/2011/09/egitto-due-uomini-uccisi-dalla-polizia.html"/>
        <s v="http://fortresseurope.blogspot.com/2011/08/marettimo-3-ragazzi-tunisini-dispersi.html"/>
        <s v="http://fortresseurope.blogspot.com/2011/08/egitto-la-polizia-uccide-un-uomo-al.html"/>
        <s v="http://fortresseurope.blogspot.com/2011/08/ceuta-due-morti-nascosti-nella-stiva-di.html"/>
        <s v="http://fortresseurope.blogspot.com/2011/07/egitto-strage-in-mare-sulla-rotta-per.html"/>
        <s v="http://fortresseurope.blogspot.com/2011/12/marocco-4-morti-e-1-disperso-sulla.html"/>
        <s v="http://fortresseurope.blogspot.com/2011/07/egitto-ucciso-dalla-polizia-al-confine.html"/>
        <s v="http://www.domradio.de/nachrichten/2011-01-10/kosovarin-stirbt-nach-abschiebung"/>
        <s v="http://fortresseurope.blogspot.com/2011/06/sinai-fuoco-al-confine-israeliano.html"/>
        <s v="http://fortresseurope.blogspot.com/2011/06/ancora-una-vittima-sulla-frontiera.html"/>
        <s v="http://fortresseurope.blogspot.com/2011/06/ricerche-sospese.html"/>
        <s v="http://fortresseurope.blogspot.com/2011/06/agrigento-ragazzo-muore-durante-lo.html"/>
        <s v="http://fortresseurope.blogspot.com/2011/05/naufagio-tripoli-16-morti-e-32-dispersi.html"/>
        <s v="http://fortresseurope.blogspot.com/2011/06/tunisia-il-mare-ha-restituito-26.html"/>
        <s v="http://fortresseurope.blogspot.com/2011/04/strage-lampedusa-250-annegati-in-mare.html"/>
        <s v="http://fortresseurope.blogspot.com/2011/03/grecia-ritrovati-i-corpi-senza-vita-dei.html"/>
        <s v="http://fortresseurope.blogspot.com/2011/01/grece-deux-migrants-meurent-noyes-la.html"/>
        <s v="http://fortresseurope.blogspot.com/2011/05/tunisia-incendio-al-campo-profughi.html"/>
        <s v="http://fortresseurope.blogspot.com/2011/05/egitto-25-eritrei-uccisi-nelle-ultime.html"/>
        <s v="http://fortresseurope.blogspot.com/2011/05/spagna-ripescato-un-cadavere-cabo-de.html"/>
        <s v="http://fortresseurope.blogspot.com/2011/05/il-naufragio-fantasma-un-testimone-320.html"/>
        <s v="http://fortresseurope.blogspot.com/2011/05/grecia-naufragio-sulla-rotta-per.html"/>
        <s v="http://fortresseurope.blogspot.com/2011/05/sicilia-un-morto-e-due-dispersi-mazara.html"/>
        <s v="http://www.news.com.au/breaking-news/two-illegal-immigrants-found-dead-in-drum/story-e6frfku0-1226053701992"/>
        <s v="http://fortresseurope.blogspot.com/2011/05/tunisia-58-morti-4-motovedette-e-800.html"/>
        <s v="http://fortresseurope.blogspot.com/2011/05/gettati-in-mare-per-sacrifici-umani.html"/>
        <s v="http://fortresseurope.blogspot.com/2011/05/tunisia-naufragio-metline-17-dispersi.html"/>
        <s v="http://www.huffingtonpost.com/2011/05/09/libya-boat-sinks-migrants_n_859440.html"/>
        <s v="http://fortresseurope.blogspot.com/2011/05/lampedusa-recuperati-tre-cadaveri-tra.html"/>
        <s v="http://fortresseurope.blogspot.com/2011/05/almeria-sospese-le-ricerche-dei.html"/>
        <s v="http://fortresseurope.blogspot.com/2011/05/abbandonati-alla-deriva-dalle-navi.html"/>
        <s v="http://fortresseurope.blogspot.com/2011/07/trapani-ripescato-il-corpo-senza-vita.html"/>
        <s v="http://fortresseurope.blogspot.com/2011/05/spagna-25-dispersi-al-largo-di-almeria.html"/>
        <s v="http://fortresseurope.blogspot.com/2011/04/linosa-ritrovato-un-cadavere-tra-gli.html"/>
        <s v="http://fortresseurope.blogspot.com/2011/04/tunisino-investito-e-ucciso-sulla.html"/>
        <s v="http://www.timesofmalta.com/articles/view/20140206/local/three-accused-of-causing-migrants-death.505756"/>
        <s v="http://fortresseurope.blogspot.com/2011/04/pantelleria-ripescato-un-terzo-cadavere.html"/>
        <s v="http://fortresseurope.blogspot.com/2011/04/pantelleria-due-morte-un-disperso-e-le.html"/>
        <s v="http://fortresseurope.blogspot.com/2011/08/decine-di-morti-nelle-acque-libiche.html"/>
        <s v="http://fortresseurope.blogspot.com/2011/04/libia-naufragio-tripoli-almeno-68.html"/>
        <s v="http://fortresseurope.blogspot.com/2011/03/due-dispersi-al-largo-di-marsala-strage.html"/>
        <s v="http://fortresseurope.blogspot.com/2011/04/modica-ritrovato-un-altro-cadavere-in.html"/>
        <s v="http://fortresseurope.blogspot.com/2011/04/modica-un-morto-annegato-punta.html"/>
        <s v="http://fortresseurope.blogspot.com/2011/11/il-naufragio-di-zarzis-e-i-ragazzi-di.html"/>
        <s v="http://fortresseurope.blogspot.com/2011/04/tunisia-27-morti-sulla-rotta-per.html"/>
        <s v="http://fortresseurope.blogspot.com/2011/03/grecia-3-dispersi-sulla-rotta-per-la.html"/>
        <s v="http://fortresseurope.blogspot.com/2011/03/pantelleria-trovato-un-cadavere-sugli.html"/>
        <s v="http://fortresseurope.blogspot.com/2011/11/lorologio-di-riad-e-i-ragazzi-di.html"/>
        <s v="http://fortresseurope.blogspot.com/2011/11/ahmed-akram-mohammed-makram-e-walid.html"/>
        <s v="http://fortresseurope.blogspot.com/2011/03/grecia-3-morti-e-16-dispersi-tra-i.html"/>
        <s v="http://www.nzz.ch/aktuell/zuerich/uebersicht/haeftling-erhaengt-sich-im-flughafengefaengnis-1.9739049"/>
        <s v="http://fortresseurope.blogspot.com/2011/03/ceuta-muore-annegato-un-16enne-alla.html"/>
        <s v="http://fortresseurope.blogspot.com/2011/06/tunisia-2-morti-e-270-dispersi-al-largo.html"/>
        <s v="http://fortresseurope.blogspot.com/2011/04/ancona-un-morto-su-un-traghetto-giunto.html"/>
        <s v="http://fortresseurope.blogspot.com/2011/03/spagna-un-morto-torremolinos.html"/>
        <s v="http://fortresseurope.blogspot.com/2011/12/ancora-una-vittima-alla-frontiera-sud.html"/>
        <s v="http://fortresseurope.blogspot.com/2011/12/libia-primo-sbarco-malta-dopo-3-mesi.html"/>
        <s v="http://fortresseurope.blogspot.com/2011/04/sbarco-malta-muore-una-ragazza-di-29.html"/>
        <s v="http://fortresseurope.blogspot.com/2011/02/tunisianaufragio-zarzis-un-morto-e-un.html"/>
        <s v="http://fortresseurope.blogspot.com/2011/02/altra-drammatica-notizia-dalla-tunisia.html"/>
        <s v="http://fortresseurope.blogspot.com/2011/11/ceuta-tenta-di-aggirare-la-frontiera.html"/>
        <s v="http://fortresseurope.blogspot.com/2011/11/brindisi-recuperato-un-terzo-corpo-in.html"/>
        <s v="http://fortresseurope.blogspot.com/2011/11/brindisi-2-morti-in-mare-i-dispersi.html"/>
        <s v="http://fortresseurope.blogspot.com/2011/02/zarzis-parlano-i-superstiti-speronati.html"/>
        <s v="http://fortresseurope.blogspot.com/2011/10/marocco-tentano-di-raggiungere-nuoto.html"/>
        <s v="http://fortresseurope.blogspot.com/2011/10/sbarco-nella-locride-muore-un-sedicenne.html"/>
        <s v="http://fortresseurope.blogspot.com/2011/10/calabria-ritrovato-il-corpo-di-un-uomo.html"/>
        <s v="http://fortresseurope.blogspot.com/2011/12/muore-16enne-in-un-inseguimento-di.html"/>
        <s v="http://fortresseurope.blogspot.com/2011/10/grecia-2-morti-annegati-sul-fiume-evros.html"/>
        <s v="http://fortresseurope.blogspot.com/2011/01/spagna-il-mare-porta-riva-un-altro.html"/>
        <s v="http://fortresseurope.blogspot.com/2011/01/marocco-muore-di-stenti-prima.html"/>
        <s v="http://fortresseurope.blogspot.com/2011/01/harraga-come-brucia-la-frontiera.html"/>
        <s v="http://fortresseurope.blogspot.com/2011/01/tunisia-naufragio-metlin-un-morto.html"/>
        <s v="http://fortresseurope.blogspot.com/2011/01/morire-di-viaggio-ventanni.html"/>
        <s v="http://fortresseurope.blogspot.com/2011/12/algeria-11-dispersi-arzew-su-rotta-per.html"/>
        <s v="http://fortresseurope.blogspot.com/2011/06/imbarcazione-soccorsa-dai-maltesi-un.html"/>
        <s v="http://fortresseurope.blogspot.com/2011/01/egypt-police-say-migrant-killed-at.html"/>
        <s v="http://fortresseurope.blogspot.com/2010/09/foggia-eritreo-si-getta-dal-tir-e-muore.html"/>
        <s v="http://fortresseurope.blogspot.com/2010/09/sudanese-migrant-shot-dead-at-egypt.html"/>
        <s v="http://fortresseurope.blogspot.com/2010/09/egyptian-police-shoot-migrant-trying-to.html"/>
        <s v="http://fortresseurope.blogspot.com/2010/09/moverse-es-la-reaccion-natural-ante-un.html"/>
        <s v="http://fortresseurope.blogspot.com/2010/08/italia-immigrazione-naufragio-50-miglia.html"/>
        <s v="http://fortresseurope.blogspot.com/2010/08/immigrati-catanzaro-recuperato-un.html"/>
        <s v="http://fortresseurope.blogspot.com/2010/08/udine-muore-un-curdo-iracheno-nel.html"/>
        <s v="http://fortresseurope.blogspot.com/2010/08/nouveau-drame-de-limmigration.html"/>
        <s v="http://fortresseurope.blogspot.com/2010/08/police-fear-higher-sinai-migrant-death.html"/>
        <s v="http://fortresseurope.blogspot.com/2010/08/six-migrants-shot-dead-near-egypt.html"/>
        <s v="http://fortresseurope.blogspot.com/2010/09/43-harraga-auraient-disparu-en-mer-au.html"/>
        <s v="http://fortresseurope.blogspot.com/2010/06/dead-migrants-found-in-river-evros.html"/>
        <s v="http://fortresseurope.blogspot.com/2010/08/giovane-afgano-trovato-morto-in-mare.html"/>
        <s v="http://fortresseurope.blogspot.com/2010/07/egyptian-police-shoot-eritrean-migrant.html"/>
        <s v="http://fortresseurope.blogspot.it/2010/07/calabria-sbarco-belcastro-1-morto.html"/>
        <s v="http://fortresseurope.blogspot.com/2010/07/greece-migrants-deaths-in-evros.html"/>
        <s v="http://fortresseurope.blogspot.com/2010/07/16-migrants-drown-trying-to-reach.html"/>
        <s v="http://fortresseurope.blogspot.com/2010/06/egypt-police-kill-eritrean-woman-at.html"/>
        <s v="http://fortresseurope.blogspot.com/2010/04/un-afghan-de-seize-ans-meurt-dunkerque.html"/>
        <s v="http://fortresseurope.blogspot.com/2010/04/reuters-ismailia-egypt-april-20-2010.html"/>
        <s v="http://www.nzz.ch/aktuell/startseite/aus-dem-flugzeug-in-die-tiefe-gefallen-1.5657424"/>
        <s v="http://fortresseurope.blogspot.com/2010/04/rescatados-tres-supervivientes-del.html"/>
        <s v="http://fortresseurope.blogspot.com/2010/05/cadavere-decapitato-trovato-in-mare.html"/>
        <s v="http://fortresseurope.blogspot.com/2010/01/greece-four-migrants-drown-at-sea.html"/>
        <s v="http://fortresseurope.blogspot.com/2010/03/un-bateau-de-migrants-chavire-au-large.html"/>
        <s v="http://fortresseurope.blogspot.com/2010/03/egypt-police-kill-2-african-migrants-on.html"/>
        <s v="http://fortresseurope.blogspot.com/2010/03/immigrati-soccorsi-nel-canale-di.html"/>
        <s v="http://fortresseurope.blogspot.com/2010/03/egypt-police-kill-migrant-at-israel.html"/>
        <s v="http://fortresseurope.blogspot.com/2010/10/immigrazione-algeria-30-migranti.html"/>
        <s v="http://fortresseurope.blogspot.com/2010/02/egypt-police-kill-two-migrants-near.html"/>
        <s v="http://fortresseurope.blogspot.com/2010/12/greece-two-immigrants-froze-to-death-in.html"/>
        <s v="http://fortresseurope.blogspot.com/2010/12/profughi-eritrei-tragedia-nel-deserto.html"/>
        <s v="http://fortresseurope.blogspot.com/2010/10/police-investigate-as-man-dies-while.html"/>
        <s v="http://fortresseurope.blogspot.com/2010/08/harraga-disparus-alicante-peu-despoir.html"/>
        <s v="http://fortresseurope.blogspot.com/2010/12/patrasso-schiacciato-tra-due-camion.html"/>
        <s v="http://fortresseurope.blogspot.com/2010/11/uccisi-6-eritrei-nel-sinai-lincubo-di.html"/>
        <s v="http://fortresseurope.blogspot.com/2010/11/grece-4-migrants-retrouves-morts.html"/>
        <s v="http://fortresseurope.blogspot.com/2010/11/otranto-sbarcano-27-afghani-recuperato.html"/>
        <s v="http://fortresseurope.blogspot.com/2010/11/egypt-10-african-migrants-arrested-and.html"/>
        <s v="http://fortresseurope.blogspot.com/2010/12/5-disparus-dans-le-naufrage-dun-kwassa.html"/>
        <s v="http://fortresseurope.blogspot.com/2010/11/un-autre-cadavre-decouvert-la-plage.html"/>
        <s v="http://fortresseurope.blogspot.com/2010/08/un-inmigrante-muerto-y-mas-de-80.html"/>
        <s v="http://fortresseurope.blogspot.com/2010/07/espagne-naufrage-cinq-morts.html"/>
        <s v="http://fortresseurope.blogspot.com/2010/11/cinq-harragas-dain-tourk-ont-failli.html"/>
        <s v="http://fortresseurope.blogspot.com/2010/11/alger-un-marin-indien-tue-un-harraga.html"/>
        <s v="http://fortresseurope.blogspot.com/2010/02/grece-huit-clandestins-se-noient-en-mer.html"/>
        <s v="http://fortresseurope.blogspot.com/2010/10/un-soudanais-tue-lors-dune-tentative-de.html"/>
        <s v="http://fortresseurope.blogspot.com/2010/10/migrant-death-in-samos.html"/>
        <s v="http://fortresseurope.blogspot.com/2010/12/ancona-emigrati-su-un-traghetto-uno.html"/>
        <s v="http://fortresseurope.blogspot.com/2009/10/egypt-police-kill-eritrean-migrant-at.html"/>
        <s v="http://fortresseurope.blogspot.com/2009/09/al-menos-ocho-muertos-en-el-naufragio.html"/>
        <s v="http://fortresseurope.blogspot.com/2009/09/egyptian-police-kill-two-eritreans-at.html"/>
        <s v="http://fortresseurope.blogspot.com/2009/09/egypt-police-kill-4-migrants-at-israeli.html"/>
        <s v="http://fortresseurope.blogspot.com/2009/09/egypt-police-kill-african-at-border.html"/>
        <s v="http://fortresseurope.blogspot.com/2009/08/llegan-dos-pateras-canarias-con-un.html"/>
        <s v="http://fortresseurope.blogspot.com/2009/08/malta-recuperato-un-altro-cadavere-al.html"/>
        <s v="http://fortresseurope.blogspot.com/2009/08/sbarcati-134-emigrati-malta-e-siracusa.html"/>
        <s v="http://fortresseurope.blogspot.com/2009/08/trovato-un-cadavere-largo-di-linosa.html"/>
        <s v="http://fortresseurope.blogspot.com/2009/08/italia-5-eritrei-lampedusa-75-morti.html"/>
        <s v="http://fortresseurope.blogspot.com/2009/08/immigrato-cade-da-camion-e-muore.html"/>
        <s v="http://fortresseurope.blogspot.com/2009/08/greece-two-drown-in-migrant-boat.html"/>
        <s v="http://fortresseurope.blogspot.com/2009/08/hallan-el-cadaver-de-un-hombre-flotando.html"/>
        <s v="http://fortresseurope.blogspot.com/2009/08/sbarco-pantelleria-uno-grave-e-un.html"/>
        <s v="http://fortresseurope.blogspot.com/2009/08/benghazi-spunta-un-testimone-ecco-come.html"/>
        <s v="http://fortresseurope.blogspot.com/2009/08/one-algerian-migrant-dies-11-missing.html"/>
        <s v="http://fortresseurope.blogspot.com/2009/08/body-found-at-igoumenitsa-port.html"/>
        <s v="http://fortresseurope.blogspot.com/2009/08/egypt-police-kill-african-migrant-at.html"/>
        <s v="http://www.diariosur.es/20090727/marbella/hallan-restos-humanos-playa-20090727.html"/>
        <s v="http://fortresseurope.blogspot.com/2006/01/pestato-sangue-dalla-polizia-greca-come.html"/>
        <s v="http://www.diariosur.es/20090724/malaga/buscan-naufrago-patera-20090724.html"/>
        <s v="http://www.hurriyetdailynews.com/n.php?n=three-immigrants-killed-in-road-accident-2009-07-23"/>
        <s v="http://www.diariosur.es/20090722/marbella/aparece-playa-cadaver-decapitado-20090722.html"/>
        <s v="http://www.diariosur.es/20090717/andalucia/aparece-cadaver-mujer-seria-20090717.html"/>
        <s v="http://www.diariodenavarra.es/20090714/nacional/mueren-dos-inmigrantes-llegaron-cayuco-hierro.html?not=2009071401405957&amp;idnot=2009071401405957&amp;dia=20090714&amp;seccion=nacional&amp;seccion2=sucesos&amp;chnl=30%E2%80%9D%3E15/07/09%3C/a%3E%3C/td%3E%3Ctd%3E%3Cp"/>
        <s v="http://www.diariodenavarra.es/20090714/nacional/muere-hospital-otro-inmigrantes-llego-domingo-cayuco-hierro.html?not=2009071413060109&amp;idnot=2009071413060109&amp;dia=20090714&amp;seccion=nacional&amp;seccion2=sucesos&amp;chnl=30"/>
        <s v="http://fortresseurope.blogspot.com/2009/08/egypt-police-kill-two-somalis-at-israel.html"/>
        <s v="http://www.elmundo.es/elmundo/2009/06/29/andalucia/1246262310.html"/>
        <s v="http://af.reuters.com/article/eritreaNews/idAFLS33140420090628"/>
        <s v="http://af.reuters.com/article/eritreaNews/idAFLO9248220090624"/>
        <s v="http://www.aduc.it/dyn/immigrazione/noti.php?id=263715"/>
        <s v="http://www.unita.it/newsansa/37689/spagna_un_immigrato_morto_dopo_soccorsi"/>
        <s v="http://lille.blogs.liberation.fr/saberan/2009/06/interviewcelinedallery.html"/>
        <s v="http://www.ipsnews.net/2009/10/bulgaria-migrants-denied-even-medicine/"/>
        <s v="http://www.elpais.com/articulo/espana/Desaparecidos/ocupantes/patera/cerca/Tarifa/elpepuesp/20090604elpepunac_1/Tes"/>
        <s v="http://www.laverdad.es/murcia/20090604/espana/encuentran-cadaver-subsahariano-aguas-20090604.html"/>
        <s v="http://af.reuters.com/article/eritreaNews/idAFL2100269020090602"/>
        <s v="http://www.ansa.it/"/>
        <s v="http://www.rainews24.it/Notizia.asp?NewsId=116976"/>
        <s v="http://www.elmundo.es/papel/2009/05/01/espana/2638476.html"/>
        <s v="http://www.diariodenavarra.es/20090424/nacional/encontrados-estrecho-cuerpos-dos-inmigrantes.html?not=2009042402575945&amp;idnot=2009042402575945&amp;dia=20090424&amp;seccion=nacional&amp;seccion2=sucesos&amp;chnl=30"/>
        <s v="http://www.eldia.es/2009-04-20/CANARIAS/1-inmigrante-muere-costas-mauritanas-cuando-viajaba-Archipielago.htm"/>
        <s v="http://www.repubblica.it/2009/04/sezioni/cronaca/immigrati-5/reportage-21apr/reportage-21apr.html"/>
        <s v="http://www.lasiciliaweb.it/index.php?id=19875&amp;template=lasiciliaweb"/>
        <s v="http://abonnes.lemonde.fr/les-articles-du-monde/090407.html"/>
        <s v="http://www.lemonde.fr/web/depeches/0"/>
        <s v="http://www.apcom.net/newscronaca/20090403_140600_4d41667_59520.shtml"/>
        <s v="http://www.rainews24.it/Notizia.asp?NewsId=112841"/>
        <s v="http://www.corriereadriatico.it/articolo.aspx?varget=C6D7C83123BAF5598766164BAC3D7082"/>
        <s v="http://www.tribune.com.ng/26032009/news/news7.html"/>
        <s v="http://www.gazzettino.it/articolo.php?id=52225&amp;sez=NORDEST"/>
        <s v="http://www.publico.es/211773/buscan/ocupantes/patera/desaparecidos/caer/mar/rescate"/>
        <s v="http://www.lasiciliaweb.it/index.php?id=18895&amp;template=lasiciliaweb"/>
        <s v="http://www.diariosur.es/20090318/andalucia/localizado-cadaver-inmigrante-playa-20090318.html"/>
        <s v="http://www.abc.es/20090307/nacional-sucesos/muere-desangrado-subsahariano-quedar-20090307.html"/>
        <s v="http://www.millebabords.org/spip.php?article10500"/>
        <s v="http://www.larazon.es/noticia/un-muerto-entre-35-subsaharianos-llegados-en-patera"/>
        <s v="http://www.elpais.com/articulo/espana/Rescatada/Canarias/barca/papeles/cadaveres/elpepiesp/20090203elpepinac_17/Tes"/>
        <s v="http://fortresseurope.blogspot.com/2009/12/egyptian-police-kill-two-migrants-at.html"/>
        <s v="http://fortresseurope.blogspot.com/2009/12/seven-held-in-kosovo-after-migrants.html"/>
        <s v="http://fortresseurope.blogspot.com/2009/12/calais-jeune-afghan-tue-fauche-par-une.html"/>
        <s v="http://fortresseurope.blogspot.com/2009/12/algeria-16-dispersi-sulla-rotta-per-la.html"/>
        <s v="http://fortresseurope.blogspot.com/2009/12/grecia-un-morto-e-un-disperso-in-un.html"/>
        <s v="http://fortresseurope.blogspot.com/2009/12/mort-dun-migrant-marseille.html"/>
        <s v="http://fortresseurope.blogspot.com/2009/12/egypt-police-kill-african-migrant-at.html"/>
        <s v="http://fortresseurope.blogspot.com/2009/11/desaparece-uno-de-los-12-inmigrantes-de.html%20"/>
        <s v="http://fortresseurope.blogspot.com/2009/11/algeria-3-morti-e-10-dispersial-largo.html"/>
        <s v="http://fortresseurope.blogspot.com/2009/11/egypt-police-kill-africa-migrant-on.html"/>
        <s v="http://fortresseurope.blogspot.com/2009/11/quattro-annegati-al-largo-delle-coste.html"/>
        <s v="http://fortresseurope.blogspot.com/2009/11/death-toll-in-migrant-sea-tragedy-hits.html"/>
        <s v="http://fortresseurope.blogspot.com/2009/11/migrant-found-dead-in-back-of-lorry-as.html"/>
        <s v="http://fortresseurope.blogspot.com/2009/10/8-afghan-immigrants-drown-as-boat-sinks.html"/>
        <s v="http://fortresseurope.blogspot.com/2009/10/barcone-sbarca-nel-ragusano-un-morto.html"/>
        <s v="http://fortresseurope.blogspot.com/2009/10/abbandonati-in-mare-sei-morti-gela.html"/>
        <s v="http://www.ekathimerini.com/4dcgi/_w_articles_world_2_29/01/2009_104219"/>
        <s v="http://www.lequotidien-oran.com/index.php?news=5114512"/>
        <s v="http://www.itnews.it/news/2009/0121102401412/immigrati-sbarcati-53-clandestini-a-terra-a-lampedusa-uno-e-morto.html"/>
        <s v="http://www.repubblica.it/2009/01/sezioni/cronaca/immigrati-3/naufragio-tunisini/naufragio-tunisini.html"/>
        <s v="http://www.lequotidien-oran.com/index.php?news=5113964"/>
        <s v="http://www.ekathimerini.com/4dcgi/_w_articles_politics_2_14/01/2009_103779"/>
        <s v="http://www.iht.com/articles/ap/2009/01/10/africa/AF-Senegal-Migrants.php"/>
        <s v="http://www.elmundo.es/elmundo/2009/06/29/espana/1246265936.html"/>
        <s v="http://www.kuna.net.kw/NewsAgenciesPublicSite/ArticleDetails.aspx?id=1941134&amp;Language=en"/>
        <s v="http://www.ekathimerini.com/4dcgi/_w_articles_politics_2_27/09/2008_100834"/>
        <s v="http://africa.reuters.com/country/ER/news/usnLO251986.html"/>
        <s v="http://www.repubblica.it/2008/06/sezioni/cronaca/sbarchi-immigrati-1/immigrazione-malta-naufragio/immigrazione-malta-naufragio.html"/>
        <s v="http://www.worldbulletin.net/news_detail.php?id=28563"/>
        <s v="http://docs.google.com/viewer?url=http://fortresseurope.googlegroups.com/web/RAPPORTO+EGITTO.doc?hl=it&amp;gda=O--8QEUAAAA6xOJURI9ZxmuVTIzrKY9J_Zx6o1h2tKyLtBcVaK1ONLQTHst6Yf70JwK7A7mmMStbNl8wi2yIucJk5oIH-yH0Gu1iLHeqhw4ZZRj3RjJ_-A&amp;gsc=a0gpAwsAAAD3Bhi2pdY5Nle2v"/>
        <s v="http://www.irinnews.org/report.aspx?ReportId=80835"/>
        <s v="http://www.ansa.it/site/notizie/awnplus/italia/news/2008-09-12_112272053.html"/>
        <s v="http://www.rainews24.it/notizia.asp?newsid=85800"/>
        <s v="http://news.aol.com/story/_a/antigua-police-find-8-bodies-on-drifting/n20080910215609990001"/>
        <s v="http://africa.reuters.com/country/ER/news/usnL9360462.html"/>
        <s v="http://www.timesofmalta.com/articles/view/20080909/local/infants-in-critical-condition-after-migrants-boat-capsizes/"/>
        <s v="http://www.elpais.com/articulo/espana/inmigrante/llego/sabado/Gomera/fallece/hospital/elpepiesp/20080908elpepinac_8/Tes"/>
        <s v="http://www.elpais.com/articulo/espana/Estan/perdidos/medio/desierto/zona/minada/elpepuesp/20080908elpepunac_13/Tes"/>
        <s v="http://www.lequotidien-oran.com/index.php?news=5108865"/>
        <s v="http://www.elpais.com/articulo/espana/cayuco/inmigrantes/muertos/llega/Canarias/dias/deriva/elpepiesp/20080904elpepinac_1/Tes"/>
        <s v="http://www.timesofmalta.com/articles/view/20080903/local/85-migrants-rescued-off-dinghy/"/>
        <s v="http://64.233.183.104/search?q=cache:pHZpBarIbBcJ:www.elkhabar.com/quotidienFrEn/%3Fida%3D121007%26idc%3D126+originated+from+Skikda+and+Annaba+provinces"/>
        <s v="http://tunisiawatch.rsfblog.org/archive/2008/08/29/disparition-de-cinq-jeunes-tunisiens-noyes-dans-une-tentativ.html"/>
        <s v="http://www.msnbc.msn.com/id/26406235/"/>
        <s v="http://www.ansa.it/site/notizie/awnplus/mondo/news/2008-08-24_124234126.html"/>
        <s v="http://fortresseurope.googlegroups.com/web/newsalgeriadesert.jpg?gda=GapKHEcAAAA6xOJURI9ZxmuVTIzrKY9Jm4BWiZxJN7fkv58Gsqg7mH-hMh-oV9zHTTJmpzn73DjiNflBnS90ecEO3zvz3dEqeV4duv6pDMGhhhZdjQlNAw"/>
        <s v="http://www.arabtimesonline.com/client/pagesdetails.asp?nid=21218&amp;ccid=18"/>
        <s v="http://africa.reuters.com/country/ER/news/usnLJ537335.html"/>
        <s v="http://www.ekathimerini.com/4dcgi/_w_articles_world_2_19/08/2008_99623"/>
        <s v="http://www.stranieriinitalia.it/ansa-immigrazione_altri_sbarchi_e_racconti_di_morti_in_mare_5334.html"/>
        <s v="http://www.diariosur.es/20080805/melilla/salvamento-maritimo-halla-zona-20080805.html"/>
        <s v="http://www.mareeg.com/fidsan.php?sid=7187&amp;tirsan=3&amp;PHPSESSID=78933fdfcad58a4f5310dc644b80701a"/>
        <s v="http://www.europapress.es/islas-canarias/noticia-encuentran-medio-cuerpo-humano-flotando-aguas-rincon-palmas-gran-canaria-20080804180326.html"/>
        <s v="http://www.elpais.com/articulo/andalucia/68/detenidos/desaparecido/costas/Andalucia/Ceuta/elpepiespand/20080802elpand_2/Tes/"/>
        <s v="http://www.ideal.es/granada/20080802/local/costa/encuentran-parte-cadaver-nino-200808021754.html"/>
        <s v="http://www.timesofmalta.com/articles/view/20080731/local/pregnant-migrant-dies-during-rescue/"/>
        <s v="http://www.turkishdailynews.com.tr/article.php?enewsid=111302"/>
        <s v="http://www.repubblica.it/2008/06/sezioni/cronaca/sbarchi-immigrati-1/naufragio-29lug/naufragio-29lug.html"/>
        <s v="http://fortresseurope.blogspot.com/2006/01/sardegna-38-dispersi-al-largo-delle.html"/>
        <s v="http://www.elpais.com/articulo/espana/muerto/inmigrantes/llegaron/cayuco/Gomera/elpepuesp/20080725elpepunac_4/Tes"/>
        <s v="http://www.elpais.com/articulo/andalucia/Hallado/cadaver/inmigrante/anos/elpepiespand/20080723elpand_4/Tes"/>
        <s v="http://www.nordeclair.fr/journal/NE/2008/07/24/REGION/ART360067.phtml"/>
        <s v="http://www.alertnet.org/thenews/newsdesk/L20601975.htm"/>
        <s v="http://www.corriere.it/cronache/08_luglio_26/clandestini_morti_due_bambini_Lampedusa_sbarchi_67ab1f58-5b36-11dd-95e7-00144f02aabc.shtml"/>
        <s v="http://www.timesofmalta.com/articles/view/20080718/local/migrants-arrested-at-delimara-corpse-found/"/>
        <s v="http://www.repubblica.it/2008/06/sezioni/cronaca/sbarchi-immigrati-1/gommone-lampedusa/gommone-lampedusa.html"/>
        <s v="http://www.leparisien.fr/home/info/faitsdivers/articles/UN-CLANDESTIN-TUE-PAR-UN-CAMION-SUR-UNE-BRETELLE-DE-L-A16-PRES-DE-CALAIS_298627584"/>
        <s v="http://www.gara.net/paperezkoa/20080713/86649/es/Fallecen-otros-dos-inmigrantes-que-llegaron-La-Gomera"/>
        <s v="http://africa.reuters.com/country/ER/news/usnL12457914.html"/>
        <s v="http://www.elpais.com/articulo/espana/inmigrantes/muertos/cayuco/llegado/costas/canarias/elpepuesp/20080711elpepunac_11/Tes"/>
        <s v="http://www.timesofmalta.com/articles/view/20080711/local/three-dead-three-babies-among-180-immigrants"/>
        <s v="http://www.elpais.com/articulo/espana/Desaparecen/papeles/volcar/patera/90/kilometros/Granada/elpepiesp/20080708elpepinac_6/Tes"/>
        <s v="http://www.tripolipost.com/articledetail.asp?c=1&amp;i=2080&amp;archive=1"/>
        <s v="http://it.reuters.com/article/topNews/idITROS43813420080704"/>
        <s v="http://africa.reuters.com/country/EG/news/usnL28733537.html"/>
        <s v="http://www.gazzettino.it/VisualizzaArticolo.php3?Luogo=Venezia&amp;Codice=3835394&amp;Data=2008-6-28&amp;Pagina=2"/>
        <s v="http://www.skylife.it/videoTg24Single/74198"/>
        <s v="http://www.repubblica.it/2008/02/sezioni/cronaca/sbarchi-immigrati/trovato-morto/trovato-morto.html"/>
        <s v="http://www.elwatan.com/Skikda-en-bref"/>
        <s v="http://africa.reuters.com/country/ER/news/usnL19206316.html"/>
        <s v="http://iltempo.ilsole24ore.com/interni_esteri/2008/06/21/893521-donna_aveva_partorito_neonato_morto.shtml"/>
        <s v="http://palermo.repubblica.it/notizie-dal-web/dettaglio/Ancora-un-naufragio-nel-canale-di-Sicilia-Disperso-un-immigrato/19779329"/>
        <s v="http://www.noticiasdenavarra.com/ediciones/2008/06/20/sociedad/espana-mundo/d20esp16.1283549.php"/>
        <s v="http://www.elwatan.com/Ras-El-Hamra-Annaba-Le-corps-d-un"/>
        <s v="http://www.repubblica.it/2008/02/sezioni/cronaca/sbarchi-immigrati/barcone-malta/barcone-malta.html"/>
        <s v="http://www.timesofmalta.com/articles/view/20080614/local/corpse-found-at-sea/"/>
        <s v="http://www.romandie.com/infos/news2/080612135316.m9lks2kc.asp"/>
        <s v="http://www.stranieriinitalia.it/ansa-immigrazione_recuperato_cadavere_al_largo_di_malta_4336.html"/>
        <s v="http://haber.turk.net/haber_detay.asp?ID=2048979&amp;cat=ENG"/>
        <s v="http://www.repubblica.it/2008/02/sezioni/cronaca/sbarchi-immigrati/nuovi-sbarchi/nuovi-sbarchi.html"/>
        <s v="http://www.repubblica.it/2008/06/sezioni/cronaca/naufragio-6giu/naufragio-6giu/naufragio-6giu.html"/>
        <s v="http://www.adnkronos.com/IGN/Cronaca/?id=1.0.2218210842"/>
        <s v="http://www.adnkronos.com/IGN/Cronaca/?id=1.0.2216752396"/>
        <s v="http://www.agenziami.it/ultime/3762/Immigrazione+cadavere+recuperato+im+mare/"/>
        <s v="http://www.siciliainformazioni.com/giornale/cronaca/sicilia/19452/trovato-cadavere-spiaggia-trapanese-forse-immigrato.htm?a=comment"/>
        <s v="http://www.turkishdailynews.com.tr/article.php?enewsid=105733"/>
        <s v="http://www.abc.es/20080526/nacional-sucesos/tres-muertos-cuando-intentaban_200805260259.html"/>
        <s v="http://www.guardian.co.uk/uk/2008/may/27/scotland"/>
        <s v="http://www.timesofmalta.com/articles/view/20080526/local/13-migrants-rescued-five-believed-drowned/"/>
        <s v="http://www.timesofmalta.com/articles/view/20080523/local/more-illegal-immigrants-arrive/"/>
        <s v="http://www.adnkronos.com/IGN/Regioni/Sicilia.php?id=1.0.2189795361"/>
        <s v="http://www.timesofmalta.com/articles/view/20080522/local/sixth-corpse-found-at-sea/"/>
        <s v="http://www.lequotidien-oran.com/index.php?news=5104022"/>
        <s v="http://www.yen.gr/wide/yen.chtm?prnbr=32714"/>
        <s v="http://fortresseurope.blogspot.com/2006/01/grecia-guardia-costiera-affonda-zodiac.html"/>
        <s v="http://africa.reuters.com/country/TN/news/usnAMA244250.html"/>
        <s v="http://www.timesofmalta.com/articles/view/20080508/local/third-corpse-found-in-the-sea/"/>
        <s v="http://fortresseurope.blogspot.com/2006/01/aprile-2008.html"/>
        <s v="http://elharraga.wordpress.com/2008/05/06/un-cadavre-rejete-par-la-mer-a-cap-carbon/"/>
        <s v="http://www.lesoir.be/actualite/belgique/suicide-au-centre-ferme-de-2008-05-01-595575.shtml"/>
        <s v="http://www.turkishdailynews.com.tr/article.php?enewsid=102961"/>
        <s v="http://www.stranieriinitalia.it/ansa-immigrazione500_soccorsi_in_24_ore_in_siciliaun_morto_3561.html"/>
        <s v="http://africa.reuters.com/country/TN/news/usnAMA440733.html"/>
        <s v="http://www.laprovincia.es/secciones/noticia.jsp?pRef=2008042200_14_145635__Fuerteventura-polizones-entraron-timon-para-esconderse-barco"/>
        <s v="http://africa.reuters.com/country/ER/news/usnL20735292.html"/>
        <s v="http://www.algeria-watch.org/fr/article/pol/migration/ruee_mort.htm"/>
        <s v="http://www.elkhabar.com/quotidienFrEn/lire.php?idc=122&amp;ida=104653&amp;key=2&amp;cahed=1"/>
        <s v="http://www.diariosur.es/20080330/melilla/guardia-civil-halla-cerca-20080330.html"/>
        <s v="http://www.lequotidien-oran.com/index.php?news=5101353"/>
        <s v="http://canarias24horas.com/index.php/2008032747171/inmigracion/rescatados-los-cadaveres-de-cuatro-inmigrantes-en-el-sahara-de-un-posible-cayuco-naufragado.html"/>
        <s v="http://africa.reuters.com/country/ER/news/usnL27787267.html"/>
        <s v="http://news.xinhuanet.com/english/2008-03/23/content_7843221.htm"/>
        <s v="http://africa.reuters.com/country/EG/news/usnL18667569.html"/>
        <s v="http://www.jeuneafrique.com/jeune_afrique/article_depeche.asp?art_cle=AFP33038deuxiseiran0"/>
        <s v="http://www.lequotidien-oran.com/index.php?news=5100130"/>
        <s v="http://www.abc.es/20080301/nacional-sucesos/inmigrante-muere-ahogada-cadiz_200803010252.html"/>
        <s v="http://africa.reuters.com/country/ER/news/usnL25673152.html"/>
        <s v="http://www.amnesty.org.uk/news_details.asp?NewsID=17673"/>
        <s v="http://www.abc.es/20080214/nacional-sucesos/desaparecen-subsaharianos-iban-hacia_200802140249.html"/>
        <s v="http://www.elpais.com/articulo/espana/inmigrante/muere/caer/bus/fugaba/elpepiesp/20080206elpepinac_21/Tes"/>
        <s v="http://www.elpais.com/articulo/andalucia/Hallados/cadaveres/identificar/aguas/Cadiz/elpepiespand/20080203elpand_1/Tes"/>
        <s v="http://www.elpais.com/articulo/espana/policia/marroqui/mata/tiros/subsahariano/asalto/Melilla/elpepiesp/20090102elpepinac_9/Tes"/>
        <s v="http://www.ekathimerini.com/4dcgi/_w_articles_world_2_22/12/2008_103228"/>
        <s v="http://www.corriere.it/cronache/08_dicembre_12/kabul_mestre_appeso_tir_ragazzino_serra_988b6a60-c819-11dd-a869-00144f02aabc.shtml"/>
        <s v="http://www.ekathimerini.com/4dcgi/_w_articles_world_2_08/12/2008_102832"/>
        <s v="http://www.publico.es/agencias/efe/181151/llegan/gran/canaria/inmigrantes/rescatados/cayuco"/>
        <s v="http://www.earthtimes.org/articles/show/244958"/>
        <s v="http://www.repubblica.it/2008/11/sezioni/cronaca/clandestini/clandestini/clandestini.html"/>
        <s v="http://www.iht.com/articles/ap/2008/11/28/europe/EU-Greece-Migrant-Smugglers.php"/>
        <s v="http://www.blogger.com/%20http://www.news24.com/News24/Africa/News/0"/>
        <s v="http://www.algerie-monde.com/actualite/article4796.html"/>
        <s v="http://www.abc.es/20081120/canarias-canarias/fallece-inmigrantes-llegaron-cayuco-20081120.html"/>
        <s v="http://www.lasiciliaweb.it/index.php?id=13214&amp;template=lasiciliaweb%20"/>
        <s v="http://www.eldia.es/2008-11-12/canarias/canarias4.htm"/>
        <s v="http://www.timesofmalta.com/articles/view/20081109/local/corpses-recovered-at-sea-remain-unidentified"/>
        <s v="http://www.elpais.com/articulo/espana/subsaharianos/muertos/cayuco/Gomera/elpepiesp/20081030elpepinac_18/Tes"/>
        <s v="http://www.ekathimerini.com/4dcgi/_w_articles_politics_2_30/10/2008_101707"/>
        <s v="http://www.javno.com/en/world/clanak.php?id=195953"/>
        <s v="http://www.alertnet.org/thenews/newsdesk/LM722297.htm"/>
        <s v="http://www.iht.com/articles/ap/2008/10/19/europe/EU-Albania-Boat-Sinks.php"/>
        <s v="http://www.abc.es/hemeroteca/historico-19-10-2008/abc/Canarias/un-muerto-y-cinco-heridos-en-un-cayuco-que-llega-al-sur-de-gran-canaria_91681837446.html"/>
        <s v="http://www.abc.es/20081017/canarias-canarias/fallece-hospital-inmigrantes-llegaron-20081017.html"/>
        <s v="http://quotidiensanspapiers.free.fr/w/spip.php?article1593"/>
        <s v="http://africa.reuters.com/country/ER/news/usnLE64900.html"/>
        <s v="http://www.elpais.com/articulo/espana/papeles/naufragan/nada/partir/Espana/elpepiesp/20081009elpepinac_15/Tes"/>
        <s v="http://www.usatoday.com/news/world/2008-10-07-greece-bodies_N.htm"/>
        <s v="http://www.turkishdailynews.com.tr/article.php?enewsid=116777"/>
        <s v="http://www.elpais.com/articulo/andalucia/Muere/inmigrante/atropellado/A-381/elpepiespand/20081006elpand_5/Tes"/>
        <s v="http://www.laverdad.es/murcia/20081005/espana/hallan-cadaver-salpicadero-20081005.html"/>
        <s v="http://www.diariosur.es/20081005/malaga/hallan-cadaveres-hombres-deriva-20081005.html"/>
        <s v="http://www.lequotidien-oran.com/index.php?news=5098330"/>
        <s v="http://www.blogger.com/%20http://africa.reuters.com/country/ER/news/usnL30819646.html"/>
        <s v="http://www.ekathimerini.com/4dcgi/news/content.asp?aid=92737"/>
        <s v="http://www.lequotidien-oran.com/index.php?news=5097927"/>
        <s v="http://www.elpais.com/articulo/espana/Mueren/papeles/volcar/patera/playa/Conil/elpepiesp/20080123elpepinac_15/Tes"/>
        <s v="http://www.romagnaoggi.it/showarticle.php?articleID=288620&amp;posizione=24_ore_romagna&amp;storico=tutti"/>
        <s v="http://www.ana.gr/anaweb/user/showplain?maindoc=6047653&amp;maindocimg=1546521&amp;service=96"/>
        <s v="http://www.elpais.com/articulo/espana/Rescatados/88/inmigrantes/muertos/aguas/Canarias/elpepiesp/20080113elpepinac_16/Tes"/>
        <s v="http://www.repubblica.it/2007/11/sezioni/cronaca/immigrati-3/omicidio-peschereccio/omicidio-peschereccio.html"/>
        <s v="http://www.abc.es/20080110/nacional-sucesos/septimo-cadaver-seis-dias_200801100248.html"/>
        <s v="http://www.elpais.com/articulo/espana/Recuperados/cadaveres/papeles/playas/Cadiz/elpepiesp/20080107elpepinac_12/Tes/"/>
        <s v="http://www.afriquenligne.fr/actualites/societe/maroc:-les-corps-de-4-subsahariens-repeches-au-large-du-sahara-occidental-2008010414472/"/>
        <s v="http://www.adnkronos.com/IGN/Cronaca/?id=1.0.1372302542"/>
        <s v="http://www.kuna.net.kw/NewsAgenciesPublicSite/ArticleDetails.aspx?id=1845324&amp;Language=en"/>
        <s v="http://www.europapress.es/noticiasocial.aspx?cod=20070926165043&amp;ch=329"/>
        <s v="http://www.toutsurlalgerie.com/contenu.php?id=1157"/>
        <s v="http://www.ekathimerini.com/4dcgi/news/content.asp?aid=88185"/>
        <s v="http://www.ekathimerini.com/4dcgi/news/content.asp?aid=88172"/>
        <s v="http://www.ekathimerini.com/4dcgi/news/content.asp?aid=88061"/>
        <s v="http://www.elpais.com/articulo/espana/Hallado/Almeria/cuerpo/inmigrantes/naufragaron/patera/elpepuesp/20070918elpepinac_17/Tes"/>
        <s v="http://www.alertnet.org/thenews/newsdesk/L17896530.htm"/>
        <s v="http://www.iht.com/articles/ap/2007/09/15/africa/ME-GEN-Egypt-Human-Trafficking.php"/>
        <s v="http://www.repubblica.it/2007/09/sezioni/cronaca/immigrati-2/immigrati-2/immigrati-2.html"/>
        <s v="http://www.lorientlejour.com/page.aspx?page=article&amp;id=352421"/>
        <s v="http://www.jeuneafrique.com/jeune_afrique/article_depeche.asp?art_cle=AFP84207desclsuraps0"/>
        <s v="http://www.abc.es/hemeroteca/historico-09-09-2007/sevilla/Andalucia/hallan-en-un-acantilado-un-cadaver-que-podria-ser-de-un-inmigrante-huido-de-la-patera-de-carchuna_164733150275.html"/>
        <s v="http://www.elpais.com/articulo/espana/inmigrantes/mueren/ahogados/metros/costa/canaria/naufragar/patera/elpepuesp/20070908elpepinac_1/Tes"/>
        <s v="http://news.bbc.co.uk/1/hi/world/africa/6975811.stm"/>
        <s v="http://www.repubblica.it/2007/07/sezioni/cronaca/immigrati/capopassero/capopassero.html"/>
        <s v="http://it.notizie.yahoo.com/rtrs/20070830/tts-clandestini-malta-ca02f96_2.html"/>
        <s v="http://www.ekathimerini.com/4dcgi/news/content.asp?aid=87254"/>
        <s v="http://www.ilmessaggero.it/articolo.php?id=7897&amp;sez=HOME_INITALIA"/>
        <s v="http://fortresseurope.blogspot.com/2007/09/immigrazione-barcone-clandestini.html"/>
        <s v="http://www.infinitoedizioni.it/index.php?id=121&amp;tx_ttnews%5Btt_news%5D=532&amp;tx_ttnews%5BbackPid%5D=3&amp;cHash=98de22ce18"/>
        <s v="http://www.lequotidien-oran.com/index.php?news=504439"/>
        <s v="http://www.ekathimerini.com/4dcgi/news/content.asp?aid=87075"/>
        <s v="http://www.adnkronos.com/IGN/Cronaca/?id=1.0.1227431464"/>
        <s v="http://www.elpais.com/articulo/espana/inmigrantes/patera/naufragada/Fuerteventura/aseguran/arrojaron/mar/cadaveres/elpepuesp/20070820elpepunac_2/Tes"/>
        <s v="http://www.corriere.it/Primo_Piano/Cronache/2007/08_Agosto/21/immigrati_cadaveri_lampedusa.shtml"/>
        <s v="http://www.ekathimerini.com/4dcgi/news/content.asp?aid=86879"/>
        <s v="http://www.corriere.it/Primo_Piano/Cronache/2007/08_Agosto/14/clandestini_lampedusa_morti.shtml"/>
        <s v="http://www.thenewanatolian.com/tna-28252.html"/>
        <s v="http://www.lemonde.fr/web/article/0"/>
        <s v="http://www.adnkronos.com/IGN/Cronaca/?id=1.0.1200295430"/>
        <s v="http://www.ansa.it/site/notizie/awnplus/italia/news/2007-08-11_111114408.html"/>
        <s v="http://www.timesofmalta.com/core/article.php?id=270989"/>
        <s v="http://espresso.repubblica.it/dettaglio-local//1718827"/>
        <s v="http://www.ekathimerini.com/4dcgi/news/content.asp?aid=86664"/>
        <s v="http://www.adnkronos.com/IGN/Cronaca/?id=1.0.1193458648"/>
        <s v="http://www.elpais.com/articulo/espana/Muere/inmigrante/Algeciras/caer/bajos/camion/viajaba/oculto/ser/atropellado/elpepuesp/20070808elpepunac_5/Tes"/>
        <s v="http://www.adnkronos.com/IGN/Regioni/Sicilia.php?id=1.0.1177773888"/>
        <s v="http://www.ekathimerini.com/4dcgi/news/content.asp?aid=86467"/>
        <s v="http://www.afrik.com/article12221.html"/>
        <s v="http://www.timesofmalta.com/core/article.php?id=269443"/>
        <s v="http://www.algerfree.com/news/un-mort-et-sept-survivants-algeriens-au-large-de-la-Tunisie.html"/>
        <s v="http://www.lequotidien-oran.com/index.php?news=503381"/>
        <s v="http://www.lasicilia.it/articoli.nsf/%28ArchivioLaSiciliait%29/67DB96764E171BFEC1257323003BD1C2?OpenDocument"/>
        <s v="http://www.repubblica.it/2007/07/sezioni/cronaca/immigrati/immigrati/immigrati.html"/>
        <s v="http://platform.blogs.com/passionofthepresent/2007/07/sudanese-man-sh.html"/>
        <s v="http://fortresseurope.blogspot.com/2007/07/sahara-occidentale-2-morti-e-40.html"/>
        <s v="http://www.timesofmalta.com/core/article.php?id=269156&amp;hilite=migrant"/>
        <s v="http://www.diariosur.es/20070906/espana/archivan-querella-contra-salvamento-20070906.html"/>
        <s v="http://www.elpais.com/articulo/espana/dispositivo/busqueda/desplegado/ha/recuperado/cuerpos/inmigrantes/naufragados/elpepuesp/20070719elpepunac_2/Tes"/>
        <s v="http://www.repubblica.it/2007/07/sezioni/cronaca/peschereccio-allarme/peschereccio-allarme/peschereccio-allarme.html"/>
        <s v="http://www.elpais.com/articulo/sociedad/Llega/Tenerife/cayuco/56/inmigrantes/muerto/elpepusoc/20070717elpepusoc_5/Tes"/>
        <s v="http://fortresseurope.blogspot.com/2006/01/luglio-2006.html"/>
        <s v="http://www.repubblica.it/2007/07/sezioni/cronaca/mestre-clandestini-morti/mestre-clandestini-morti/mestre-clandestini-morti.html"/>
        <s v="http://www.maltamedia.com/artman2/publish/law_order/article_2601.shtml"/>
        <s v="http://associationsalam.org/infos/index.php?2007/07/08/364-elle-aurait-eu-20-ans-dans-3-mois"/>
        <s v="http://www.elpais.com/articulo/internacional/muertos/patera/llegada/noche/costas/canarias/elpepuesp/20070704elpepuint_13/Tes"/>
        <s v="http://www.lequotidien-oran.com/index.php?news=502488"/>
        <s v="http://www.timesofmalta.com/core/article.php?id=266590&amp;hilite=migrant"/>
        <s v="http://newscontrol.repubblica.it/item/333913/clandestini-cadavere-recuperato-al-largo-di-lampedusa"/>
        <s v="http://it.notizie.yahoo.com/adnkxml/20070628/tit-immigrati-clandestini-soccorsi-a-lar-afde0ec_1.html"/>
        <s v="http://www.timesofmalta.com/core/article.php?id=266424&amp;hilite=migrant"/>
        <s v="http://www.ansa.it/site/notizie/regioni/sicilia/news/2007-06-28_12879108.html"/>
        <s v="http://www.elmundo.es/elmundo/2007/06/27/espana/1182926761.html"/>
        <s v="http://www.timesofmalta.com/core/article.php?id=266201&amp;hilite=migrant"/>
        <s v="http://www.repubblica.it/2007/05/sezioni/cronaca/sbarchi-immigrati/morti-in-mare/morti-in-mare.html"/>
        <s v="http://www.repubblica.it/2007/05/sezioni/cronaca/sbarchi-immigrati/nuovi-sbarchi/nuovi-sbarchi.html"/>
        <s v="http://www.timesofmalta.com/core/article.php?id=265741&amp;hilite=migrant"/>
        <s v="http://www.timesofmalta.com/core/article.php?id=265626&amp;hilite=migrant"/>
        <s v="http://www.repubblica.it/2007/05/sezioni/cronaca/sbarchi-immigrati/cadaveri-lampedusa/cadaveri-lampedusa.html"/>
        <s v="http://www.eng.fsu.edu/%7Eabichou/Ocean/index.htm"/>
        <s v="http://www.eldia.es/2007-06-15/vivir/vivir13.htm"/>
        <s v="http://www.timesofmalta.com/core/article.php?id=264871"/>
        <s v="http://tempsreel.nouvelobs.com/actualites/societe/20070613.OBS1729/un_clandestin_retrouvemort_dans_un_camion.html"/>
        <s v="http://www.elpais.com/articulo/espana/nigeriano/papeles/fallece/avion/era/deportado/custodia/policial/elpepunac/20070611elpepinac_18/Tes"/>
        <s v="http://www.timesofmalta.com/core/article.php?id=264586"/>
        <s v="http://www.ekathimerini.com/4dcgi/news/content.asp?aid=84368"/>
        <s v="http://www.elpais.com/articulo/espana/Llega/patera/Gran/Canaria/46/subsaharianos/bordo/muertos/elpepuesp/20070605elpepunac_15/Tes"/>
        <s v="http://africa.reuters.com/country/DZ/news/usnBAN539517.html"/>
        <s v="http://www.repubblica.it/2007/05/sezioni/cronaca/barcone-scomparso/recuperati-cadaveri/recuperati-cadaveri.html"/>
        <s v="http://fortresseurope.blogspot.com/"/>
        <s v="http://www.aps.sn/articles.php?id_article=31086"/>
        <s v="http://www.repubblica.it/2005/b/rubriche/glialtrinoi/miracolo/miracolo.html"/>
        <s v="http://www.tgcom.mediaset.it/cronaca/articoli/articolo362662.shtml"/>
        <s v="http://www.timesofmalta.com/core/article.php?id=262033"/>
        <s v="http://www.bladi.net/12711-maroc-immigration-clandestine.html"/>
        <s v="http://www.meltingpot.org/articolo10455.html"/>
        <s v="http://www.elpais.com/articulo/espana/Fallece/inmigrantes/evacuados/patera/Gran/Canaria/elpepuesp/20070430elpepunac_3/Tes"/>
        <s v="http://www.elpais.com/articulo/espana/nino/ano/medio/logra/sobrevivir/tragica/travesia/cayuco/elpepuesp/20070429elpepinac_15/Tes"/>
        <s v="http://www.ekathimerini.com/4dcgi/news/content.asp?aid=82895"/>
        <s v="http://www.elpais.com/articulo/espana/inmigrantes/subsaharianos/mueren/cayuco/llegar/Tenerife/elpepuesp/20070426elpepunac_2/Tes"/>
        <s v="http://www.elpais.com/articulo/espana/Senegal/acepta/desembarco/89/inmigrantes/rescatados/frente/Mauritania/elpepuesp/20070425elpepunac_1/Tes"/>
        <s v="http://www.elwatan.com/spip.php?page=article&amp;id_article=66494"/>
        <s v="http://www.elpais.com/articulo/espana/Fallece/inmigrante/ser/rescatado/Salvamento/Maritimo/elpepuesp/20070404elpepunac_7/Tes"/>
        <s v="http://www.turkishdailynews.com.tr/article.php?enewsid=69266"/>
        <s v="http://www.unita.it/view.asp?idContent=64660"/>
        <s v="http://www.ekathimerini.com/4dcgi/_w_articles_politics_100012_19/03/2007_81374"/>
        <s v="http://www.elpais.com/articulo/espana/Chalecos/suerte/elpepuesp/20070310elpepinac_23/Tes"/>
        <s v="http://www2.blogger.com/"/>
        <s v="http://www.lernesto.it/index.aspx?m=77&amp;f=2&amp;IDArticolo=14303"/>
        <s v="http://www.ekathimerini.com/4dcgi/_w_articles_politics_100019_20/02/2007_80289"/>
        <s v="http://www.news24.com/News24/Africa/News/0"/>
        <s v="http://www.lequotidien-oran.com/index.php?news=2319"/>
        <s v="http://www.ekathimerini.com/4dcgi/news/content.asp?aid=79771"/>
        <s v="http://www.abc.es/20071228/nacional-sucesos/fallece-ceuta-inimigrante-marroqui_200712280302.html"/>
        <s v="http://www.iht.com/articles/ap/2007/12/28/europe/EU-GEN-Turkey-Illegal-Migrants.php"/>
        <s v="http://it.notizie.yahoo.com/asca/20080107/twl-immigrati-morti-al-largo-di-tunisia-b689c2c_1.html"/>
        <s v="http://www.ekathimerini.com/4dcgi/news/content.asp?aid=91465"/>
        <s v="http://www.ekathimerini.com/4dcgi/news/content.asp?aid=91322"/>
        <s v="http://www.turkishdailynews.com.tr/article.php?enewsid=91602"/>
        <s v="http://www.lequotidien-oran.com/index.php?news=5095728"/>
        <s v="http://www.seneweb.com/news/article/13669.php"/>
        <s v="http://www.elpais.com/articulo/internacional/patera/inmigrantes/naufraga/aguas/marroquies/elpepuint/20071210elpepiint_10/Tes"/>
        <s v="http://www.lequotidien-oran.com/index.php?news=5095595"/>
        <s v="http://www.turkishdailynews.com.tr/article.php?enewsid=91336"/>
        <s v="http://www.elpais.com/articulo/espana/Llega/Hierro/cayuco/inmigrantes/muerto/elpepuesp/20071209elpepunac_5/Tes"/>
        <s v="http://www.in.gr/news/article.asp?lngEntityID=855303"/>
        <s v="http://www.elpais.com/articulo/espana/inmigrantes/llegan/muertos/Tenerife/cayucos/otras/85/personas/elpepuesp/20071205elpepunac_1/Tes"/>
        <s v="http://www.lemonde.fr/web/recherche_breve/1"/>
        <s v="http://www.lequotidien-oran.com/index.php?news=509455"/>
        <s v="http://www.elpais.com/articulo/espana/Rescatado/cayuco/48/africanos/cadaveres/rumbo/mar/elpepunac/20071201elpepinac_15/Tes"/>
        <s v="http://www.lequotidien-oran.com/index.php?news=509298"/>
        <s v="http://www.turkishdailynews.com.tr/article.php?enewsid=88880"/>
        <s v="http://www.canarias7.es/articulo.cfm?Id=72488"/>
        <s v="http://www.lequotidien-oran.com/index.php?news=508280"/>
        <s v="http://www.afrol.com/articles/27202"/>
        <s v="http://medios.mugak.eu/noticias/noticia/120309"/>
        <s v="http://www.ekathimerini.com/4dcgi/news/content.asp?aid=89879"/>
        <s v="http://medios.mugak.eu/noticias/noticia/119539"/>
        <s v="http://it.notizie.yahoo.com/adnkxml/20071106/tit-immigrati-ripescato-altro-cadavere-n-afde0ec_1.html"/>
        <s v="http://www.repubblica.it/2007/09/sezioni/cronaca/immigrati-2/roccella/roccella.html"/>
        <s v="http://www.elpais.com/articulo/espana/Rescatados/superviviente/cadaveres/naufragio/cayuco/dirigia/Canarias/elpepuesp/20071025elpepunac_6/Tes"/>
        <s v="http://www.seneweb.com/news/article/12796.php"/>
        <s v="http://www.ekathimerini.com/4dcgi/_w_articles_politics_100012_23/10/2007_89256"/>
        <s v="http://www.lequotidien-oran.com/index.php?news=506754"/>
        <s v="http://www.elmundo.es/elmundo/2007/10/16/espana/1192519427.html"/>
        <s v="http://www.elpais.com/articulo/espana/Fallece/deshidratacion/inmigrante/rescatado/cayuco/elpepuesp/20071016elpepinac_18/Tes"/>
        <s v="http://www.allheadlinenews.com/articles/7008833394"/>
        <s v="http://www.elmundo.es/elmundo/2007/10/09/espana/1191915684.html"/>
        <s v="http://www.lanuovasardegna.quotidianiespresso.it/giornalilocali/index.jsp?s=nuovasardegna&amp;l=articoli-dettaglio&amp;id=1481607"/>
        <s v="http://www.ekathimerini.com/4dcgi/news/content.asp?aid=79018"/>
        <s v="http://www.angolapress-angop.ao/noticia-f.asp?ID=502256"/>
        <s v="http://www.lequotidien-oran.com/index.php?news=47028"/>
        <s v="http://www.noticiasdealava.com/ediciones/2006/09/28/sociedad/espana-mundo/d28esp19.449240.php"/>
        <s v="http://www.turkishpress.com/news.asp?id=143841"/>
        <s v="http://www.repubblica.it/2006/08/sezioni/cronaca/clandestini/sbarchi-24"/>
        <s v="http://www.fferine.org/noticias/NOTI-1159700418.html"/>
        <s v="http://www.hoy.es/prensa/20060922/nacional/llegan-otros-indocumentados-hallan_20060922.html"/>
        <s v="http://www.elmundo.es/elmundo/2006/09/17/espana/1158511492.html"/>
        <s v="http://www.repubblica.it/2006/08/sezioni/cronaca/clandestini/nuovo-naufragio/nuovo-naufragio.html"/>
        <s v="http://www.elmundo.es/elmundo/2006/09/16/espana/1158397376.html"/>
        <s v="http://www.ekathimerini.com/4dcgi/news/content.asp?aid=74101"/>
        <s v="http://www.agrigentoweb.it/teleacras/dettaglionews.asp?titolo=Altri+400+immigrati+a+Lampedusa%3A+17+morti+durante+la+traversata"/>
        <s v="http://www.kataweb.it/news/item/214056/clandestini-2-barconi-a-sud-lampedusa-recuperato-cadavere"/>
        <s v="http://archive.turkishpress.com/news.asp?id=69274"/>
        <s v="http://www.kataweb.it/news/item/212420/clandestini-cadavere-recuperato-a-imboccatura-porto-lampedusa"/>
        <s v="http://www.lanzarotedigital.com/espanol/lanzarote/actualidad/noticias/2006/ln20060903193545.html"/>
        <s v="http://www.ekathimerini.com/4dcgi/_w_articles_politics_100022_02/09/2006_73757"/>
        <s v="http://dea.ansa.it/"/>
        <s v="http://www.iltempo.it/approfondimenti/index.aspx?id=1028530"/>
        <s v="http://www.repubblica.it/2006/08/sezioni/cronaca/sbarchi-lampedusa3/otto-morti/otto-morti.html"/>
        <s v="http://www.elmundo.es/elmundo/2006/09/01/espana/1157096113.html"/>
        <s v="http://www.liberation.fr/actualite/reuters/reuters_france/201754.FR.php"/>
        <s v="http://oknotizie.alice.it/go.php?us=2880024805dab05d"/>
        <s v="http://www.elpais.es/articulo/espana/Mauritania/recupera/84/cadaveres/cayuco/naufrago/pasado/fin/semana/elpporesp/20060830elpepunac_3/Tes/"/>
        <s v="http://www.alertnet.org/thenews/newsdesk/L28866170.htm"/>
        <s v="http://www.elpais.es/articulo/sociedad/Hallados/Mauritania/cadaveres/inmigrantes/dirigian/Canarias/elpporsoc/20060827elpepusoc_1/Tes/"/>
        <s v="http://www.elmundo.es/elmundo/2006/08/27/espana/1156680373.html"/>
        <s v="http://www.repubblica.it/2006/08/sezioni/cronaca/clandestini-lampedusa/sbarchi-25-08/sbarchi-25-08.html"/>
        <s v="http://indiaenews.com/2006-08/19652-illegal-migrants-indian-subcontinent.htm"/>
        <s v="http://motrildigital.blogspot.com/2006_08_01_motrildigital_archive.html"/>
        <s v="http://www.abc.es/hemeroteca/historico-22-08-2006/Nacional/lo-encontraron-entre-las-moscas-y-por-el-hedor-del-cayuco_1422967435475.html"/>
        <s v="http://www.repubblica.it/2006/08/sezioni/cronaca/clandestini-lampedusa/clandestini-20-08/clandestini-20-08.html"/>
        <s v="http://www.repubblica.it/2006/08/sezioni/cronaca/clandestini-lampedusa/clandestini-lampedusa/clandestini-lampedusa.html"/>
        <s v="http://www.libya-watanona.com/news/n2006/sep/0906nwsc.htm"/>
        <s v="http://www.elmundo.es/elmundo/2006/08/12/espana/1155400365.html"/>
        <s v="http://www.elmundo.es/elmundo/2006/08/11/espana/1155297536.html"/>
        <s v="http://www.elmundo.es/elmundo/2006/08/04/espana/1154681596.html"/>
        <s v="http://www.ansa.it/main/notizie/awnplus/topnews/news/2006-08-02_1029541.html"/>
        <s v="http://www.elmundo.es/elmundo/2006/08/01/espana/1154464419.html"/>
        <s v="http://www.repubblica.it/2006/07/sezioni/cronaca/sbarchi-lampedusa2/malta-dispersi/malta-dispersi.html"/>
        <s v="http://www.repubblica.it/2006/07/sezioni/cronaca/sbarchi-lampedusa2/clandestini-sbarchi-lampedusa/clandestini-sbarchi-lampedusa.html"/>
        <s v="http://listes.rezo.net/archives/migreurop/2006-08/msg00009.html"/>
        <s v="http://www.elmundo.es/elmundo/2006/07/28/espana/1154071470.html"/>
        <s v="http://www.elmundo.es/elmundo/2006/07/26/espana/1153947356.html"/>
        <s v="http://www.elmundo.es/elmundo/2006/07/26/internacional/1153927040.html"/>
        <s v="http://www.elmundo.es/elmundo/2006/07/24/espana/1153723887.html"/>
        <s v="http://www.corriere.it/Primo_Piano/Cronache/2006/07_Luglio/24/gela.shtml"/>
        <s v="http://www.diariodeavisos.com/content/112625/"/>
        <s v="http://www.elmundo.es/elmundo/2006/07/21/espana/1153495095.html"/>
        <s v="http://www.elmundo.es/elmundo/2006/07/23/espana/1153673114.html"/>
        <s v="http://www.elmundo.es/elmundo/2006/07/18/espana/1153247478.html"/>
        <s v="http://redcross.eu/en/upload/documents/pdf/2012/Migration/Lithuania_Study_on_detention%20pdf.pdf"/>
        <s v="http://www.elpais.es/articulo/espana/subsaharianos/mueren/deshidratados/travesia/dias/Tenerife/elpepiesp/20060708elpepinac_8/Tes/"/>
        <s v="http://www.elmundo.es/elmundo/2006/07/03/espana/1151914440.html"/>
        <s v="http://listes.rezo.net/archives/migreurop/2006-06/msg00150.html"/>
        <s v="http://www.elmundo.es/suplementos/cronica/2006/582/1166914811.html"/>
        <s v="http://archive.turkishpress.com/news.asp?id=129775"/>
        <s v="http://www.repubblica.it/2006/05/sezioni/cronaca/sbarchi-lampedusa/dispersi-malta/dispersi-malta.html"/>
        <s v="http://www.ekathimerini.com/4dcgi/news/content.asp?aid=70623"/>
        <s v="http://www.elpais.com/articulo/espana/Fallece/papeles/dias/deriva/cerca/Almeria/20060605elpepinac_14/Tes/"/>
        <s v="http://www.timesofmalta.com/core/article.php?id=226245"/>
        <s v="http://www.lesoleil.sn/article.php3?id_article=12010"/>
        <s v="http://www.turkishdailynews.com.tr/article.php?enewsid=44080"/>
        <s v="http://www.assabah.com.tn/"/>
        <s v="http://www.elpais.es/articulo/espana/yate/deriva/cadaveres/momificados/elpepiesp/20060513elpepinac_23/Tes/"/>
        <s v="http://www.ekathimerini.com/4dcgi/news/content.asp?aid=69224"/>
        <s v="http://www.elmundo.es/elmundo/2006/04/27/sociedad/1146127742.html"/>
        <s v="http://www.paterasdelavida.com/novedades/2006/008.html"/>
        <s v="http://www.diariosur.es/pg060425/prensa/noticias/Ceuta/200604/25/SUR-CEU-098.html"/>
        <s v="http://www.elmundo.es/elmundo/2006/04/02/sociedad/1144013316.html"/>
        <s v="http://www.elmundo.es/elmundo/2006/03/29/sociedad/1143622371.html"/>
        <s v="http://www.elpais.com/articulo/espana/mar/escupe/cadaveres/Cabo/Blanco/elpepiesp/20060318elpepinac_6/Tes"/>
        <s v="http://www.elpais.com/articulo/espana/Esperanza/Mar/desembarca/cuerpos/25/subsaharianos/elpepiesp/20060318elpepinac_4/Tes"/>
        <s v="http://www.afrol.com/es/articulos/18402"/>
        <s v="http://www.elpais.com/articulo/espana/Muere/inmigrante/viajaba/patera/28/personas/direccion/Canarias/elpepuesp/20060308elpepunac_13/Tes"/>
        <s v="http://www.repubblica.it/2006/c/sezioni/cronaca/immibari/immibari/immibari.htm"/>
        <s v="http://www.elmundo.es/elmundo/2006/03/06/sociedad/1141664041.html"/>
        <s v="http://www.timesofmalta.com/core/article.php?id=216721"/>
        <s v="http://www.elpais.com/articulo/espana/joven/inmigrante/muere/ahogado/metros/costa/Tenerife/elpepiesp/20060305elpepinac_24/Tes"/>
        <s v="http://www.migcom.org/index.php?page=Encore+un+drame+%3A+28+clandestins+port%C3%A9s+disparus+pr%C3%A8s+d%C2%B9Almeria&amp;toc=797"/>
        <s v="http://mayottesansfrontieres.blogspot.com/2006/02/deux-affaires-de-kwassa-kwassa-7-morts.html"/>
        <s v="http://www.ekathimerini.com/4dcgi/news/content.asp?aid=66612"/>
        <s v="http://www.elmundo.es/elmundo/2006/02/19/sociedad/1140372778.html"/>
        <s v="http://www.elmundo.es/elmundo/2007/01/01/espana/1167662988.html"/>
        <s v="http://www.abc.es/hemeroteca/historico-31-12-2006/Nacional/encuentran-los-cadaveres-de-nueve-inmigrantes-en-las-costas-de-el-aaiun_153694233938.html"/>
        <s v="http://docs.google.com/viewer?url=http://terra.rezo.net/IMG/doc/VALLUY060107.doc"/>
        <s v="http://www.elpais.com/articulo/cien/inmigrantes/desaparecidos/mar/trataban/llegar/Canarias/elpepuesp/20061217elpepunac_3/Tes"/>
        <s v="http://www.timesofmalta.com/core/article.php?id=246120&amp;hilite=migrant"/>
        <s v="http://www.20minutos.es/noticia/182226/0/tragedia/canarias/inmigrantes/"/>
        <s v="http://www.europasur.com/26193_ESN_HTML.htm"/>
        <s v="http://www.repubblica.it/2006/12/sezioni/cronaca/porto-ancona/porto-ancona/porto-ancona.html"/>
        <s v="http://www.eltelegrama.com/noticia.asp?ref=39351"/>
        <s v="http://www.elmundo.es/elmundo/2006/12/07/espana/1165475297.html"/>
        <s v="http://www.abc.es/hemeroteca/historico-01-12-2006/Nacional/el-atlantico-engulle-a-18-africanos-que-navegaban-hacia-canarias_153243834949.html"/>
        <s v="http://www.eldia.es/2006-12-03/vivir/vivir24.htm"/>
        <s v="http://www.turkishdailynews.com.tr/article.php?enewsid=60887"/>
        <s v="http://www.elmundo.es/elmundo/2006/11/30/espana/1164878103.html"/>
        <s v="http://www.elmundo.es/elmundo/2006/11/28/espana/1164737131.html"/>
        <s v="http://www.abc.es/hemeroteca/historico-25-11-2006/Nacional/varon-negro-y-sin-identificar_153143995840.html"/>
        <s v="http://www.algerie-dz.com/article6859.html"/>
        <s v="http://www.timesofmalta.com/core/article.php?id=241004&amp;hilite=migrants"/>
        <s v="http://www.timesofmalta.com/core/article.php?id=241102&amp;hilite=migrants"/>
        <s v="http://www.ekathimerini.com/4dcgi/news/content.asp?aid=75259"/>
        <s v="http://www.elmundo.es/elmundo/2006/10/05/espana/1160051313.html"/>
        <s v="http://www.aujourdhui.ma/societe-depeche43250.html"/>
        <s v="http://www.elpais.com/articulo/espana/muertos/naufragio/patera/Nador/elpepiesp/20060124elpepinac_18/Tes"/>
        <s v="http://www.ekathimerini.com/4dcgi/news/content.asp?aid=65479"/>
        <s v="http://www.ekathimerini.com/4dcgi/news/content.asp?aid=64787"/>
        <s v="http://www.elmundo.es/elmundo/2005/10/06/espana/1128613403.html"/>
        <s v="http://docs.google.com/viewer?url=http://www.apdha.org/participa/documentos/indormeddhhrif06.doc"/>
        <s v="http://archive.turkishpress.com/news.asp?id=72399"/>
        <s v="http://www.repubblica.it/2005/i/sezioni/esteri/melilla/melilla/melilla.html"/>
        <s v="http://www.repubblica.it/2005/i/sezioni/cronaca/sbarchi3/libialampe/libialampe.html"/>
        <s v="http://archive.turkishpress.com/news.asp?id=71818"/>
        <s v="http://www.elpais.com/articulo/espana/inmigrantes/muertos/desaparecidos/naufragar/patera/viajaban/Canarias/elpepuesp/20050923elpepunac_4/Tes"/>
        <s v="http://www.ekathimerini.com/4dcgi/news/content.asp?aid=60941"/>
        <s v="http://archive.turkishpress.com/news.asp?id=71184"/>
        <s v="http://www.meltingpot.org/articolo5883.html"/>
        <s v="http://www.ekathimerini.com/4dcgi/news/content.asp?aid=60683"/>
        <s v="http://www.elmundo.es/elmundo/2005/09/15/sociedad/1126802789.html"/>
        <s v="http://www.repubblica.it/2005/i/sezioni/cronaca/sbarchi3/sbarchi3/sbarchi3.html"/>
        <s v="http://www.ekathimerini.com/4dcgi/news/content.asp?aid=60613"/>
        <s v="http://www.elmundo.es/elmundo/2005/09/02/espana/1125644428.html"/>
        <s v="http://news.bbc.co.uk/2/hi/europe/4271536.stm"/>
        <s v="http://mayottesansfrontieres.blogspot.com/2006_01_01_archive.html"/>
        <s v="http://www.elmundo.es/elmundo/2005/08/16/sociedad/1124151018.html"/>
        <s v="http://www.ekathimerini.com/4dcgi/news/content.asp?aid=59437"/>
        <s v="http://www.ekathimerini.com/4dcgi/news/content.asp?aid=60049"/>
        <s v="http://www.elmundo.es/elmundo/2005/08/06/sociedad/1123320437.html"/>
        <s v="http://www.repubblica.it/2005/h/sezioni/cronaca/sbarchinuovi2/sbarchinuovi2/sbarchinuovi2.html"/>
        <s v="http://www.kataweb.it/news/index.jsp?s=nazionali&amp;l=dettaglio&amp;id=1052217"/>
        <s v="http://www.atmf.ras.eu.org/article.php3?id_article=513"/>
        <s v="http://www.ekathimerini.com/4dcgi/news/world_&amp;xml/&amp;aspKath/world.asp?fdate=14/07/2005"/>
        <s v="http://www.associazioneantigone.it/cpta/rassegnastampa/read.asp?newsID=739"/>
        <s v="http://www.repubblica.it/2005/f/sezioni/cronaca/lampd/tirclan/tirclan.html"/>
        <s v="http://www.ekathimerini.com/4dcgi/news/world_&amp;xml/&amp;aspKath/world.asp?fdate=27/06/2005"/>
        <s v="http://www.associazioneantigone.it/cpta/rassegnastampa/read.asp?newsID=711"/>
        <s v="http://www.elmundo.es/elmundo/2005/06/18/sociedad/1119085224.html"/>
        <s v="http://www.baz.ch/"/>
        <s v="http://www.monde-diplomatique.fr/2001/09/BENSAAD/15645"/>
        <s v="http://www.migpolgroup.com/topics/2054.html"/>
        <s v="http://www.zdf.de/"/>
        <s v="http://www.bmi.bund.de/"/>
        <s v="http://www.elpais.com/articulo/espana/Interceptada/Cadiz/patera/65/inmigrantes/embarazadas/bebes/elpepuesp/20050615elpepunac_6/Tes"/>
        <s v="http://www.elmundo.es/elmundo/2005/06/13/sociedad/1118673095.html"/>
        <s v="http://www.elpais.com/articulo/andalucia/asociacion/censura/98/muertes/2005/Estrecho/elpepuespand/20060121elpand_3/Tes"/>
        <s v="http://archive.turkishpress.com/news.asp?id=42917"/>
        <s v="http://www.ekathimerini.com/4dcgi/news/content.asp?aid=56880"/>
        <s v="http://docs.google.com/viewer?url=http://www.command-com.net/agadez.org/pics/airinfo%20N%C3%83%C2%82%C3%82%C2%B029.pdf"/>
        <s v="http://www.abc.es/hemeroteca/historico-26-05-2005/Nacional/muere-ahogado-un-inmigrante-que-pretendia-alcanzar-ceuta-nadando_202717631122.html"/>
        <s v="http://www.repubblica.it/2005/e/sezioni/cronaca/sbarchinuovi/lamped/lamped.html"/>
        <s v="http://www.associazioneantigone.it/cpta/rassegnastampa/read.asp?newsID=622"/>
        <s v="http://www.elmundo.es/elmundo/2005/05/03/sociedad/1115114476.html"/>
        <s v="http://www.ekathimerini.com/4dcgi/_w_articles_politics_100008_26/04/2005_55702"/>
        <s v="http://www.elmundo.es/elmundo/2005/04/19/sociedad/1113896732.html"/>
        <s v="http://archive.turkishpress.com/news.asp?id=40363"/>
        <s v="http://www.timesofmalta.com/core/article.php?id=183634"/>
        <s v="http://www.rainews24.it/Notizia.asp?NewsID=46646"/>
        <s v="http://www.algeria-watch.org/fr/mrv/mrvref/pateras_perdue.htm"/>
        <s v="http://www.ekathimerini.com/4dcgi/_w_articles_politics_100022_05/04/2005_54825"/>
        <s v="http://www.rainews24.it/Notizia.asp_NewsID=53288"/>
        <s v="http://www.repubblica.it/2005/c/sezioni/cronaca/sbarchi/peschereccio/peschereccio.html"/>
        <s v="http://www.resaq.org/article.php3?id_article=349"/>
        <s v="http://www.elperiodicomediterraneo.com/noticias/noticia.asp?pkid=150288"/>
        <s v="http://www.algeria-watch.org/fr/mrv/mrvref/afvic_280205.htm"/>
        <s v="http://www.algeria-watch.org/fr/mrv/mrvref/clandestins_morts.htm"/>
        <s v="http://www.elpais.com/articulo/espana/Muere/inmigrante/hipotermia/llegar/otros/patera/Almeria/elpepiesp/20050222elpepinac_22/Tes"/>
        <s v="http://www.nytimes.com/2005/12/30/international/middleeast/30cnd-egypt.html"/>
        <s v="http://www.elpais.com/articulo/espana/LLEGA/PALMA/PRIMERA/PATERA/elpepiesp/20051228elpepinac_11/Tes"/>
        <s v="http://www.elmundo.es/elmundo/2005/12/25/sociedad/1135524192.html"/>
        <s v="http://www.elpais.com/articulo/espana/Mueren/papeles/naufragar/barco/elpepiesp/20051220elpepinac_16/Tes"/>
        <s v="http://www.ekathimerini.com/4dcgi/news/content.asp?aid=63984"/>
        <s v="http://www.elpais.com/articulo/espana/muertos/doce/desaparecidos/naufragar/patera/sur/Gran/Canaria/elpepuesp/20051129elpepunac_2/Tes"/>
        <s v="http://archive.turkishpress.com/news.asp?id=81329"/>
        <s v="http://www.elmundo.es/elmundo/2005/11/26/sociedad/1132993791.html"/>
        <s v="http://www.elmundo.es/elmundo/2005/11/26/sociedad/1133042649.html"/>
        <s v="http://www.pvu.gov.ua/eng/index.php"/>
        <s v="http://www.repubblica.it/2005/k/sezioni/cronaca/sbarchi4/bilancioscicli/bilancioscicli.html"/>
        <s v="http://www.elpueblodeceuta.es/archivo/2005/Noviembre/19/_sucesos_2.htm"/>
        <s v="http://www.corriere.it/Primo_Piano/Cronache/2005/11_Novembre/18/sbarco.shtml"/>
        <s v="http://www.ekathimerini.com/4dcgi/news/content.asp?aid=63024"/>
        <s v="http://www.ekathimerini.com/4dcgi/news/content.asp?aid=62624"/>
        <s v="http://www.elpais.com/articulo/espana/Hallados/cadaveres/patera/interceptada/frente/costa/Almeria/elpepuesp/20051101elpepunac_1/Tes"/>
        <s v="http://www.guardian.co.uk/international/story/0"/>
        <s v="http://www.ekathimerini.com/4dcgi/news/content.asp?aid=62267"/>
        <s v="http://www.maltamedia.com/news/2005/ln/article_7818.shtml"/>
        <s v="http://www.algeria-watch.org/fr/mrv/mrvref/guineens_meurent.htm"/>
        <s v="http://www.elmundo.es/elmundo/2005/10/13/sociedad/1129182888.html"/>
        <s v="http://www.atmf.ras.eu.org/article.php3?id_article=559"/>
        <s v="http://www.repubblica.it/2005/i/sezioni/esteri/melilla/subsah/subsah.html"/>
        <s v="http://www.peterboroughtoday.co.uk/ViewArticle2.aspx?SectionID=845&amp;ArticleID=1212780"/>
        <s v="http://www.elpais.com/articulo/espana/Fallecen/otros/inmigrantes/llegados/barca/Gran/Canaria/elpepiesp/20051002elpepinac_14/Tes"/>
        <s v="http://www.elpais.com/articulo/espana/Localizada/patera/muertos/sur/Canarias/elpepuesp/20050119elpepunac_13/Tes"/>
        <s v="http://www.theaustralian.news.com.au/common/story_page/0"/>
        <s v="http://www.elpais.com/articulo/espana/Dramatico/rescate/90/inmigrantes/costa/Fuerteventura/elpepiesp/20050106elpepinac_22/Tes"/>
        <s v="http://www.turkishpress.com/news.asp?ID=35527"/>
        <s v="http://docs.google.com/viewer?url=http://www.aedh.eu/fichiers/Rapport%20annexe%20_bis_%20-fr.pdf"/>
        <s v="http://www.tunezine.com/breve.php3?id_breve=395"/>
        <s v="http://www.afrology.com/soc/immigrer.html"/>
        <s v="http://www.ekathimerini.com/4dcgi/_w_articles_politics_100014_13/09/2004_47220"/>
        <s v="http://www.ekathimerini.com/4dcgi/_w_articles_politics_100023_15/09/2004_47310"/>
        <s v="http://docs.google.com/viewer?url=http://www.december18.net/web/docpapers/doc2321.pdf"/>
        <s v="http://www.elpais.com/articulo/espana/Desaparecen/inmigrantes/hundirse/patera/dirigian/Fuerteventura/elpepuesp/20040909elpepunac_8/Tes"/>
        <s v="http://www.elpais.com/articulo/espana/numero/inmigrantes/llegados/patera/ha/descendido/va/ano/elpepiesp/20040904elpepinac_11/Tes"/>
        <s v="http://www.elpais.com/articulo/espana/Interceptados/220/papeles/Andalucia/Fuerteventura/elpepiesp/20040831elpepinac_12/Tes"/>
        <s v="http://washingtontimes.com/upi-breaking/20040829-095857-9521r.htm"/>
        <s v="http://www.elpais.com/articulo/espana/detenidos/muerte/marroqui/asfixiado/coche/elpepiesp/20040825elpepinac_6/Tes"/>
        <s v="http://www.turkishpress.com/turkishpress/news.asp?ID=25067"/>
        <s v="http://www.elpais.com/articulo/andalucia/Detenidos/197/inmigrantes/recuperados/cadaveres/elpepuespand/20040822elpand_2/Tes"/>
        <s v="http://www.elpais.com/articulo/espana/inmigrantes/papeles/mueren/volcar/patera/metros/costa/canaria/elpepuesp/20040821elpepunac_4/Tes"/>
        <s v="http://www.elpais.com/articulo/espana/muerto/32/desaparecidos/volcar/patera/intercepto/Guardia/Civil/elpepiesp/20040814elpepinac_3/Tes"/>
        <s v="http://www.elpais.com/articulo/espana/Interceptados/109/papeles/elpepiesp/20040810elpepinac_12/Tes"/>
        <s v="http://archivio.repubblica.extra.kataweb.it/archivio"/>
        <s v="http://www.meltingpot.org/articolo3420.html"/>
        <s v="http://www.rainews24.it/Notizia.asp?NewsID=48429"/>
        <s v="http://www.elpais.com/articulo/espana/Hallado/cadaver/inmigrante/costa/Melilla/elpepiesp/20040727elpepinac_21/Tes"/>
        <s v="http://www.ilmanifesto.it/"/>
        <s v="http://www.ekathimerini.com/4dcgi/news/content.asp?aid=43633"/>
        <s v="http://www.meltingpot.org/artbreve681.html"/>
        <s v="http://www.turkishdailynews.com.tr/archives.php?id=36646"/>
        <s v="http://database.statewatch.org/searchdisplay.asp?searchfield=123&amp;noofresults=100&amp;resultsperpage=10&amp;display=123&amp;searchtype=1&amp;searchtext=stowaway&amp;submit1=Search"/>
        <s v="http://www.elpais.com/articulo/espana/mercante/procedente/Costa/Marfil/llega/Canarias/polizones/muertos/elpepiesp/20040522elpepinac_18/Tes"/>
        <s v="http://planenews.com/modules.php?name=News&amp;file=article&amp;sid=2656"/>
        <s v="http://www.populationdata.net/migrations/tunisie_4mai2004.php"/>
        <s v="http://www.elpais.com/articulo/espana/inmigrantes/fallecen/bodega/buque/Cartagena/elpepiesp/20040428elpepinac_23/Tes"/>
        <s v="http://www.elpais.com/articulo/espana/patera/llega/29/inmigrantes/muerto/Fuerteventura/elpepiesp/20040424elpepinac_27/Tes"/>
        <s v="http://www.elpais.com/articulo/espana/inmigrante/muere/desembarcar/playa/Granada/elpepiesp/20040423elpepinac_32/Tes"/>
        <s v="http://www.elpais.com/articulo/espana/Mueren/personas/bebe/naufragio/pateras/Fuerteventura/elpepunac/20040418elpepinac_33/Tes"/>
        <s v="http://www.elpais.com/articulo/espana/Interceptados/200/inmigrantes/costas/Granada/Fuerteventura/elpepiesp/20040405elpepinac_18/Tes"/>
        <s v="http://web.amnesty.org/library/Index/ENGEUR410112005"/>
        <s v="http://www.elpais.com/articulo/andalucia/Hallan/Chiclana/cadaver/inmigrante/marroqui/ahogado/elpepuespand/20040227elpand_27/Tes"/>
        <s v="http://www.heraldsun.news.com.au/common/story_page/0"/>
        <s v="http://docs.google.com/viewer?url=http://www.meltingpot.org/IMG/pdf/Report_MoroccoENG_DFF.pdf"/>
        <s v="http://news.bbc.co.uk/2/hi/uk_news/england/humber/3464703.stm"/>
        <s v="http://www.elmundo.es/elmundo/2005/01/01/sociedad/1104577434.html"/>
        <s v="http://www.elpais.com/articulo/espana/consul/marroqui/Canarias/dice/pais/puede/ser/policia/Europa/elpepiesp/20041231elpepinac_17/Tes"/>
        <s v="http://www.elpais.com/articulo/espana/helicoptero/busca/barca/elpepiesp/20041226elpepinac_8/Tes"/>
        <s v="http://www.elpais.com/articulo/espana/Hallados/cadaveres/inmigrantes/Canarias/Melilla/elpepiesp/20041218elpepinac_11/Tes"/>
        <s v="http://www.elpais.com/articulo/espana/Hallados/muertos/inmigrantes/patera/deriva/cerca/Fuerteventura/elpepuesp/20041222elpepunac_13/Tes"/>
        <s v="http://archive.turkishpress.com/news.asp?id=35277"/>
        <s v="http://www.meltingpot.org/articolo4378.html"/>
        <s v="http://www.ekathimerini.com/4dcgi/_w_articles_politics_100020_15/12/2004_50735"/>
        <s v="http://www.ekathimerini.com/4dcgi/_w_articles_politics_100013_06/12/2004_50387"/>
        <s v="http://www.elpais.com/articulo/espana/inmigrantes/desaparecen/naufragar/pateras/costas/Fuerteventura/elpepuesp/20041204elpepunac_3/Tes"/>
        <s v="http://www.elmundo.es/elmundo/2004/11/28/sociedad/1101638732.html"/>
        <s v="http://www.meltingpot.org/articolo4539.html"/>
        <s v="http://derstandard.at/?url=/?id=1857496"/>
        <s v="http://www.elpais.com/articulo/espana/Desaparecen/inmigrantes/naufragar/patera/frente/costa/Fuerteventura/elpepuesp/20041112elpepunac_8/Tes"/>
        <s v="http://news.xinhuanet.com/english/2004-11/13/content_2212184.htm"/>
        <s v="http://www.ekathimerini.com/4dcgi/_w_articles_politics_100022_01/11/2004_48985"/>
        <s v="http://www.abc.es/hemeroteca/historico-17-10-2004/Nacional/una-veintena-de-cadaveres-desvela-el-naufragio-de-una-patera-frente-a-canarias_9624225731268.html"/>
        <s v="http://www.meltingpot.org/articolo3909.html"/>
        <s v="http://www.tunezine.com/breve.php3?id_breve=574"/>
        <s v="http://derstandard.at/?url=/?id=1814062"/>
        <s v="http://www.tunezine.com/breve.php3?id_breve=738"/>
        <s v="http://www.ekathimerini.com/4dcgi/_w_articles_politics_100018_31/01/2004_39067"/>
        <s v="http://www.elpais.com/articulo/espana/Hallado/cuerpo/inmigrante/Fuerteventura/elpepiesp/20040119elpepinac_15/Tes"/>
        <s v="http://www.elpais.com/articulo/portada/Mueren/ahogados/inmigrantes/volcar/patera/elpepipri/20040117elpepipor_6/Tes/"/>
        <s v="http://www.meltingpot.org/articolo1766.html"/>
        <s v="http://www.elpais.com/articulo/espana/Hallado/cadaver/segundo/inmigrante/buque/Apollo/Lion/elpepiesp/20040103elpepinac_14/Tes"/>
        <s v="http://www.liberation.fr/page.php?Article=148792"/>
        <s v="http://news.bbc.co.uk/2/hi/europe/3149744.stm"/>
        <s v="http://web.amnesty.org/library/Index/FRAEUR250122004?open&amp;of=FRA-GRC"/>
        <s v="http://sociedad.hispavista.com/sociedad/20030918112632/La-Guardia-Civil-localiza-en-Ceuta-el-cadaver-de-una-inmigrante-subsahariana/"/>
        <s v="http://www.turkishdailynews.com.tr/archives.php?id=33723"/>
        <s v="http://news.bbc.co.uk/2/hi/europe/3098268.stm"/>
        <s v="http://www.elpais.com/articulo/espana/inmigrante/muerto/111/detenidos/Fuerteventura/fin/semana/elpepiesp/20030908elpepinac_8/Tes"/>
        <s v="http://www.di-ve.com/dive/portal/portal.jhtml?id=103449&amp;pid=23"/>
        <s v="http://news.bbc.co.uk/2/hi/uk_news/england/hampshire/dorset/3158053.stm"/>
        <s v="http://www.elpais.com/articulo/espana/Recuperados/cuerpos/inmigrantes/nuevo/naufragio/Fuerteventura/elpepuesp/20030801elpepunac_6/Tes"/>
        <s v="http://news.bbc.co.uk/2/hi/south_asia/2639495.stm"/>
        <s v="http://www.elpais.com/articulo/espana/Hallado/cadaver/inmigrantes/naufragaron/Canarias/elpepuesp/20030805elpepunac_3/Tes"/>
        <s v="http://www.elmundo.es/elmundo/2003/07/28/sociedad/1059377814.html"/>
        <s v="http://ricerca.gelocal.it/messaggeroveneto/archivio/messaggeroveneto/2003/08/02/GO_01_GOA4.html"/>
        <s v="http://www.mugak.eu/"/>
        <s v="http://docs.google.com/viewer?url=http://www.strangersintocitizens.org.uk/Regularization/Driventodesperatemeasures.pdf"/>
        <s v="http://www.elpais.com/articulo/espana/Hallados/cuerpos/inmigrantes/viajaban/patera/siniestrada/anoche/elpepuesp/20030714elpepunac_4/Tes"/>
        <s v="http://www.repubblica.it/online/cronaca/sbarcoquattro/tunisia/tunisia.html"/>
        <s v="http://www.middle-east-online.com/english/?id=6171"/>
        <s v="http://www.elpais.com/articulo/espana/inmigrantes/mueren/ahogados/Tarifa/Ceuta/otros/86/llegan/costa/elpepiesp/20030625elpepinac_27/Tes"/>
        <s v="http://www.repubblica.it/online/cronaca/sbarcoquattro/deriva/deriva.html"/>
        <s v="http://www.modernghana.com/GhanaHome/NewsArchive/news_details.asp?id=VFhwWmVFOVVZejA9&amp;type=&amp;section=&amp;gender=General_News&amp;amp;amp;amp;amp;amp;amp;amp;amp;amp;amp;amp;amp;amp;amp;amp;amp;amp;amp;amp;amp;amp;amp;amp;amp;amp;amp;amp;amp;amp;amp;amp;amp;amp;am"/>
        <s v="http://news.bbc.co.uk/2/hi/uk_news/england/2999454.stm"/>
        <s v="http://www.repubblica.it/online/cronaca/sbarcoquattro/naufraghi/naufraghi.html"/>
        <s v="http://www.elpais.com/articulo/espana/Hallados/cadaveres/inmigrantes/naufragaron/Fuerteventura/elpepuesp/20030610elpepunac_1/Tes"/>
        <s v="http://www.elmundo.es/elmundo/2003/06/05/sociedad/1054793675.html"/>
        <s v="http://www.elpais.com/articulo/espana/Hallados/cadaveres/naufragio/ayer/patera/Fuerteventura/elpepuesp/20030603elpepunac_7/Tes"/>
        <s v="http://www.elpais.com/articulo/espana/Doce/inmigrantes/desaparecen/aguas/Fuerteventura/volcar/patera/elpepuesp/20030602elpepunac_3/Tes"/>
        <s v="http://www.repubblica.it/online/cronaca/sbarcotre/lampedusa/lampedusa.html"/>
        <s v="http://www.elpais.com/articulo/espana/africano/muerto/desaparecido/volcar/patera/Lanzarote/elpepiesp/20030426elpepinac_22/Tes"/>
        <s v="http://www.elpais.com/articulo/espana/Trece/muertos/22/supervivientes/patera/hallada/Hierro/500/kilometros/africa/elpepuesp/20050331elpepunac_2/Tes"/>
        <s v="http://www.obozrevatel.com.ua/news.php?id=76138"/>
        <s v="http://www.statewatch.org/news/2003/jun/20deaths.htm"/>
        <s v="http://www.elpais.com/articulo/espana/pesquero/halla/vivos/ocupantes/patera/llevaba/semanas/deriva/elpepiesp/20030221elpepinac_22/Tes"/>
        <s v="http://www.abc.es/hemeroteca/historico-04-02-2003/Nacional/rescatan-de-entre-las-rocas-el-cadaver-de-un-inmigrante-ahogado-en-aguas-de-ceuta_159837.html"/>
        <s v="http://www.ekathimerini.com/4dcgi/_w_articles_politics_100028_27/12/2003_37833"/>
        <s v="http://www.elpais.com/articulo/espana/Infierno/bordo/patera/costas/Granada/elpepiesp/20031205elpepinac_13/Tes"/>
        <s v="http://www.elpais.com/articulo/espana/Quince/inmigrantes/desaparecen/mar/durante/rescate/patera/Fuerteventura/elpepunac/20031203elpepinac_25/Tes"/>
        <s v="http://www.elpais.com/articulo/espana/inmigrante/ahoga/intentar/entrar/Ceuta/elpepunac/20031124elpepinac_22/Tes"/>
        <s v="http://www.elpais.com/articulo/espana/Hallan/cadaver/zona/proxima/lugar/naufrago/patera/Rota/elpepuesp/20031116elpepunac_5/Tes"/>
        <s v="http://www.libya-watanona.com/news/n2003/nov/1103nwsc.htm"/>
        <s v="http://www.meltingpot.org/articolo1334.html"/>
        <s v="http://www.elpais.com/articulo/espana/inmigrantes/patera/llego/Motril/murieron/ahogados/elpepiesp/20031113elpepinac_13/Tes"/>
        <s v="http://www.elpais.com/articulo/espana/inmigrantes/mueren/ahogados/playa/Rota/Ceuta/elpepiesp/20031027elpepinac_28/Tes"/>
        <s v="http://www.elpais.com/articulo/espana/numero/cadaveres/inmigrantes/recuperados/costas/Rota/eleva/35/elpepuesp/20031103elpepunac_4/Tes"/>
        <s v="http://www.repubblica.it/2003/g/sezioni/cronaca/sbarchi/messa/messa.html"/>
        <s v="http://www.repubblica.it/2003/g/sezioni/cronaca/sbarchi/lampedusa/lampedusa.html"/>
        <s v="http://www.repubblica.it/2003/g/sezioni/cronaca/sbarchi/undici/undici.html"/>
        <s v="http://www.humanite.fr/journal/2003-10-11/2003-10-11-380485"/>
        <s v="http://www.elpais.com/articulo/espana/Hallados/cadaveres/inmigrantes/aguas/Canarias/elpepiesp/20031005elpepinac_12/Tes"/>
        <s v="http://www.elpais.com/articulo/espana/guardia/civil/mata/tiro/marroqui/trataba/cruzar/frontera/Ceuta/elpepuesp/20031003elpepunac_9/Tes"/>
        <s v="http://www.repubblica.it/online/cronaca/sbarcotre/lecce/lecce.html"/>
        <s v="http://www.elpais.com/articulo/espana/Localizados/otros/cadaveres/grupo/inmigrantes/naufrago/Canarias/elpepiesp/20030119elpepinac_20/Tes"/>
        <s v="http://news.bbc.co.uk/1/hi/world/africa/2674307.stm"/>
        <s v="http://www.ulcgtroissy.fr/article400.html"/>
        <s v="http://www.elpais.com/articulo/espana/Hallados/cadaveres/subsaharianos/playas/Ceuta/Fuerteventura/elpepiesp/20030117elpepinac_11/Tes"/>
        <s v="http://www.elpais.com/articulo/espana/Localizados/Fuerteventura/cadaveres/inmigrantes/desaparecidos/miercoles/elpepuesp/20030118elpepunac_6/Tes"/>
        <s v="http://www.elpais.com/articulo/espana/barco/Chipre/atraca/Cadiz/polizones/muertos/elpepiesp/20030114elpepinac_18/Tes"/>
        <s v="http://www.elpais.com/articulo/espana/Muere/Ceuta/marroqui/caer/autobus/escondia/elpepiesp/20030110elpepinac_20/Tes"/>
        <s v="http://www.ekathimerini.com/4dcgi/_w_articles_politics_100013_07/01/2003_24909"/>
        <s v="http://timesofindia.indiatimes.com/cms.dll/html/uncomp/articleshow?artid=33745500"/>
        <s v="http://www.elpais.com/articulo/espana/Reanudan/labores/busqueda/inmigrantes/desaparecidos/Tarifa/elpepuesp/20030104elpepunac_2/Tes"/>
        <s v="http://www.turkishdailynews.com.tr/archives.php?id=29519"/>
        <s v="http://www.tihv.org.tr/EN/"/>
        <s v="http://www.repubblica.it/online/cronaca/sbarcodue/ragusano/ragusano.html"/>
        <s v="http://www.repubblica.it/online/cronaca/sbarco/agrigentino/agrigentino.html"/>
        <s v="http://www.elpais.com/articulo/espana/CaDIZ/inmigrante/irregular/muere/asfixiado/contenedor/puerto/Algeciras/elpepiesp/20020913elpepinac_6/Tes"/>
        <s v="http://www.elpais.com/articulo/espana/Guardia/Civil/recupera/cadaveres/jovenes/magrebies/aguas/Tarifa/elpepiesp/20020905elpepinac_9/Tes"/>
        <s v="http://www.ekathimerini.com/4dcgi/news/content.asp?aid=20273"/>
        <s v="http://www.elpais.com/articulo/espana/GUIPUZCOA/inmigrantes/hallados/muertos/camion/marroqui/Villabona/elpepiesp/20020820elpepinac_18/Tes"/>
        <s v="http://www.elpais.com/articulo/espana/Trece/inmigrantes/ahogados/intentar/llegar/Tarifa/elpepiesp/20020802elpepinac_2/Tes"/>
        <s v="http://www.repubblica.it/online/cronaca/sbarco/scontro/scontro.html"/>
        <s v="http://www.elpais.com/articulo/espana/FUERTEVENTURA/desaparecidos/hundirse/patera/Fuerteventura/elpepiesp/20020711elpepinac_31/Tes"/>
        <s v="http://www.elpais.com/articulo/espana/GUARDIA/CIVIL/RESCATA/CADaVER/INMIGRANTE/elpepiesp/20020711elpepinac_32/Tes"/>
        <s v="http://www.ekathimerini.com/4dcgi/news/content.asp?aid=18400"/>
        <s v="http://www.elpais.com/articulo/espana/FUERTEVENTURA/extranjero/muerto/comisaria/Fuerteventura/sufrio/infartos/elpepiesp/20020704elpepinac_18/Tes"/>
        <s v="http://www.elpais.com/articulo/espana/africano/muere/despenado/frontera/ceuti/elpepiesp/20020703elpepinac_18/Tes"/>
        <s v="http://www.turkishdailynews.com.tr/archives.php?id=28553"/>
        <s v="http://www.elpais.com/articulo/espana/extranjeros/papeles/mueren/naufragio/Lanzarote/elpepiesp/20020620elpepinac_19/Tes"/>
        <s v="http://www.irr.org.uk/2006/december/ak000015.html"/>
        <s v="http://www.repubblica.it/online/cronaca/sbarco/castromarina/castromarina.html"/>
        <s v="http://www.ekathimerini.com/4dcgi/news/content.asp?aid=17050"/>
        <s v="http://www.turkishdailynews.com.tr/archives.php?id=28202"/>
        <s v="http://www.elpais.com/articulo/espana/MELILLA/menor/marroqui/muere/atrapado/intentar/cruzar/valla/fronteriza/Melilla/elpepiesp/20020527elpepinac_16/Tes"/>
        <s v="http://www.ekathimerini.com/4dcgi/news/content.asp?aid=16746"/>
        <s v="http://www.ekathimerini.com/4dcgi/news/content.asp?aid=16605"/>
        <s v="http://www.telegraph.co.uk/news/main.jhtml?xml=/news/2002/05/17/nbul17.xml"/>
        <s v="http://www.elpais.com/articulo/espana/LANZAROTE/Once/inmigrantes/mueren/ahogados/Lanzarote/naufragar/arrecifes/elpepiesp/20020425elpepinac_4/Tes"/>
        <s v="http://query.nytimes.com/gst/fullpage.html?res=9C07E4D9153FF93AA25757C0A9649C8B63&amp;n=Top%2fReference%2fTimes%20Topics%2fSubjects%2fI%2fImmigration%20and%20Refugees"/>
        <s v="http://news.bbc.co.uk/2/hi/europe/2028209.stm"/>
        <s v="http://www.telegraph.co.uk/news/main.jhtml?xml=/news/2002/04/15/ustow.xml"/>
        <s v="http://www.ekathimerini.com/4dcgi/news/content.asp?aid=14612"/>
        <s v="http://www.elpais.com/articulo/espana/Hallado/muerto/Melilla/joven/paso/frontera/camion/elpepiesp/20020316elpepinac_18/Tes"/>
        <s v="http://www.repubblica.it/online/cronaca/sbarco/precedenti/precedenti.html"/>
        <s v="http://docs.google.com/viewer?url=http://www.aucegypt.edu/fmrs/documents/frantz.pdf"/>
        <s v="http://www.elpais.com/articulo/espana/inmigrantes/mueren/naufragio/elpepiesp/20020213elpepinac_19/Tes"/>
        <s v="http://www.elpais.com/articulo/espana/marroquies/mueren/asfixiados/bajos/autocar/dentro/ferry/elpepiesp/20020202elpepinac_20/Tes"/>
        <s v="http://www.anafe.org/doc/presse/violences/lemonde-23-01-03.html"/>
        <s v="http://www.hri.org/news/greek/ana/2002/02-12-27.ana.html"/>
        <s v="http://www.ekathimerini.com/4dcgi/news/content.asp?aid=24560"/>
        <s v="http://www.ekathimerini.com/4dcgi/news/content.asp?aid=24280"/>
        <s v="http://archquo.nouvelobs.com/cgi/articles?ad=societe/20021216.OBS4170.html&amp;datebase=20021216"/>
        <s v="http://www.ekathimerini.com/4dcgi/news/content.asp?aid=24192"/>
        <s v="http://www.edinburghnews.com/index.cfm?id=1355282002"/>
        <s v="http://www.algeria-watch.org/fr/mrv/mrvref/frontiere_elaleb.htm"/>
        <s v="http://www.repubblica.it/online/cronaca/sbarcotre/libia/libia.html"/>
        <s v="http://www.ekathimerini.com/4dcgi/news/content.asp?aid=23708"/>
        <s v="http://www.elpais.com/articulo/espana/Ahogado/inmigrante/desaparecido/costa/Ceuta/elpepiesp/20021122elpepinac_23/Tes"/>
        <s v="http://www.paterasdelavida.com/novedades/2002/18112002.html"/>
        <s v="http://www.ekathimerini.com/4dcgi/news/content.asp?aid=22846"/>
        <s v="http://www.lopinion.ma/article.php3?id_article=416&amp;var_recherche=clandestins+morts"/>
        <s v="http://www.elpais.com/articulo/espana/Hallados/inmigrantes/muertos/remolque/camion/Algeciras/elpepuesp/20021011elpepunac_3/Tes"/>
        <s v="http://www.elpais.com/articulo/espana/naufragio/inmigrantes/Barbate/suma/muertos/mayor/tragedia/ano/elpepiesp/20021016elpepinac_24/Tes"/>
        <s v="http://www.icbl.org/lm/2002/greece"/>
        <s v="http://www.elmundo.es/elmundo/2001/09/18/sociedad/1000767274.html"/>
        <s v="http://www.elpais.com/articulo/espana/Descubiertos/cadaveres/identificar/playa/Ejido/elpepiesp/20010913elpepinac_14/Tes"/>
        <s v="http://www.hri.org/news/greek/mpab/2001/01-09-05.mpab.html#01"/>
        <s v="http://www.elpais.com/articulo/espana/inmigrantes/ahogan/ser/arrojados/borda/patera/elpepiesp/20010824elpepinac_1/Tes"/>
        <s v="http://www.elpais.com/articulo/espana/Hallan/cadaver/patera/ocupantes/fardo/hachis/elpepiesp/20010821elpepinac_10/Tes"/>
        <s v="http://www.elpais.com/articulo/espana/Fallece/joven/marroqui/ser/detenido/policia/Ceuta/elpepiesp/20010810elpepinac_4/Tes"/>
        <s v="http://www.elpais.com/articulo/espana/Rescatado/cadaver/inmigrante/costa/Tarifa/elpepiesp/20010810elpepinac_5/Tes"/>
        <s v="http://www.elpais.com/articulo/espana/patera/perdida/durante/dias/atraca/ocupantes/multiples/peleas/bordo/elpepuesp/20010808elpepunac_3/Tes"/>
        <s v="http://www.elpais.com/articulo/espana/inmigrantes/papeles/mueren/intentaban/alcanzar/costas/Tarifa/elpepiesp/20010716elpepinac_13/Tes"/>
        <s v="http://www.turkishdailynews.com.tr/archives.php?id=24163"/>
        <s v="http://www.repubblica.it/2004/a/sezioni/cronaca/clandestini/cronotra/cronotra.html"/>
        <s v="http://www.elpais.com/articulo/espana/Rescatada/patera/deriva/Tarifa/62/africanos/cadaver/elpepiesp/20010628elpepinac_22/Tes"/>
        <s v="http://www.telegraph.co.uk/news/main.jhtml?xml=/news/2000/12/26/nstow26.xml"/>
        <s v="http://www.elpais.com/articulo/espana/Guardia/Civil/encuentra/cadaver/inmigrante/Tarifa/interceptar/papeles/elpepuesp/20010611elpepunac_2/Tes"/>
        <s v="http://www.elpais.com/articulo/espana/inmigrantes/ahogan/iban/ser/abordados/Guardia/Civil/elpepiesp/20010601elpepinac_7/Tes"/>
        <s v="http://www.elpais.com/articulo/espana/inmigrantes/muertos/78/detenidos/costas/Cadiz/Fuerteventura/elpepiesp/20010525elpepinac_45/Tes"/>
        <s v="http://www.turkishdailynews.com.tr/archives.php?id=23415"/>
        <s v="http://www.lemonde.fr/cgi-bin/ACHATS/acheter.cgi?offre=ARCHIVES&amp;type_item=ART_ARCH_30J&amp;objet_id=705829"/>
        <s v="http://www.elpais.com/articulo/espana/Otros/165/inmigrantes/buscan/futuro/patera/elpepiesp/20010509elpepinac_23/Tes"/>
        <s v="http://www.hambastegi.org/internationalnews/news043001.htm"/>
        <s v="http://www.liberation.fr/societe/2001/04/13/la-mort-du-migrant-inconnu_361175"/>
        <s v="http://www.elpais.com/articulo/espana/Muere/magrebi/huir/control/judicial/elpepiesp/20010407elpepinac_11/Tes"/>
        <s v="http://www.elpais.com/articulo/espana/Hallados/cadaveres/inmigrantes/costa/Tarifa/elpepiesp/20010322elpepinac_18/Tes"/>
        <s v="http://www.elpais.com/articulo/espana/Muere/magrebi/viajaba/bajos/camion/elpepiesp/20010324elpepinac_6/Tes"/>
        <s v="http://www.elmundo.es/elmundo/2001/03/16/sociedad/984739056.html"/>
        <s v="http://www.elpais.com/articulo/espana/Guardia/Civil/recupera/cadaveres/costa/Tarifa/elpepiesp/20010305elpepinac_19/Tes"/>
        <s v="http://www.elpais.com/articulo/espana/RECUPERADOS/CADaVERES/COSTA/TARIFA/elpepiesp/20010211elpepinac_2/Tes"/>
        <s v="http://www.elpais.com/articulo/espana/inmigrantes/mueren/naufragio/embarcacion/frente/playa/Tarifa/elpepiesp/20010206elpepinac_6/Tes"/>
        <s v="http://hrw.org/backgrounder/refugees/uk/conditions.htm"/>
        <s v="https://www.irr.org.uk/"/>
        <s v="http://www.elpais.com/articulo/espana/Hogueras/frio/Tarifa/viaje/patera/elpepiesp/20011228elpepinac_13/Tes"/>
        <s v="http://news.bbc.co.uk/2/hi/americas/1123773.stm"/>
        <s v="http://www.volkskrant.nl/"/>
        <s v="http://www.elpais.com/articulo/espana/inmigrantes/mueren/ahogados/Canarias/elpepiesp/20011218elpepinac_18/Tes"/>
        <s v="http://www.elpais.com/articulo/espana/Intensa/busqueda/Canarias/magrebies/dados/desaparecidos/elpepiesp/20011210elpepinac_11/Tes"/>
        <s v="http://www.ekathimerini.com/4dcgi/news/content.asp?aid=11378"/>
        <s v="http://www.ekathimerini.com/4dcgi/news/content.asp?aid=8791"/>
        <s v="http://www.elpais.com/articulo/espana/Muere/joven/magrebi/arrojado/patera/Fuerteventura/elpepiesp/20011129elpepinac_17/Tes"/>
        <s v="http://www.ekathimerini.com/4dcgi/news/content.asp?aid=10706"/>
        <s v=" http://zpravy.idnes.cz/bezenci-u-sebe-nemeli-ani-doklady-dou-/krimi.aspx?c=A010709_162530_zlin_cernakr_boh"/>
        <s v="http://www.elpais.com/articulo/espana/Muere/magrebi/arrollado/camion/cuyos/bajos/viajaba/elpepiesp/20011029elpepinac_20/Tes"/>
        <s v="http://www.ekathimerini.com/4dcgi/news/content.asp?aid=10475"/>
        <s v="http://www.ari-berlin.org/"/>
        <s v="http://www.elpais.com/archivo/buscando.html"/>
        <s v="http://www.elpais.com/articulo/espana/Hallado/cadaver/indocumentado/Tarifa/elpepiesp/20010103elpepinac_16/Tes"/>
        <s v="http://news.bbc.co.uk/2/hi/asia-pacific/956274.stm"/>
        <s v="http://www.hambastegi.org/internationalnews/septnews.htm"/>
        <s v="http://www.elpais.com/articulo/espana/ESPAnA/ESPAnA/MARRUECOS/ESPAnA/aFRICA/muertos/desaparecidos/naufragar/patera/Estrecho/elpepiesp/20000906elpepinac_18/Tes"/>
        <s v="http://www.hri.org/cgi-bin/brief?/news/greek/mpab/2000/00-09-01.mpab.html#09"/>
        <s v="http://www.hambastegi.org/internationalnews/augustnews.htm"/>
        <s v="http://news.bbc.co.uk/2/hi/europe/897937.stm"/>
        <s v="http://www.elmundo.es/elmundo/2000/08/12/sociedad/966101717.html"/>
        <s v="http://www.elpais.com/articulo/espana/ESPAnA/ESPAnA/MARRUECOS/Muere/aplastado/inmigrante/viajaba/bajos/camion/elpepiesp/20000807elpepinac_16/Tes"/>
        <s v="http://www.elpais.com/articulo/espana/ESPAnA/Hallado/cadaver/Ceuta/naufragio/expedicion/elpepiesp/20000724elpepinac_2/Tes"/>
        <s v="http://www.elmundo.es/elmundo/2000/07/24/sociedad/964424403.html"/>
        <s v="http://www.elpais.com/articulo/espana/ESPAnA/MARRUECOS/Hallado/cadaver/magrebi/cuneta/Almeria/elpepiesp/20000710elpepinac_12/Tes"/>
        <s v="http://news.bbc.co.uk/2/hi/americas/778048.stm"/>
        <s v="http://www.elpais.com/articulo/espana/FONSECA/_ANTONIO_AUGUSTO_/GUINEANO_FALLECIDO/CANARIAS/ESPAnA/aFRICA/guineano/muere/comisaria/Arrecife/ser/arrestado/cuerpo/presenta/huellas/golpes/denuncia/familia/elpepiesp/20000521elpepinac_9/Tes"/>
        <s v="http://www.icare.to/archivemay2000.html"/>
        <s v="http://www.elpais.com/articulo/espana/ESPAnA/inmigrantes/mueren/ahogados/Tarifa/elpepiesp/20000513elpepinac_11/Tes"/>
        <s v="http://elpais.com/diario/2000/12/06/espana/976057207_850215.html"/>
        <s v="http://www.balkanpeace.org/index.php?index=article&amp;articleid=11459"/>
        <s v="http://www.elpais.com/articulo/espana/ESPAnA/ESPAnA/MARRUECOS/muertos/once/desaparecidos/nuevo/naufragio/Estrecho/Gibraltar/elpepiesp/20000508elpepinac_27/Tes"/>
        <s v="http://www.icbl.org/lm/2000/greece#fnB3641"/>
        <s v="http://www.elpais.com/articulo/espana/ESPAnA/docena/ahogados/naufragar/barca/frente/costas/Sahara/elpepiesp/20000505elpepinac_16/Tes"/>
        <s v="http://www.elpais.com/articulo/espana/ESPAnA/ESPAnA/MARRUECOS/Rescatado/naufrago/hallados/cadaveres/Estrecho/elpepiesp/20000430elpepinac_8/Tes"/>
        <s v="http://www.elpais.com/articulo/espana/ESPAnA/Busqueda/infructuosa/inmigrantes/naufragio/Estrecho/elpepiesp/20000501elpepinac_5/Tes"/>
        <s v="http://www.elpais.com/articulo/espana/ESPAnA/Hallado/cadaver/papeles/atropellado/Cadiz/elpepiesp/20000501elpepinac_4/Tes"/>
        <s v="http://www.elpais.com/articulo/espana/ESPAnA/Hallado/cadaver/subsahariana/desaparecida/aguas/Lanzarote/elpepiesp/20000420elpepinac_8/Tes"/>
        <s v="http://www.elpais.com/articulo/espana/CANARIAS/ESPAnA/ESPAnA/aFRICA/mujeres/embarazada/mueren/intentar/alcanzar/patera/costa/canaria/elpepiesp/20000416elpepinac_13/Tes"/>
        <s v="http://www.elpais.com/articulo/espana/Hallados/muertos/inmigrantes/camion/puerto/Almeria/elpepiesp/20000415elpepinac_16/Tes"/>
        <s v="http://www.elpais.com/articulo/espana/ESPAnA/muerto/superviviente/naufragar/patera/costa/ceuti/elpepiesp/20000413elpepinac_19/Tes"/>
        <s v="http://www.elpais.com/articulo/espana/ESPAnA/ESPAnA/MARRUECOS/magrebi/muere/pasar/varios/dias/deriva/patera/elpepiesp/20000404elpepinac_28/Tes"/>
        <s v="http://www.hri.org/news/greek/apeen/2000/00-03-25.apeen.html#05"/>
        <s v="http://www.elpais.com/articulo/espana/Mueren/subsaharianos/naufragar/balsa/neumatica/intentaban/llegar/Ceuta/elpepiesp/20000323elpepinac_46/Tes"/>
        <s v="http://www.salzburg.com/nwas/index.php"/>
        <s v="https://www.irr.org.uk/cgi-bin/news/open.pl?id=626"/>
        <s v="http://www.diariovasco.com/"/>
        <s v="http://archives.cnn.com/2001/WORLD/europe/01/03/ship.turkey/"/>
        <s v="http://www.elpais.com/articulo/espana/ESPAnA/ESPAnA/MARRUECOS/Hallado/cadaver/magrebi/costa/Tarifa/elpepiesp/20001222elpepinac_11/Tes"/>
        <s v="http://www.elpais.com/articulo/espana/HERMOSO_POVES/_FERNANDO_/SUBDELEGADO_DEL_GOBIERNO_EN_ALMERiA/ESPAnA/ESPAnA/MARRUECOS/PARTIDO_SOCIALISTA_OBRERO_ESPAnOL_/PSOE/Cadaveres/detenidos/elpepiesp/20001216elpepinac_4/Tes"/>
        <s v="http://www.elpais.com/articulo/espana/ESPAnA/ESPAnA/MARRUECOS/Muere/magrebi/Ceuta/tratar/llegar/nado/costa/elpepiesp/20001217elpepinac_16/Tes"/>
        <s v="http://www.elpais.com/articulo/espana/ESPAnA/ESPAnA/aFRICA/Guardia/Civil/halla/aguas/Tarifa/cadaveres/inmigrantes/elpepiesp/20001210elpepinac_16/Tes"/>
        <s v="http://www.elpais.com/articulo/espana/MARRUECOS/ESPAnA/ESPAnA/MARRUECOS/Desmantelada/red/inmigracion/ilegal/120/detenidos/Marruecos/elpepiesp/20001209elpepinac_22/Tes"/>
        <s v="http://www.elpais.com/articulo/espana/ESPAnA/EUROPA_ORIENTAL/ESPAnA/MARRUECOS/marroqui/lituano/arrollados/sendos/accidentes/Cadiz/Almeria/elpepiesp/20001206elpepinac_7/Tes"/>
        <s v="http://www.elpais.com/articulo/espana/ESPAnA/ESPAnA/MARRUECOS/magrebi/muere/asfixiado/gases/motor/barca/iba/otros/31/indocumentados/elpepiesp/20001205elpepinac_11/Tes"/>
        <s v="http://www.elpais.com/articulo/espana/CaDIZ/TARIFA_/CaDIZ/ESPAnA/ESPAnA/MARRUECOS/GUARDIA_CIVIL/magrebi/muere/disparo/guardia/civil/desembarcar/patera/Tarifa/elpepiesp/20001204elpepinac_1/Tes"/>
        <s v="http://www.elpais.com/articulo/espana/CEUTA/ESPAnA/ESPAnA/aFRICA/Guardia/Civil/halla/cadaver/inmigrante/Ceuta/elpepiesp/20001126elpepinac_19/Tes"/>
        <s v="http://www.ohr.int/ohr-dept/presso/bh-media-rep/summaries-tv/rtrs/default.asp?content_id=2431"/>
        <s v="http://www.elpais.com/articulo/espana/ESPAnA/Recuperado/cadaver/magrebi/detenidos/33/inmigrantes/clandestinos/costa/Tarifa/elpepiesp/20001102elpepinac_15/Tes"/>
        <s v="http://web.amnesty.org/library/index/engeur250222002"/>
        <s v="http://www.elpais.com/articulo/espana/ESPAnA/Hallados/cadaveres/inmigrantes/costa/andaluza/elpepiesp/20001025elpepinac_3/Tes"/>
        <s v="http://www.dpa.de/"/>
        <s v="http://www.elpais.com/articulo/espana/ESPAnA/Recuperado/cadaver/magrebi/ahogado/aguas/Tarifa/elpepiesp/20000106elpepinac_23/Tes"/>
        <s v="http://www.elpais.com/articulo/espana/ESPAnA/Hallados/costa/Tarifa/cadaveres/inmigrantes/ahogados/elpepiesp/20000105elpepinac_11/Tes"/>
        <s v="http://www.bbc.com/news/uk-28827133"/>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rtoDBTableauCroiséDynamique" cacheId="0" dataCaption="" compact="0" compactData="0">
  <location ref="A1:J1000" firstHeaderRow="1" firstDataRow="2" firstDataCol="1"/>
  <pivotFields>
    <pivotField name="Ev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t="default"/>
      </items>
    </pivotField>
    <pivotField name="cause_of_dea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CartoDB_Cause_of_death" axis="axisCol" compact="0" outline="0" multipleItemSelectionAllowed="1" showAll="0" sortType="ascending">
      <items>
        <item x="7"/>
        <item x="0"/>
        <item x="1"/>
        <item x="2"/>
        <item x="4"/>
        <item x="6"/>
        <item x="3"/>
        <item x="5"/>
        <item t="default"/>
      </items>
    </pivotField>
    <pivotField name="dataset" compact="0" outline="0" multipleItemSelectionAllowed="1" showAll="0">
      <items>
        <item x="0"/>
        <item x="1"/>
        <item x="2"/>
        <item x="3"/>
        <item x="4"/>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t="default"/>
      </items>
    </pivotField>
    <pivotField name="quar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Date-mon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name="Year" compact="0" outline="0" multipleItemSelectionAllowed="1" showAll="0">
      <items>
        <item x="0"/>
        <item x="1"/>
        <item x="2"/>
        <item x="3"/>
        <item x="4"/>
        <item x="5"/>
        <item x="6"/>
        <item x="7"/>
        <item x="8"/>
        <item x="9"/>
        <item x="10"/>
        <item x="11"/>
        <item x="12"/>
        <item x="13"/>
        <item x="14"/>
        <item x="15"/>
        <item x="16"/>
        <item x="17"/>
        <item t="default"/>
      </items>
    </pivotField>
    <pivotField name="de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miss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dead_and_missin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Intent of going to Eur: 1(yes) 0(not confirmed)" compact="0" outline="0" multipleItemSelectionAllowed="1" showAll="0">
      <items>
        <item x="0"/>
        <item x="1"/>
        <item x="2"/>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t="default"/>
      </items>
    </pivotField>
    <pivotField name="latitude, longitude" axis="axisRow" compact="0" outline="0" multipleItemSelectionAllowed="1" showAll="0" sortType="ascending">
      <items>
        <item x="996"/>
        <item x="862"/>
        <item x="662"/>
        <item x="384"/>
        <item x="516"/>
        <item x="80"/>
        <item x="995"/>
        <item x="632"/>
        <item x="538"/>
        <item x="631"/>
        <item x="672"/>
        <item x="720"/>
        <item x="645"/>
        <item x="386"/>
        <item x="510"/>
        <item x="731"/>
        <item x="681"/>
        <item x="555"/>
        <item x="773"/>
        <item x="658"/>
        <item x="763"/>
        <item x="558"/>
        <item x="647"/>
        <item x="137"/>
        <item x="364"/>
        <item x="776"/>
        <item x="701"/>
        <item x="230"/>
        <item x="229"/>
        <item x="232"/>
        <item x="829"/>
        <item x="358"/>
        <item x="318"/>
        <item x="539"/>
        <item x="673"/>
        <item x="72"/>
        <item x="313"/>
        <item x="474"/>
        <item x="540"/>
        <item x="678"/>
        <item x="567"/>
        <item x="563"/>
        <item x="378"/>
        <item x="925"/>
        <item x="670"/>
        <item x="18"/>
        <item x="359"/>
        <item x="131"/>
        <item x="341"/>
        <item x="674"/>
        <item x="525"/>
        <item x="589"/>
        <item x="854"/>
        <item x="565"/>
        <item x="142"/>
        <item x="956"/>
        <item x="610"/>
        <item x="629"/>
        <item x="367"/>
        <item x="708"/>
        <item x="815"/>
        <item x="562"/>
        <item x="806"/>
        <item x="515"/>
        <item x="600"/>
        <item x="624"/>
        <item x="721"/>
        <item x="822"/>
        <item x="342"/>
        <item x="256"/>
        <item x="404"/>
        <item x="878"/>
        <item x="570"/>
        <item x="138"/>
        <item x="609"/>
        <item x="775"/>
        <item x="448"/>
        <item x="475"/>
        <item x="598"/>
        <item x="566"/>
        <item x="343"/>
        <item x="564"/>
        <item x="917"/>
        <item x="203"/>
        <item x="183"/>
        <item x="194"/>
        <item x="683"/>
        <item x="211"/>
        <item x="144"/>
        <item x="369"/>
        <item x="147"/>
        <item x="577"/>
        <item x="242"/>
        <item x="26"/>
        <item x="491"/>
        <item x="53"/>
        <item x="390"/>
        <item x="35"/>
        <item x="715"/>
        <item x="728"/>
        <item x="253"/>
        <item x="174"/>
        <item x="513"/>
        <item x="559"/>
        <item x="139"/>
        <item x="225"/>
        <item x="272"/>
        <item x="387"/>
        <item x="412"/>
        <item x="675"/>
        <item x="265"/>
        <item x="160"/>
        <item x="201"/>
        <item x="8"/>
        <item x="49"/>
        <item x="69"/>
        <item x="300"/>
        <item x="55"/>
        <item x="45"/>
        <item x="286"/>
        <item x="9"/>
        <item x="383"/>
        <item x="59"/>
        <item x="438"/>
        <item x="282"/>
        <item x="34"/>
        <item x="268"/>
        <item x="585"/>
        <item x="124"/>
        <item x="41"/>
        <item x="315"/>
        <item x="278"/>
        <item x="206"/>
        <item x="294"/>
        <item x="280"/>
        <item x="270"/>
        <item x="276"/>
        <item x="267"/>
        <item x="287"/>
        <item x="312"/>
        <item x="241"/>
        <item x="178"/>
        <item x="275"/>
        <item x="21"/>
        <item x="292"/>
        <item x="502"/>
        <item x="20"/>
        <item x="204"/>
        <item x="269"/>
        <item x="162"/>
        <item x="245"/>
        <item x="22"/>
        <item x="271"/>
        <item x="251"/>
        <item x="236"/>
        <item x="13"/>
        <item x="293"/>
        <item x="667"/>
        <item x="334"/>
        <item x="215"/>
        <item x="19"/>
        <item x="755"/>
        <item x="2"/>
        <item x="335"/>
        <item x="235"/>
        <item x="260"/>
        <item x="281"/>
        <item x="462"/>
        <item x="950"/>
        <item x="247"/>
        <item x="317"/>
        <item x="296"/>
        <item x="785"/>
        <item x="226"/>
        <item x="730"/>
        <item x="23"/>
        <item x="277"/>
        <item x="273"/>
        <item x="575"/>
        <item x="227"/>
        <item x="179"/>
        <item x="508"/>
        <item x="234"/>
        <item x="696"/>
        <item x="311"/>
        <item x="446"/>
        <item x="633"/>
        <item x="368"/>
        <item x="249"/>
        <item x="590"/>
        <item x="766"/>
        <item x="957"/>
        <item x="252"/>
        <item x="588"/>
        <item x="208"/>
        <item x="306"/>
        <item x="250"/>
        <item x="298"/>
        <item x="274"/>
        <item x="209"/>
        <item x="192"/>
        <item x="714"/>
        <item x="640"/>
        <item x="307"/>
        <item x="414"/>
        <item x="698"/>
        <item x="463"/>
        <item x="871"/>
        <item x="586"/>
        <item x="263"/>
        <item x="430"/>
        <item x="362"/>
        <item x="828"/>
        <item x="6"/>
        <item x="354"/>
        <item x="291"/>
        <item x="420"/>
        <item x="15"/>
        <item x="634"/>
        <item x="816"/>
        <item x="262"/>
        <item x="264"/>
        <item x="920"/>
        <item x="42"/>
        <item x="583"/>
        <item x="16"/>
        <item x="63"/>
        <item x="305"/>
        <item x="710"/>
        <item x="222"/>
        <item x="347"/>
        <item x="382"/>
        <item x="635"/>
        <item x="621"/>
        <item x="393"/>
        <item x="817"/>
        <item x="682"/>
        <item x="745"/>
        <item x="852"/>
        <item x="931"/>
        <item x="237"/>
        <item x="505"/>
        <item x="221"/>
        <item x="394"/>
        <item x="636"/>
        <item x="78"/>
        <item x="443"/>
        <item x="0"/>
        <item x="593"/>
        <item x="820"/>
        <item x="594"/>
        <item x="579"/>
        <item x="133"/>
        <item x="964"/>
        <item x="451"/>
        <item x="664"/>
        <item x="661"/>
        <item x="377"/>
        <item x="576"/>
        <item x="546"/>
        <item x="323"/>
        <item x="27"/>
        <item x="561"/>
        <item x="198"/>
        <item x="176"/>
        <item x="159"/>
        <item x="150"/>
        <item x="290"/>
        <item x="511"/>
        <item x="830"/>
        <item x="119"/>
        <item x="945"/>
        <item x="350"/>
        <item x="30"/>
        <item x="375"/>
        <item x="336"/>
        <item x="509"/>
        <item x="473"/>
        <item x="325"/>
        <item x="723"/>
        <item x="639"/>
        <item x="677"/>
        <item x="319"/>
        <item x="304"/>
        <item x="283"/>
        <item x="348"/>
        <item x="666"/>
        <item x="58"/>
        <item x="65"/>
        <item x="970"/>
        <item x="216"/>
        <item x="257"/>
        <item x="301"/>
        <item x="790"/>
        <item x="613"/>
        <item x="129"/>
        <item x="402"/>
        <item x="655"/>
        <item x="419"/>
        <item x="136"/>
        <item x="167"/>
        <item x="64"/>
        <item x="864"/>
        <item x="524"/>
        <item x="29"/>
        <item x="248"/>
        <item x="961"/>
        <item x="557"/>
        <item x="736"/>
        <item x="625"/>
        <item x="606"/>
        <item x="327"/>
        <item x="217"/>
        <item x="266"/>
        <item x="331"/>
        <item x="289"/>
        <item x="813"/>
        <item x="464"/>
        <item x="246"/>
        <item x="110"/>
        <item x="521"/>
        <item x="4"/>
        <item x="374"/>
        <item x="151"/>
        <item x="874"/>
        <item x="205"/>
        <item x="254"/>
        <item x="592"/>
        <item x="455"/>
        <item x="452"/>
        <item x="869"/>
        <item x="68"/>
        <item x="38"/>
        <item x="732"/>
        <item x="54"/>
        <item x="616"/>
        <item x="433"/>
        <item x="519"/>
        <item x="81"/>
        <item x="461"/>
        <item x="444"/>
        <item x="522"/>
        <item x="297"/>
        <item x="548"/>
        <item x="395"/>
        <item x="118"/>
        <item x="427"/>
        <item x="441"/>
        <item x="506"/>
        <item x="938"/>
        <item x="798"/>
        <item x="338"/>
        <item x="352"/>
        <item x="100"/>
        <item x="70"/>
        <item x="432"/>
        <item x="437"/>
        <item x="421"/>
        <item x="789"/>
        <item x="28"/>
        <item x="865"/>
        <item x="418"/>
        <item x="685"/>
        <item x="973"/>
        <item x="37"/>
        <item x="879"/>
        <item x="66"/>
        <item x="255"/>
        <item x="128"/>
        <item x="465"/>
        <item x="314"/>
        <item x="86"/>
        <item x="489"/>
        <item x="92"/>
        <item x="213"/>
        <item x="164"/>
        <item x="299"/>
        <item x="152"/>
        <item x="166"/>
        <item x="529"/>
        <item x="184"/>
        <item x="719"/>
        <item x="531"/>
        <item x="648"/>
        <item x="617"/>
        <item x="173"/>
        <item x="127"/>
        <item x="825"/>
        <item x="891"/>
        <item x="568"/>
        <item x="544"/>
        <item x="689"/>
        <item x="121"/>
        <item x="428"/>
        <item x="240"/>
        <item x="303"/>
        <item x="99"/>
        <item x="105"/>
        <item x="413"/>
        <item x="697"/>
        <item x="33"/>
        <item x="337"/>
        <item x="122"/>
        <item x="223"/>
        <item x="14"/>
        <item x="196"/>
        <item x="168"/>
        <item x="82"/>
        <item x="106"/>
        <item x="77"/>
        <item x="398"/>
        <item x="909"/>
        <item x="934"/>
        <item x="571"/>
        <item x="903"/>
        <item x="924"/>
        <item x="553"/>
        <item x="926"/>
        <item x="67"/>
        <item x="154"/>
        <item x="116"/>
        <item x="24"/>
        <item x="537"/>
        <item x="71"/>
        <item x="339"/>
        <item x="417"/>
        <item x="440"/>
        <item x="344"/>
        <item x="115"/>
        <item x="114"/>
        <item x="569"/>
        <item x="520"/>
        <item x="962"/>
        <item x="51"/>
        <item x="212"/>
        <item x="91"/>
        <item x="75"/>
        <item x="74"/>
        <item x="149"/>
        <item x="120"/>
        <item x="31"/>
        <item x="316"/>
        <item x="48"/>
        <item x="39"/>
        <item x="295"/>
        <item x="657"/>
        <item x="93"/>
        <item x="1"/>
        <item x="32"/>
        <item x="50"/>
        <item x="161"/>
        <item x="44"/>
        <item x="912"/>
        <item x="523"/>
        <item x="573"/>
        <item x="951"/>
        <item x="769"/>
        <item x="550"/>
        <item x="422"/>
        <item x="542"/>
        <item x="351"/>
        <item x="528"/>
        <item x="391"/>
        <item x="310"/>
        <item x="400"/>
        <item x="833"/>
        <item x="587"/>
        <item x="831"/>
        <item x="429"/>
        <item x="46"/>
        <item x="89"/>
        <item x="146"/>
        <item x="663"/>
        <item x="261"/>
        <item x="329"/>
        <item x="494"/>
        <item x="800"/>
        <item x="552"/>
        <item x="656"/>
        <item x="884"/>
        <item x="407"/>
        <item x="61"/>
        <item x="83"/>
        <item x="123"/>
        <item x="190"/>
        <item x="818"/>
        <item x="399"/>
        <item x="651"/>
        <item x="500"/>
        <item x="980"/>
        <item x="373"/>
        <item x="25"/>
        <item x="195"/>
        <item x="392"/>
        <item x="847"/>
        <item x="302"/>
        <item x="797"/>
        <item x="355"/>
        <item x="741"/>
        <item x="851"/>
        <item x="40"/>
        <item x="718"/>
        <item x="805"/>
        <item x="534"/>
        <item x="95"/>
        <item x="366"/>
        <item x="699"/>
        <item x="434"/>
        <item x="12"/>
        <item x="786"/>
        <item x="767"/>
        <item x="905"/>
        <item x="104"/>
        <item x="158"/>
        <item x="157"/>
        <item x="155"/>
        <item x="189"/>
        <item x="187"/>
        <item x="477"/>
        <item x="56"/>
        <item x="700"/>
        <item x="431"/>
        <item x="761"/>
        <item x="409"/>
        <item x="615"/>
        <item x="346"/>
        <item x="79"/>
        <item x="175"/>
        <item x="165"/>
        <item x="156"/>
        <item x="96"/>
        <item x="547"/>
        <item x="171"/>
        <item x="403"/>
        <item x="324"/>
        <item x="111"/>
        <item x="774"/>
        <item x="60"/>
        <item x="450"/>
        <item x="308"/>
        <item x="76"/>
        <item x="357"/>
        <item x="821"/>
        <item x="580"/>
        <item x="163"/>
        <item x="90"/>
        <item x="113"/>
        <item x="479"/>
        <item x="109"/>
        <item x="87"/>
        <item x="244"/>
        <item x="582"/>
        <item x="504"/>
        <item x="846"/>
        <item x="614"/>
        <item x="101"/>
        <item x="466"/>
        <item x="638"/>
        <item x="349"/>
        <item x="618"/>
        <item x="885"/>
        <item x="388"/>
        <item x="693"/>
        <item x="748"/>
        <item x="888"/>
        <item x="642"/>
        <item x="191"/>
        <item x="112"/>
        <item x="202"/>
        <item x="210"/>
        <item x="472"/>
        <item x="894"/>
        <item x="620"/>
        <item x="11"/>
        <item x="835"/>
        <item x="777"/>
        <item x="953"/>
        <item x="887"/>
        <item x="459"/>
        <item x="890"/>
        <item x="611"/>
        <item x="424"/>
        <item x="787"/>
        <item x="872"/>
        <item x="460"/>
        <item x="259"/>
        <item x="653"/>
        <item x="181"/>
        <item x="929"/>
        <item x="947"/>
        <item x="989"/>
        <item x="449"/>
        <item x="376"/>
        <item x="145"/>
        <item x="882"/>
        <item x="425"/>
        <item x="622"/>
        <item x="911"/>
        <item x="916"/>
        <item x="94"/>
        <item x="574"/>
        <item x="654"/>
        <item x="652"/>
        <item x="214"/>
        <item x="108"/>
        <item x="321"/>
        <item x="442"/>
        <item x="397"/>
        <item x="135"/>
        <item x="991"/>
        <item x="36"/>
        <item x="560"/>
        <item x="596"/>
        <item x="913"/>
        <item x="781"/>
        <item x="619"/>
        <item x="408"/>
        <item x="330"/>
        <item x="371"/>
        <item x="946"/>
        <item x="396"/>
        <item x="471"/>
        <item x="199"/>
        <item x="883"/>
        <item x="752"/>
        <item x="814"/>
        <item x="753"/>
        <item x="881"/>
        <item x="243"/>
        <item x="581"/>
        <item x="702"/>
        <item x="439"/>
        <item x="527"/>
        <item x="88"/>
        <item x="62"/>
        <item x="914"/>
        <item x="832"/>
        <item x="994"/>
        <item x="177"/>
        <item x="169"/>
        <item x="97"/>
        <item x="435"/>
        <item x="426"/>
        <item x="952"/>
        <item x="532"/>
        <item x="126"/>
        <item x="726"/>
        <item x="626"/>
        <item x="125"/>
        <item x="530"/>
        <item x="743"/>
        <item x="811"/>
        <item x="503"/>
        <item x="646"/>
        <item x="623"/>
        <item x="641"/>
        <item x="842"/>
        <item x="793"/>
        <item x="98"/>
        <item x="389"/>
        <item x="804"/>
        <item x="591"/>
        <item x="627"/>
        <item x="411"/>
        <item x="458"/>
        <item x="791"/>
        <item x="717"/>
        <item x="676"/>
        <item x="688"/>
        <item x="686"/>
        <item x="889"/>
        <item x="57"/>
        <item x="669"/>
        <item x="148"/>
        <item x="545"/>
        <item x="401"/>
        <item x="493"/>
        <item x="507"/>
        <item x="837"/>
        <item x="499"/>
        <item x="659"/>
        <item x="758"/>
        <item x="992"/>
        <item x="794"/>
        <item x="340"/>
        <item x="533"/>
        <item x="238"/>
        <item x="709"/>
        <item x="749"/>
        <item x="848"/>
        <item x="3"/>
        <item x="877"/>
        <item x="7"/>
        <item x="220"/>
        <item x="650"/>
        <item x="834"/>
        <item x="612"/>
        <item x="197"/>
        <item x="863"/>
        <item x="949"/>
        <item x="584"/>
        <item x="918"/>
        <item x="979"/>
        <item x="927"/>
        <item x="782"/>
        <item x="691"/>
        <item x="543"/>
        <item x="841"/>
        <item x="792"/>
        <item x="982"/>
        <item x="361"/>
        <item x="487"/>
        <item x="976"/>
        <item x="867"/>
        <item x="200"/>
        <item x="770"/>
        <item x="595"/>
        <item x="896"/>
        <item x="958"/>
        <item x="219"/>
        <item x="974"/>
        <item x="986"/>
        <item x="868"/>
        <item x="963"/>
        <item x="73"/>
        <item x="207"/>
        <item x="844"/>
        <item x="808"/>
        <item x="993"/>
        <item x="445"/>
        <item x="497"/>
        <item x="512"/>
        <item x="498"/>
        <item x="549"/>
        <item x="768"/>
        <item x="802"/>
        <item x="107"/>
        <item x="987"/>
        <item x="447"/>
        <item x="936"/>
        <item x="764"/>
        <item x="943"/>
        <item x="578"/>
        <item x="322"/>
        <item x="416"/>
        <item x="228"/>
        <item x="284"/>
        <item x="501"/>
        <item x="860"/>
        <item x="901"/>
        <item x="680"/>
        <item x="944"/>
        <item x="919"/>
        <item x="130"/>
        <item x="784"/>
        <item x="684"/>
        <item x="517"/>
        <item x="971"/>
        <item x="843"/>
        <item x="739"/>
        <item x="143"/>
        <item x="733"/>
        <item x="602"/>
        <item x="410"/>
        <item x="47"/>
        <item x="985"/>
        <item x="921"/>
        <item x="966"/>
        <item x="43"/>
        <item x="965"/>
        <item x="981"/>
        <item x="665"/>
        <item x="990"/>
        <item x="988"/>
        <item x="365"/>
        <item x="492"/>
        <item x="893"/>
        <item x="727"/>
        <item x="765"/>
        <item x="415"/>
        <item x="436"/>
        <item x="180"/>
        <item x="967"/>
        <item x="599"/>
        <item x="490"/>
        <item x="928"/>
        <item x="239"/>
        <item x="737"/>
        <item x="968"/>
        <item x="849"/>
        <item x="405"/>
        <item x="840"/>
        <item x="309"/>
        <item x="880"/>
        <item x="381"/>
        <item x="572"/>
        <item x="694"/>
        <item x="895"/>
        <item x="972"/>
        <item x="85"/>
        <item x="332"/>
        <item x="356"/>
        <item x="526"/>
        <item x="5"/>
        <item x="983"/>
        <item x="857"/>
        <item x="907"/>
        <item x="134"/>
        <item x="193"/>
        <item x="233"/>
        <item x="170"/>
        <item x="812"/>
        <item x="735"/>
        <item x="182"/>
        <item x="231"/>
        <item x="172"/>
        <item x="132"/>
        <item x="17"/>
        <item x="185"/>
        <item x="218"/>
        <item x="467"/>
        <item x="518"/>
        <item x="288"/>
        <item x="188"/>
        <item x="117"/>
        <item x="536"/>
        <item x="875"/>
        <item x="328"/>
        <item x="486"/>
        <item x="725"/>
        <item x="705"/>
        <item x="224"/>
        <item x="932"/>
        <item x="756"/>
        <item x="845"/>
        <item x="960"/>
        <item x="923"/>
        <item x="955"/>
        <item x="601"/>
        <item x="695"/>
        <item x="628"/>
        <item x="940"/>
        <item x="706"/>
        <item x="796"/>
        <item x="668"/>
        <item x="597"/>
        <item x="734"/>
        <item x="643"/>
        <item x="855"/>
        <item x="799"/>
        <item x="746"/>
        <item x="757"/>
        <item x="456"/>
        <item x="771"/>
        <item x="942"/>
        <item x="285"/>
        <item x="379"/>
        <item x="454"/>
        <item x="370"/>
        <item x="740"/>
        <item x="742"/>
        <item x="380"/>
        <item x="870"/>
        <item x="551"/>
        <item x="603"/>
        <item x="453"/>
        <item x="853"/>
        <item x="886"/>
        <item x="975"/>
        <item x="326"/>
        <item x="679"/>
        <item x="52"/>
        <item x="703"/>
        <item x="744"/>
        <item x="759"/>
        <item x="898"/>
        <item x="809"/>
        <item x="876"/>
        <item x="644"/>
        <item x="258"/>
        <item x="637"/>
        <item x="372"/>
        <item x="186"/>
        <item x="930"/>
        <item x="484"/>
        <item x="935"/>
        <item x="778"/>
        <item x="480"/>
        <item x="103"/>
        <item x="906"/>
        <item x="406"/>
        <item x="729"/>
        <item x="360"/>
        <item x="320"/>
        <item x="750"/>
        <item x="977"/>
        <item x="488"/>
        <item x="724"/>
        <item x="687"/>
        <item x="747"/>
        <item x="707"/>
        <item x="345"/>
        <item x="779"/>
        <item x="279"/>
        <item x="541"/>
        <item x="423"/>
        <item x="836"/>
        <item x="495"/>
        <item x="469"/>
        <item x="780"/>
        <item x="153"/>
        <item x="838"/>
        <item x="910"/>
        <item x="819"/>
        <item x="604"/>
        <item x="933"/>
        <item x="954"/>
        <item x="810"/>
        <item x="826"/>
        <item x="959"/>
        <item x="807"/>
        <item x="859"/>
        <item x="363"/>
        <item x="141"/>
        <item x="470"/>
        <item x="969"/>
        <item x="856"/>
        <item x="711"/>
        <item x="902"/>
        <item x="908"/>
        <item x="478"/>
        <item x="941"/>
        <item x="630"/>
        <item x="671"/>
        <item x="760"/>
        <item x="660"/>
        <item x="788"/>
        <item x="915"/>
        <item x="353"/>
        <item x="827"/>
        <item x="861"/>
        <item x="496"/>
        <item x="939"/>
        <item x="385"/>
        <item x="751"/>
        <item x="858"/>
        <item x="801"/>
        <item x="607"/>
        <item x="754"/>
        <item x="482"/>
        <item x="738"/>
        <item x="984"/>
        <item x="824"/>
        <item x="900"/>
        <item x="690"/>
        <item x="850"/>
        <item x="692"/>
        <item x="772"/>
        <item x="608"/>
        <item x="649"/>
        <item x="897"/>
        <item x="722"/>
        <item x="892"/>
        <item x="937"/>
        <item x="712"/>
        <item x="783"/>
        <item x="823"/>
        <item x="514"/>
        <item x="481"/>
        <item x="476"/>
        <item x="457"/>
        <item x="904"/>
        <item x="483"/>
        <item x="704"/>
        <item x="873"/>
        <item x="899"/>
        <item x="762"/>
        <item x="795"/>
        <item x="485"/>
        <item x="716"/>
        <item x="948"/>
        <item x="10"/>
        <item x="803"/>
        <item x="556"/>
        <item x="839"/>
        <item x="468"/>
        <item x="922"/>
        <item x="554"/>
        <item x="535"/>
        <item x="84"/>
        <item x="978"/>
        <item x="140"/>
        <item x="713"/>
        <item x="102"/>
        <item x="866"/>
        <item x="605"/>
        <item x="333"/>
        <item t="default"/>
      </items>
    </pivotField>
    <pivotField name="Somme Dedoubl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t="default"/>
      </items>
    </pivotField>
    <pivotField name="route (Frontex)" compact="0" outline="0" multipleItemSelectionAllowed="1" showAll="0">
      <items>
        <item x="0"/>
        <item x="1"/>
        <item x="2"/>
        <item x="3"/>
        <item x="4"/>
        <item x="5"/>
        <item x="6"/>
        <item x="7"/>
        <item x="8"/>
        <item x="9"/>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t="default"/>
      </items>
    </pivotField>
    <pivotField name="source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6"/>
  </rowFields>
  <colFields>
    <field x="2"/>
  </colFields>
  <dataFields>
    <dataField name="SUM of dead_and_missing" fld="10"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hcg.gr/node/12375" TargetMode="External"/><Relationship Id="rId190" Type="http://schemas.openxmlformats.org/officeDocument/2006/relationships/hyperlink" Target="http://www.huffpostmaghreb.com/2015/11/01/immigration-clandestine-espagne_n_8447004.html" TargetMode="External"/><Relationship Id="rId42" Type="http://schemas.openxmlformats.org/officeDocument/2006/relationships/hyperlink" Target="http://www.hcg.gr/node/12371" TargetMode="External"/><Relationship Id="rId41" Type="http://schemas.openxmlformats.org/officeDocument/2006/relationships/hyperlink" Target="https://www.lorientlejour.com/article/980558/tunisie-les-depouilles-de-sept-migrants-repechees-au-large-du-sud-du-pays.html" TargetMode="External"/><Relationship Id="rId44" Type="http://schemas.openxmlformats.org/officeDocument/2006/relationships/hyperlink" Target="http://www.romandie.com/news/Grece-5-migrants-dont-1-enfant-se-sont-noyes-en/693154.rom" TargetMode="External"/><Relationship Id="rId194" Type="http://schemas.openxmlformats.org/officeDocument/2006/relationships/hyperlink" Target="http://www.usnews.com/news/world/articles/2015/10/29/germany-arrests-suspect-in-bosnian-boys-disappearance" TargetMode="External"/><Relationship Id="rId43" Type="http://schemas.openxmlformats.org/officeDocument/2006/relationships/hyperlink" Target="http://www.lequotidien.lu/politique-et-societe/luxembourg-silence-sur-le-mysterieux-suicide-dun-refugie-russe/" TargetMode="External"/><Relationship Id="rId193" Type="http://schemas.openxmlformats.org/officeDocument/2006/relationships/hyperlink" Target="http://www.bbc.com/news/world-europe-34675406" TargetMode="External"/><Relationship Id="rId46" Type="http://schemas.openxmlformats.org/officeDocument/2006/relationships/hyperlink" Target="http://www.hcg.gr/node/12311" TargetMode="External"/><Relationship Id="rId192" Type="http://schemas.openxmlformats.org/officeDocument/2006/relationships/hyperlink" Target="http://www.independent.co.uk/news/world/europe/refugee-crisis-21-more-asylum-seekers-die-in-latest-disasters-in-aegean-sea-a6714546.html" TargetMode="External"/><Relationship Id="rId45" Type="http://schemas.openxmlformats.org/officeDocument/2006/relationships/hyperlink" Target="https://www.theguardian.com/world/2016/apr/09/libya-influx-migrants-europe" TargetMode="External"/><Relationship Id="rId191" Type="http://schemas.openxmlformats.org/officeDocument/2006/relationships/hyperlink" Target="http://www.independent.co.uk/news/world/europe/refugee-crisis-21-more-asylum-seekers-die-in-latest-disasters-in-aegean-sea-a6714546.html" TargetMode="External"/><Relationship Id="rId48" Type="http://schemas.openxmlformats.org/officeDocument/2006/relationships/hyperlink" Target="http://www.theguardian.com/world/2016/apr/02/teenager-from-kurdistan-dies-under-lorry-in-oxfordshire" TargetMode="External"/><Relationship Id="rId187" Type="http://schemas.openxmlformats.org/officeDocument/2006/relationships/hyperlink" Target="http://news.yahoo.com/38-missing-aegean-migrant-boat-sinking-102457060.html" TargetMode="External"/><Relationship Id="rId47" Type="http://schemas.openxmlformats.org/officeDocument/2006/relationships/hyperlink" Target="http://www.hcg.gr/node/12307" TargetMode="External"/><Relationship Id="rId186" Type="http://schemas.openxmlformats.org/officeDocument/2006/relationships/hyperlink" Target="http://uk.reuters.com/article/2015/11/02/uk-europe-greece-migrants-drowning-idUKKCN0SR0YW20151102" TargetMode="External"/><Relationship Id="rId185" Type="http://schemas.openxmlformats.org/officeDocument/2006/relationships/hyperlink" Target="http://www.nytimes.com/aponline/2015/11/03/world/europe/ap-eu-europe-migrants-the-latest.html?_r=0" TargetMode="External"/><Relationship Id="rId49" Type="http://schemas.openxmlformats.org/officeDocument/2006/relationships/hyperlink" Target="http://sputniknews.com/world/20160331/1037266113/migrant-ship-sinks.html" TargetMode="External"/><Relationship Id="rId184" Type="http://schemas.openxmlformats.org/officeDocument/2006/relationships/hyperlink" Target="http://www.nytimes.com/aponline/2015/11/03/world/europe/ap-eu-europe-migrants-the-latest.html?_r=0" TargetMode="External"/><Relationship Id="rId189" Type="http://schemas.openxmlformats.org/officeDocument/2006/relationships/hyperlink" Target="http://news.yahoo.com/german-coalition-fails-resolve-rift-refugees-114516379.html" TargetMode="External"/><Relationship Id="rId188" Type="http://schemas.openxmlformats.org/officeDocument/2006/relationships/hyperlink" Target="http://www.foxnews.com/world/2015/10/31/latest-afghan-woman-63-dies-in-refugee-camp-in-croatia-1st-migrant-death-in/" TargetMode="External"/><Relationship Id="rId31" Type="http://schemas.openxmlformats.org/officeDocument/2006/relationships/hyperlink" Target="http://unsmil.unmissions.org/Default.aspx?tabid=3543&amp;ctl=Details&amp;mid=6187&amp;Itemid=2099587&amp;language=en-US" TargetMode="External"/><Relationship Id="rId30" Type="http://schemas.openxmlformats.org/officeDocument/2006/relationships/hyperlink" Target="http://www.middleeasteye.net/news/scores-missing-latest-sinking-libyan-coast-828095045" TargetMode="External"/><Relationship Id="rId33" Type="http://schemas.openxmlformats.org/officeDocument/2006/relationships/hyperlink" Target="http://www.hcg.gr/node/12428" TargetMode="External"/><Relationship Id="rId183" Type="http://schemas.openxmlformats.org/officeDocument/2006/relationships/hyperlink" Target="http://www.reuters.com/article/2015/11/05/us-europe-migrants-greece-drowning-idUSKCN0SU0VW20151105" TargetMode="External"/><Relationship Id="rId32" Type="http://schemas.openxmlformats.org/officeDocument/2006/relationships/hyperlink" Target="http://www.independent.co.uk/news/world/europe/syrian-refugee-dies-after-being-hit-by-police-van-at-idomeni-refugee-camp-in-greece-a6994161.html" TargetMode="External"/><Relationship Id="rId182" Type="http://schemas.openxmlformats.org/officeDocument/2006/relationships/hyperlink" Target="http://www.hurriyetdailynews.com/hundreds-of-migrants-rescued-off-eastern-greek-islands.aspx?pageID=238&amp;nID=90879&amp;NewsCatID=351" TargetMode="External"/><Relationship Id="rId35" Type="http://schemas.openxmlformats.org/officeDocument/2006/relationships/hyperlink" Target="http://www.hcg.gr/node/12395" TargetMode="External"/><Relationship Id="rId181" Type="http://schemas.openxmlformats.org/officeDocument/2006/relationships/hyperlink" Target="http://national.bgnnews.com/one-dead-as-refugee-boat-sinks-in-aegean-sea-haberi/10795" TargetMode="External"/><Relationship Id="rId34" Type="http://schemas.openxmlformats.org/officeDocument/2006/relationships/hyperlink" Target="http://www.cnnturk.com/turkiye/kiliste-roketli-saldiri-sonucu-olenlerin-sayisi-5e-yukseldi" TargetMode="External"/><Relationship Id="rId180" Type="http://schemas.openxmlformats.org/officeDocument/2006/relationships/hyperlink" Target="http://www.aa.com.tr/en/turkey/refugee-boat-sinks-off-western-turkey-14-dead/471476" TargetMode="External"/><Relationship Id="rId37" Type="http://schemas.openxmlformats.org/officeDocument/2006/relationships/hyperlink" Target="http://www.unhcr.org/57177c199.html" TargetMode="External"/><Relationship Id="rId176" Type="http://schemas.openxmlformats.org/officeDocument/2006/relationships/hyperlink" Target="http://news.yahoo.com/latest-migrants-condemn-paris-attacks-155038414.html" TargetMode="External"/><Relationship Id="rId36" Type="http://schemas.openxmlformats.org/officeDocument/2006/relationships/hyperlink" Target="http://www.dailystar.co.uk/news/latest-news/508405/Body-dead-refugee-child-girl-3-fisherman-net-Turkey" TargetMode="External"/><Relationship Id="rId175" Type="http://schemas.openxmlformats.org/officeDocument/2006/relationships/hyperlink" Target="http://news.yahoo.com/latest-migrants-condemn-paris-attacks-155038414.html" TargetMode="External"/><Relationship Id="rId39" Type="http://schemas.openxmlformats.org/officeDocument/2006/relationships/hyperlink" Target="http://www.faz.net/aktuell/rhein-main/asylbewerber-laeuft-auf-a3-und-wird-getoetet-14177883.html" TargetMode="External"/><Relationship Id="rId174" Type="http://schemas.openxmlformats.org/officeDocument/2006/relationships/hyperlink" Target="http://news.yahoo.com/migrant-boat-overturns-near-greek-island-least-8-070232080.html" TargetMode="External"/><Relationship Id="rId38" Type="http://schemas.openxmlformats.org/officeDocument/2006/relationships/hyperlink" Target="http://www.thelocal.it/20160418/over-400-italy-bound-migrants-drowned-in-latest-boat-tragedy" TargetMode="External"/><Relationship Id="rId173" Type="http://schemas.openxmlformats.org/officeDocument/2006/relationships/hyperlink" Target="http://www.bfmtv.com/societe/un-demandeur-d-asile-afghan-retrouve-mort-a-cherbourg-930961.html" TargetMode="External"/><Relationship Id="rId294" Type="http://schemas.openxmlformats.org/officeDocument/2006/relationships/drawing" Target="../drawings/drawing2.xml"/><Relationship Id="rId179" Type="http://schemas.openxmlformats.org/officeDocument/2006/relationships/hyperlink" Target="http://www.romandie.com/news/Turquie-18-migrants-en-route-vers-la-Grece-noyes-lors-de-deux/647699.rom" TargetMode="External"/><Relationship Id="rId178" Type="http://schemas.openxmlformats.org/officeDocument/2006/relationships/hyperlink" Target="http://www.latimes.com/world/middleeast/la-fg-egypt-migrants-shooting-20151115-story.html" TargetMode="External"/><Relationship Id="rId177" Type="http://schemas.openxmlformats.org/officeDocument/2006/relationships/hyperlink" Target="http://news.yahoo.com/latest-migrants-condemn-paris-attacks-155038414.html" TargetMode="External"/><Relationship Id="rId20" Type="http://schemas.openxmlformats.org/officeDocument/2006/relationships/hyperlink" Target="http://www.telegraph.co.uk/news/2016/05/22/italy-launches-search-for-missing-migrant-boat-off-sardinia/" TargetMode="External"/><Relationship Id="rId22" Type="http://schemas.openxmlformats.org/officeDocument/2006/relationships/hyperlink" Target="http://english.ahram.org.eg/NewsContent/1/64/216993/Egypt/Politics-/Two-bodies-found-near-sea-shore-in-Egypts-Kafr-ElS.aspx" TargetMode="External"/><Relationship Id="rId21" Type="http://schemas.openxmlformats.org/officeDocument/2006/relationships/hyperlink" Target="https://archive.is/GuXGI" TargetMode="External"/><Relationship Id="rId24" Type="http://schemas.openxmlformats.org/officeDocument/2006/relationships/hyperlink" Target="http://www.thedailybeast.com/articles/2016/05/09/isis-s-war-kills-syrian-orphans.html?via=desktop&amp;source=twitter" TargetMode="External"/><Relationship Id="rId23" Type="http://schemas.openxmlformats.org/officeDocument/2006/relationships/hyperlink" Target="http://www.yabiladi.com/articles/details/44551/ceuta-marocain-meurt-essayant-rejoindre.html" TargetMode="External"/><Relationship Id="rId26" Type="http://schemas.openxmlformats.org/officeDocument/2006/relationships/hyperlink" Target="http://www.bbc.co.uk/news/world-middle-east-36214290" TargetMode="External"/><Relationship Id="rId25" Type="http://schemas.openxmlformats.org/officeDocument/2006/relationships/hyperlink" Target="http://www.nordlittoral.fr/faits-divers/un-refugie-percute-sur-la-rocade-de-calais-meurt-un-ia0b0n306611" TargetMode="External"/><Relationship Id="rId28" Type="http://schemas.openxmlformats.org/officeDocument/2006/relationships/hyperlink" Target="http://www.hcg.gr/node/12500" TargetMode="External"/><Relationship Id="rId27" Type="http://schemas.openxmlformats.org/officeDocument/2006/relationships/hyperlink" Target="http://www.hcg.gr/node/12503" TargetMode="External"/><Relationship Id="rId29" Type="http://schemas.openxmlformats.org/officeDocument/2006/relationships/hyperlink" Target="http://ragusa.gds.it/2016/05/02/sbarco-a-pozzallo-i-sopravvissuti-30-migranti-morti-in-mare-durante-i-soccorsi_507200/" TargetMode="External"/><Relationship Id="rId11" Type="http://schemas.openxmlformats.org/officeDocument/2006/relationships/hyperlink" Target="http://abcnews.go.com/International/wireStory/latest-eu-nations-extend-border-checks-39521792" TargetMode="External"/><Relationship Id="rId10" Type="http://schemas.openxmlformats.org/officeDocument/2006/relationships/hyperlink" Target="http://www.thelocal.se/20160602/reports-dead-girl-was-16-year-old-asylum-seeker" TargetMode="External"/><Relationship Id="rId13" Type="http://schemas.openxmlformats.org/officeDocument/2006/relationships/hyperlink" Target="http://www.irishexaminer.com/ireland/migrants-body-found-on-dinghy-by-le-roisin-crew-402369.html" TargetMode="External"/><Relationship Id="rId12" Type="http://schemas.openxmlformats.org/officeDocument/2006/relationships/hyperlink" Target="http://www.hcg.gr/node/12607" TargetMode="External"/><Relationship Id="rId15" Type="http://schemas.openxmlformats.org/officeDocument/2006/relationships/hyperlink" Target="http://www.cbc.ca/news/world/migrant-drownings-1.3605484" TargetMode="External"/><Relationship Id="rId198" Type="http://schemas.openxmlformats.org/officeDocument/2006/relationships/hyperlink" Target="http://www.reuters.com/article/2015/10/28/us-migrants-greece-shipwreck-idUSKCN0SM2MI20151028" TargetMode="External"/><Relationship Id="rId14" Type="http://schemas.openxmlformats.org/officeDocument/2006/relationships/hyperlink" Target="http://www.nordlittoral.fr/faits-divers/calais-mort-d-un-migrant-afghan-percute-par-un-camion-ia0b0n312327" TargetMode="External"/><Relationship Id="rId197" Type="http://schemas.openxmlformats.org/officeDocument/2006/relationships/hyperlink" Target="http://www.independent.com.mt/articles/2015-10-29/world-news/Greek-coast-guard-rescues-242-after-boat-capsizes-near-Lesbos-11-dead-6736144407" TargetMode="External"/><Relationship Id="rId17" Type="http://schemas.openxmlformats.org/officeDocument/2006/relationships/hyperlink" Target="http://news.nationalpost.com/news/world/bodies-spotted-in-the-mediterranean-sea-after-migrant-boat-sinks-off-of-libyas-coast" TargetMode="External"/><Relationship Id="rId196" Type="http://schemas.openxmlformats.org/officeDocument/2006/relationships/hyperlink" Target="http://www.independent.com.mt/articles/2015-10-29/world-news/Greek-coast-guard-rescues-242-after-boat-capsizes-near-Lesbos-11-dead-6736144407" TargetMode="External"/><Relationship Id="rId16" Type="http://schemas.openxmlformats.org/officeDocument/2006/relationships/hyperlink" Target="http://palermo.repubblica.it/cronaca/2016/05/27/news/terzo_naufragio_in_tre_giorni_dieci_corpi_recuperati_decine_di_dispersi-140753076/?ref=HREA-1&amp;refresh_ce" TargetMode="External"/><Relationship Id="rId195" Type="http://schemas.openxmlformats.org/officeDocument/2006/relationships/hyperlink" Target="http://www.independent.com.mt/articles/2015-10-29/world-news/Greek-coast-guard-rescues-242-after-boat-capsizes-near-Lesbos-11-dead-6736144407" TargetMode="External"/><Relationship Id="rId19" Type="http://schemas.openxmlformats.org/officeDocument/2006/relationships/hyperlink" Target="http://www.cbc.ca/news/world/migrant-drownings-1.3605484" TargetMode="External"/><Relationship Id="rId18" Type="http://schemas.openxmlformats.org/officeDocument/2006/relationships/hyperlink" Target="http://www.thenational.ae/world/europe/700-refugees-believed-drowned-in-the-mediterranean-in-three-days-says-un" TargetMode="External"/><Relationship Id="rId199" Type="http://schemas.openxmlformats.org/officeDocument/2006/relationships/hyperlink" Target="http://www.bfmtv.com/international/grece-deux-nouveaux-corps-de-migrants-decouverts-sur-des-iles-en-egee-925247.html" TargetMode="External"/><Relationship Id="rId84" Type="http://schemas.openxmlformats.org/officeDocument/2006/relationships/hyperlink" Target="http://aa.com.tr/en/turkey/39-dead-as-refugee-boat-sinks-off-western-turkey/512627" TargetMode="External"/><Relationship Id="rId83" Type="http://schemas.openxmlformats.org/officeDocument/2006/relationships/hyperlink" Target="http://www.hurriyetdailynews.com/Default.aspx?pageID=238&amp;nid=94597&amp;NewsCatID=341" TargetMode="External"/><Relationship Id="rId86" Type="http://schemas.openxmlformats.org/officeDocument/2006/relationships/hyperlink" Target="http://www.hcg.gr/node/11954" TargetMode="External"/><Relationship Id="rId85" Type="http://schemas.openxmlformats.org/officeDocument/2006/relationships/hyperlink" Target="http://www.hcg.gr/node/11948" TargetMode="External"/><Relationship Id="rId88" Type="http://schemas.openxmlformats.org/officeDocument/2006/relationships/hyperlink" Target="http://www.bbc.co.uk/news/world-europe-35430667" TargetMode="External"/><Relationship Id="rId150" Type="http://schemas.openxmlformats.org/officeDocument/2006/relationships/hyperlink" Target="https://web.archive.org/web/20151211133239/http://www.hurriyetdailynews.com/four-refugees-drown-nine-missing-as-boat-capsizes-in-aegean-sea.aspx?pageID=238&amp;nID=92333&amp;NewsCatID=341" TargetMode="External"/><Relationship Id="rId271" Type="http://schemas.openxmlformats.org/officeDocument/2006/relationships/hyperlink" Target="http://index.hu" TargetMode="External"/><Relationship Id="rId87" Type="http://schemas.openxmlformats.org/officeDocument/2006/relationships/hyperlink" Target="http://uk.reuters.com/article/us-europe-migrants-italy-idUKKCN0V6211" TargetMode="External"/><Relationship Id="rId270" Type="http://schemas.openxmlformats.org/officeDocument/2006/relationships/hyperlink" Target="http://www.lavoixdunord.fr/region/intrusion-de-pres-de-500-migrants-dans-le-site-du-ia33b48581n2932235" TargetMode="External"/><Relationship Id="rId89" Type="http://schemas.openxmlformats.org/officeDocument/2006/relationships/hyperlink" Target="http://www.dailysabah.com/nation/2016/01/27/at-least-seven-refugees-including-2-children-drown-in-aegean-near-greek-island" TargetMode="External"/><Relationship Id="rId80" Type="http://schemas.openxmlformats.org/officeDocument/2006/relationships/hyperlink" Target="http://www.dailysabah.com/nation/2016/02/08/tragedy-strikes-migrants-in-the-aegean-again-27-dead" TargetMode="External"/><Relationship Id="rId82" Type="http://schemas.openxmlformats.org/officeDocument/2006/relationships/hyperlink" Target="http://www.hurriyetdailynews.com/nine-migrants-drown-off-turkeys-aegean-coast.aspx?pageID=238&amp;nID=94644&amp;NewsCatID=341" TargetMode="External"/><Relationship Id="rId81" Type="http://schemas.openxmlformats.org/officeDocument/2006/relationships/hyperlink" Target="http://www.dailymail.co.uk/news/article-3435843/Two-migrant-women-dead-cold-Bulgaria-Minister.html" TargetMode="External"/><Relationship Id="rId1" Type="http://schemas.openxmlformats.org/officeDocument/2006/relationships/hyperlink" Target="http://edition.cnn.com/2016/06/20/middleeast/sohr-turkey-syria-border-shooting/" TargetMode="External"/><Relationship Id="rId2" Type="http://schemas.openxmlformats.org/officeDocument/2006/relationships/hyperlink" Target="http://www.hcg.gr/node/12832" TargetMode="External"/><Relationship Id="rId3" Type="http://schemas.openxmlformats.org/officeDocument/2006/relationships/hyperlink" Target="http://www.dpa-international.com/news/international/italy-coastguard-1230-sea-migrants-rescued-one-body-recovered-a-49628405.html" TargetMode="External"/><Relationship Id="rId149" Type="http://schemas.openxmlformats.org/officeDocument/2006/relationships/hyperlink" Target="https://web.archive.org/web/20151215142018/http://www.hurriyetdailynews.com/afghan-refugee-carries-drowned-daughter-in-turkeys-west.aspx?pageID=238&amp;nID=92502&amp;NewsCatID=341" TargetMode="External"/><Relationship Id="rId4" Type="http://schemas.openxmlformats.org/officeDocument/2006/relationships/hyperlink" Target="http://www.telegraph.co.uk/news/2016/06/13/hungary-and-serbia-turning-a-blind-eye-to-thousands-of-migrants/" TargetMode="External"/><Relationship Id="rId148" Type="http://schemas.openxmlformats.org/officeDocument/2006/relationships/hyperlink" Target="http://www.dw.com/en/afghan-stabbed-to-death-in-refugee-shelter-in-germany/a-18919786" TargetMode="External"/><Relationship Id="rId269" Type="http://schemas.openxmlformats.org/officeDocument/2006/relationships/hyperlink" Target="http://www.theguardian.com/world/2015/aug/02/italian-coastguard-rescues-1800-migrants" TargetMode="External"/><Relationship Id="rId9" Type="http://schemas.openxmlformats.org/officeDocument/2006/relationships/hyperlink" Target="http://www.reuters.com/article/us-europe-migrants-libya-idUSKCN0YR0IZ" TargetMode="External"/><Relationship Id="rId143" Type="http://schemas.openxmlformats.org/officeDocument/2006/relationships/hyperlink" Target="https://web.archive.org/web/20151218140224/http://www.sbs.com.au/news/article/2015/12/18/four-iraqis-drown-migrant-boat-capsizes" TargetMode="External"/><Relationship Id="rId264" Type="http://schemas.openxmlformats.org/officeDocument/2006/relationships/hyperlink" Target="http://www.reuters.com/article/2015/08/16/us-europe-migrants-italy-idUSKCN0QL0JG20150816" TargetMode="External"/><Relationship Id="rId142" Type="http://schemas.openxmlformats.org/officeDocument/2006/relationships/hyperlink" Target="https://web.archive.org/web/20151221132526/http://customwire.ap.org/dynamic/stories/E/EU_EUROPE_MIGRANTS?SITE=AP&amp;SECTION=HOME&amp;TEMPLATE=DEFAULT&amp;CTIME=2015-12-19-14-14-31" TargetMode="External"/><Relationship Id="rId263" Type="http://schemas.openxmlformats.org/officeDocument/2006/relationships/hyperlink" Target="http://uk.reuters.com/article/2015/08/17/uk-europe-migrants-idUKKCN0QM1KT20150817" TargetMode="External"/><Relationship Id="rId141" Type="http://schemas.openxmlformats.org/officeDocument/2006/relationships/hyperlink" Target="https://web.archive.org/web/20151221132933/http://www.hurriyetdailynews.com/latest-boat-accidents-kill-eight-migrants-off-western-turkey.aspx?pageID=238&amp;nID=92698&amp;NewsCatID=341" TargetMode="External"/><Relationship Id="rId262" Type="http://schemas.openxmlformats.org/officeDocument/2006/relationships/hyperlink" Target="http://uk.reuters.com/article/2015/08/19/uk-europe-migrants-turkey-syria-idUKKCN0QO1AQ20150819" TargetMode="External"/><Relationship Id="rId140" Type="http://schemas.openxmlformats.org/officeDocument/2006/relationships/hyperlink" Target="https://web.archive.org/web/20151221133732/http://www.thelocal.no/20151218/chechens-deported-from-norway-were-killed" TargetMode="External"/><Relationship Id="rId261" Type="http://schemas.openxmlformats.org/officeDocument/2006/relationships/hyperlink" Target="http://www.usnews.com/news/world/articles/2015/08/19/greek-coast-guard-rescues-hundreds-off-aegean-islands" TargetMode="External"/><Relationship Id="rId5" Type="http://schemas.openxmlformats.org/officeDocument/2006/relationships/hyperlink" Target="http://bx1.be/news/un-corps-sans-vie-decouvert-dans-un-avion-de-brussels-airlines/" TargetMode="External"/><Relationship Id="rId147" Type="http://schemas.openxmlformats.org/officeDocument/2006/relationships/hyperlink" Target="https://web.archive.org/web/20151216121427/http://www.ekathimerini.com/204350/article/ekathimerini/news/three-of-six-migrants-confirmed-drowned" TargetMode="External"/><Relationship Id="rId268" Type="http://schemas.openxmlformats.org/officeDocument/2006/relationships/hyperlink" Target="http://www.lemonde.fr/europe/article/2015/08/03/en-espagne-un-migrant-meurt-asphyxie-dans-une-valise-quatre-autres-se-noient-en-mediterranee_4709892_3214.html" TargetMode="External"/><Relationship Id="rId6" Type="http://schemas.openxmlformats.org/officeDocument/2006/relationships/hyperlink" Target="http://www.huffpostmaghreb.com/2016/06/08/migrant-meurt-melilla_n_10351888.html" TargetMode="External"/><Relationship Id="rId146" Type="http://schemas.openxmlformats.org/officeDocument/2006/relationships/hyperlink" Target="https://web.archive.org/web/20151216131425/http://aa.com.tr/en/turkey/-four-dead-as-refugee-boat-sinks-off-turkish-coast/491747" TargetMode="External"/><Relationship Id="rId267" Type="http://schemas.openxmlformats.org/officeDocument/2006/relationships/hyperlink" Target="http://www.lemonde.fr/europe/article/2015/08/03/en-espagne-un-migrant-meurt-asphyxie-dans-une-valise-quatre-autres-se-noient-en-mediterranee_4709892_3214.html" TargetMode="External"/><Relationship Id="rId7" Type="http://schemas.openxmlformats.org/officeDocument/2006/relationships/hyperlink" Target="http://www.dw.com/en/unhcr-calls-for-investigation-into-river-drowning-of-syrian-refugee-in-hungary/a-19307392" TargetMode="External"/><Relationship Id="rId145" Type="http://schemas.openxmlformats.org/officeDocument/2006/relationships/hyperlink" Target="https://web.archive.org/web/20151217143410/http://www.hurriyetdailynews.com/six-more-migrant-children-drown-in-aegean-off-turkey.aspx?pageID=238&amp;nID=92588&amp;NewsCatID=341" TargetMode="External"/><Relationship Id="rId266" Type="http://schemas.openxmlformats.org/officeDocument/2006/relationships/hyperlink" Target="http://www.lemonde.fr/europe/article/2015/08/06/200-migrants-en-provenance-de-libye-toujours-portes-disparus-en-mediterranee_4714311_3214.html" TargetMode="External"/><Relationship Id="rId8" Type="http://schemas.openxmlformats.org/officeDocument/2006/relationships/hyperlink" Target="http://in.reuters.com/article/europe-migrants-greece-iom-idINKCN0YT1LQ" TargetMode="External"/><Relationship Id="rId144" Type="http://schemas.openxmlformats.org/officeDocument/2006/relationships/hyperlink" Target="https://web.archive.org/save/http://www.afp.com/en/news/five-migrants-three-them-children-drown-way-greece" TargetMode="External"/><Relationship Id="rId265" Type="http://schemas.openxmlformats.org/officeDocument/2006/relationships/hyperlink" Target="http://www.liberation.fr/monde/2015/08/11/en-espagne-une-ville-en-etat-de-siege-apres-la-mort-d-un-senegalais_1362048" TargetMode="External"/><Relationship Id="rId73" Type="http://schemas.openxmlformats.org/officeDocument/2006/relationships/hyperlink" Target="http://www.radikal.com.tr/kilis-haber/sigindiklari-okulda-da-rus-bombasindan-kacamadilar-1512501/" TargetMode="External"/><Relationship Id="rId72" Type="http://schemas.openxmlformats.org/officeDocument/2006/relationships/hyperlink" Target="http://aa.com.tr/tr/guncel/snhr-suriyede-rejim-gucleri-sivilleri-dogrudan-hedef-aliyor/529687" TargetMode="External"/><Relationship Id="rId75" Type="http://schemas.openxmlformats.org/officeDocument/2006/relationships/hyperlink" Target="http://www.news24.com/World/News/4-year-old-afghan-boy-dies-on-migrant-boat-20160217" TargetMode="External"/><Relationship Id="rId74" Type="http://schemas.openxmlformats.org/officeDocument/2006/relationships/hyperlink" Target="http://www.skynews.com.au/news/world/europe/2016/02/20/two-refugees-drown-off-the-coast-of-sicily.html" TargetMode="External"/><Relationship Id="rId77" Type="http://schemas.openxmlformats.org/officeDocument/2006/relationships/hyperlink" Target="https://www.doctorsoftheworld.org.uk/blog/entry/attacks-on-calais-migrants-on-the-rise" TargetMode="External"/><Relationship Id="rId260" Type="http://schemas.openxmlformats.org/officeDocument/2006/relationships/hyperlink" Target="http://www.h24info.ma/monde/international/sur-lile-de-kos-la-situation-toujours-explosive-malgre-les-mesures-prises/35588" TargetMode="External"/><Relationship Id="rId76" Type="http://schemas.openxmlformats.org/officeDocument/2006/relationships/hyperlink" Target="http://news.yahoo.com/sweden-opens-murder-probe-over-death-refugee-centre-204106936.html" TargetMode="External"/><Relationship Id="rId79" Type="http://schemas.openxmlformats.org/officeDocument/2006/relationships/hyperlink" Target="http://www.lefigaro.fr/flash-actu/2016/02/10/97001-20160210FILWWW00174-calais-probablement-un-migrant-retrouve-mort.php" TargetMode="External"/><Relationship Id="rId78" Type="http://schemas.openxmlformats.org/officeDocument/2006/relationships/hyperlink" Target="http://www.hurriyet.com.tr/suriyeli-bebek-besin-yetersizligi-ve-soguktan-oldu-40051147" TargetMode="External"/><Relationship Id="rId71" Type="http://schemas.openxmlformats.org/officeDocument/2006/relationships/hyperlink" Target="http://www.syriahr.com/en/?p=44763" TargetMode="External"/><Relationship Id="rId70" Type="http://schemas.openxmlformats.org/officeDocument/2006/relationships/hyperlink" Target="http://www.hurriyetdailynews.com/death-toll-in-latest-boat-tragedy-rises-to-25.aspx?pageID=238&amp;nid=96135" TargetMode="External"/><Relationship Id="rId139" Type="http://schemas.openxmlformats.org/officeDocument/2006/relationships/hyperlink" Target="https://web.archive.org/web/20151221133732/http://www.thelocal.no/20151218/chechens-deported-from-norway-were-killed" TargetMode="External"/><Relationship Id="rId138" Type="http://schemas.openxmlformats.org/officeDocument/2006/relationships/hyperlink" Target="https://web.archive.org/save/http://news.yahoo.com/two-migrants-drown-108-rescued-off-libya-coastguard-191153452.html" TargetMode="External"/><Relationship Id="rId259" Type="http://schemas.openxmlformats.org/officeDocument/2006/relationships/hyperlink" Target="http://bigstory.ap.org/article/9b67577e90904ca495bff7c28d29ebd6/migrant-boat-capsizes-greek-island-1-dead-6-rescued" TargetMode="External"/><Relationship Id="rId137" Type="http://schemas.openxmlformats.org/officeDocument/2006/relationships/hyperlink" Target="https://web.archive.org/web/20151222142124/http://www.hurriyetdailynews.com/69-afghan-refugees-rescued-two-migrants-drown-in-aegean----.aspx?pageID=238&amp;nID=92805&amp;NewsCatID=341" TargetMode="External"/><Relationship Id="rId258" Type="http://schemas.openxmlformats.org/officeDocument/2006/relationships/hyperlink" Target="http://www.aa.com.tr/tr/s/580137--ege-denizinde-kacaklari-tasiyan-tekne-batti" TargetMode="External"/><Relationship Id="rId132" Type="http://schemas.openxmlformats.org/officeDocument/2006/relationships/hyperlink" Target="https://web.archive.org/web/20151226074455/http://www.aljazeera.com/news/2015/12/drown-hundreds-migrants-swim-ceuta-151225150532407.html" TargetMode="External"/><Relationship Id="rId253" Type="http://schemas.openxmlformats.org/officeDocument/2006/relationships/hyperlink" Target="http://www.theguardian.com/world/2015/aug/30/teenage-migrant-killed-in-shootout-between-greek-police-and-smugglers" TargetMode="External"/><Relationship Id="rId131" Type="http://schemas.openxmlformats.org/officeDocument/2006/relationships/hyperlink" Target="http://web.archive.org/web/20151227145207/http://www.euronews.com/2015/12/26/african-migrants-protest-in-spanish-city-of-roquetas-de-mar/" TargetMode="External"/><Relationship Id="rId252" Type="http://schemas.openxmlformats.org/officeDocument/2006/relationships/hyperlink" Target="http://www.news24.com/Africa/News/Migrant-boat-accident-Toll-hits-37-20150831" TargetMode="External"/><Relationship Id="rId130" Type="http://schemas.openxmlformats.org/officeDocument/2006/relationships/hyperlink" Target="https://web.archive.org/web/20151228174035/http://www.lavoixdunord.fr/region/grande-synthe-un-migrant-retrouve-mort-dans-une-remorque-ia17b47594n3242877?xtor=RSS-2" TargetMode="External"/><Relationship Id="rId251" Type="http://schemas.openxmlformats.org/officeDocument/2006/relationships/hyperlink" Target="http://www.reuters.com/article/2015/09/02/us-europe-migrants-turkey-idUSKCN0R20IJ20150902" TargetMode="External"/><Relationship Id="rId250" Type="http://schemas.openxmlformats.org/officeDocument/2006/relationships/hyperlink" Target="https://twitter.com/FrontexEU/status/638994645708615680" TargetMode="External"/><Relationship Id="rId136" Type="http://schemas.openxmlformats.org/officeDocument/2006/relationships/hyperlink" Target="https://web.archive.org/web/20151225062806/http://www.reuters.com/article/us-europe-migrants-greece-idUSKBN0U61E420151223" TargetMode="External"/><Relationship Id="rId257" Type="http://schemas.openxmlformats.org/officeDocument/2006/relationships/hyperlink" Target="http://www.theguardian.com/world/2015/aug/27/at-least-30-dead-after-boat-carrying-migrants-sinks-in-mediterranean" TargetMode="External"/><Relationship Id="rId135" Type="http://schemas.openxmlformats.org/officeDocument/2006/relationships/hyperlink" Target="https://web.archive.org/web/20151225062806/http://www.reuters.com/article/us-europe-migrants-greece-idUSKBN0U61E420151223" TargetMode="External"/><Relationship Id="rId256" Type="http://schemas.openxmlformats.org/officeDocument/2006/relationships/hyperlink" Target="http://www.lefigaro.fr/flash-actu/2015/08/25/97001-20150825FILWWW00114-migrants-un-ado-mort-apres-avoir-ete-secouru.php" TargetMode="External"/><Relationship Id="rId134" Type="http://schemas.openxmlformats.org/officeDocument/2006/relationships/hyperlink" Target="https://web.archive.org/save/http://news.yahoo.com/eight-migrants-including-3-children-drown-off-turkey-083736411.html" TargetMode="External"/><Relationship Id="rId255" Type="http://schemas.openxmlformats.org/officeDocument/2006/relationships/hyperlink" Target="http://www.ft.com/cms/s/0/83323a26-4cc0-11e5-9b5d-89a026fda5c9.html" TargetMode="External"/><Relationship Id="rId133" Type="http://schemas.openxmlformats.org/officeDocument/2006/relationships/hyperlink" Target="https://web.archive.org/save/http://news.yahoo.com/latest-luxembourg-fm-says-eu-migrant-response-failed-125412714.html" TargetMode="External"/><Relationship Id="rId254" Type="http://schemas.openxmlformats.org/officeDocument/2006/relationships/hyperlink" Target="http://www.theguardian.com/world/2015/aug/27/at-least-30-dead-after-boat-carrying-migrants-sinks-in-mediterranean" TargetMode="External"/><Relationship Id="rId62" Type="http://schemas.openxmlformats.org/officeDocument/2006/relationships/hyperlink" Target="http://www.globalpost.com/article/6745938/2016/03/14/eight-migrants-missing-greece-protest-erupts-border-camp" TargetMode="External"/><Relationship Id="rId61" Type="http://schemas.openxmlformats.org/officeDocument/2006/relationships/hyperlink" Target="http://news.xinhuanet.com/english/2016-03/18/c_135199264.htm" TargetMode="External"/><Relationship Id="rId64" Type="http://schemas.openxmlformats.org/officeDocument/2006/relationships/hyperlink" Target="http://www.eldiario.es/desalambre/Muere-Melilla-inmigrante-intentar-alcanzar_0_494150689.html" TargetMode="External"/><Relationship Id="rId63" Type="http://schemas.openxmlformats.org/officeDocument/2006/relationships/hyperlink" Target="http://www.hurriyetdailynews.com/Default.aspx?pageID=238&amp;nid=96589&amp;NewsCatID=351" TargetMode="External"/><Relationship Id="rId66" Type="http://schemas.openxmlformats.org/officeDocument/2006/relationships/hyperlink" Target="http://af.reuters.com/article/topNews/idAFKCN0WD28X" TargetMode="External"/><Relationship Id="rId172" Type="http://schemas.openxmlformats.org/officeDocument/2006/relationships/hyperlink" Target="http://www.hurriyetdailynews.com/one-of-15-missing-in-bodrum-boat-capsizing-found-dead.aspx?pageID=238&amp;nID=91425&amp;NewsCatID=341" TargetMode="External"/><Relationship Id="rId293" Type="http://schemas.openxmlformats.org/officeDocument/2006/relationships/hyperlink" Target="http://www.lexpressiondz.com/linformation_en_continue/218726-six-migrants-syriens-ont-trouve-la-mort-au-large-de-la-turquie.html" TargetMode="External"/><Relationship Id="rId65" Type="http://schemas.openxmlformats.org/officeDocument/2006/relationships/hyperlink" Target="http://uk.reuters.com/article/uk-europe-migrants-macedonia-idUKKCN0WG0ZS" TargetMode="External"/><Relationship Id="rId171" Type="http://schemas.openxmlformats.org/officeDocument/2006/relationships/hyperlink" Target="http://latino.foxnews.com/latino/news/2015/11/18/migrant-boat-capsizes-off-coast-spain-1-dead-17-missing/" TargetMode="External"/><Relationship Id="rId292" Type="http://schemas.openxmlformats.org/officeDocument/2006/relationships/hyperlink" Target="http://www.dakar-echo.com/un-zodiac-avec-11-senegalais-coule-a-tanger-deux-senegalais-meurent-noyes-9-rescapes/" TargetMode="External"/><Relationship Id="rId68" Type="http://schemas.openxmlformats.org/officeDocument/2006/relationships/hyperlink" Target="http://www.hcg.gr/node/12175" TargetMode="External"/><Relationship Id="rId170" Type="http://schemas.openxmlformats.org/officeDocument/2006/relationships/hyperlink" Target="http://www.bbc.com/news/uk-england-stoke-staffordshire-34857071" TargetMode="External"/><Relationship Id="rId291" Type="http://schemas.openxmlformats.org/officeDocument/2006/relationships/hyperlink" Target="http://www.20minutes.fr/lille/1602395-20150506-nord-passeur-kurde-ecroue-retrouve-mort-cellule" TargetMode="External"/><Relationship Id="rId67" Type="http://schemas.openxmlformats.org/officeDocument/2006/relationships/hyperlink" Target="http://www.hcg.gr/node/12172" TargetMode="External"/><Relationship Id="rId290" Type="http://schemas.openxmlformats.org/officeDocument/2006/relationships/hyperlink" Target="http://www.dailymail.co.uk/news/article-3173971/The-migrant-express-Stowaways-leap-aboard-UK-bound-freight-trains-sneak-Channel-Tunnel-amid-Calais-chaos.html" TargetMode="External"/><Relationship Id="rId60" Type="http://schemas.openxmlformats.org/officeDocument/2006/relationships/hyperlink" Target="http://www.nst.com.my/news/2016/03/133955/nine-migrants-drown-libya-hundreds-rescued" TargetMode="External"/><Relationship Id="rId165" Type="http://schemas.openxmlformats.org/officeDocument/2006/relationships/hyperlink" Target="https://web.archive.org/web/20151124160544/https://en-maktoob.news.yahoo.com/6-sudanese-found-shot-dead-near-egypt-israel-103758812.html" TargetMode="External"/><Relationship Id="rId286" Type="http://schemas.openxmlformats.org/officeDocument/2006/relationships/hyperlink" Target="http://www.franceinfo.fr/actu/societe/article/un-jeune-migrant-electrocute-sur-le-toit-d-un-eurostar-710689" TargetMode="External"/><Relationship Id="rId69" Type="http://schemas.openxmlformats.org/officeDocument/2006/relationships/hyperlink" Target="http://www.reuters.com/article/us-europe-migrants-turkey-idUSKCN0WC0PI" TargetMode="External"/><Relationship Id="rId164" Type="http://schemas.openxmlformats.org/officeDocument/2006/relationships/hyperlink" Target="https://web.archive.org/web/20151127134944/http://bigstory.ap.org/article/4fff1adefed741cc934ded0a1c4db711/6-migrant-children-drown-way-greece" TargetMode="External"/><Relationship Id="rId285" Type="http://schemas.openxmlformats.org/officeDocument/2006/relationships/hyperlink" Target="http://www.20minutes.fr/monde/1659567-20150729-mort-migrant-calais-passe-site-eurotunnel" TargetMode="External"/><Relationship Id="rId163" Type="http://schemas.openxmlformats.org/officeDocument/2006/relationships/hyperlink" Target="https://web.archive.org/web/20151127134944/http://bigstory.ap.org/article/4fff1adefed741cc934ded0a1c4db711/6-migrant-children-drown-way-greece" TargetMode="External"/><Relationship Id="rId284" Type="http://schemas.openxmlformats.org/officeDocument/2006/relationships/hyperlink" Target="http://www.euronews.com/2015/07/28/fourteen-migrant-bodies-recovered-in-the-continuing-exodus-from-north-africa/" TargetMode="External"/><Relationship Id="rId162" Type="http://schemas.openxmlformats.org/officeDocument/2006/relationships/hyperlink" Target="https://web.archive.org/save/http://news.yahoo.com/four-dead-migrant-truck-attacked-mali-sources-232725101.html" TargetMode="External"/><Relationship Id="rId283" Type="http://schemas.openxmlformats.org/officeDocument/2006/relationships/hyperlink" Target="http://www.dispatchtimes.com/italian-coast-guard-rescues-414-boat-migrants-including-4-newborns/19661/" TargetMode="External"/><Relationship Id="rId169" Type="http://schemas.openxmlformats.org/officeDocument/2006/relationships/hyperlink" Target="http://www.lexpress.fr/actualites/1/societe/nord-un-migrant-meurt-percute-par-une-voiture-pres-de-grande-synthe_1737824.html" TargetMode="External"/><Relationship Id="rId168" Type="http://schemas.openxmlformats.org/officeDocument/2006/relationships/hyperlink" Target="http://www.thelocal.no/20151120/girl-stabbed-to-death-at-norway-refugee-centre" TargetMode="External"/><Relationship Id="rId289" Type="http://schemas.openxmlformats.org/officeDocument/2006/relationships/hyperlink" Target="http://www.lopinion.ma/def.asp?codelangue=23&amp;id_info=46636&amp;date_ar=2015-6-24%2014:37:00" TargetMode="External"/><Relationship Id="rId167" Type="http://schemas.openxmlformats.org/officeDocument/2006/relationships/hyperlink" Target="http://www.theguardian.com/world/2015/nov/24/fire-at-algerian-migrant-camp-leaves-18-people-dead" TargetMode="External"/><Relationship Id="rId288" Type="http://schemas.openxmlformats.org/officeDocument/2006/relationships/hyperlink" Target="http://www.leparisien.fr/international/migrants-2-500-personnes-secourues-par-l-italie-un-mort-et-un-blesse-par-balles-23-06-2015-4885539.php" TargetMode="External"/><Relationship Id="rId166" Type="http://schemas.openxmlformats.org/officeDocument/2006/relationships/hyperlink" Target="http://www.hurriyetdailynews.com/4-year-old-syrian-migrant-girl-found-dead-off-turkeys-bodrum-coast.aspx?pageID=238&amp;nID=91545&amp;NewsCatID=341" TargetMode="External"/><Relationship Id="rId287" Type="http://schemas.openxmlformats.org/officeDocument/2006/relationships/hyperlink" Target="https://www.iom.int/fr/news/loim-evoque-la-decouverte-de-nouvelles-victimes-dans-le-sahara-parmi-les-migrants-en-route-pour" TargetMode="External"/><Relationship Id="rId51" Type="http://schemas.openxmlformats.org/officeDocument/2006/relationships/hyperlink" Target="http://www.reuters.com/article/us-europe-migrants-italy-idUSKCN0WW2AY" TargetMode="External"/><Relationship Id="rId50" Type="http://schemas.openxmlformats.org/officeDocument/2006/relationships/hyperlink" Target="http://www.mirror.co.uk/news/world-news/turkey-shoots-dead-syrian-refugees-7659394" TargetMode="External"/><Relationship Id="rId53" Type="http://schemas.openxmlformats.org/officeDocument/2006/relationships/hyperlink" Target="http://www.hcg.gr/node/12257" TargetMode="External"/><Relationship Id="rId52" Type="http://schemas.openxmlformats.org/officeDocument/2006/relationships/hyperlink" Target="http://www.lemonde.fr/europe/article/2016/03/31/calais-un-migrant-meurt-renverse-par-un-camion_4892827_3214.html" TargetMode="External"/><Relationship Id="rId55" Type="http://schemas.openxmlformats.org/officeDocument/2006/relationships/hyperlink" Target="http://www.hcg.gr/node/12249" TargetMode="External"/><Relationship Id="rId161" Type="http://schemas.openxmlformats.org/officeDocument/2006/relationships/hyperlink" Target="https://web.archive.org/web/20151202144147/http://aa.com.tr/en/turkey/30-missing-as-refugee-boat-sinks-off-turkish-coast/484147" TargetMode="External"/><Relationship Id="rId282" Type="http://schemas.openxmlformats.org/officeDocument/2006/relationships/hyperlink" Target="http://www.independent.co.uk/news/world/europe/mediterranean-migrant-crisis-diabetic-child-dies-on-migrant-boat-after-traffickers-throw-her-insulin-overboard-10402029.html" TargetMode="External"/><Relationship Id="rId54" Type="http://schemas.openxmlformats.org/officeDocument/2006/relationships/hyperlink" Target="https://www.cihan.com.tr/en/libya-coast-washed-ashore-2043333.htm" TargetMode="External"/><Relationship Id="rId160" Type="http://schemas.openxmlformats.org/officeDocument/2006/relationships/hyperlink" Target="https://web.archive.org/web/20151202144947/http://www.ekathimerini.com/203956/article/ekathimerini/news/child-drowns-as-refugee-boat-tries-to-reach-greek-shores" TargetMode="External"/><Relationship Id="rId281" Type="http://schemas.openxmlformats.org/officeDocument/2006/relationships/hyperlink" Target="http://france3-regions.francetvinfo.fr/nord-pas-de-calais/un-migrant-retrouve-mort-au-terminal-britannique-d-eurotunnel-775727.html" TargetMode="External"/><Relationship Id="rId57" Type="http://schemas.openxmlformats.org/officeDocument/2006/relationships/hyperlink" Target="http://www.shanghaidaily.com/article/article_xinhua.aspx?id=324209" TargetMode="External"/><Relationship Id="rId280" Type="http://schemas.openxmlformats.org/officeDocument/2006/relationships/hyperlink" Target="http://www.independent.co.uk/news/uk/home-news/calais-crisis-teenage-migrant-found-dead-on-top-of-eurotunnel-train-10412548.html" TargetMode="External"/><Relationship Id="rId56" Type="http://schemas.openxmlformats.org/officeDocument/2006/relationships/hyperlink" Target="http://www.hurriyetdailynews.com/Default.aspx?pageID=238&amp;nid=96847" TargetMode="External"/><Relationship Id="rId159" Type="http://schemas.openxmlformats.org/officeDocument/2006/relationships/hyperlink" Target="https://web.archive.org/save/http://news.yahoo.com/migrant-dies-greek-macedonian-border-second-day-clashes-114510207.html" TargetMode="External"/><Relationship Id="rId59" Type="http://schemas.openxmlformats.org/officeDocument/2006/relationships/hyperlink" Target="http://www.hcg.gr/node/12224" TargetMode="External"/><Relationship Id="rId154" Type="http://schemas.openxmlformats.org/officeDocument/2006/relationships/hyperlink" Target="https://web.archive.org/web/20151208133049/http://bigstory.ap.org/article/bb6ee17a91cc450eb3e2bdd4993759a9/6-migrant-children-drown-turkeys-coast" TargetMode="External"/><Relationship Id="rId275" Type="http://schemas.openxmlformats.org/officeDocument/2006/relationships/hyperlink" Target="http://www.lorientlejour.com/article/932429/maroc-un-migrant-tue-en-marge-dune-operation-devacuation-de-squats-a-tanger-autorites.html" TargetMode="External"/><Relationship Id="rId58" Type="http://schemas.openxmlformats.org/officeDocument/2006/relationships/hyperlink" Target="http://www.hcg.gr/node/12224" TargetMode="External"/><Relationship Id="rId153" Type="http://schemas.openxmlformats.org/officeDocument/2006/relationships/hyperlink" Target="https://web.archive.org/web/20151209220435/http://www.wsj.com/articles/12-dead-10-missing-after-migrant-boat-sinks-in-aegean-sea-1449661072" TargetMode="External"/><Relationship Id="rId274" Type="http://schemas.openxmlformats.org/officeDocument/2006/relationships/hyperlink" Target="http://www.hu-lala.org/un-migrant-trouve-la-mort-dans-le-sud-de-la-hongrie/" TargetMode="External"/><Relationship Id="rId152" Type="http://schemas.openxmlformats.org/officeDocument/2006/relationships/hyperlink" Target="https://web.archive.org/web/20151209191937/http://elpais.com/m/elpais/2015/12/09/inenglish/1449654627_462892.html" TargetMode="External"/><Relationship Id="rId273" Type="http://schemas.openxmlformats.org/officeDocument/2006/relationships/hyperlink" Target="http://index.hu" TargetMode="External"/><Relationship Id="rId151" Type="http://schemas.openxmlformats.org/officeDocument/2006/relationships/hyperlink" Target="https://web.archive.org/web/20151210135324/http://www.hurriyetdailynews.com/12-migrants-killed-as-two-boats-capsize-off-aegean-coast.aspx?PageID=238&amp;NID=92261&amp;NewsCatID=341" TargetMode="External"/><Relationship Id="rId272" Type="http://schemas.openxmlformats.org/officeDocument/2006/relationships/hyperlink" Target="http://www.hu-lala.org/un-migrant-trouve-la-mort-dans-le-sud-de-la-hongrie/" TargetMode="External"/><Relationship Id="rId158" Type="http://schemas.openxmlformats.org/officeDocument/2006/relationships/hyperlink" Target="https://web.archive.org/web/20151204125743/http://www.ekathimerini.com/204000/article/ekathimerini/news/greeks-recover-migrants-body-3-still-missing" TargetMode="External"/><Relationship Id="rId279" Type="http://schemas.openxmlformats.org/officeDocument/2006/relationships/hyperlink" Target="http://www.leparisien.fr/faits-divers/calais-deces-d-un-migrant-brule-dans-le-tunnel-sous-la-manche-20-07-2015-4959303.php" TargetMode="External"/><Relationship Id="rId157" Type="http://schemas.openxmlformats.org/officeDocument/2006/relationships/hyperlink" Target="https://web.archive.org/web/20151204130702/http://www.nordlittoral.fr/accueil/un-migrant-est-mort-percute-par-une-camionnette-jeudi-soir-ia0b0n264911" TargetMode="External"/><Relationship Id="rId278" Type="http://schemas.openxmlformats.org/officeDocument/2006/relationships/hyperlink" Target="http://www.bfmtv.com/societe/calais-un-migrant-mort-noye-en-tentant-de-s-introduire-sur-le-site-d-eurotunnel-903263.html" TargetMode="External"/><Relationship Id="rId156" Type="http://schemas.openxmlformats.org/officeDocument/2006/relationships/hyperlink" Target="https://web.archive.org/web/20151204142408/http://observers.france24.com/fr/20151203-migrants-morts-asphyxies-ceuta-bavure-forces-ordre-maroc-cameroun" TargetMode="External"/><Relationship Id="rId277" Type="http://schemas.openxmlformats.org/officeDocument/2006/relationships/hyperlink" Target="http://www.lemonde.fr/immigration-et-diversite/article/2015/07/07/naufrage-d-un-bateau-de-migrants-entre-la-turquie-et-la-grece_4674062_1654200.html" TargetMode="External"/><Relationship Id="rId155" Type="http://schemas.openxmlformats.org/officeDocument/2006/relationships/hyperlink" Target="https://web.archive.org/web/20151208132707/http://www.bfmtv.com/societe/jungle-de-calais-un-migrant-soudanais-mort-poignarde-935172.html" TargetMode="External"/><Relationship Id="rId276" Type="http://schemas.openxmlformats.org/officeDocument/2006/relationships/hyperlink" Target="http://www.francetvinfo.fr/monde/europe/naufrage-a-lampedusa/douze-migrants-sont-morts-noyes-en-mediterranee-500-autres-ont-ete-secourus_991383.html" TargetMode="External"/><Relationship Id="rId107" Type="http://schemas.openxmlformats.org/officeDocument/2006/relationships/hyperlink" Target="http://thebarentsobserver.com/borders/2016/01/man-found-dead-arctic-migrant-route" TargetMode="External"/><Relationship Id="rId228" Type="http://schemas.openxmlformats.org/officeDocument/2006/relationships/hyperlink" Target="http://www.rtbf.be/info/dossier/drames-de-la-migration-les-candidats-refugies-meurent-aux-portes-de-l-europe/detail_un-refugie-retrouve-mort-dans-un-camion-pres-du-port-de-calais?id=9093612" TargetMode="External"/><Relationship Id="rId106" Type="http://schemas.openxmlformats.org/officeDocument/2006/relationships/hyperlink" Target="http://www.independent.co.uk/news/uk/home-news/refugee-crisis-death-of-afghan-boy-who-suffocated-in-lorry-shows-failure-to-deal-with-calais-a6818261.html" TargetMode="External"/><Relationship Id="rId227" Type="http://schemas.openxmlformats.org/officeDocument/2006/relationships/hyperlink" Target="http://www.hurriyetdailynews.com/one-migrant-dead-five-others-missing-in-aegean-boat-capsizing.aspx?pageID=238&amp;nid=89175&amp;NewsCatID=341&amp;utm_source=dlvr.it&amp;utm_medium=twitter" TargetMode="External"/><Relationship Id="rId105" Type="http://schemas.openxmlformats.org/officeDocument/2006/relationships/hyperlink" Target="http://www.hcg.gr/node/11863" TargetMode="External"/><Relationship Id="rId226" Type="http://schemas.openxmlformats.org/officeDocument/2006/relationships/hyperlink" Target="http://greece.greekreporter.com/2015/09/30/refugee-boat-capsized-near-mytilene-woman-and-young-child-tragically-die-in-waters/" TargetMode="External"/><Relationship Id="rId104" Type="http://schemas.openxmlformats.org/officeDocument/2006/relationships/hyperlink" Target="http://missingmigrants.iom.int/" TargetMode="External"/><Relationship Id="rId225" Type="http://schemas.openxmlformats.org/officeDocument/2006/relationships/hyperlink" Target="http://www.lefigaro.fr/flash-actu/2015/10/05/97001-20151005FILWWW00407-un-refugie-mort-dans-un-foyer-incendie.php" TargetMode="External"/><Relationship Id="rId109" Type="http://schemas.openxmlformats.org/officeDocument/2006/relationships/hyperlink" Target="http://www.hcg.gr/node/11850" TargetMode="External"/><Relationship Id="rId108" Type="http://schemas.openxmlformats.org/officeDocument/2006/relationships/hyperlink" Target="http://www.nytimes.com/aponline/2016/01/18/world/europe/ap-eu-netherlands-migrant-death.html?_r=0" TargetMode="External"/><Relationship Id="rId229" Type="http://schemas.openxmlformats.org/officeDocument/2006/relationships/hyperlink" Target="http://news.yahoo.com/migrants-feared-missing-off-greeces-kos-island-141427880.html" TargetMode="External"/><Relationship Id="rId220" Type="http://schemas.openxmlformats.org/officeDocument/2006/relationships/hyperlink" Target="http://statewatch.org/news/2015/oct/ceuta-border-two-dead.htm" TargetMode="External"/><Relationship Id="rId103" Type="http://schemas.openxmlformats.org/officeDocument/2006/relationships/hyperlink" Target="http://www.unhcr.org/56aa19556.html" TargetMode="External"/><Relationship Id="rId224" Type="http://schemas.openxmlformats.org/officeDocument/2006/relationships/hyperlink" Target="http://www.timesofisrael.com/libyan-red-crescent-says-bodies-of-95-migrants-washed-ashore/" TargetMode="External"/><Relationship Id="rId102" Type="http://schemas.openxmlformats.org/officeDocument/2006/relationships/hyperlink" Target="http://news.trust.org/item/20160121185544-w7al4" TargetMode="External"/><Relationship Id="rId223" Type="http://schemas.openxmlformats.org/officeDocument/2006/relationships/hyperlink" Target="http://www.timesofisrael.com/libyan-red-crescent-says-bodies-of-95-migrants-washed-ashore/" TargetMode="External"/><Relationship Id="rId101" Type="http://schemas.openxmlformats.org/officeDocument/2006/relationships/hyperlink" Target="http://www.sfgate.com/world/article/12-seeking-asylum-drown-off-Turkey-in-rough-6775123.php" TargetMode="External"/><Relationship Id="rId222" Type="http://schemas.openxmlformats.org/officeDocument/2006/relationships/hyperlink" Target="http://www.independent.mk/articles/22794/Refugee+Crisis+One+Killed+in+Accident+Near+Vranje,+Two+Children+Drown+Near+Kos" TargetMode="External"/><Relationship Id="rId100" Type="http://schemas.openxmlformats.org/officeDocument/2006/relationships/hyperlink" Target="http://uk.reuters.com/article/uk-europe-migrants-greece-idUKKCN0V00NF" TargetMode="External"/><Relationship Id="rId221" Type="http://schemas.openxmlformats.org/officeDocument/2006/relationships/hyperlink" Target="http://www.independent.mk/articles/22794/Refugee+Crisis+One+Killed+in+Accident+Near+Vranje,+Two+Children+Drown+Near+Kos" TargetMode="External"/><Relationship Id="rId217" Type="http://schemas.openxmlformats.org/officeDocument/2006/relationships/hyperlink" Target="https://www.washingtonpost.com/world/middle_east/rubber-boat-with-lebanon-family-of-12-sinks-in-aegean-sea/2015/10/15/87e9941c-7356-11e5-ba14-318f8e87a2fc_story.html" TargetMode="External"/><Relationship Id="rId216" Type="http://schemas.openxmlformats.org/officeDocument/2006/relationships/hyperlink" Target="http://www.wsj.com/articles/syrian-woman-dies-after-being-hit-by-car-near-eurotunnel-in-calais-1444898481" TargetMode="External"/><Relationship Id="rId215" Type="http://schemas.openxmlformats.org/officeDocument/2006/relationships/hyperlink" Target="http://news.yahoo.com/migrant-woman-baby-child-drown-trying-reach-greece-204014079.html" TargetMode="External"/><Relationship Id="rId214" Type="http://schemas.openxmlformats.org/officeDocument/2006/relationships/hyperlink" Target="http://www.leparisien.fr/nord-pas-de-calais/calais-un-migrant-meurt-percute-par-un-train-de-marchandises-16-10-2015-5190523.php" TargetMode="External"/><Relationship Id="rId219" Type="http://schemas.openxmlformats.org/officeDocument/2006/relationships/hyperlink" Target="http://uk.reuters.com/article/2015/10/09/uk-eurozone-greece-migrants-idUKKCN0S30DZ20151009" TargetMode="External"/><Relationship Id="rId218" Type="http://schemas.openxmlformats.org/officeDocument/2006/relationships/hyperlink" Target="https://www.dailystar.com.lb/News/Middle-East/2015/Oct-11/318464-11-migrants-drown-as-boat-capsizes-off-egypt.ashx" TargetMode="External"/><Relationship Id="rId213" Type="http://schemas.openxmlformats.org/officeDocument/2006/relationships/hyperlink" Target="http://mashable.com/2015/10/16/bulgaria-afghanistan-migrant/?utm_cid=mash-com-Tw-main-link%237S5etCaC0WqY" TargetMode="External"/><Relationship Id="rId212" Type="http://schemas.openxmlformats.org/officeDocument/2006/relationships/hyperlink" Target="http://www.itele.fr/monde/video/cinq-nouveaux-refugies-trouvent-la-mort-en-mediterranee-140524" TargetMode="External"/><Relationship Id="rId211" Type="http://schemas.openxmlformats.org/officeDocument/2006/relationships/hyperlink" Target="http://www.itele.fr/monde/video/cinq-nouveaux-refugies-trouvent-la-mort-en-mediterranee-140524" TargetMode="External"/><Relationship Id="rId210" Type="http://schemas.openxmlformats.org/officeDocument/2006/relationships/hyperlink" Target="http://news.yahoo.com/four-migrants-drown-off-greek-island-one-missing-074635709.html" TargetMode="External"/><Relationship Id="rId129" Type="http://schemas.openxmlformats.org/officeDocument/2006/relationships/hyperlink" Target="https://web.archive.org/save/http://news.yahoo.com/drowned-toddler-becomes-first-2016-migrant-casualty-aegean-215810825.html" TargetMode="External"/><Relationship Id="rId128" Type="http://schemas.openxmlformats.org/officeDocument/2006/relationships/hyperlink" Target="http://www.hcg.gr/node/11797" TargetMode="External"/><Relationship Id="rId249" Type="http://schemas.openxmlformats.org/officeDocument/2006/relationships/hyperlink" Target="http://news.yahoo.com/refugee-baby-dies-greek-island-clashes-lesbos-195539172.html" TargetMode="External"/><Relationship Id="rId127" Type="http://schemas.openxmlformats.org/officeDocument/2006/relationships/hyperlink" Target="http://www.hcg.gr/node/11802" TargetMode="External"/><Relationship Id="rId248" Type="http://schemas.openxmlformats.org/officeDocument/2006/relationships/hyperlink" Target="http://www.wsj.com/articles/migrants-feared-drowned-after-boat-capsizes-off-libyan-coast-1441368304" TargetMode="External"/><Relationship Id="rId126" Type="http://schemas.openxmlformats.org/officeDocument/2006/relationships/hyperlink" Target="http://www.hcg.gr/node/11806" TargetMode="External"/><Relationship Id="rId247" Type="http://schemas.openxmlformats.org/officeDocument/2006/relationships/hyperlink" Target="http://www.lefigaro.fr/flash-actu/2015/09/04/97001-20150904FILWWW00384-hongrie-un-migrant-retrouve-mort.php" TargetMode="External"/><Relationship Id="rId121" Type="http://schemas.openxmlformats.org/officeDocument/2006/relationships/hyperlink" Target="https://web.archive.org/save/http://news.yahoo.com/latest-4-people-killed-migrant-bus-crash-turkey-084537979.html" TargetMode="External"/><Relationship Id="rId242" Type="http://schemas.openxmlformats.org/officeDocument/2006/relationships/hyperlink" Target="http://www.theguardian.com/world/2015/sep/14/babies-and-children-among-34-dead-in-aegean-migrant-boat-sinking?CMP=share_btn_tw" TargetMode="External"/><Relationship Id="rId120" Type="http://schemas.openxmlformats.org/officeDocument/2006/relationships/hyperlink" Target="http://www.hurriyetdailynews.com/eight-killed-in-new-migrant-bus-accident-in-western-turkey.aspx?pageID=238&amp;nID=93633&amp;NewsCatID=341" TargetMode="External"/><Relationship Id="rId241" Type="http://schemas.openxmlformats.org/officeDocument/2006/relationships/hyperlink" Target="http://www.hurriyetdailynews.com/at-least-22-migrants-drown-as-boat-capsizes-in-aegean-sea.aspx?pageID=238&amp;nid=88492&amp;NewsCatID=341" TargetMode="External"/><Relationship Id="rId240" Type="http://schemas.openxmlformats.org/officeDocument/2006/relationships/hyperlink" Target="http://economictimes.indiatimes.com/news/international/world-news/22-dead-after-greece-bound-migrant-boat-sinks-off-turkey-report/articleshow/48969590.cms" TargetMode="External"/><Relationship Id="rId125" Type="http://schemas.openxmlformats.org/officeDocument/2006/relationships/hyperlink" Target="http://www.hcg.gr/node/11806" TargetMode="External"/><Relationship Id="rId246" Type="http://schemas.openxmlformats.org/officeDocument/2006/relationships/hyperlink" Target="http://www.7sur7.be/7s7/fr/1505/Monde/article/detail/2445752/2015/09/04/Un-migrant-mort-en-Hongrie-un-autre-en-Grece.dhtml" TargetMode="External"/><Relationship Id="rId124" Type="http://schemas.openxmlformats.org/officeDocument/2006/relationships/hyperlink" Target="https://web.archive.org/save/http://news.yahoo.com/bodies-nine-migrants-found-washed-turkey-beach-report-081952667.html" TargetMode="External"/><Relationship Id="rId245" Type="http://schemas.openxmlformats.org/officeDocument/2006/relationships/hyperlink" Target="http://ar.globedia.com/rescatado-cadaver-inmigrante-estrecho-gibraltar" TargetMode="External"/><Relationship Id="rId123" Type="http://schemas.openxmlformats.org/officeDocument/2006/relationships/hyperlink" Target="https://web.archive.org/save/http://news.yahoo.com/bodies-nine-migrants-found-washed-turkey-beach-report-081952667.html" TargetMode="External"/><Relationship Id="rId244" Type="http://schemas.openxmlformats.org/officeDocument/2006/relationships/hyperlink" Target="http://uk.reuters.com/article/2015/09/10/europe-migrants-hungary-death-idUKL5N11G1Z420150910" TargetMode="External"/><Relationship Id="rId122" Type="http://schemas.openxmlformats.org/officeDocument/2006/relationships/hyperlink" Target="http://www.hcg.gr/node/11806" TargetMode="External"/><Relationship Id="rId243" Type="http://schemas.openxmlformats.org/officeDocument/2006/relationships/hyperlink" Target="http://www.theguardian.com/world/2015/sep/14/babies-and-children-among-34-dead-in-aegean-migrant-boat-sinking?CMP=share_btn_tw" TargetMode="External"/><Relationship Id="rId95" Type="http://schemas.openxmlformats.org/officeDocument/2006/relationships/hyperlink" Target="http://www.hcg.gr/node/11886" TargetMode="External"/><Relationship Id="rId94" Type="http://schemas.openxmlformats.org/officeDocument/2006/relationships/hyperlink" Target="http://www.hcg.gr/node/11888" TargetMode="External"/><Relationship Id="rId97" Type="http://schemas.openxmlformats.org/officeDocument/2006/relationships/hyperlink" Target="http://www.corriereadriatico.it/ancona/ancona_investimento_mortale_pedone_perde_la_vita_via_conca-1504453.html" TargetMode="External"/><Relationship Id="rId96" Type="http://schemas.openxmlformats.org/officeDocument/2006/relationships/hyperlink" Target="http://www.unhcr.org/56aa19556.html" TargetMode="External"/><Relationship Id="rId99" Type="http://schemas.openxmlformats.org/officeDocument/2006/relationships/hyperlink" Target="http://news.yahoo.com/german-coalition-fails-resolve-rift-refugees-114516379.html" TargetMode="External"/><Relationship Id="rId98" Type="http://schemas.openxmlformats.org/officeDocument/2006/relationships/hyperlink" Target="http://www.hcg.gr/node/11885" TargetMode="External"/><Relationship Id="rId91" Type="http://schemas.openxmlformats.org/officeDocument/2006/relationships/hyperlink" Target="http://www.ekathimerini.com/205388/article/ekathimerini/news/victim-of-border-attack-a-pakistani-national-police-say" TargetMode="External"/><Relationship Id="rId90" Type="http://schemas.openxmlformats.org/officeDocument/2006/relationships/hyperlink" Target="http://www.ndtv.com/world-news/5-drown-off-turkey-in-new-aegean-migrant-tragedy-reports-1270306" TargetMode="External"/><Relationship Id="rId93" Type="http://schemas.openxmlformats.org/officeDocument/2006/relationships/hyperlink" Target="http://www.hcg.gr/node/11888" TargetMode="External"/><Relationship Id="rId92" Type="http://schemas.openxmlformats.org/officeDocument/2006/relationships/hyperlink" Target="http://www.hcg.gr/node/11895" TargetMode="External"/><Relationship Id="rId118" Type="http://schemas.openxmlformats.org/officeDocument/2006/relationships/hyperlink" Target="http://www.hcg.gr/node/11813" TargetMode="External"/><Relationship Id="rId239" Type="http://schemas.openxmlformats.org/officeDocument/2006/relationships/hyperlink" Target="http://www.bbc.com/news/uk-34287750" TargetMode="External"/><Relationship Id="rId117" Type="http://schemas.openxmlformats.org/officeDocument/2006/relationships/hyperlink" Target="http://uk.reuters.com/article/uk-europe-migrants-turkey-idUKKCN0US1GN20160114" TargetMode="External"/><Relationship Id="rId238" Type="http://schemas.openxmlformats.org/officeDocument/2006/relationships/hyperlink" Target="http://www.euronews.com/2015/09/18/seven-dead-in-migrant-boat-tragedy-off-libyan-coast/" TargetMode="External"/><Relationship Id="rId116" Type="http://schemas.openxmlformats.org/officeDocument/2006/relationships/hyperlink" Target="http://news.yahoo.com/one-dead-5-missing-migrant-boat-italy-coastguard-142601270.html" TargetMode="External"/><Relationship Id="rId237" Type="http://schemas.openxmlformats.org/officeDocument/2006/relationships/hyperlink" Target="http://www.rtl.fr/actu/international/turquie-13-migrants-noyes-apres-la-collision-entre-leur-bateau-et-un-ferry-7779784446" TargetMode="External"/><Relationship Id="rId115" Type="http://schemas.openxmlformats.org/officeDocument/2006/relationships/hyperlink" Target="http://www.francesoir.fr/societe-faits-divers/orly-un-mort-retrouve-dans-un-avion-air-france" TargetMode="External"/><Relationship Id="rId236" Type="http://schemas.openxmlformats.org/officeDocument/2006/relationships/hyperlink" Target="http://www.ouest-france.fr/refugies-une-fillette-syrienne-de-4-ans-se-noie-au-large-de-la-turquie-3697172" TargetMode="External"/><Relationship Id="rId119" Type="http://schemas.openxmlformats.org/officeDocument/2006/relationships/hyperlink" Target="http://www.hurriyetdailynews.com/bus-carrying-migrants-in-aegean-crashes-six-killed.aspx?pageID=238&amp;nID=93581&amp;NewsCatID=341" TargetMode="External"/><Relationship Id="rId110" Type="http://schemas.openxmlformats.org/officeDocument/2006/relationships/hyperlink" Target="http://www.dailymail.co.uk/news/article-3402432/Six-refugees-dead-Greek-island-number-people-drowned-trying-cross-Mediterranean-surpasses-60-two-weeks-2016.html" TargetMode="External"/><Relationship Id="rId231" Type="http://schemas.openxmlformats.org/officeDocument/2006/relationships/hyperlink" Target="http://uk.reuters.com/article/2015/09/24/uk-europe-migrants-calais-death-idUKKCN0RO0VK20150924" TargetMode="External"/><Relationship Id="rId230" Type="http://schemas.openxmlformats.org/officeDocument/2006/relationships/hyperlink" Target="http://www.cbc.ca/news/world/syrian-refugees-turkey-1.3245691" TargetMode="External"/><Relationship Id="rId114" Type="http://schemas.openxmlformats.org/officeDocument/2006/relationships/hyperlink" Target="http://uk.reuters.com/article/uk-europe-migrants-turkey-idUKKCN0US1GN20160114" TargetMode="External"/><Relationship Id="rId235" Type="http://schemas.openxmlformats.org/officeDocument/2006/relationships/hyperlink" Target="http://www.independent.co.uk/news/world/europe/refugee-crisis-fiveyearold-girl-dies-and-14-people-missing-after-latest-boat-disaster-10508965.html?origin=internalSearch" TargetMode="External"/><Relationship Id="rId113" Type="http://schemas.openxmlformats.org/officeDocument/2006/relationships/hyperlink" Target="http://migrantreport.org/5327-2/" TargetMode="External"/><Relationship Id="rId234" Type="http://schemas.openxmlformats.org/officeDocument/2006/relationships/hyperlink" Target="http://www.lavoixdunord.fr/region/migrants-le-corps-repeche-a-gravelines-est-celui-du-ia33b48581n3100418" TargetMode="External"/><Relationship Id="rId112" Type="http://schemas.openxmlformats.org/officeDocument/2006/relationships/hyperlink" Target="http://www.ekathimerini.com/205103/article/ekathimerini/news/baby-found-dead-on-greece-migrant-boat" TargetMode="External"/><Relationship Id="rId233" Type="http://schemas.openxmlformats.org/officeDocument/2006/relationships/hyperlink" Target="http://www.ekathimerini.com/201798/article/ekathimerini/news/two-missing-as-migrant-boat-sinks-at-sea" TargetMode="External"/><Relationship Id="rId111" Type="http://schemas.openxmlformats.org/officeDocument/2006/relationships/hyperlink" Target="http://www.dailysabah.com/nation/2016/01/15/4-people-including-3-children-drown-as-refugee-boat-sinks-off-turkeys-aegean-coast" TargetMode="External"/><Relationship Id="rId232" Type="http://schemas.openxmlformats.org/officeDocument/2006/relationships/hyperlink" Target="http://abcnews.go.com/International/wireStory/syrian-refugee-ate-poisonous-mushroom-dies-germany-33921183" TargetMode="External"/><Relationship Id="rId206" Type="http://schemas.openxmlformats.org/officeDocument/2006/relationships/hyperlink" Target="http://www.abc.net.au/news/2015-10-26/libya-finds-43-bodies-of-apparent-migrants-on-beach/6883802" TargetMode="External"/><Relationship Id="rId205" Type="http://schemas.openxmlformats.org/officeDocument/2006/relationships/hyperlink" Target="http://www.hurriyetdailynews.com/two-migrants-killed-16-missing-in-aegean-sea-for-two-days.aspx?pageID=238&amp;nid=90229" TargetMode="External"/><Relationship Id="rId204" Type="http://schemas.openxmlformats.org/officeDocument/2006/relationships/hyperlink" Target="http://www.abc.net.au/news/2015-10-26/libya-finds-43-bodies-of-apparent-migrants-on-beach/6883802" TargetMode="External"/><Relationship Id="rId203" Type="http://schemas.openxmlformats.org/officeDocument/2006/relationships/hyperlink" Target="http://www.lavoixdunord.fr/region/migrants-fauches-par-une-voiture-a-calais-un-mort-une-ia33b48581n3126857" TargetMode="External"/><Relationship Id="rId209" Type="http://schemas.openxmlformats.org/officeDocument/2006/relationships/hyperlink" Target="http://www.turkishweekly.net/2015/10/17/news/refugee-boat-sinks-off-turkish-coast-12-dead/" TargetMode="External"/><Relationship Id="rId208" Type="http://schemas.openxmlformats.org/officeDocument/2006/relationships/hyperlink" Target="http://www.turkishweekly.net/2015/10/17/news/refugee-boat-sinks-off-turkish-coast-12-dead/" TargetMode="External"/><Relationship Id="rId207" Type="http://schemas.openxmlformats.org/officeDocument/2006/relationships/hyperlink" Target="http://www.hurriyetdailynews.com/two-migrants-killed-16-missing-in-aegean-sea-for-two-days.aspx?pageID=238&amp;nid=90229" TargetMode="External"/><Relationship Id="rId202" Type="http://schemas.openxmlformats.org/officeDocument/2006/relationships/hyperlink" Target="http://www.lorientlejour.com/article/951419/espagne-noyade-dun-migrant-a-ceuta-apres-un-naufrage.html" TargetMode="External"/><Relationship Id="rId201" Type="http://schemas.openxmlformats.org/officeDocument/2006/relationships/hyperlink" Target="http://www.nytimes.com/2015/10/26/world/europe/two-children-among-migrants-killed-after-boat-sinks-off-greece.html?_r=0" TargetMode="External"/><Relationship Id="rId200" Type="http://schemas.openxmlformats.org/officeDocument/2006/relationships/hyperlink" Target="http://www.bfmtv.com/international/grece-deux-nouveaux-corps-de-migrants-decouverts-sur-des-iles-en-egee-925247.html"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26.57"/>
  </cols>
  <sheetData>
    <row r="1">
      <c r="A1" s="1" t="s">
        <v>0</v>
      </c>
    </row>
    <row r="2">
      <c r="A2" s="2" t="s">
        <v>1</v>
      </c>
    </row>
    <row r="3">
      <c r="A3" s="3"/>
    </row>
    <row r="4">
      <c r="A4" s="4" t="s">
        <v>2</v>
      </c>
    </row>
    <row r="5">
      <c r="A5" s="2" t="s">
        <v>3</v>
      </c>
    </row>
    <row r="6">
      <c r="A6" s="2" t="s">
        <v>4</v>
      </c>
    </row>
    <row r="7">
      <c r="A7" s="2" t="s">
        <v>5</v>
      </c>
    </row>
    <row r="8">
      <c r="A8" s="2" t="s">
        <v>6</v>
      </c>
    </row>
    <row r="9">
      <c r="A9" s="4" t="s">
        <v>7</v>
      </c>
    </row>
    <row r="10">
      <c r="A10" s="4"/>
    </row>
    <row r="11">
      <c r="A11" s="2" t="s">
        <v>8</v>
      </c>
    </row>
    <row r="12">
      <c r="A12" s="2" t="s">
        <v>9</v>
      </c>
    </row>
    <row r="13">
      <c r="A13" s="2" t="s">
        <v>10</v>
      </c>
    </row>
    <row r="14">
      <c r="A14" s="2" t="s">
        <v>11</v>
      </c>
    </row>
    <row r="15">
      <c r="A15" s="2" t="s">
        <v>12</v>
      </c>
    </row>
    <row r="16">
      <c r="A16" s="2" t="s">
        <v>13</v>
      </c>
    </row>
    <row r="17">
      <c r="A17" s="2" t="s">
        <v>14</v>
      </c>
    </row>
    <row r="18">
      <c r="A18" s="2" t="s">
        <v>16</v>
      </c>
    </row>
    <row r="19">
      <c r="A19" s="2" t="s">
        <v>17</v>
      </c>
    </row>
    <row r="20">
      <c r="A20" s="3"/>
    </row>
    <row r="21">
      <c r="A21" s="4" t="s">
        <v>18</v>
      </c>
    </row>
    <row r="22">
      <c r="A22" s="2" t="s">
        <v>20</v>
      </c>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hidden="1" min="1" max="1" width="8.0"/>
    <col customWidth="1" min="2" max="2" width="18.86"/>
    <col customWidth="1" min="3" max="3" width="16.14"/>
    <col customWidth="1" hidden="1" min="4" max="4" width="51.0"/>
    <col customWidth="1" min="5" max="5" width="21.14"/>
    <col customWidth="1" min="6" max="6" width="8.0"/>
    <col customWidth="1" min="7" max="7" width="11.0"/>
    <col customWidth="1" min="8" max="8" width="6.0"/>
    <col customWidth="1" min="9" max="9" width="6.14"/>
    <col customWidth="1" min="10" max="10" width="8.0"/>
    <col customWidth="1" min="11" max="11" width="14.0"/>
    <col customWidth="1" min="12" max="12" width="16.29"/>
    <col customWidth="1" min="13" max="13" width="89.0"/>
    <col customWidth="1" min="14" max="14" width="24.0"/>
    <col customWidth="1" min="15" max="16" width="8.0"/>
    <col customWidth="1" min="17" max="17" width="13.71"/>
    <col customWidth="1" hidden="1" min="18" max="18" width="8.0"/>
    <col customWidth="1" hidden="1" min="19" max="19" width="15.14"/>
    <col customWidth="1" min="20" max="20" width="17.29"/>
    <col customWidth="1" min="21" max="21" width="22.43"/>
    <col customWidth="1" min="22" max="22" width="28.14"/>
    <col customWidth="1" min="23" max="27" width="8.0"/>
    <col customWidth="1" min="28" max="28" width="22.86"/>
  </cols>
  <sheetData>
    <row r="1" ht="12.75" customHeight="1">
      <c r="A1" s="5" t="s">
        <v>15</v>
      </c>
      <c r="B1" s="5" t="s">
        <v>19</v>
      </c>
      <c r="C1" s="6" t="s">
        <v>21</v>
      </c>
      <c r="D1" s="5" t="s">
        <v>22</v>
      </c>
      <c r="E1" s="7" t="s">
        <v>23</v>
      </c>
      <c r="F1" s="5" t="s">
        <v>24</v>
      </c>
      <c r="G1" s="5" t="s">
        <v>25</v>
      </c>
      <c r="H1" s="5" t="s">
        <v>26</v>
      </c>
      <c r="I1" s="6" t="s">
        <v>27</v>
      </c>
      <c r="J1" s="5" t="s">
        <v>28</v>
      </c>
      <c r="K1" s="6" t="s">
        <v>29</v>
      </c>
      <c r="L1" s="8" t="s">
        <v>30</v>
      </c>
      <c r="M1" s="5" t="s">
        <v>31</v>
      </c>
      <c r="N1" s="9" t="s">
        <v>32</v>
      </c>
      <c r="O1" t="s">
        <v>33</v>
      </c>
      <c r="P1" t="s">
        <v>34</v>
      </c>
      <c r="Q1" s="10" t="str">
        <f t="shared" ref="Q1:Q306" si="1">O1&amp;", "&amp;P1</f>
        <v>latitude, longitude</v>
      </c>
      <c r="R1" s="10" t="s">
        <v>35</v>
      </c>
      <c r="S1" s="5" t="s">
        <v>36</v>
      </c>
      <c r="T1" s="6" t="s">
        <v>37</v>
      </c>
      <c r="U1" s="6" t="s">
        <v>38</v>
      </c>
      <c r="V1" s="5" t="s">
        <v>39</v>
      </c>
      <c r="W1" t="s">
        <v>40</v>
      </c>
      <c r="X1" t="s">
        <v>40</v>
      </c>
      <c r="Y1" t="s">
        <v>40</v>
      </c>
      <c r="Z1" t="s">
        <v>40</v>
      </c>
      <c r="AA1" t="s">
        <v>40</v>
      </c>
      <c r="AB1" t="s">
        <v>40</v>
      </c>
    </row>
    <row r="2" ht="12.75" customHeight="1">
      <c r="A2" s="5"/>
      <c r="B2" s="11" t="s">
        <v>41</v>
      </c>
      <c r="C2" s="11" t="s">
        <v>42</v>
      </c>
      <c r="D2" s="5"/>
      <c r="E2" s="12">
        <v>42541.0</v>
      </c>
      <c r="F2" s="6" t="s">
        <v>43</v>
      </c>
      <c r="G2" s="13" t="s">
        <v>44</v>
      </c>
      <c r="H2" s="6">
        <v>2016.0</v>
      </c>
      <c r="I2" s="6">
        <v>8.0</v>
      </c>
      <c r="J2" s="6">
        <v>0.0</v>
      </c>
      <c r="K2" s="10">
        <f t="shared" ref="K2:K141" si="2">SUM(I2:J2)</f>
        <v>8</v>
      </c>
      <c r="L2" s="14">
        <v>0.0</v>
      </c>
      <c r="M2" s="10" t="s">
        <v>45</v>
      </c>
      <c r="N2" s="15" t="s">
        <v>46</v>
      </c>
      <c r="O2" s="6">
        <v>35.8150919</v>
      </c>
      <c r="P2" s="16">
        <v>36.3123961</v>
      </c>
      <c r="Q2" s="10" t="str">
        <f t="shared" si="1"/>
        <v>35.8150919, 36.3123961</v>
      </c>
      <c r="R2" s="6"/>
      <c r="S2" s="10"/>
      <c r="T2" s="6"/>
      <c r="U2" s="6" t="s">
        <v>47</v>
      </c>
      <c r="V2" s="17" t="s">
        <v>48</v>
      </c>
      <c r="W2" s="13"/>
      <c r="X2" s="6"/>
      <c r="Y2" s="14"/>
    </row>
    <row r="3" ht="12.75" customHeight="1">
      <c r="A3" s="5"/>
      <c r="B3" s="11" t="s">
        <v>49</v>
      </c>
      <c r="C3" s="11" t="s">
        <v>50</v>
      </c>
      <c r="D3" s="5"/>
      <c r="E3" s="12">
        <v>42537.0</v>
      </c>
      <c r="F3" s="6" t="s">
        <v>43</v>
      </c>
      <c r="G3" s="13" t="s">
        <v>44</v>
      </c>
      <c r="H3" s="6">
        <v>2016.0</v>
      </c>
      <c r="I3" s="6">
        <v>1.0</v>
      </c>
      <c r="J3" s="6">
        <v>0.0</v>
      </c>
      <c r="K3" s="10">
        <f t="shared" si="2"/>
        <v>1</v>
      </c>
      <c r="L3" s="14">
        <v>1.0</v>
      </c>
      <c r="M3" s="10" t="s">
        <v>51</v>
      </c>
      <c r="N3" s="15" t="s">
        <v>52</v>
      </c>
      <c r="O3" s="6">
        <v>37.8136546</v>
      </c>
      <c r="P3" s="16">
        <v>23.8362307</v>
      </c>
      <c r="Q3" s="10" t="str">
        <f t="shared" si="1"/>
        <v>37.8136546, 23.8362307</v>
      </c>
      <c r="R3" s="6"/>
      <c r="S3" s="10"/>
      <c r="T3" s="6" t="s">
        <v>53</v>
      </c>
      <c r="U3" s="6" t="s">
        <v>54</v>
      </c>
      <c r="V3" s="17" t="s">
        <v>55</v>
      </c>
      <c r="W3" s="13"/>
      <c r="X3" s="6"/>
      <c r="Y3" s="14"/>
    </row>
    <row r="4" ht="12.75" customHeight="1">
      <c r="A4" s="5"/>
      <c r="B4" s="11" t="s">
        <v>49</v>
      </c>
      <c r="C4" s="11" t="s">
        <v>50</v>
      </c>
      <c r="D4" s="5"/>
      <c r="E4" s="12">
        <v>42533.0</v>
      </c>
      <c r="F4" s="6" t="s">
        <v>43</v>
      </c>
      <c r="G4" s="13" t="s">
        <v>44</v>
      </c>
      <c r="H4" s="6">
        <v>2016.0</v>
      </c>
      <c r="I4" s="6">
        <v>1.0</v>
      </c>
      <c r="J4" s="6">
        <v>0.0</v>
      </c>
      <c r="K4" s="10">
        <f t="shared" si="2"/>
        <v>1</v>
      </c>
      <c r="L4" s="14">
        <v>1.0</v>
      </c>
      <c r="M4" s="10" t="s">
        <v>56</v>
      </c>
      <c r="N4" s="15" t="s">
        <v>57</v>
      </c>
      <c r="O4" s="6">
        <v>33.5784085</v>
      </c>
      <c r="P4" s="16">
        <v>11.9031222</v>
      </c>
      <c r="Q4" s="10" t="str">
        <f t="shared" si="1"/>
        <v>33.5784085, 11.9031222</v>
      </c>
      <c r="R4" s="6"/>
      <c r="S4" s="10"/>
      <c r="T4" s="6" t="s">
        <v>58</v>
      </c>
      <c r="U4" s="6" t="s">
        <v>59</v>
      </c>
      <c r="V4" s="17" t="s">
        <v>60</v>
      </c>
      <c r="W4" s="13"/>
      <c r="X4" s="6"/>
      <c r="Y4" s="14"/>
    </row>
    <row r="5" ht="12.75" customHeight="1">
      <c r="A5" s="5"/>
      <c r="B5" s="11" t="s">
        <v>61</v>
      </c>
      <c r="C5" s="11" t="s">
        <v>62</v>
      </c>
      <c r="D5" s="5"/>
      <c r="E5" s="12">
        <v>42523.0</v>
      </c>
      <c r="F5" s="6" t="s">
        <v>43</v>
      </c>
      <c r="G5" s="13" t="s">
        <v>44</v>
      </c>
      <c r="H5" s="6">
        <v>2016.0</v>
      </c>
      <c r="I5" s="6">
        <v>2.0</v>
      </c>
      <c r="J5" s="6">
        <v>0.0</v>
      </c>
      <c r="K5" s="10">
        <f t="shared" si="2"/>
        <v>2</v>
      </c>
      <c r="L5" s="14">
        <v>1.0</v>
      </c>
      <c r="M5" s="10" t="s">
        <v>63</v>
      </c>
      <c r="N5" s="15" t="s">
        <v>64</v>
      </c>
      <c r="O5" s="6">
        <v>46.1174981</v>
      </c>
      <c r="P5" s="16">
        <v>19.5601164</v>
      </c>
      <c r="Q5" s="10" t="str">
        <f t="shared" si="1"/>
        <v>46.1174981, 19.5601164</v>
      </c>
      <c r="R5" s="6"/>
      <c r="S5" s="10"/>
      <c r="T5" s="6" t="s">
        <v>65</v>
      </c>
      <c r="U5" s="6" t="s">
        <v>66</v>
      </c>
      <c r="V5" s="18" t="s">
        <v>67</v>
      </c>
      <c r="W5" s="13"/>
      <c r="X5" s="6"/>
      <c r="Y5" s="14"/>
    </row>
    <row r="6" ht="12.75" customHeight="1">
      <c r="A6" s="5"/>
      <c r="B6" s="11" t="s">
        <v>68</v>
      </c>
      <c r="C6" s="11" t="s">
        <v>69</v>
      </c>
      <c r="D6" s="5"/>
      <c r="E6" s="12">
        <v>42528.0</v>
      </c>
      <c r="F6" s="6" t="s">
        <v>43</v>
      </c>
      <c r="G6" s="13" t="s">
        <v>44</v>
      </c>
      <c r="H6" s="6">
        <v>2016.0</v>
      </c>
      <c r="I6" s="6">
        <v>0.0</v>
      </c>
      <c r="J6" s="6">
        <v>1.0</v>
      </c>
      <c r="K6" s="10">
        <f t="shared" si="2"/>
        <v>1</v>
      </c>
      <c r="L6" s="14">
        <v>1.0</v>
      </c>
      <c r="M6" s="10" t="s">
        <v>70</v>
      </c>
      <c r="N6" s="15" t="s">
        <v>71</v>
      </c>
      <c r="O6" s="6">
        <v>36.5174058</v>
      </c>
      <c r="P6" s="16">
        <v>-6.4323074</v>
      </c>
      <c r="Q6" s="10" t="str">
        <f t="shared" si="1"/>
        <v>36.5174058, -6.4323074</v>
      </c>
      <c r="R6" s="6"/>
      <c r="S6" s="10"/>
      <c r="T6" s="6" t="s">
        <v>72</v>
      </c>
      <c r="U6" s="6" t="s">
        <v>73</v>
      </c>
      <c r="V6" s="6"/>
      <c r="W6" s="13"/>
      <c r="X6" s="6"/>
      <c r="Y6" s="14"/>
    </row>
    <row r="7" ht="12.75" customHeight="1">
      <c r="A7" s="5"/>
      <c r="B7" s="11" t="s">
        <v>74</v>
      </c>
      <c r="C7" s="11" t="s">
        <v>75</v>
      </c>
      <c r="D7" s="5"/>
      <c r="E7" s="12">
        <v>42528.0</v>
      </c>
      <c r="F7" s="6" t="s">
        <v>43</v>
      </c>
      <c r="G7" s="13" t="s">
        <v>44</v>
      </c>
      <c r="H7" s="6">
        <v>2016.0</v>
      </c>
      <c r="I7" s="6">
        <v>1.0</v>
      </c>
      <c r="J7" s="6">
        <v>0.0</v>
      </c>
      <c r="K7" s="10">
        <f t="shared" si="2"/>
        <v>1</v>
      </c>
      <c r="L7" s="14">
        <v>1.0</v>
      </c>
      <c r="M7" s="10" t="s">
        <v>76</v>
      </c>
      <c r="N7" s="15" t="s">
        <v>77</v>
      </c>
      <c r="O7" s="6">
        <v>50.9010024</v>
      </c>
      <c r="P7" s="16">
        <v>4.4833857</v>
      </c>
      <c r="Q7" s="10" t="str">
        <f t="shared" si="1"/>
        <v>50.9010024, 4.4833857</v>
      </c>
      <c r="R7" s="6"/>
      <c r="S7" s="10"/>
      <c r="T7" s="6"/>
      <c r="U7" s="6" t="s">
        <v>78</v>
      </c>
      <c r="V7" s="18" t="s">
        <v>79</v>
      </c>
      <c r="W7" s="13"/>
      <c r="X7" s="6"/>
      <c r="Y7" s="14"/>
    </row>
    <row r="8" ht="12.75" customHeight="1">
      <c r="A8" s="5"/>
      <c r="B8" s="11" t="s">
        <v>80</v>
      </c>
      <c r="C8" s="11" t="s">
        <v>75</v>
      </c>
      <c r="D8" s="5"/>
      <c r="E8" s="12">
        <v>42530.0</v>
      </c>
      <c r="F8" s="6" t="s">
        <v>43</v>
      </c>
      <c r="G8" s="13" t="s">
        <v>44</v>
      </c>
      <c r="H8" s="6">
        <v>2016.0</v>
      </c>
      <c r="I8" s="6">
        <v>1.0</v>
      </c>
      <c r="J8" s="6">
        <v>0.0</v>
      </c>
      <c r="K8" s="10">
        <f t="shared" si="2"/>
        <v>1</v>
      </c>
      <c r="L8" s="14">
        <v>1.0</v>
      </c>
      <c r="M8" s="10" t="s">
        <v>81</v>
      </c>
      <c r="N8" s="15" t="s">
        <v>82</v>
      </c>
      <c r="O8" s="6">
        <v>35.28</v>
      </c>
      <c r="P8" s="6">
        <v>-2.93</v>
      </c>
      <c r="Q8" s="10" t="str">
        <f t="shared" si="1"/>
        <v>35.28, -2.93</v>
      </c>
      <c r="R8" s="6"/>
      <c r="S8" s="10"/>
      <c r="T8" s="6" t="s">
        <v>58</v>
      </c>
      <c r="U8" s="6" t="s">
        <v>83</v>
      </c>
      <c r="V8" s="18" t="s">
        <v>84</v>
      </c>
      <c r="W8" s="13"/>
      <c r="X8" s="6"/>
      <c r="Y8" s="14"/>
    </row>
    <row r="9" ht="12.75" customHeight="1">
      <c r="A9" s="5"/>
      <c r="B9" s="11" t="s">
        <v>49</v>
      </c>
      <c r="C9" s="11" t="s">
        <v>42</v>
      </c>
      <c r="D9" s="5"/>
      <c r="E9" s="12">
        <v>42522.0</v>
      </c>
      <c r="F9" s="6" t="s">
        <v>43</v>
      </c>
      <c r="G9" s="13" t="s">
        <v>44</v>
      </c>
      <c r="H9" s="6">
        <v>2016.0</v>
      </c>
      <c r="I9" s="6">
        <v>1.0</v>
      </c>
      <c r="J9" s="6">
        <v>0.0</v>
      </c>
      <c r="K9" s="10">
        <f t="shared" si="2"/>
        <v>1</v>
      </c>
      <c r="L9" s="14">
        <v>1.0</v>
      </c>
      <c r="M9" s="10" t="s">
        <v>85</v>
      </c>
      <c r="N9" s="15" t="s">
        <v>86</v>
      </c>
      <c r="O9" s="16">
        <v>46.1675227</v>
      </c>
      <c r="P9" s="16" t="s">
        <v>87</v>
      </c>
      <c r="Q9" s="10" t="str">
        <f t="shared" si="1"/>
        <v>46.1675227, 20.0005179,14</v>
      </c>
      <c r="R9" s="6"/>
      <c r="S9" s="10"/>
      <c r="T9" s="6" t="s">
        <v>65</v>
      </c>
      <c r="U9" s="6" t="s">
        <v>88</v>
      </c>
      <c r="V9" s="17" t="s">
        <v>89</v>
      </c>
      <c r="W9" s="6"/>
      <c r="X9" s="10"/>
      <c r="Y9" s="14"/>
    </row>
    <row r="10" ht="12.75" customHeight="1">
      <c r="A10" s="5"/>
      <c r="B10" s="11" t="s">
        <v>49</v>
      </c>
      <c r="C10" s="11" t="s">
        <v>50</v>
      </c>
      <c r="D10" s="5"/>
      <c r="E10" s="12">
        <v>42524.0</v>
      </c>
      <c r="F10" s="6" t="s">
        <v>43</v>
      </c>
      <c r="G10" s="13" t="s">
        <v>44</v>
      </c>
      <c r="H10" s="6">
        <v>2016.0</v>
      </c>
      <c r="I10" s="6">
        <v>10.0</v>
      </c>
      <c r="J10" s="6">
        <v>329.0</v>
      </c>
      <c r="K10" s="10">
        <f t="shared" si="2"/>
        <v>339</v>
      </c>
      <c r="L10" s="14">
        <v>1.0</v>
      </c>
      <c r="M10" s="10" t="s">
        <v>90</v>
      </c>
      <c r="N10" s="15" t="s">
        <v>91</v>
      </c>
      <c r="O10" s="16">
        <v>32.6853649</v>
      </c>
      <c r="P10" s="16">
        <v>25.9012421</v>
      </c>
      <c r="Q10" s="10" t="str">
        <f t="shared" si="1"/>
        <v>32.6853649, 25.9012421</v>
      </c>
      <c r="R10" s="6"/>
      <c r="S10" s="10"/>
      <c r="T10" s="6" t="s">
        <v>58</v>
      </c>
      <c r="U10" s="6" t="s">
        <v>92</v>
      </c>
      <c r="V10" s="17" t="s">
        <v>93</v>
      </c>
      <c r="W10" s="6"/>
      <c r="X10" s="10"/>
      <c r="Y10" s="14"/>
    </row>
    <row r="11" ht="12.75" customHeight="1">
      <c r="A11" s="5"/>
      <c r="B11" s="11" t="s">
        <v>49</v>
      </c>
      <c r="C11" s="11" t="s">
        <v>50</v>
      </c>
      <c r="D11" s="5"/>
      <c r="E11" s="12">
        <v>42523.0</v>
      </c>
      <c r="F11" s="6" t="s">
        <v>43</v>
      </c>
      <c r="G11" s="13" t="s">
        <v>44</v>
      </c>
      <c r="H11" s="6">
        <v>2016.0</v>
      </c>
      <c r="I11" s="6">
        <v>133.0</v>
      </c>
      <c r="J11" s="6">
        <v>0.0</v>
      </c>
      <c r="K11" s="10">
        <f t="shared" si="2"/>
        <v>133</v>
      </c>
      <c r="L11" s="14">
        <v>1.0</v>
      </c>
      <c r="M11" s="10" t="s">
        <v>94</v>
      </c>
      <c r="N11" s="15" t="s">
        <v>95</v>
      </c>
      <c r="O11" s="16">
        <v>32.8708471</v>
      </c>
      <c r="P11" s="16">
        <v>12.0631696</v>
      </c>
      <c r="Q11" s="10" t="str">
        <f t="shared" si="1"/>
        <v>32.8708471, 12.0631696</v>
      </c>
      <c r="R11" s="6"/>
      <c r="S11" s="10"/>
      <c r="T11" s="6" t="s">
        <v>58</v>
      </c>
      <c r="U11" s="6" t="s">
        <v>96</v>
      </c>
      <c r="V11" s="17" t="s">
        <v>97</v>
      </c>
      <c r="W11" s="6"/>
      <c r="X11" s="10"/>
      <c r="Y11" s="14"/>
    </row>
    <row r="12" ht="12.75" customHeight="1">
      <c r="A12" s="5"/>
      <c r="B12" s="11" t="s">
        <v>98</v>
      </c>
      <c r="C12" s="11" t="s">
        <v>62</v>
      </c>
      <c r="D12" s="5"/>
      <c r="E12" s="12">
        <v>42520.0</v>
      </c>
      <c r="F12" s="6" t="s">
        <v>43</v>
      </c>
      <c r="G12" s="13" t="s">
        <v>99</v>
      </c>
      <c r="H12" s="6">
        <v>2016.0</v>
      </c>
      <c r="I12" s="6">
        <v>1.0</v>
      </c>
      <c r="J12" s="6">
        <v>0.0</v>
      </c>
      <c r="K12" s="10">
        <f t="shared" si="2"/>
        <v>1</v>
      </c>
      <c r="L12" s="14">
        <v>1.0</v>
      </c>
      <c r="M12" s="10" t="s">
        <v>100</v>
      </c>
      <c r="N12" s="15" t="s">
        <v>101</v>
      </c>
      <c r="O12" s="16">
        <v>59.2549613</v>
      </c>
      <c r="P12" s="16">
        <v>18.0629447</v>
      </c>
      <c r="Q12" s="10" t="str">
        <f t="shared" si="1"/>
        <v>59.2549613, 18.0629447</v>
      </c>
      <c r="R12" s="6"/>
      <c r="S12" s="10"/>
      <c r="T12" s="6"/>
      <c r="U12" s="6" t="s">
        <v>102</v>
      </c>
      <c r="V12" s="18" t="s">
        <v>103</v>
      </c>
      <c r="W12" s="6"/>
      <c r="X12" s="10"/>
      <c r="Y12" s="14"/>
    </row>
    <row r="13" ht="12.75" customHeight="1">
      <c r="A13" s="5"/>
      <c r="B13" s="11" t="s">
        <v>49</v>
      </c>
      <c r="C13" s="11" t="s">
        <v>50</v>
      </c>
      <c r="D13" s="5"/>
      <c r="E13" s="12">
        <v>42522.0</v>
      </c>
      <c r="F13" s="6" t="s">
        <v>43</v>
      </c>
      <c r="G13" s="13" t="s">
        <v>44</v>
      </c>
      <c r="H13" s="6">
        <v>2016.0</v>
      </c>
      <c r="I13" s="6">
        <v>2.0</v>
      </c>
      <c r="J13" s="6">
        <v>0.0</v>
      </c>
      <c r="K13" s="10">
        <f t="shared" si="2"/>
        <v>2</v>
      </c>
      <c r="L13" s="14">
        <v>1.0</v>
      </c>
      <c r="M13" s="10" t="s">
        <v>104</v>
      </c>
      <c r="N13" s="15" t="s">
        <v>105</v>
      </c>
      <c r="O13" s="16">
        <v>40.2712228</v>
      </c>
      <c r="P13" s="16">
        <v>22.4930176</v>
      </c>
      <c r="Q13" s="10" t="str">
        <f t="shared" si="1"/>
        <v>40.2712228, 22.4930176</v>
      </c>
      <c r="R13" s="6"/>
      <c r="S13" s="10"/>
      <c r="T13" s="6" t="s">
        <v>53</v>
      </c>
      <c r="U13" s="6" t="s">
        <v>106</v>
      </c>
      <c r="V13" s="18" t="s">
        <v>107</v>
      </c>
      <c r="W13" s="6"/>
      <c r="X13" s="10"/>
      <c r="Y13" s="14"/>
    </row>
    <row r="14" ht="12.75" customHeight="1">
      <c r="A14" s="5"/>
      <c r="B14" s="11" t="s">
        <v>68</v>
      </c>
      <c r="C14" s="11" t="s">
        <v>69</v>
      </c>
      <c r="D14" s="5"/>
      <c r="E14" s="12">
        <v>42519.0</v>
      </c>
      <c r="F14" s="6" t="s">
        <v>43</v>
      </c>
      <c r="G14" s="13" t="s">
        <v>99</v>
      </c>
      <c r="H14" s="6">
        <v>2016.0</v>
      </c>
      <c r="I14" s="6">
        <v>1.0</v>
      </c>
      <c r="J14" s="6">
        <v>0.0</v>
      </c>
      <c r="K14" s="10">
        <f t="shared" si="2"/>
        <v>1</v>
      </c>
      <c r="L14" s="14">
        <v>1.0</v>
      </c>
      <c r="M14" s="10" t="s">
        <v>108</v>
      </c>
      <c r="N14" s="15" t="s">
        <v>109</v>
      </c>
      <c r="O14" s="16">
        <v>38.9633049</v>
      </c>
      <c r="P14" s="16">
        <v>20.7539809</v>
      </c>
      <c r="Q14" s="10" t="str">
        <f t="shared" si="1"/>
        <v>38.9633049, 20.7539809</v>
      </c>
      <c r="R14" s="6"/>
      <c r="S14" s="10"/>
      <c r="T14" s="6" t="s">
        <v>53</v>
      </c>
      <c r="U14" s="6" t="s">
        <v>54</v>
      </c>
      <c r="V14" s="18" t="s">
        <v>110</v>
      </c>
      <c r="W14" s="6"/>
      <c r="X14" s="10"/>
      <c r="Y14" s="14"/>
    </row>
    <row r="15" ht="12.75" customHeight="1">
      <c r="A15" s="5"/>
      <c r="B15" s="11" t="s">
        <v>68</v>
      </c>
      <c r="C15" s="11" t="s">
        <v>69</v>
      </c>
      <c r="D15" s="5"/>
      <c r="E15" s="12">
        <v>42520.0</v>
      </c>
      <c r="F15" s="6" t="s">
        <v>43</v>
      </c>
      <c r="G15" s="13" t="s">
        <v>99</v>
      </c>
      <c r="H15" s="6">
        <v>2016.0</v>
      </c>
      <c r="I15" s="6">
        <v>1.0</v>
      </c>
      <c r="J15" s="6">
        <v>0.0</v>
      </c>
      <c r="K15" s="10">
        <f t="shared" si="2"/>
        <v>1</v>
      </c>
      <c r="L15" s="14">
        <v>1.0</v>
      </c>
      <c r="M15" s="10" t="s">
        <v>111</v>
      </c>
      <c r="N15" s="15" t="s">
        <v>112</v>
      </c>
      <c r="O15" s="16">
        <v>33.4625958</v>
      </c>
      <c r="P15" s="16">
        <v>13.1328688</v>
      </c>
      <c r="Q15" s="10" t="str">
        <f t="shared" si="1"/>
        <v>33.4625958, 13.1328688</v>
      </c>
      <c r="R15" s="6"/>
      <c r="S15" s="10"/>
      <c r="T15" s="6" t="s">
        <v>58</v>
      </c>
      <c r="U15" s="6" t="s">
        <v>113</v>
      </c>
      <c r="V15" s="17" t="s">
        <v>114</v>
      </c>
    </row>
    <row r="16" ht="12.75" customHeight="1">
      <c r="A16" s="5"/>
      <c r="B16" s="11" t="s">
        <v>49</v>
      </c>
      <c r="C16" s="11" t="s">
        <v>50</v>
      </c>
      <c r="D16" s="5"/>
      <c r="E16" s="12">
        <v>42518.0</v>
      </c>
      <c r="F16" s="6" t="s">
        <v>43</v>
      </c>
      <c r="G16" s="13" t="s">
        <v>99</v>
      </c>
      <c r="H16" s="6">
        <v>2016.0</v>
      </c>
      <c r="I16" s="6">
        <v>1.0</v>
      </c>
      <c r="J16" s="6">
        <v>0.0</v>
      </c>
      <c r="K16" s="10">
        <f t="shared" si="2"/>
        <v>1</v>
      </c>
      <c r="L16" s="14">
        <v>1.0</v>
      </c>
      <c r="M16" s="10" t="s">
        <v>115</v>
      </c>
      <c r="N16" s="15" t="s">
        <v>116</v>
      </c>
      <c r="O16" s="16">
        <v>37.2912498</v>
      </c>
      <c r="P16" s="16">
        <v>13.2358149</v>
      </c>
      <c r="Q16" s="10" t="str">
        <f t="shared" si="1"/>
        <v>37.2912498, 13.2358149</v>
      </c>
      <c r="R16" s="6"/>
      <c r="S16" s="10"/>
      <c r="T16" s="6" t="s">
        <v>58</v>
      </c>
      <c r="U16" s="6" t="s">
        <v>117</v>
      </c>
      <c r="V16" s="16"/>
    </row>
    <row r="17" ht="12.75" customHeight="1">
      <c r="A17" s="5"/>
      <c r="B17" s="11" t="s">
        <v>49</v>
      </c>
      <c r="C17" s="11" t="s">
        <v>50</v>
      </c>
      <c r="D17" s="5"/>
      <c r="E17" s="12">
        <v>42516.0</v>
      </c>
      <c r="F17" s="6" t="s">
        <v>43</v>
      </c>
      <c r="G17" s="13" t="s">
        <v>99</v>
      </c>
      <c r="H17" s="6">
        <v>2016.0</v>
      </c>
      <c r="I17" s="6">
        <v>0.0</v>
      </c>
      <c r="J17" s="6">
        <v>9.0</v>
      </c>
      <c r="K17" s="10">
        <f t="shared" si="2"/>
        <v>9</v>
      </c>
      <c r="L17" s="14">
        <v>1.0</v>
      </c>
      <c r="M17" s="10" t="s">
        <v>118</v>
      </c>
      <c r="N17" s="15" t="s">
        <v>119</v>
      </c>
      <c r="O17" s="16">
        <v>35.3626838</v>
      </c>
      <c r="P17" s="16">
        <v>15.9465353</v>
      </c>
      <c r="Q17" s="10" t="str">
        <f t="shared" si="1"/>
        <v>35.3626838, 15.9465353</v>
      </c>
      <c r="R17" s="6"/>
      <c r="S17" s="10"/>
      <c r="T17" s="6" t="s">
        <v>58</v>
      </c>
      <c r="U17" s="6" t="s">
        <v>117</v>
      </c>
      <c r="V17" s="16"/>
    </row>
    <row r="18" ht="12.75" customHeight="1">
      <c r="A18" s="5"/>
      <c r="B18" s="11" t="s">
        <v>120</v>
      </c>
      <c r="C18" s="11" t="s">
        <v>75</v>
      </c>
      <c r="D18" s="5"/>
      <c r="E18" s="12">
        <v>42515.0</v>
      </c>
      <c r="F18" s="6" t="s">
        <v>43</v>
      </c>
      <c r="G18" s="13" t="s">
        <v>99</v>
      </c>
      <c r="H18" s="6">
        <v>2016.0</v>
      </c>
      <c r="I18" s="6">
        <v>4.0</v>
      </c>
      <c r="J18" s="6">
        <v>0.0</v>
      </c>
      <c r="K18" s="10">
        <f t="shared" si="2"/>
        <v>4</v>
      </c>
      <c r="L18" s="14">
        <v>1.0</v>
      </c>
      <c r="M18" s="10" t="s">
        <v>121</v>
      </c>
      <c r="N18" s="15" t="s">
        <v>122</v>
      </c>
      <c r="O18" s="16">
        <v>35.4811424</v>
      </c>
      <c r="P18" s="16">
        <v>12.5794085</v>
      </c>
      <c r="Q18" s="10" t="str">
        <f t="shared" si="1"/>
        <v>35.4811424, 12.5794085</v>
      </c>
      <c r="R18" s="6"/>
      <c r="S18" s="10"/>
      <c r="T18" s="6" t="s">
        <v>58</v>
      </c>
      <c r="U18" s="6" t="s">
        <v>88</v>
      </c>
      <c r="V18" s="16"/>
    </row>
    <row r="19" ht="12.75" customHeight="1">
      <c r="A19" s="5"/>
      <c r="B19" s="11" t="s">
        <v>123</v>
      </c>
      <c r="C19" s="11" t="s">
        <v>124</v>
      </c>
      <c r="D19" s="5"/>
      <c r="E19" s="12">
        <v>42518.0</v>
      </c>
      <c r="F19" s="6" t="s">
        <v>43</v>
      </c>
      <c r="G19" s="13" t="s">
        <v>99</v>
      </c>
      <c r="H19" s="6">
        <v>2016.0</v>
      </c>
      <c r="I19" s="6">
        <v>1.0</v>
      </c>
      <c r="J19" s="6">
        <v>0.0</v>
      </c>
      <c r="K19" s="10">
        <f t="shared" si="2"/>
        <v>1</v>
      </c>
      <c r="L19" s="14">
        <v>1.0</v>
      </c>
      <c r="M19" s="10" t="s">
        <v>125</v>
      </c>
      <c r="N19" s="15" t="s">
        <v>126</v>
      </c>
      <c r="O19" s="16">
        <v>50.95129</v>
      </c>
      <c r="P19" s="16">
        <v>1.858686</v>
      </c>
      <c r="Q19" s="10" t="str">
        <f t="shared" si="1"/>
        <v>50.95129, 1.858686</v>
      </c>
      <c r="R19" s="6"/>
      <c r="S19" s="10"/>
      <c r="T19" s="6"/>
      <c r="U19" s="6" t="s">
        <v>127</v>
      </c>
      <c r="V19" s="17" t="s">
        <v>128</v>
      </c>
    </row>
    <row r="20" ht="12.75" customHeight="1">
      <c r="A20" s="5"/>
      <c r="B20" s="11" t="s">
        <v>129</v>
      </c>
      <c r="C20" s="11" t="s">
        <v>124</v>
      </c>
      <c r="D20" s="5"/>
      <c r="E20" s="12">
        <v>42515.0</v>
      </c>
      <c r="F20" s="6" t="s">
        <v>43</v>
      </c>
      <c r="G20" s="13" t="s">
        <v>99</v>
      </c>
      <c r="H20" s="6">
        <v>2016.0</v>
      </c>
      <c r="I20" s="6">
        <v>1.0</v>
      </c>
      <c r="J20" s="6">
        <v>0.0</v>
      </c>
      <c r="K20" s="10">
        <f t="shared" si="2"/>
        <v>1</v>
      </c>
      <c r="L20" s="14">
        <v>1.0</v>
      </c>
      <c r="M20" s="10" t="s">
        <v>130</v>
      </c>
      <c r="N20" s="15" t="s">
        <v>131</v>
      </c>
      <c r="O20" s="16">
        <v>26.33</v>
      </c>
      <c r="P20" s="16">
        <v>17.22</v>
      </c>
      <c r="Q20" s="10" t="str">
        <f t="shared" si="1"/>
        <v>26.33, 17.22</v>
      </c>
      <c r="R20" s="6"/>
      <c r="S20" s="10"/>
      <c r="T20" s="6"/>
      <c r="U20" s="6" t="s">
        <v>132</v>
      </c>
      <c r="V20" s="17" t="s">
        <v>133</v>
      </c>
    </row>
    <row r="21" ht="12.75" customHeight="1">
      <c r="A21" s="5"/>
      <c r="B21" s="11" t="s">
        <v>49</v>
      </c>
      <c r="C21" s="11" t="s">
        <v>50</v>
      </c>
      <c r="D21" s="5"/>
      <c r="E21" s="12">
        <v>42517.0</v>
      </c>
      <c r="F21" s="6" t="s">
        <v>43</v>
      </c>
      <c r="G21" s="13" t="s">
        <v>99</v>
      </c>
      <c r="H21" s="6">
        <v>2016.0</v>
      </c>
      <c r="I21" s="6">
        <v>45.0</v>
      </c>
      <c r="J21" s="6">
        <v>215.0</v>
      </c>
      <c r="K21" s="10">
        <f t="shared" si="2"/>
        <v>260</v>
      </c>
      <c r="L21" s="14">
        <v>1.0</v>
      </c>
      <c r="M21" s="10" t="s">
        <v>134</v>
      </c>
      <c r="N21" s="15" t="s">
        <v>135</v>
      </c>
      <c r="O21" s="16">
        <v>33.5259117</v>
      </c>
      <c r="P21" s="16">
        <v>8.0491191</v>
      </c>
      <c r="Q21" s="10" t="str">
        <f t="shared" si="1"/>
        <v>33.5259117, 8.0491191</v>
      </c>
      <c r="R21" s="6"/>
      <c r="S21" s="10"/>
      <c r="T21" s="6" t="s">
        <v>58</v>
      </c>
      <c r="U21" s="6" t="s">
        <v>136</v>
      </c>
      <c r="V21" s="17" t="s">
        <v>137</v>
      </c>
    </row>
    <row r="22" ht="12.75" customHeight="1">
      <c r="A22" s="5"/>
      <c r="B22" s="11" t="s">
        <v>49</v>
      </c>
      <c r="C22" s="11" t="s">
        <v>124</v>
      </c>
      <c r="D22" s="5"/>
      <c r="E22" s="12">
        <v>42516.0</v>
      </c>
      <c r="F22" s="6" t="s">
        <v>43</v>
      </c>
      <c r="G22" s="13" t="s">
        <v>99</v>
      </c>
      <c r="H22" s="6">
        <v>2016.0</v>
      </c>
      <c r="I22" s="6">
        <v>4.0</v>
      </c>
      <c r="J22" s="6">
        <v>0.0</v>
      </c>
      <c r="K22" s="10">
        <f t="shared" si="2"/>
        <v>4</v>
      </c>
      <c r="L22" s="14">
        <v>1.0</v>
      </c>
      <c r="M22" s="10" t="s">
        <v>138</v>
      </c>
      <c r="N22" s="15" t="s">
        <v>139</v>
      </c>
      <c r="O22" s="16">
        <v>33.2286864</v>
      </c>
      <c r="P22" s="16">
        <v>12.033724</v>
      </c>
      <c r="Q22" s="10" t="str">
        <f t="shared" si="1"/>
        <v>33.2286864, 12.033724</v>
      </c>
      <c r="R22" s="6"/>
      <c r="S22" s="10"/>
      <c r="T22" s="6" t="s">
        <v>58</v>
      </c>
      <c r="U22" s="6" t="s">
        <v>140</v>
      </c>
      <c r="V22" s="17" t="s">
        <v>141</v>
      </c>
    </row>
    <row r="23" ht="12.75" customHeight="1">
      <c r="A23" s="5"/>
      <c r="B23" s="11" t="s">
        <v>49</v>
      </c>
      <c r="C23" s="11" t="s">
        <v>50</v>
      </c>
      <c r="D23" s="5"/>
      <c r="E23" s="12">
        <v>42516.0</v>
      </c>
      <c r="F23" s="6" t="s">
        <v>43</v>
      </c>
      <c r="G23" s="13" t="s">
        <v>99</v>
      </c>
      <c r="H23" s="6">
        <v>2016.0</v>
      </c>
      <c r="I23" s="6">
        <v>0.0</v>
      </c>
      <c r="J23" s="6">
        <v>47.0</v>
      </c>
      <c r="K23" s="10">
        <f t="shared" si="2"/>
        <v>47</v>
      </c>
      <c r="L23" s="14">
        <v>1.0</v>
      </c>
      <c r="M23" s="10" t="s">
        <v>142</v>
      </c>
      <c r="N23" s="15" t="s">
        <v>143</v>
      </c>
      <c r="O23" s="16">
        <v>33.1328706</v>
      </c>
      <c r="P23" s="16">
        <v>12.2549685</v>
      </c>
      <c r="Q23" s="10" t="str">
        <f t="shared" si="1"/>
        <v>33.1328706, 12.2549685</v>
      </c>
      <c r="R23" s="6"/>
      <c r="S23" s="10"/>
      <c r="T23" s="6" t="s">
        <v>58</v>
      </c>
      <c r="U23" s="6" t="s">
        <v>117</v>
      </c>
      <c r="V23" s="16"/>
    </row>
    <row r="24" ht="12.75" customHeight="1">
      <c r="A24" s="5"/>
      <c r="B24" s="11" t="s">
        <v>49</v>
      </c>
      <c r="C24" s="11" t="s">
        <v>50</v>
      </c>
      <c r="D24" s="5"/>
      <c r="E24" s="12">
        <v>42516.0</v>
      </c>
      <c r="F24" s="6" t="s">
        <v>43</v>
      </c>
      <c r="G24" s="13" t="s">
        <v>99</v>
      </c>
      <c r="H24" s="6">
        <v>2016.0</v>
      </c>
      <c r="I24" s="6">
        <v>0.0</v>
      </c>
      <c r="J24" s="6">
        <v>500.0</v>
      </c>
      <c r="K24" s="10">
        <f t="shared" si="2"/>
        <v>500</v>
      </c>
      <c r="L24" s="14">
        <v>1.0</v>
      </c>
      <c r="M24" s="10" t="s">
        <v>144</v>
      </c>
      <c r="N24" s="15" t="s">
        <v>145</v>
      </c>
      <c r="O24" s="16">
        <v>33.3572511</v>
      </c>
      <c r="P24" s="16">
        <v>11.3470785</v>
      </c>
      <c r="Q24" s="10" t="str">
        <f t="shared" si="1"/>
        <v>33.3572511, 11.3470785</v>
      </c>
      <c r="R24" s="6"/>
      <c r="S24" s="10"/>
      <c r="T24" s="6" t="s">
        <v>58</v>
      </c>
      <c r="U24" s="6" t="s">
        <v>88</v>
      </c>
      <c r="V24" s="17" t="s">
        <v>146</v>
      </c>
    </row>
    <row r="25" ht="12.75" customHeight="1">
      <c r="A25" s="5"/>
      <c r="B25" s="11" t="s">
        <v>49</v>
      </c>
      <c r="C25" s="11" t="s">
        <v>50</v>
      </c>
      <c r="D25" s="5"/>
      <c r="E25" s="12">
        <v>42515.0</v>
      </c>
      <c r="F25" s="6" t="s">
        <v>43</v>
      </c>
      <c r="G25" s="13" t="s">
        <v>99</v>
      </c>
      <c r="H25" s="6">
        <v>2016.0</v>
      </c>
      <c r="I25" s="6">
        <v>5.0</v>
      </c>
      <c r="J25" s="6">
        <v>250.0</v>
      </c>
      <c r="K25" s="10">
        <f t="shared" si="2"/>
        <v>255</v>
      </c>
      <c r="L25" s="14">
        <v>1.0</v>
      </c>
      <c r="M25" s="10" t="s">
        <v>147</v>
      </c>
      <c r="N25" s="15" t="s">
        <v>148</v>
      </c>
      <c r="O25" s="16">
        <v>34.0593093</v>
      </c>
      <c r="P25" s="16">
        <v>12.3110937</v>
      </c>
      <c r="Q25" s="10" t="str">
        <f t="shared" si="1"/>
        <v>34.0593093, 12.3110937</v>
      </c>
      <c r="R25" s="6"/>
      <c r="S25" s="10"/>
      <c r="T25" s="6" t="s">
        <v>58</v>
      </c>
      <c r="U25" s="6" t="s">
        <v>132</v>
      </c>
      <c r="V25" s="17" t="s">
        <v>133</v>
      </c>
    </row>
    <row r="26" ht="12.75" customHeight="1">
      <c r="A26" s="5"/>
      <c r="B26" s="11" t="s">
        <v>49</v>
      </c>
      <c r="C26" s="11" t="s">
        <v>50</v>
      </c>
      <c r="D26" s="5"/>
      <c r="E26" s="12">
        <v>42512.0</v>
      </c>
      <c r="F26" s="6" t="s">
        <v>43</v>
      </c>
      <c r="G26" s="13" t="s">
        <v>99</v>
      </c>
      <c r="H26" s="6">
        <v>2016.0</v>
      </c>
      <c r="I26" s="6">
        <v>0.0</v>
      </c>
      <c r="J26" s="6">
        <v>10.0</v>
      </c>
      <c r="K26" s="10">
        <f t="shared" si="2"/>
        <v>10</v>
      </c>
      <c r="L26" s="14">
        <v>1.0</v>
      </c>
      <c r="M26" s="10" t="s">
        <v>149</v>
      </c>
      <c r="N26" s="15" t="s">
        <v>150</v>
      </c>
      <c r="O26" s="16">
        <v>37.4798643</v>
      </c>
      <c r="P26" s="16">
        <v>2.4963183</v>
      </c>
      <c r="Q26" s="10" t="str">
        <f t="shared" si="1"/>
        <v>37.4798643, 2.4963183</v>
      </c>
      <c r="R26" s="6"/>
      <c r="S26" s="10"/>
      <c r="T26" s="6" t="s">
        <v>58</v>
      </c>
      <c r="U26" s="6" t="s">
        <v>151</v>
      </c>
      <c r="V26" s="17" t="s">
        <v>152</v>
      </c>
    </row>
    <row r="27" ht="12.75" customHeight="1">
      <c r="A27" s="5"/>
      <c r="B27" s="11" t="s">
        <v>153</v>
      </c>
      <c r="C27" s="11" t="s">
        <v>42</v>
      </c>
      <c r="D27" s="5"/>
      <c r="E27" s="12">
        <v>42509.0</v>
      </c>
      <c r="F27" s="6" t="s">
        <v>43</v>
      </c>
      <c r="G27" s="13" t="s">
        <v>99</v>
      </c>
      <c r="H27" s="6">
        <v>2016.0</v>
      </c>
      <c r="I27" s="6">
        <v>1.0</v>
      </c>
      <c r="J27" s="6">
        <v>0.0</v>
      </c>
      <c r="K27" s="10">
        <f t="shared" si="2"/>
        <v>1</v>
      </c>
      <c r="L27" s="19">
        <v>1.0</v>
      </c>
      <c r="M27" s="10" t="s">
        <v>154</v>
      </c>
      <c r="N27" s="15" t="s">
        <v>155</v>
      </c>
      <c r="O27" s="16">
        <v>38.3760672</v>
      </c>
      <c r="P27" s="16">
        <v>25.7167902</v>
      </c>
      <c r="Q27" s="10" t="str">
        <f t="shared" si="1"/>
        <v>38.3760672, 25.7167902</v>
      </c>
      <c r="R27" s="6"/>
      <c r="S27" s="10"/>
      <c r="T27" s="6" t="s">
        <v>53</v>
      </c>
      <c r="U27" s="6" t="s">
        <v>156</v>
      </c>
      <c r="V27" s="17" t="s">
        <v>157</v>
      </c>
    </row>
    <row r="28" ht="12.75" customHeight="1">
      <c r="A28" s="5"/>
      <c r="B28" s="11" t="s">
        <v>68</v>
      </c>
      <c r="C28" s="11" t="s">
        <v>69</v>
      </c>
      <c r="D28" s="5"/>
      <c r="E28" s="12">
        <v>42506.0</v>
      </c>
      <c r="F28" s="6" t="s">
        <v>43</v>
      </c>
      <c r="G28" s="13" t="s">
        <v>99</v>
      </c>
      <c r="H28" s="6">
        <v>2016.0</v>
      </c>
      <c r="I28" s="6">
        <v>2.0</v>
      </c>
      <c r="J28" s="6">
        <v>0.0</v>
      </c>
      <c r="K28" s="10">
        <f t="shared" si="2"/>
        <v>2</v>
      </c>
      <c r="L28" s="19">
        <v>0.0</v>
      </c>
      <c r="M28" s="10" t="s">
        <v>158</v>
      </c>
      <c r="N28" s="15" t="s">
        <v>159</v>
      </c>
      <c r="O28" s="6">
        <v>31.540432</v>
      </c>
      <c r="P28" s="16">
        <v>30.861969</v>
      </c>
      <c r="Q28" s="10" t="str">
        <f t="shared" si="1"/>
        <v>31.540432, 30.861969</v>
      </c>
      <c r="R28" s="6"/>
      <c r="S28" s="10"/>
      <c r="T28" s="6"/>
      <c r="U28" s="6" t="s">
        <v>160</v>
      </c>
      <c r="V28" s="17" t="s">
        <v>161</v>
      </c>
    </row>
    <row r="29" ht="12.75" customHeight="1">
      <c r="A29" s="5"/>
      <c r="B29" s="11" t="s">
        <v>49</v>
      </c>
      <c r="C29" s="11" t="s">
        <v>50</v>
      </c>
      <c r="D29" s="5"/>
      <c r="E29" s="12">
        <v>42502.0</v>
      </c>
      <c r="F29" s="6" t="s">
        <v>43</v>
      </c>
      <c r="G29" s="13" t="s">
        <v>99</v>
      </c>
      <c r="H29" s="6">
        <v>2016.0</v>
      </c>
      <c r="I29" s="6">
        <v>1.0</v>
      </c>
      <c r="J29" s="6">
        <v>0.0</v>
      </c>
      <c r="K29" s="10">
        <f t="shared" si="2"/>
        <v>1</v>
      </c>
      <c r="L29" s="19">
        <v>1.0</v>
      </c>
      <c r="M29" s="10" t="s">
        <v>162</v>
      </c>
      <c r="N29" s="15" t="s">
        <v>163</v>
      </c>
      <c r="O29" s="6">
        <v>35.89473</v>
      </c>
      <c r="P29" s="16">
        <v>-5.32132</v>
      </c>
      <c r="Q29" s="10" t="str">
        <f t="shared" si="1"/>
        <v>35.89473, -5.32132</v>
      </c>
      <c r="R29" s="6"/>
      <c r="S29" s="10"/>
      <c r="T29" s="6" t="s">
        <v>72</v>
      </c>
      <c r="U29" s="6" t="s">
        <v>164</v>
      </c>
      <c r="V29" s="17" t="s">
        <v>165</v>
      </c>
    </row>
    <row r="30" ht="12.75" customHeight="1">
      <c r="A30" s="5"/>
      <c r="B30" s="11" t="s">
        <v>166</v>
      </c>
      <c r="C30" s="11" t="s">
        <v>124</v>
      </c>
      <c r="D30" s="5"/>
      <c r="E30" s="12">
        <v>42499.0</v>
      </c>
      <c r="F30" s="6" t="s">
        <v>43</v>
      </c>
      <c r="G30" s="13" t="s">
        <v>99</v>
      </c>
      <c r="H30" s="6">
        <v>2016.0</v>
      </c>
      <c r="I30" s="6">
        <v>4.0</v>
      </c>
      <c r="J30" s="6">
        <v>0.0</v>
      </c>
      <c r="K30" s="10">
        <f t="shared" si="2"/>
        <v>4</v>
      </c>
      <c r="L30" s="19">
        <v>0.0</v>
      </c>
      <c r="M30" s="10" t="s">
        <v>167</v>
      </c>
      <c r="N30" s="15" t="s">
        <v>168</v>
      </c>
      <c r="O30" s="6">
        <v>36.85</v>
      </c>
      <c r="P30" s="16">
        <v>36.83</v>
      </c>
      <c r="Q30" s="10" t="str">
        <f t="shared" si="1"/>
        <v>36.85, 36.83</v>
      </c>
      <c r="R30" s="6"/>
      <c r="S30" s="10"/>
      <c r="T30" s="6"/>
      <c r="U30" s="6" t="s">
        <v>169</v>
      </c>
      <c r="V30" s="17" t="s">
        <v>170</v>
      </c>
    </row>
    <row r="31" ht="12.75" customHeight="1">
      <c r="A31" s="5"/>
      <c r="B31" s="11" t="s">
        <v>129</v>
      </c>
      <c r="C31" s="11" t="s">
        <v>124</v>
      </c>
      <c r="D31" s="5"/>
      <c r="E31" s="12">
        <v>42499.0</v>
      </c>
      <c r="F31" s="6" t="s">
        <v>43</v>
      </c>
      <c r="G31" s="13" t="s">
        <v>99</v>
      </c>
      <c r="H31" s="6">
        <v>2016.0</v>
      </c>
      <c r="I31" s="6">
        <v>1.0</v>
      </c>
      <c r="J31" s="6">
        <v>0.0</v>
      </c>
      <c r="K31" s="10">
        <f t="shared" si="2"/>
        <v>1</v>
      </c>
      <c r="L31" s="19">
        <v>1.0</v>
      </c>
      <c r="M31" s="10" t="s">
        <v>171</v>
      </c>
      <c r="N31" s="15" t="s">
        <v>126</v>
      </c>
      <c r="O31" s="20">
        <v>50.95129</v>
      </c>
      <c r="P31" s="20">
        <v>1.858686</v>
      </c>
      <c r="Q31" s="10" t="str">
        <f t="shared" si="1"/>
        <v>50.95129, 1.858686</v>
      </c>
      <c r="R31" s="6"/>
      <c r="S31" s="10"/>
      <c r="T31" s="6"/>
      <c r="U31" s="6" t="s">
        <v>127</v>
      </c>
      <c r="V31" s="17" t="s">
        <v>172</v>
      </c>
    </row>
    <row r="32" ht="12.75" customHeight="1">
      <c r="A32" s="5"/>
      <c r="B32" s="11" t="s">
        <v>173</v>
      </c>
      <c r="C32" s="11" t="s">
        <v>62</v>
      </c>
      <c r="D32" s="5"/>
      <c r="E32" s="12">
        <v>42495.0</v>
      </c>
      <c r="F32" s="6" t="s">
        <v>43</v>
      </c>
      <c r="G32" s="13" t="s">
        <v>99</v>
      </c>
      <c r="H32" s="6">
        <v>2016.0</v>
      </c>
      <c r="I32" s="6">
        <v>28.0</v>
      </c>
      <c r="J32" s="6">
        <v>0.0</v>
      </c>
      <c r="K32" s="10">
        <f t="shared" si="2"/>
        <v>28</v>
      </c>
      <c r="L32" s="19">
        <v>0.0</v>
      </c>
      <c r="M32" s="10" t="s">
        <v>174</v>
      </c>
      <c r="N32" s="15" t="s">
        <v>175</v>
      </c>
      <c r="O32" s="20">
        <v>36.1914269</v>
      </c>
      <c r="P32" s="20">
        <v>36.7084276</v>
      </c>
      <c r="Q32" s="10" t="str">
        <f t="shared" si="1"/>
        <v>36.1914269, 36.7084276</v>
      </c>
      <c r="R32" s="6"/>
      <c r="S32" s="10"/>
      <c r="T32" s="6"/>
      <c r="U32" s="6" t="s">
        <v>176</v>
      </c>
      <c r="V32" s="17" t="s">
        <v>177</v>
      </c>
    </row>
    <row r="33" ht="12.75" customHeight="1">
      <c r="A33" s="5"/>
      <c r="B33" s="11" t="s">
        <v>49</v>
      </c>
      <c r="C33" s="11" t="s">
        <v>50</v>
      </c>
      <c r="D33" s="5"/>
      <c r="E33" s="12">
        <v>42489.0</v>
      </c>
      <c r="F33" s="6" t="s">
        <v>43</v>
      </c>
      <c r="G33" s="13" t="s">
        <v>178</v>
      </c>
      <c r="H33" s="6">
        <v>2016.0</v>
      </c>
      <c r="I33" s="6">
        <v>0.0</v>
      </c>
      <c r="J33" s="6">
        <v>9.0</v>
      </c>
      <c r="K33" s="10">
        <f t="shared" si="2"/>
        <v>9</v>
      </c>
      <c r="L33" s="19">
        <v>1.0</v>
      </c>
      <c r="M33" s="10" t="s">
        <v>179</v>
      </c>
      <c r="N33" s="15" t="s">
        <v>139</v>
      </c>
      <c r="O33" s="16">
        <v>35.9395293</v>
      </c>
      <c r="P33" s="16">
        <v>10.8791731</v>
      </c>
      <c r="Q33" s="10" t="str">
        <f t="shared" si="1"/>
        <v>35.9395293, 10.8791731</v>
      </c>
      <c r="R33" s="6"/>
      <c r="S33" s="10"/>
      <c r="T33" s="6" t="s">
        <v>58</v>
      </c>
      <c r="U33" s="6" t="s">
        <v>180</v>
      </c>
      <c r="V33" s="16"/>
    </row>
    <row r="34" ht="12.75" customHeight="1">
      <c r="A34" s="5"/>
      <c r="B34" s="11" t="s">
        <v>68</v>
      </c>
      <c r="C34" s="11" t="s">
        <v>69</v>
      </c>
      <c r="D34" s="5"/>
      <c r="E34" s="12">
        <v>42490.0</v>
      </c>
      <c r="F34" s="6" t="s">
        <v>43</v>
      </c>
      <c r="G34" s="13" t="s">
        <v>178</v>
      </c>
      <c r="H34" s="6">
        <v>2016.0</v>
      </c>
      <c r="I34" s="6">
        <v>1.0</v>
      </c>
      <c r="J34" s="6">
        <v>0.0</v>
      </c>
      <c r="K34" s="10">
        <f t="shared" si="2"/>
        <v>1</v>
      </c>
      <c r="L34" s="19">
        <v>1.0</v>
      </c>
      <c r="M34" s="10" t="s">
        <v>181</v>
      </c>
      <c r="N34" s="15" t="s">
        <v>182</v>
      </c>
      <c r="O34" s="20">
        <v>37.713446</v>
      </c>
      <c r="P34" s="16">
        <v>26.7753292</v>
      </c>
      <c r="Q34" s="10" t="str">
        <f t="shared" si="1"/>
        <v>37.713446, 26.7753292</v>
      </c>
      <c r="R34" s="6"/>
      <c r="S34" s="10"/>
      <c r="T34" s="6" t="s">
        <v>53</v>
      </c>
      <c r="U34" s="6" t="s">
        <v>54</v>
      </c>
      <c r="V34" s="17" t="s">
        <v>183</v>
      </c>
    </row>
    <row r="35" ht="12.75" customHeight="1">
      <c r="A35" s="5"/>
      <c r="B35" s="11" t="s">
        <v>68</v>
      </c>
      <c r="C35" s="11" t="s">
        <v>69</v>
      </c>
      <c r="D35" s="5"/>
      <c r="E35" s="12">
        <v>42489.0</v>
      </c>
      <c r="F35" s="6" t="s">
        <v>43</v>
      </c>
      <c r="G35" s="13" t="s">
        <v>178</v>
      </c>
      <c r="H35" s="6">
        <v>2016.0</v>
      </c>
      <c r="I35" s="6">
        <v>1.0</v>
      </c>
      <c r="J35" s="6">
        <v>0.0</v>
      </c>
      <c r="K35" s="10">
        <f t="shared" si="2"/>
        <v>1</v>
      </c>
      <c r="L35" s="19">
        <v>1.0</v>
      </c>
      <c r="M35" s="10" t="s">
        <v>184</v>
      </c>
      <c r="N35" s="15" t="s">
        <v>185</v>
      </c>
      <c r="O35" s="20">
        <v>37.8391619</v>
      </c>
      <c r="P35" s="20">
        <v>23.4804105</v>
      </c>
      <c r="Q35" s="10" t="str">
        <f t="shared" si="1"/>
        <v>37.8391619, 23.4804105</v>
      </c>
      <c r="R35" s="6"/>
      <c r="S35" s="10"/>
      <c r="T35" s="6" t="s">
        <v>53</v>
      </c>
      <c r="U35" s="6" t="s">
        <v>54</v>
      </c>
      <c r="V35" s="17" t="s">
        <v>186</v>
      </c>
    </row>
    <row r="36" ht="12.75" customHeight="1">
      <c r="A36" s="5"/>
      <c r="B36" s="11" t="s">
        <v>49</v>
      </c>
      <c r="C36" s="11" t="s">
        <v>50</v>
      </c>
      <c r="D36" s="5"/>
      <c r="E36" s="12">
        <v>42489.0</v>
      </c>
      <c r="F36" s="6" t="s">
        <v>43</v>
      </c>
      <c r="G36" s="13" t="s">
        <v>178</v>
      </c>
      <c r="H36" s="6">
        <v>2016.0</v>
      </c>
      <c r="I36" s="6">
        <v>23.0</v>
      </c>
      <c r="J36" s="6">
        <v>0.0</v>
      </c>
      <c r="K36" s="10">
        <f t="shared" si="2"/>
        <v>23</v>
      </c>
      <c r="L36" s="19">
        <v>1.0</v>
      </c>
      <c r="M36" s="10" t="s">
        <v>187</v>
      </c>
      <c r="N36" s="15" t="s">
        <v>188</v>
      </c>
      <c r="O36" s="16">
        <v>37.2768876</v>
      </c>
      <c r="P36" s="16">
        <v>10.8044894</v>
      </c>
      <c r="Q36" s="10" t="str">
        <f t="shared" si="1"/>
        <v>37.2768876, 10.8044894</v>
      </c>
      <c r="R36" s="6"/>
      <c r="S36" s="10"/>
      <c r="T36" s="6" t="s">
        <v>58</v>
      </c>
      <c r="U36" s="6" t="s">
        <v>189</v>
      </c>
      <c r="V36" s="17" t="s">
        <v>190</v>
      </c>
    </row>
    <row r="37" ht="12.75" customHeight="1">
      <c r="A37" s="5"/>
      <c r="B37" s="11" t="s">
        <v>49</v>
      </c>
      <c r="C37" s="11" t="s">
        <v>50</v>
      </c>
      <c r="D37" s="5"/>
      <c r="E37" s="12">
        <v>42489.0</v>
      </c>
      <c r="F37" s="6" t="s">
        <v>43</v>
      </c>
      <c r="G37" s="13" t="s">
        <v>178</v>
      </c>
      <c r="H37" s="6">
        <v>2016.0</v>
      </c>
      <c r="I37" s="6">
        <v>84.0</v>
      </c>
      <c r="J37" s="6">
        <v>0.0</v>
      </c>
      <c r="K37" s="10">
        <f t="shared" si="2"/>
        <v>84</v>
      </c>
      <c r="L37" s="19">
        <v>1.0</v>
      </c>
      <c r="M37" s="10" t="s">
        <v>191</v>
      </c>
      <c r="N37" s="15" t="s">
        <v>192</v>
      </c>
      <c r="O37" s="16">
        <v>32.90608</v>
      </c>
      <c r="P37" s="16">
        <v>12.443467</v>
      </c>
      <c r="Q37" s="10" t="str">
        <f t="shared" si="1"/>
        <v>32.90608, 12.443467</v>
      </c>
      <c r="R37" s="6"/>
      <c r="S37" s="10"/>
      <c r="T37" s="6" t="s">
        <v>58</v>
      </c>
      <c r="U37" s="6" t="s">
        <v>73</v>
      </c>
      <c r="V37" s="17" t="s">
        <v>193</v>
      </c>
    </row>
    <row r="38" ht="12.75" customHeight="1">
      <c r="A38" s="5"/>
      <c r="B38" s="11" t="s">
        <v>173</v>
      </c>
      <c r="C38" s="11" t="s">
        <v>62</v>
      </c>
      <c r="D38" s="5"/>
      <c r="E38" s="12">
        <v>42486.0</v>
      </c>
      <c r="F38" s="6" t="s">
        <v>43</v>
      </c>
      <c r="G38" s="13" t="s">
        <v>178</v>
      </c>
      <c r="H38" s="6">
        <v>2016.0</v>
      </c>
      <c r="I38" s="6">
        <v>13.0</v>
      </c>
      <c r="J38" s="6">
        <v>0.0</v>
      </c>
      <c r="K38" s="10">
        <f t="shared" si="2"/>
        <v>13</v>
      </c>
      <c r="L38" s="19">
        <v>1.0</v>
      </c>
      <c r="M38" s="10" t="s">
        <v>194</v>
      </c>
      <c r="N38" s="15" t="s">
        <v>195</v>
      </c>
      <c r="O38" s="16">
        <v>31.797583</v>
      </c>
      <c r="P38" s="16">
        <v>14.053676</v>
      </c>
      <c r="Q38" s="10" t="str">
        <f t="shared" si="1"/>
        <v>31.797583, 14.053676</v>
      </c>
      <c r="R38" s="6"/>
      <c r="S38" s="10"/>
      <c r="T38" s="6"/>
      <c r="U38" s="6" t="s">
        <v>196</v>
      </c>
      <c r="V38" s="17" t="s">
        <v>197</v>
      </c>
    </row>
    <row r="39" ht="12.75" customHeight="1">
      <c r="A39" s="5"/>
      <c r="B39" s="11" t="s">
        <v>129</v>
      </c>
      <c r="C39" s="11" t="s">
        <v>42</v>
      </c>
      <c r="D39" s="5"/>
      <c r="E39" s="12">
        <v>42481.0</v>
      </c>
      <c r="F39" s="6" t="s">
        <v>43</v>
      </c>
      <c r="G39" s="13" t="s">
        <v>178</v>
      </c>
      <c r="H39" s="6">
        <v>2016.0</v>
      </c>
      <c r="I39" s="6">
        <v>1.0</v>
      </c>
      <c r="J39" s="6">
        <v>0.0</v>
      </c>
      <c r="K39" s="10">
        <f t="shared" si="2"/>
        <v>1</v>
      </c>
      <c r="L39" s="19">
        <v>1.0</v>
      </c>
      <c r="M39" s="10" t="s">
        <v>198</v>
      </c>
      <c r="N39" s="15" t="s">
        <v>199</v>
      </c>
      <c r="O39" s="6">
        <v>41.122493</v>
      </c>
      <c r="P39" s="16">
        <v>22.510477</v>
      </c>
      <c r="Q39" s="10" t="str">
        <f t="shared" si="1"/>
        <v>41.122493, 22.510477</v>
      </c>
      <c r="R39" s="6"/>
      <c r="S39" s="10"/>
      <c r="T39" s="6" t="s">
        <v>65</v>
      </c>
      <c r="U39" s="6" t="s">
        <v>200</v>
      </c>
      <c r="V39" s="17" t="s">
        <v>201</v>
      </c>
    </row>
    <row r="40" ht="12.75" customHeight="1">
      <c r="A40" s="5"/>
      <c r="B40" s="11" t="s">
        <v>68</v>
      </c>
      <c r="C40" s="11" t="s">
        <v>69</v>
      </c>
      <c r="D40" s="5"/>
      <c r="E40" s="12">
        <v>42482.0</v>
      </c>
      <c r="F40" s="6" t="s">
        <v>43</v>
      </c>
      <c r="G40" s="13" t="s">
        <v>178</v>
      </c>
      <c r="H40" s="6">
        <v>2016.0</v>
      </c>
      <c r="I40" s="6">
        <v>1.0</v>
      </c>
      <c r="J40" s="6">
        <v>0.0</v>
      </c>
      <c r="K40" s="10">
        <f t="shared" si="2"/>
        <v>1</v>
      </c>
      <c r="L40" s="19">
        <v>1.0</v>
      </c>
      <c r="M40" s="10" t="s">
        <v>202</v>
      </c>
      <c r="N40" s="15" t="s">
        <v>203</v>
      </c>
      <c r="O40" s="6">
        <v>36.89</v>
      </c>
      <c r="P40" s="16">
        <v>27.182</v>
      </c>
      <c r="Q40" s="10" t="str">
        <f t="shared" si="1"/>
        <v>36.89, 27.182</v>
      </c>
      <c r="R40" s="6"/>
      <c r="S40" s="10"/>
      <c r="T40" s="6" t="s">
        <v>53</v>
      </c>
      <c r="U40" s="6" t="s">
        <v>54</v>
      </c>
      <c r="V40" s="17" t="s">
        <v>204</v>
      </c>
    </row>
    <row r="41" ht="12.75" customHeight="1">
      <c r="A41" s="5"/>
      <c r="B41" s="11" t="s">
        <v>166</v>
      </c>
      <c r="C41" s="11" t="s">
        <v>124</v>
      </c>
      <c r="D41" s="5"/>
      <c r="E41" s="12">
        <v>42478.0</v>
      </c>
      <c r="F41" s="6" t="s">
        <v>43</v>
      </c>
      <c r="G41" s="13" t="s">
        <v>178</v>
      </c>
      <c r="H41" s="6">
        <v>2016.0</v>
      </c>
      <c r="I41" s="6">
        <v>5.0</v>
      </c>
      <c r="J41" s="6">
        <v>0.0</v>
      </c>
      <c r="K41" s="10">
        <f t="shared" si="2"/>
        <v>5</v>
      </c>
      <c r="L41" s="19">
        <v>0.0</v>
      </c>
      <c r="M41" s="10" t="s">
        <v>205</v>
      </c>
      <c r="N41" s="15" t="s">
        <v>168</v>
      </c>
      <c r="O41" s="6">
        <v>36.85</v>
      </c>
      <c r="P41" s="16">
        <v>36.83</v>
      </c>
      <c r="Q41" s="10" t="str">
        <f t="shared" si="1"/>
        <v>36.85, 36.83</v>
      </c>
      <c r="R41" s="6"/>
      <c r="S41" s="10"/>
      <c r="T41" s="6"/>
      <c r="U41" s="6" t="s">
        <v>206</v>
      </c>
      <c r="V41" s="17" t="s">
        <v>207</v>
      </c>
    </row>
    <row r="42" ht="12.75" customHeight="1">
      <c r="A42" s="5"/>
      <c r="B42" s="11" t="s">
        <v>215</v>
      </c>
      <c r="C42" s="11" t="s">
        <v>42</v>
      </c>
      <c r="D42" s="5"/>
      <c r="E42" s="12">
        <v>42480.0</v>
      </c>
      <c r="F42" s="6" t="s">
        <v>43</v>
      </c>
      <c r="G42" s="13" t="s">
        <v>216</v>
      </c>
      <c r="H42" s="6">
        <v>2016.0</v>
      </c>
      <c r="I42" s="6">
        <v>8.0</v>
      </c>
      <c r="J42" s="6">
        <v>0.0</v>
      </c>
      <c r="K42" s="10">
        <f t="shared" si="2"/>
        <v>8</v>
      </c>
      <c r="L42" s="19">
        <v>0.0</v>
      </c>
      <c r="M42" s="10" t="s">
        <v>217</v>
      </c>
      <c r="N42" s="15" t="s">
        <v>218</v>
      </c>
      <c r="O42" s="6">
        <v>36.65</v>
      </c>
      <c r="P42" s="16">
        <v>37.04</v>
      </c>
      <c r="Q42" s="10" t="str">
        <f t="shared" si="1"/>
        <v>36.65, 37.04</v>
      </c>
      <c r="R42" s="6"/>
      <c r="S42" s="10"/>
      <c r="T42" s="6"/>
      <c r="U42" s="6" t="s">
        <v>219</v>
      </c>
      <c r="V42" s="16" t="s">
        <v>220</v>
      </c>
    </row>
    <row r="43" ht="12.75" customHeight="1">
      <c r="A43" s="5"/>
      <c r="B43" s="11" t="s">
        <v>49</v>
      </c>
      <c r="C43" s="11" t="s">
        <v>50</v>
      </c>
      <c r="D43" s="5"/>
      <c r="E43" s="12">
        <v>42475.0</v>
      </c>
      <c r="F43" s="6" t="s">
        <v>43</v>
      </c>
      <c r="G43" s="13" t="s">
        <v>216</v>
      </c>
      <c r="H43" s="6">
        <v>2016.0</v>
      </c>
      <c r="I43" s="6">
        <v>1.0</v>
      </c>
      <c r="J43" s="6">
        <v>0.0</v>
      </c>
      <c r="K43" s="10">
        <f t="shared" si="2"/>
        <v>1</v>
      </c>
      <c r="L43" s="19">
        <v>1.0</v>
      </c>
      <c r="M43" s="10" t="s">
        <v>221</v>
      </c>
      <c r="N43" s="15" t="s">
        <v>182</v>
      </c>
      <c r="O43" s="6">
        <v>37.75</v>
      </c>
      <c r="P43" s="16">
        <v>26.97</v>
      </c>
      <c r="Q43" s="10" t="str">
        <f t="shared" si="1"/>
        <v>37.75, 26.97</v>
      </c>
      <c r="R43" s="6"/>
      <c r="S43" s="10"/>
      <c r="T43" s="6" t="s">
        <v>53</v>
      </c>
      <c r="U43" s="6" t="s">
        <v>54</v>
      </c>
      <c r="V43" s="17" t="s">
        <v>222</v>
      </c>
    </row>
    <row r="44" ht="12.75" customHeight="1">
      <c r="A44" s="5"/>
      <c r="B44" s="11" t="s">
        <v>49</v>
      </c>
      <c r="C44" s="11" t="s">
        <v>50</v>
      </c>
      <c r="D44" s="5"/>
      <c r="E44" s="12">
        <v>42475.0</v>
      </c>
      <c r="F44" s="6" t="s">
        <v>43</v>
      </c>
      <c r="G44" s="13" t="s">
        <v>216</v>
      </c>
      <c r="H44" s="6">
        <v>2016.0</v>
      </c>
      <c r="I44" s="6">
        <v>1.0</v>
      </c>
      <c r="J44" s="6">
        <v>0.0</v>
      </c>
      <c r="K44" s="10">
        <f t="shared" si="2"/>
        <v>1</v>
      </c>
      <c r="L44" s="14">
        <v>1.0</v>
      </c>
      <c r="M44" s="10" t="s">
        <v>224</v>
      </c>
      <c r="N44" s="15" t="s">
        <v>225</v>
      </c>
      <c r="O44" s="6">
        <v>38.63</v>
      </c>
      <c r="P44" s="16">
        <v>26.72</v>
      </c>
      <c r="Q44" s="10" t="str">
        <f t="shared" si="1"/>
        <v>38.63, 26.72</v>
      </c>
      <c r="R44" s="6"/>
      <c r="S44" s="10"/>
      <c r="T44" s="6" t="s">
        <v>53</v>
      </c>
      <c r="U44" s="6" t="s">
        <v>226</v>
      </c>
      <c r="V44" s="17" t="s">
        <v>227</v>
      </c>
    </row>
    <row r="45" ht="12.75" customHeight="1">
      <c r="A45" s="5"/>
      <c r="B45" s="11" t="s">
        <v>49</v>
      </c>
      <c r="C45" s="11" t="s">
        <v>50</v>
      </c>
      <c r="D45" s="5"/>
      <c r="E45" s="12">
        <v>42473.0</v>
      </c>
      <c r="F45" s="6" t="s">
        <v>43</v>
      </c>
      <c r="G45" s="13" t="s">
        <v>216</v>
      </c>
      <c r="H45" s="6">
        <v>2016.0</v>
      </c>
      <c r="I45" s="6">
        <v>469.0</v>
      </c>
      <c r="J45" s="6">
        <v>0.0</v>
      </c>
      <c r="K45" s="10">
        <f t="shared" si="2"/>
        <v>469</v>
      </c>
      <c r="L45" s="19">
        <v>1.0</v>
      </c>
      <c r="M45" s="10" t="s">
        <v>230</v>
      </c>
      <c r="N45" s="15" t="s">
        <v>231</v>
      </c>
      <c r="O45" s="6">
        <v>32.97</v>
      </c>
      <c r="P45" s="16">
        <v>24.53</v>
      </c>
      <c r="Q45" s="10" t="str">
        <f t="shared" si="1"/>
        <v>32.97, 24.53</v>
      </c>
      <c r="R45" s="6"/>
      <c r="S45" s="10"/>
      <c r="T45" s="6" t="s">
        <v>58</v>
      </c>
      <c r="U45" s="6" t="s">
        <v>88</v>
      </c>
      <c r="V45" s="17" t="s">
        <v>233</v>
      </c>
    </row>
    <row r="46" ht="12.75" customHeight="1">
      <c r="A46" s="5"/>
      <c r="B46" s="11" t="s">
        <v>49</v>
      </c>
      <c r="C46" s="11" t="s">
        <v>50</v>
      </c>
      <c r="D46" s="5"/>
      <c r="E46" s="12">
        <v>42478.0</v>
      </c>
      <c r="F46" s="6" t="s">
        <v>43</v>
      </c>
      <c r="G46" s="13" t="s">
        <v>216</v>
      </c>
      <c r="H46" s="6">
        <v>2016.0</v>
      </c>
      <c r="I46" s="6">
        <v>8.0</v>
      </c>
      <c r="J46" s="6">
        <v>0.0</v>
      </c>
      <c r="K46" s="10">
        <f t="shared" si="2"/>
        <v>8</v>
      </c>
      <c r="L46" s="19">
        <v>1.0</v>
      </c>
      <c r="M46" s="10" t="s">
        <v>235</v>
      </c>
      <c r="N46" s="15" t="s">
        <v>236</v>
      </c>
      <c r="O46" s="6">
        <v>35.45</v>
      </c>
      <c r="P46" s="16">
        <v>12.39</v>
      </c>
      <c r="Q46" s="10" t="str">
        <f t="shared" si="1"/>
        <v>35.45, 12.39</v>
      </c>
      <c r="R46" s="6"/>
      <c r="S46" s="10"/>
      <c r="T46" s="6" t="s">
        <v>58</v>
      </c>
      <c r="U46" s="6" t="s">
        <v>102</v>
      </c>
      <c r="V46" s="17" t="s">
        <v>238</v>
      </c>
    </row>
    <row r="47" ht="12.75" customHeight="1">
      <c r="A47" s="5"/>
      <c r="B47" s="20" t="s">
        <v>129</v>
      </c>
      <c r="C47" s="11" t="s">
        <v>124</v>
      </c>
      <c r="D47" s="5"/>
      <c r="E47" s="12">
        <v>42474.0</v>
      </c>
      <c r="F47" s="6" t="s">
        <v>43</v>
      </c>
      <c r="G47" s="13" t="s">
        <v>216</v>
      </c>
      <c r="H47" s="6">
        <v>2016.0</v>
      </c>
      <c r="I47" s="6">
        <v>1.0</v>
      </c>
      <c r="J47" s="6">
        <v>0.0</v>
      </c>
      <c r="K47" s="10">
        <f t="shared" si="2"/>
        <v>1</v>
      </c>
      <c r="L47" s="19">
        <v>1.0</v>
      </c>
      <c r="M47" s="10" t="s">
        <v>240</v>
      </c>
      <c r="N47" s="15" t="s">
        <v>241</v>
      </c>
      <c r="O47" s="6">
        <v>50.0351</v>
      </c>
      <c r="P47" s="16">
        <v>8.5735</v>
      </c>
      <c r="Q47" s="10" t="str">
        <f t="shared" si="1"/>
        <v>50.0351, 8.5735</v>
      </c>
      <c r="R47" s="6"/>
      <c r="S47" s="10"/>
      <c r="T47" s="6"/>
      <c r="U47" s="6" t="s">
        <v>243</v>
      </c>
      <c r="V47" s="17" t="s">
        <v>244</v>
      </c>
    </row>
    <row r="48" ht="12.75" customHeight="1">
      <c r="A48" s="5"/>
      <c r="B48" s="11" t="s">
        <v>49</v>
      </c>
      <c r="C48" s="11" t="s">
        <v>50</v>
      </c>
      <c r="D48" s="5"/>
      <c r="E48" s="12">
        <v>42473.0</v>
      </c>
      <c r="F48" s="6" t="s">
        <v>43</v>
      </c>
      <c r="G48" s="13" t="s">
        <v>216</v>
      </c>
      <c r="H48" s="6">
        <v>2016.0</v>
      </c>
      <c r="I48" s="6">
        <v>1.0</v>
      </c>
      <c r="J48" s="6">
        <v>0.0</v>
      </c>
      <c r="K48" s="10">
        <f t="shared" si="2"/>
        <v>1</v>
      </c>
      <c r="L48" s="19">
        <v>1.0</v>
      </c>
      <c r="M48" s="10" t="s">
        <v>247</v>
      </c>
      <c r="N48" s="15" t="s">
        <v>248</v>
      </c>
      <c r="O48" s="6">
        <v>37.882</v>
      </c>
      <c r="P48" s="6">
        <v>24.013</v>
      </c>
      <c r="Q48" s="10" t="str">
        <f t="shared" si="1"/>
        <v>37.882, 24.013</v>
      </c>
      <c r="R48" s="6"/>
      <c r="S48" s="10"/>
      <c r="T48" s="6" t="s">
        <v>53</v>
      </c>
      <c r="U48" s="6" t="s">
        <v>54</v>
      </c>
      <c r="V48" s="18" t="s">
        <v>249</v>
      </c>
    </row>
    <row r="49" ht="12.75" customHeight="1">
      <c r="A49" s="5"/>
      <c r="B49" s="11" t="s">
        <v>49</v>
      </c>
      <c r="C49" s="11" t="s">
        <v>50</v>
      </c>
      <c r="D49" s="5"/>
      <c r="E49" s="12">
        <v>42471.0</v>
      </c>
      <c r="F49" s="6" t="s">
        <v>43</v>
      </c>
      <c r="G49" s="13" t="s">
        <v>216</v>
      </c>
      <c r="H49" s="6">
        <v>2016.0</v>
      </c>
      <c r="I49" s="6">
        <v>7.0</v>
      </c>
      <c r="J49" s="6">
        <v>0.0</v>
      </c>
      <c r="K49" s="10">
        <f t="shared" si="2"/>
        <v>7</v>
      </c>
      <c r="L49" s="14">
        <v>1.0</v>
      </c>
      <c r="M49" s="10" t="s">
        <v>252</v>
      </c>
      <c r="N49" s="15" t="s">
        <v>253</v>
      </c>
      <c r="O49" s="6">
        <v>32.8304</v>
      </c>
      <c r="P49" s="6">
        <v>11.616</v>
      </c>
      <c r="Q49" s="10" t="str">
        <f t="shared" si="1"/>
        <v>32.8304, 11.616</v>
      </c>
      <c r="R49" s="6"/>
      <c r="S49" s="10"/>
      <c r="T49" s="6" t="s">
        <v>58</v>
      </c>
      <c r="U49" s="6" t="s">
        <v>254</v>
      </c>
      <c r="V49" s="18" t="s">
        <v>255</v>
      </c>
    </row>
    <row r="50" ht="12.75" customHeight="1">
      <c r="A50" s="5"/>
      <c r="B50" s="11" t="s">
        <v>49</v>
      </c>
      <c r="C50" s="11" t="s">
        <v>50</v>
      </c>
      <c r="D50" s="5"/>
      <c r="E50" s="12">
        <v>42473.0</v>
      </c>
      <c r="F50" s="6" t="s">
        <v>43</v>
      </c>
      <c r="G50" s="13" t="s">
        <v>216</v>
      </c>
      <c r="H50" s="6">
        <v>2016.0</v>
      </c>
      <c r="I50" s="6">
        <v>1.0</v>
      </c>
      <c r="J50" s="6">
        <v>0.0</v>
      </c>
      <c r="K50" s="10">
        <f t="shared" si="2"/>
        <v>1</v>
      </c>
      <c r="L50" s="19">
        <v>1.0</v>
      </c>
      <c r="M50" s="10" t="s">
        <v>259</v>
      </c>
      <c r="N50" s="15" t="s">
        <v>260</v>
      </c>
      <c r="O50" s="6">
        <v>38.086</v>
      </c>
      <c r="P50" s="6">
        <v>23.98</v>
      </c>
      <c r="Q50" s="10" t="str">
        <f t="shared" si="1"/>
        <v>38.086, 23.98</v>
      </c>
      <c r="R50" s="6"/>
      <c r="S50" s="10"/>
      <c r="T50" s="6" t="s">
        <v>53</v>
      </c>
      <c r="U50" s="6" t="s">
        <v>54</v>
      </c>
      <c r="V50" s="18" t="s">
        <v>261</v>
      </c>
    </row>
    <row r="51" ht="12.75" customHeight="1">
      <c r="A51" s="5"/>
      <c r="B51" s="11" t="s">
        <v>211</v>
      </c>
      <c r="C51" s="11" t="s">
        <v>211</v>
      </c>
      <c r="D51" s="5"/>
      <c r="E51" s="12">
        <v>42454.0</v>
      </c>
      <c r="F51" s="6" t="s">
        <v>264</v>
      </c>
      <c r="G51" s="13" t="s">
        <v>265</v>
      </c>
      <c r="H51" s="6">
        <v>2016.0</v>
      </c>
      <c r="I51" s="6">
        <v>1.0</v>
      </c>
      <c r="J51" s="6">
        <v>0.0</v>
      </c>
      <c r="K51" s="10">
        <f t="shared" si="2"/>
        <v>1</v>
      </c>
      <c r="L51" s="19">
        <v>1.0</v>
      </c>
      <c r="M51" s="10" t="s">
        <v>267</v>
      </c>
      <c r="N51" s="15" t="s">
        <v>268</v>
      </c>
      <c r="O51" s="6">
        <v>49.815273</v>
      </c>
      <c r="P51" s="6">
        <v>6.129583</v>
      </c>
      <c r="Q51" s="10" t="str">
        <f t="shared" si="1"/>
        <v>49.815273, 6.129583</v>
      </c>
      <c r="R51" s="6"/>
      <c r="S51" s="10"/>
      <c r="T51" s="6"/>
      <c r="U51" s="6" t="s">
        <v>269</v>
      </c>
      <c r="V51" s="18" t="s">
        <v>270</v>
      </c>
    </row>
    <row r="52" ht="12.75" customHeight="1">
      <c r="A52" s="5"/>
      <c r="B52" s="11" t="s">
        <v>49</v>
      </c>
      <c r="C52" s="11" t="s">
        <v>50</v>
      </c>
      <c r="D52" s="5"/>
      <c r="E52" s="12">
        <v>42469.0</v>
      </c>
      <c r="F52" s="6" t="s">
        <v>43</v>
      </c>
      <c r="G52" s="13" t="s">
        <v>216</v>
      </c>
      <c r="H52" s="6">
        <v>2016.0</v>
      </c>
      <c r="I52" s="6">
        <v>5.0</v>
      </c>
      <c r="J52" s="6">
        <v>4.0</v>
      </c>
      <c r="K52" s="10">
        <f t="shared" si="2"/>
        <v>9</v>
      </c>
      <c r="L52" s="19">
        <v>1.0</v>
      </c>
      <c r="M52" s="10" t="s">
        <v>274</v>
      </c>
      <c r="N52" s="15" t="s">
        <v>182</v>
      </c>
      <c r="O52" s="6">
        <v>37.75</v>
      </c>
      <c r="P52" s="6">
        <v>26.96</v>
      </c>
      <c r="Q52" s="10" t="str">
        <f t="shared" si="1"/>
        <v>37.75, 26.96</v>
      </c>
      <c r="R52" s="6"/>
      <c r="S52" s="10"/>
      <c r="T52" s="6" t="s">
        <v>53</v>
      </c>
      <c r="U52" s="6" t="s">
        <v>254</v>
      </c>
      <c r="V52" s="18" t="s">
        <v>275</v>
      </c>
    </row>
    <row r="53" ht="12.75" customHeight="1">
      <c r="A53" s="5"/>
      <c r="B53" s="11" t="s">
        <v>215</v>
      </c>
      <c r="C53" s="11" t="s">
        <v>42</v>
      </c>
      <c r="D53" s="5"/>
      <c r="E53" s="12">
        <v>42469.0</v>
      </c>
      <c r="F53" s="6" t="s">
        <v>43</v>
      </c>
      <c r="G53" s="13" t="s">
        <v>216</v>
      </c>
      <c r="H53" s="6">
        <v>2016.0</v>
      </c>
      <c r="I53" s="6">
        <v>4.0</v>
      </c>
      <c r="J53" s="6">
        <v>0.0</v>
      </c>
      <c r="K53" s="10">
        <f t="shared" si="2"/>
        <v>4</v>
      </c>
      <c r="L53" s="19">
        <v>1.0</v>
      </c>
      <c r="M53" s="10" t="s">
        <v>279</v>
      </c>
      <c r="N53" s="15" t="s">
        <v>280</v>
      </c>
      <c r="O53" s="6">
        <v>32.7610953</v>
      </c>
      <c r="P53" s="16">
        <v>12.6998942</v>
      </c>
      <c r="Q53" s="10" t="str">
        <f t="shared" si="1"/>
        <v>32.7610953, 12.6998942</v>
      </c>
      <c r="R53" s="6"/>
      <c r="S53" s="10"/>
      <c r="T53" s="6"/>
      <c r="U53" s="6" t="s">
        <v>281</v>
      </c>
      <c r="V53" s="18" t="s">
        <v>282</v>
      </c>
    </row>
    <row r="54" ht="12.75" customHeight="1">
      <c r="A54" s="5"/>
      <c r="B54" s="11" t="s">
        <v>49</v>
      </c>
      <c r="C54" s="11" t="s">
        <v>50</v>
      </c>
      <c r="D54" s="5"/>
      <c r="E54" s="12">
        <v>42463.0</v>
      </c>
      <c r="F54" s="6" t="s">
        <v>43</v>
      </c>
      <c r="G54" s="13" t="s">
        <v>216</v>
      </c>
      <c r="H54" s="6">
        <v>2016.0</v>
      </c>
      <c r="I54" s="6">
        <v>1.0</v>
      </c>
      <c r="J54" s="6">
        <v>0.0</v>
      </c>
      <c r="K54" s="10">
        <f t="shared" si="2"/>
        <v>1</v>
      </c>
      <c r="L54" s="19">
        <v>1.0</v>
      </c>
      <c r="M54" s="10" t="s">
        <v>285</v>
      </c>
      <c r="N54" s="15" t="s">
        <v>286</v>
      </c>
      <c r="O54" s="6">
        <v>37.845</v>
      </c>
      <c r="P54" s="6">
        <v>23.76</v>
      </c>
      <c r="Q54" s="10" t="str">
        <f t="shared" si="1"/>
        <v>37.845, 23.76</v>
      </c>
      <c r="R54" s="6"/>
      <c r="S54" s="10"/>
      <c r="T54" s="6" t="s">
        <v>53</v>
      </c>
      <c r="U54" s="6" t="s">
        <v>54</v>
      </c>
      <c r="V54" s="18" t="s">
        <v>287</v>
      </c>
    </row>
    <row r="55" ht="12.75" customHeight="1">
      <c r="A55" s="5"/>
      <c r="B55" s="11" t="s">
        <v>49</v>
      </c>
      <c r="C55" s="11" t="s">
        <v>50</v>
      </c>
      <c r="D55" s="5"/>
      <c r="E55" s="12">
        <v>42461.0</v>
      </c>
      <c r="F55" s="6" t="s">
        <v>43</v>
      </c>
      <c r="G55" s="13" t="s">
        <v>216</v>
      </c>
      <c r="H55" s="6">
        <v>2016.0</v>
      </c>
      <c r="I55" s="6">
        <v>1.0</v>
      </c>
      <c r="J55" s="6">
        <v>0.0</v>
      </c>
      <c r="K55" s="10">
        <f t="shared" si="2"/>
        <v>1</v>
      </c>
      <c r="L55" s="19">
        <v>1.0</v>
      </c>
      <c r="M55" s="10" t="s">
        <v>290</v>
      </c>
      <c r="N55" s="15" t="s">
        <v>182</v>
      </c>
      <c r="O55" s="6">
        <v>37.68</v>
      </c>
      <c r="P55" s="6">
        <v>26.94</v>
      </c>
      <c r="Q55" s="10" t="str">
        <f t="shared" si="1"/>
        <v>37.68, 26.94</v>
      </c>
      <c r="R55" s="6"/>
      <c r="S55" s="10"/>
      <c r="T55" s="6" t="s">
        <v>53</v>
      </c>
      <c r="U55" s="6" t="s">
        <v>54</v>
      </c>
      <c r="V55" s="18" t="s">
        <v>291</v>
      </c>
    </row>
    <row r="56" ht="12.75" customHeight="1">
      <c r="A56" s="5"/>
      <c r="B56" s="11" t="s">
        <v>293</v>
      </c>
      <c r="C56" s="11" t="s">
        <v>124</v>
      </c>
      <c r="D56" s="5"/>
      <c r="E56" s="12">
        <v>42461.0</v>
      </c>
      <c r="F56" s="6" t="s">
        <v>43</v>
      </c>
      <c r="G56" s="13" t="s">
        <v>216</v>
      </c>
      <c r="H56" s="6">
        <v>2016.0</v>
      </c>
      <c r="I56" s="6">
        <v>1.0</v>
      </c>
      <c r="J56" s="6">
        <v>0.0</v>
      </c>
      <c r="K56" s="10">
        <f t="shared" si="2"/>
        <v>1</v>
      </c>
      <c r="L56" s="19">
        <v>1.0</v>
      </c>
      <c r="M56" s="10" t="s">
        <v>295</v>
      </c>
      <c r="N56" s="15" t="s">
        <v>296</v>
      </c>
      <c r="O56" s="6">
        <v>51.761</v>
      </c>
      <c r="P56" s="6">
        <v>-1.246</v>
      </c>
      <c r="Q56" s="10" t="str">
        <f t="shared" si="1"/>
        <v>51.761, -1.246</v>
      </c>
      <c r="R56" s="10" t="str">
        <f t="shared" ref="R56:S56" si="3">P56&amp;", "&amp;Q56</f>
        <v>-1.246, 51.761, -1.246</v>
      </c>
      <c r="S56" s="10" t="str">
        <f t="shared" si="3"/>
        <v>51.761, -1.246, -1.246, 51.761, -1.246</v>
      </c>
      <c r="T56" s="10"/>
      <c r="U56" s="6" t="s">
        <v>281</v>
      </c>
      <c r="V56" s="18" t="s">
        <v>298</v>
      </c>
    </row>
    <row r="57" ht="12.75" customHeight="1">
      <c r="A57" s="5"/>
      <c r="B57" s="11" t="s">
        <v>49</v>
      </c>
      <c r="C57" s="11" t="s">
        <v>50</v>
      </c>
      <c r="D57" s="5"/>
      <c r="E57" s="12">
        <v>42460.0</v>
      </c>
      <c r="F57" s="6" t="s">
        <v>264</v>
      </c>
      <c r="G57" s="13" t="s">
        <v>265</v>
      </c>
      <c r="H57" s="6">
        <v>2016.0</v>
      </c>
      <c r="I57" s="6">
        <v>12.0</v>
      </c>
      <c r="J57" s="6">
        <v>0.0</v>
      </c>
      <c r="K57" s="10">
        <f t="shared" si="2"/>
        <v>12</v>
      </c>
      <c r="L57" s="14">
        <v>1.0</v>
      </c>
      <c r="M57" s="10" t="s">
        <v>302</v>
      </c>
      <c r="N57" s="21" t="s">
        <v>303</v>
      </c>
      <c r="O57" s="6">
        <v>31.61</v>
      </c>
      <c r="P57" s="6">
        <v>30.77</v>
      </c>
      <c r="Q57" s="10" t="str">
        <f t="shared" si="1"/>
        <v>31.61, 30.77</v>
      </c>
      <c r="R57" s="6"/>
      <c r="S57" s="10"/>
      <c r="T57" s="6" t="s">
        <v>58</v>
      </c>
      <c r="U57" s="6" t="s">
        <v>306</v>
      </c>
      <c r="V57" s="18" t="s">
        <v>307</v>
      </c>
    </row>
    <row r="58" ht="12.75" customHeight="1">
      <c r="A58" s="5"/>
      <c r="B58" s="11" t="s">
        <v>215</v>
      </c>
      <c r="C58" s="11" t="s">
        <v>42</v>
      </c>
      <c r="D58" s="5"/>
      <c r="E58" s="12">
        <v>42460.0</v>
      </c>
      <c r="F58" s="6" t="s">
        <v>264</v>
      </c>
      <c r="G58" s="13" t="s">
        <v>265</v>
      </c>
      <c r="H58" s="6">
        <v>2016.0</v>
      </c>
      <c r="I58" s="6">
        <v>16.0</v>
      </c>
      <c r="J58" s="6">
        <v>0.0</v>
      </c>
      <c r="K58" s="10">
        <f t="shared" si="2"/>
        <v>16</v>
      </c>
      <c r="L58" s="19">
        <v>0.0</v>
      </c>
      <c r="M58" s="10" t="s">
        <v>311</v>
      </c>
      <c r="N58" s="15" t="s">
        <v>218</v>
      </c>
      <c r="O58" s="6">
        <v>36.67</v>
      </c>
      <c r="P58" s="6">
        <v>37.15</v>
      </c>
      <c r="Q58" s="10" t="str">
        <f t="shared" si="1"/>
        <v>36.67, 37.15</v>
      </c>
      <c r="R58" s="6"/>
      <c r="S58" s="10"/>
      <c r="T58" s="6"/>
      <c r="U58" s="6" t="s">
        <v>312</v>
      </c>
      <c r="V58" s="18" t="s">
        <v>313</v>
      </c>
    </row>
    <row r="59" ht="12.75" customHeight="1">
      <c r="A59" s="5"/>
      <c r="B59" s="11" t="s">
        <v>49</v>
      </c>
      <c r="C59" s="11" t="s">
        <v>50</v>
      </c>
      <c r="D59" s="5"/>
      <c r="E59" s="12">
        <v>42459.0</v>
      </c>
      <c r="F59" s="6" t="s">
        <v>264</v>
      </c>
      <c r="G59" s="13" t="s">
        <v>265</v>
      </c>
      <c r="H59" s="6">
        <v>2016.0</v>
      </c>
      <c r="I59" s="6">
        <v>4.0</v>
      </c>
      <c r="J59" s="6">
        <v>86.0</v>
      </c>
      <c r="K59" s="10">
        <f t="shared" si="2"/>
        <v>90</v>
      </c>
      <c r="L59" s="19">
        <v>1.0</v>
      </c>
      <c r="M59" s="10" t="s">
        <v>317</v>
      </c>
      <c r="N59" s="15" t="s">
        <v>318</v>
      </c>
      <c r="O59" s="6">
        <v>32.81</v>
      </c>
      <c r="P59" s="6">
        <v>12.45</v>
      </c>
      <c r="Q59" s="10" t="str">
        <f t="shared" si="1"/>
        <v>32.81, 12.45</v>
      </c>
      <c r="R59" s="6"/>
      <c r="S59" s="10"/>
      <c r="T59" s="6" t="s">
        <v>58</v>
      </c>
      <c r="U59" s="6" t="s">
        <v>320</v>
      </c>
      <c r="V59" s="18" t="s">
        <v>321</v>
      </c>
    </row>
    <row r="60" ht="12.75" customHeight="1">
      <c r="A60" s="5"/>
      <c r="B60" s="11" t="s">
        <v>49</v>
      </c>
      <c r="C60" s="11" t="s">
        <v>50</v>
      </c>
      <c r="D60" s="5"/>
      <c r="E60" s="12">
        <v>42457.0</v>
      </c>
      <c r="F60" s="6" t="s">
        <v>264</v>
      </c>
      <c r="G60" s="13" t="s">
        <v>265</v>
      </c>
      <c r="H60" s="6">
        <v>2016.0</v>
      </c>
      <c r="I60" s="6">
        <v>0.0</v>
      </c>
      <c r="J60" s="6">
        <v>84.0</v>
      </c>
      <c r="K60" s="10">
        <f t="shared" si="2"/>
        <v>84</v>
      </c>
      <c r="L60" s="14">
        <v>1.0</v>
      </c>
      <c r="M60" s="10" t="s">
        <v>325</v>
      </c>
      <c r="N60" s="15" t="s">
        <v>139</v>
      </c>
      <c r="O60" s="6">
        <v>39.027</v>
      </c>
      <c r="P60" s="16">
        <v>16.699</v>
      </c>
      <c r="Q60" s="10" t="str">
        <f t="shared" si="1"/>
        <v>39.027, 16.699</v>
      </c>
      <c r="R60" s="6"/>
      <c r="S60" s="10"/>
      <c r="T60" s="6" t="s">
        <v>58</v>
      </c>
      <c r="U60" s="6" t="s">
        <v>117</v>
      </c>
      <c r="V60" s="6"/>
    </row>
    <row r="61" ht="12.75" customHeight="1">
      <c r="A61" s="5"/>
      <c r="B61" s="11" t="s">
        <v>293</v>
      </c>
      <c r="C61" s="11" t="s">
        <v>124</v>
      </c>
      <c r="D61" s="5"/>
      <c r="E61" s="12">
        <v>42460.0</v>
      </c>
      <c r="F61" s="6" t="s">
        <v>264</v>
      </c>
      <c r="G61" s="13" t="s">
        <v>265</v>
      </c>
      <c r="H61" s="6">
        <v>2016.0</v>
      </c>
      <c r="I61" s="6">
        <v>1.0</v>
      </c>
      <c r="J61" s="6">
        <v>0.0</v>
      </c>
      <c r="K61" s="10">
        <f t="shared" si="2"/>
        <v>1</v>
      </c>
      <c r="L61" s="19">
        <v>1.0</v>
      </c>
      <c r="M61" s="10" t="s">
        <v>326</v>
      </c>
      <c r="N61" s="15" t="s">
        <v>126</v>
      </c>
      <c r="O61" s="6">
        <v>45.1</v>
      </c>
      <c r="P61" s="6">
        <v>5.3</v>
      </c>
      <c r="Q61" s="10" t="str">
        <f t="shared" si="1"/>
        <v>45.1, 5.3</v>
      </c>
      <c r="R61" s="6"/>
      <c r="S61" s="10"/>
      <c r="T61" s="6"/>
      <c r="U61" s="6" t="s">
        <v>327</v>
      </c>
      <c r="V61" s="18" t="s">
        <v>328</v>
      </c>
    </row>
    <row r="62" ht="12.75" customHeight="1">
      <c r="A62" s="5"/>
      <c r="B62" s="11" t="s">
        <v>49</v>
      </c>
      <c r="C62" s="11" t="s">
        <v>69</v>
      </c>
      <c r="D62" s="5"/>
      <c r="E62" s="12">
        <v>42457.0</v>
      </c>
      <c r="F62" s="6" t="s">
        <v>264</v>
      </c>
      <c r="G62" s="13" t="s">
        <v>265</v>
      </c>
      <c r="H62" s="6">
        <v>2016.0</v>
      </c>
      <c r="I62" s="6">
        <v>1.0</v>
      </c>
      <c r="J62" s="6">
        <v>0.0</v>
      </c>
      <c r="K62" s="10">
        <f t="shared" si="2"/>
        <v>1</v>
      </c>
      <c r="L62" s="19">
        <v>1.0</v>
      </c>
      <c r="M62" s="10" t="s">
        <v>332</v>
      </c>
      <c r="N62" s="15" t="s">
        <v>333</v>
      </c>
      <c r="O62" s="6">
        <v>36.05</v>
      </c>
      <c r="P62" s="6">
        <v>27.99</v>
      </c>
      <c r="Q62" s="10" t="str">
        <f t="shared" si="1"/>
        <v>36.05, 27.99</v>
      </c>
      <c r="R62" s="6"/>
      <c r="S62" s="10"/>
      <c r="T62" s="6" t="s">
        <v>53</v>
      </c>
      <c r="U62" s="6" t="s">
        <v>54</v>
      </c>
      <c r="V62" s="18" t="s">
        <v>335</v>
      </c>
    </row>
    <row r="63" ht="12.75" customHeight="1">
      <c r="A63" s="5"/>
      <c r="B63" s="11" t="s">
        <v>49</v>
      </c>
      <c r="C63" s="11" t="s">
        <v>50</v>
      </c>
      <c r="D63" s="5"/>
      <c r="E63" s="12">
        <v>42454.0</v>
      </c>
      <c r="F63" s="6" t="s">
        <v>264</v>
      </c>
      <c r="G63" s="13" t="s">
        <v>265</v>
      </c>
      <c r="H63" s="6">
        <v>2016.0</v>
      </c>
      <c r="I63" s="6">
        <v>12.0</v>
      </c>
      <c r="J63" s="6">
        <v>0.0</v>
      </c>
      <c r="K63" s="10">
        <f t="shared" si="2"/>
        <v>12</v>
      </c>
      <c r="L63" s="14">
        <v>1.0</v>
      </c>
      <c r="M63" s="10" t="s">
        <v>338</v>
      </c>
      <c r="N63" s="15" t="s">
        <v>339</v>
      </c>
      <c r="O63" s="6">
        <v>32.88</v>
      </c>
      <c r="P63" s="6">
        <v>13.7</v>
      </c>
      <c r="Q63" s="10" t="str">
        <f t="shared" si="1"/>
        <v>32.88, 13.7</v>
      </c>
      <c r="R63" s="6"/>
      <c r="S63" s="10"/>
      <c r="T63" s="6" t="s">
        <v>58</v>
      </c>
      <c r="U63" s="6" t="s">
        <v>140</v>
      </c>
      <c r="V63" s="18" t="s">
        <v>340</v>
      </c>
    </row>
    <row r="64" ht="12.75" customHeight="1">
      <c r="A64" s="5"/>
      <c r="B64" s="11" t="s">
        <v>153</v>
      </c>
      <c r="C64" s="11" t="s">
        <v>75</v>
      </c>
      <c r="D64" s="5"/>
      <c r="E64" s="12">
        <v>42450.0</v>
      </c>
      <c r="F64" s="6" t="s">
        <v>264</v>
      </c>
      <c r="G64" s="13" t="s">
        <v>265</v>
      </c>
      <c r="H64" s="6">
        <v>2016.0</v>
      </c>
      <c r="I64" s="6">
        <v>1.0</v>
      </c>
      <c r="J64" s="6">
        <v>0.0</v>
      </c>
      <c r="K64" s="10">
        <f t="shared" si="2"/>
        <v>1</v>
      </c>
      <c r="L64" s="14">
        <v>1.0</v>
      </c>
      <c r="M64" s="10" t="s">
        <v>343</v>
      </c>
      <c r="N64" s="15" t="s">
        <v>345</v>
      </c>
      <c r="O64" s="6">
        <v>39.2200767</v>
      </c>
      <c r="P64" s="6">
        <v>9.0264574</v>
      </c>
      <c r="Q64" s="10" t="str">
        <f t="shared" si="1"/>
        <v>39.2200767, 9.0264574</v>
      </c>
      <c r="R64" s="6"/>
      <c r="S64" s="10"/>
      <c r="T64" s="6" t="s">
        <v>58</v>
      </c>
      <c r="U64" s="6" t="s">
        <v>117</v>
      </c>
      <c r="V64" s="16">
        <v>9.0264574</v>
      </c>
    </row>
    <row r="65" ht="12.75" customHeight="1">
      <c r="A65" s="5"/>
      <c r="B65" s="11" t="s">
        <v>68</v>
      </c>
      <c r="C65" s="11" t="s">
        <v>69</v>
      </c>
      <c r="D65" s="5"/>
      <c r="E65" s="12">
        <v>42453.0</v>
      </c>
      <c r="F65" s="6" t="s">
        <v>264</v>
      </c>
      <c r="G65" s="13" t="s">
        <v>265</v>
      </c>
      <c r="H65" s="6">
        <v>2016.0</v>
      </c>
      <c r="I65" s="6">
        <v>1.0</v>
      </c>
      <c r="J65" s="6">
        <v>0.0</v>
      </c>
      <c r="K65" s="10">
        <f t="shared" si="2"/>
        <v>1</v>
      </c>
      <c r="L65" s="19">
        <v>1.0</v>
      </c>
      <c r="M65" s="10" t="s">
        <v>347</v>
      </c>
      <c r="N65" s="15" t="s">
        <v>348</v>
      </c>
      <c r="O65" s="6">
        <v>38.25</v>
      </c>
      <c r="P65" s="6">
        <v>27.73</v>
      </c>
      <c r="Q65" s="10" t="str">
        <f t="shared" si="1"/>
        <v>38.25, 27.73</v>
      </c>
      <c r="R65" s="6"/>
      <c r="S65" s="10"/>
      <c r="T65" s="6"/>
      <c r="U65" s="6" t="s">
        <v>54</v>
      </c>
      <c r="V65" s="18" t="s">
        <v>350</v>
      </c>
    </row>
    <row r="66" ht="12.75" customHeight="1">
      <c r="A66" s="5"/>
      <c r="B66" s="11" t="s">
        <v>68</v>
      </c>
      <c r="C66" s="11" t="s">
        <v>69</v>
      </c>
      <c r="D66" s="5"/>
      <c r="E66" s="12">
        <v>42452.0</v>
      </c>
      <c r="F66" s="6" t="s">
        <v>264</v>
      </c>
      <c r="G66" s="13" t="s">
        <v>265</v>
      </c>
      <c r="H66" s="6">
        <v>2016.0</v>
      </c>
      <c r="I66" s="6">
        <v>2.0</v>
      </c>
      <c r="J66" s="6">
        <v>0.0</v>
      </c>
      <c r="K66" s="10">
        <f t="shared" si="2"/>
        <v>2</v>
      </c>
      <c r="L66" s="19">
        <v>1.0</v>
      </c>
      <c r="M66" s="10" t="s">
        <v>352</v>
      </c>
      <c r="N66" s="15" t="s">
        <v>354</v>
      </c>
      <c r="O66" s="6">
        <v>41.97</v>
      </c>
      <c r="P66" s="6">
        <v>27.51</v>
      </c>
      <c r="Q66" s="10" t="str">
        <f t="shared" si="1"/>
        <v>41.97, 27.51</v>
      </c>
      <c r="R66" s="6"/>
      <c r="S66" s="10"/>
      <c r="T66" s="6" t="s">
        <v>53</v>
      </c>
      <c r="U66" s="6" t="s">
        <v>254</v>
      </c>
      <c r="V66" s="18" t="s">
        <v>355</v>
      </c>
    </row>
    <row r="67" ht="12.75" customHeight="1">
      <c r="A67" s="5"/>
      <c r="B67" s="11" t="s">
        <v>49</v>
      </c>
      <c r="C67" s="11" t="s">
        <v>50</v>
      </c>
      <c r="D67" s="5"/>
      <c r="E67" s="12">
        <v>42450.0</v>
      </c>
      <c r="F67" s="6" t="s">
        <v>264</v>
      </c>
      <c r="G67" s="13" t="s">
        <v>265</v>
      </c>
      <c r="H67" s="6">
        <v>2016.0</v>
      </c>
      <c r="I67" s="6">
        <v>4.0</v>
      </c>
      <c r="J67" s="6">
        <v>0.0</v>
      </c>
      <c r="K67" s="10">
        <f t="shared" si="2"/>
        <v>4</v>
      </c>
      <c r="L67" s="19">
        <v>1.0</v>
      </c>
      <c r="M67" s="10" t="s">
        <v>358</v>
      </c>
      <c r="N67" s="15" t="s">
        <v>359</v>
      </c>
      <c r="O67" s="6">
        <v>35.5</v>
      </c>
      <c r="P67" s="6">
        <v>11.98</v>
      </c>
      <c r="Q67" s="10" t="str">
        <f t="shared" si="1"/>
        <v>35.5, 11.98</v>
      </c>
      <c r="R67" s="6"/>
      <c r="S67" s="10"/>
      <c r="T67" s="6" t="s">
        <v>58</v>
      </c>
      <c r="U67" s="6" t="s">
        <v>117</v>
      </c>
      <c r="V67" s="6"/>
    </row>
    <row r="68" ht="12.75" customHeight="1">
      <c r="A68" s="5"/>
      <c r="B68" s="11" t="s">
        <v>68</v>
      </c>
      <c r="C68" s="11" t="s">
        <v>69</v>
      </c>
      <c r="D68" s="5"/>
      <c r="E68" s="12">
        <v>42449.0</v>
      </c>
      <c r="F68" s="6" t="s">
        <v>264</v>
      </c>
      <c r="G68" s="13" t="s">
        <v>265</v>
      </c>
      <c r="H68" s="6">
        <v>2016.0</v>
      </c>
      <c r="I68" s="6">
        <v>2.0</v>
      </c>
      <c r="J68" s="6">
        <v>0.0</v>
      </c>
      <c r="K68" s="10">
        <f t="shared" si="2"/>
        <v>2</v>
      </c>
      <c r="L68" s="14">
        <v>1.0</v>
      </c>
      <c r="M68" s="10" t="s">
        <v>361</v>
      </c>
      <c r="N68" s="15" t="s">
        <v>362</v>
      </c>
      <c r="O68" s="6">
        <v>36.1553629</v>
      </c>
      <c r="P68" s="6">
        <v>29.4271815</v>
      </c>
      <c r="Q68" s="10" t="str">
        <f t="shared" si="1"/>
        <v>36.1553629, 29.4271815</v>
      </c>
      <c r="R68" s="6"/>
      <c r="S68" s="10"/>
      <c r="T68" s="6" t="s">
        <v>53</v>
      </c>
      <c r="U68" s="6" t="s">
        <v>363</v>
      </c>
      <c r="V68" s="18" t="s">
        <v>364</v>
      </c>
    </row>
    <row r="69" ht="12.75" customHeight="1">
      <c r="A69" s="5"/>
      <c r="B69" s="11" t="s">
        <v>49</v>
      </c>
      <c r="C69" s="11" t="s">
        <v>50</v>
      </c>
      <c r="D69" s="5"/>
      <c r="E69" s="12">
        <v>42449.0</v>
      </c>
      <c r="F69" s="6" t="s">
        <v>264</v>
      </c>
      <c r="G69" s="13" t="s">
        <v>265</v>
      </c>
      <c r="H69" s="6">
        <v>2016.0</v>
      </c>
      <c r="I69" s="6">
        <v>2.0</v>
      </c>
      <c r="J69" s="6">
        <v>0.0</v>
      </c>
      <c r="K69" s="10">
        <f t="shared" si="2"/>
        <v>2</v>
      </c>
      <c r="L69" s="19">
        <v>1.0</v>
      </c>
      <c r="M69" s="10" t="s">
        <v>367</v>
      </c>
      <c r="N69" s="15" t="s">
        <v>368</v>
      </c>
      <c r="O69" s="6">
        <v>36.09</v>
      </c>
      <c r="P69" s="6">
        <v>26.57</v>
      </c>
      <c r="Q69" s="10" t="str">
        <f t="shared" si="1"/>
        <v>36.09, 26.57</v>
      </c>
      <c r="R69" s="6"/>
      <c r="S69" s="10"/>
      <c r="T69" s="6" t="s">
        <v>53</v>
      </c>
      <c r="U69" s="6" t="s">
        <v>370</v>
      </c>
      <c r="V69" s="18" t="s">
        <v>371</v>
      </c>
    </row>
    <row r="70" ht="12.75" customHeight="1">
      <c r="A70" s="5"/>
      <c r="B70" s="11" t="s">
        <v>49</v>
      </c>
      <c r="C70" s="11" t="s">
        <v>50</v>
      </c>
      <c r="D70" s="5"/>
      <c r="E70" s="12">
        <v>42449.0</v>
      </c>
      <c r="F70" s="6" t="s">
        <v>264</v>
      </c>
      <c r="G70" s="13" t="s">
        <v>265</v>
      </c>
      <c r="H70" s="6">
        <v>2016.0</v>
      </c>
      <c r="I70" s="6">
        <v>2.0</v>
      </c>
      <c r="J70" s="6">
        <v>0.0</v>
      </c>
      <c r="K70" s="10">
        <f t="shared" si="2"/>
        <v>2</v>
      </c>
      <c r="L70" s="19">
        <v>1.0</v>
      </c>
      <c r="M70" s="10" t="s">
        <v>373</v>
      </c>
      <c r="N70" s="15" t="s">
        <v>374</v>
      </c>
      <c r="O70" s="6">
        <v>36.9</v>
      </c>
      <c r="P70" s="6">
        <v>26.9</v>
      </c>
      <c r="Q70" s="10" t="str">
        <f t="shared" si="1"/>
        <v>36.9, 26.9</v>
      </c>
      <c r="R70" s="6"/>
      <c r="S70" s="10"/>
      <c r="T70" s="6" t="s">
        <v>53</v>
      </c>
      <c r="U70" s="6" t="s">
        <v>370</v>
      </c>
      <c r="V70" s="18" t="s">
        <v>371</v>
      </c>
    </row>
    <row r="71" ht="12.75" customHeight="1">
      <c r="A71" s="5"/>
      <c r="B71" s="11" t="s">
        <v>49</v>
      </c>
      <c r="C71" s="11" t="s">
        <v>50</v>
      </c>
      <c r="D71" s="5"/>
      <c r="E71" s="12">
        <v>42448.0</v>
      </c>
      <c r="F71" s="6" t="s">
        <v>264</v>
      </c>
      <c r="G71" s="13" t="s">
        <v>265</v>
      </c>
      <c r="H71" s="6">
        <v>2016.0</v>
      </c>
      <c r="I71" s="6">
        <v>1.0</v>
      </c>
      <c r="J71" s="6">
        <v>0.0</v>
      </c>
      <c r="K71" s="10">
        <f t="shared" si="2"/>
        <v>1</v>
      </c>
      <c r="L71" s="19">
        <v>1.0</v>
      </c>
      <c r="M71" s="10" t="s">
        <v>377</v>
      </c>
      <c r="N71" s="15" t="s">
        <v>378</v>
      </c>
      <c r="O71" s="6">
        <v>37.46</v>
      </c>
      <c r="P71" s="6">
        <v>15.09</v>
      </c>
      <c r="Q71" s="10" t="str">
        <f t="shared" si="1"/>
        <v>37.46, 15.09</v>
      </c>
      <c r="R71" s="6"/>
      <c r="S71" s="10"/>
      <c r="T71" s="6" t="s">
        <v>58</v>
      </c>
      <c r="U71" s="6" t="s">
        <v>117</v>
      </c>
      <c r="V71" s="6"/>
    </row>
    <row r="72" ht="12.75" customHeight="1">
      <c r="A72" s="5"/>
      <c r="B72" s="11" t="s">
        <v>49</v>
      </c>
      <c r="C72" s="11" t="s">
        <v>50</v>
      </c>
      <c r="D72" s="5"/>
      <c r="E72" s="12">
        <v>42448.0</v>
      </c>
      <c r="F72" s="6" t="s">
        <v>264</v>
      </c>
      <c r="G72" s="13" t="s">
        <v>265</v>
      </c>
      <c r="H72" s="6">
        <v>2016.0</v>
      </c>
      <c r="I72" s="6">
        <v>1.0</v>
      </c>
      <c r="J72" s="6">
        <v>0.0</v>
      </c>
      <c r="K72" s="10">
        <f t="shared" si="2"/>
        <v>1</v>
      </c>
      <c r="L72" s="19">
        <v>1.0</v>
      </c>
      <c r="M72" s="10" t="s">
        <v>380</v>
      </c>
      <c r="N72" s="15" t="s">
        <v>381</v>
      </c>
      <c r="O72" s="6">
        <v>36.64</v>
      </c>
      <c r="P72" s="6">
        <v>14.85</v>
      </c>
      <c r="Q72" s="10" t="str">
        <f t="shared" si="1"/>
        <v>36.64, 14.85</v>
      </c>
      <c r="R72" s="6"/>
      <c r="S72" s="10"/>
      <c r="T72" s="6" t="s">
        <v>58</v>
      </c>
      <c r="U72" s="6" t="s">
        <v>117</v>
      </c>
      <c r="V72" s="6"/>
    </row>
    <row r="73" ht="12.75" customHeight="1">
      <c r="A73" s="5"/>
      <c r="B73" s="11" t="s">
        <v>49</v>
      </c>
      <c r="C73" s="11" t="s">
        <v>50</v>
      </c>
      <c r="D73" s="5"/>
      <c r="E73" s="12">
        <v>42448.0</v>
      </c>
      <c r="F73" s="6" t="s">
        <v>264</v>
      </c>
      <c r="G73" s="13" t="s">
        <v>265</v>
      </c>
      <c r="H73" s="6">
        <v>2016.0</v>
      </c>
      <c r="I73" s="6">
        <v>9.0</v>
      </c>
      <c r="J73" s="6">
        <v>0.0</v>
      </c>
      <c r="K73" s="10">
        <f t="shared" si="2"/>
        <v>9</v>
      </c>
      <c r="L73" s="19">
        <v>1.0</v>
      </c>
      <c r="M73" s="10" t="s">
        <v>383</v>
      </c>
      <c r="N73" s="15" t="s">
        <v>280</v>
      </c>
      <c r="O73" s="6">
        <v>32.8</v>
      </c>
      <c r="P73" s="6">
        <v>12.61</v>
      </c>
      <c r="Q73" s="10" t="str">
        <f t="shared" si="1"/>
        <v>32.8, 12.61</v>
      </c>
      <c r="R73" s="6"/>
      <c r="S73" s="10"/>
      <c r="T73" s="6" t="s">
        <v>58</v>
      </c>
      <c r="U73" s="6" t="s">
        <v>254</v>
      </c>
      <c r="V73" s="18" t="s">
        <v>384</v>
      </c>
    </row>
    <row r="74" ht="12.75" customHeight="1">
      <c r="A74" s="5"/>
      <c r="B74" s="11" t="s">
        <v>49</v>
      </c>
      <c r="C74" s="11" t="s">
        <v>50</v>
      </c>
      <c r="D74" s="5"/>
      <c r="E74" s="12">
        <v>42447.0</v>
      </c>
      <c r="F74" s="6" t="s">
        <v>264</v>
      </c>
      <c r="G74" s="13" t="s">
        <v>265</v>
      </c>
      <c r="H74" s="6">
        <v>2016.0</v>
      </c>
      <c r="I74" s="6">
        <v>4.0</v>
      </c>
      <c r="J74" s="6">
        <v>0.0</v>
      </c>
      <c r="K74" s="10">
        <f t="shared" si="2"/>
        <v>4</v>
      </c>
      <c r="L74" s="19">
        <v>1.0</v>
      </c>
      <c r="M74" s="10" t="s">
        <v>388</v>
      </c>
      <c r="N74" s="15" t="s">
        <v>318</v>
      </c>
      <c r="O74" s="6">
        <v>32.81</v>
      </c>
      <c r="P74" s="6">
        <v>12.45</v>
      </c>
      <c r="Q74" s="10" t="str">
        <f t="shared" si="1"/>
        <v>32.81, 12.45</v>
      </c>
      <c r="R74" s="6"/>
      <c r="S74" s="10"/>
      <c r="T74" s="6" t="s">
        <v>58</v>
      </c>
      <c r="U74" s="6" t="s">
        <v>140</v>
      </c>
      <c r="V74" s="18" t="s">
        <v>389</v>
      </c>
    </row>
    <row r="75" ht="12.75" customHeight="1">
      <c r="A75" s="5"/>
      <c r="B75" s="11" t="s">
        <v>49</v>
      </c>
      <c r="C75" s="11" t="s">
        <v>50</v>
      </c>
      <c r="D75" s="5"/>
      <c r="E75" s="12">
        <v>42443.0</v>
      </c>
      <c r="F75" s="6" t="s">
        <v>264</v>
      </c>
      <c r="G75" s="13" t="s">
        <v>265</v>
      </c>
      <c r="H75" s="6">
        <v>2016.0</v>
      </c>
      <c r="I75" s="6">
        <v>0.0</v>
      </c>
      <c r="J75" s="6">
        <v>8.0</v>
      </c>
      <c r="K75" s="10">
        <f t="shared" si="2"/>
        <v>8</v>
      </c>
      <c r="L75" s="14">
        <v>1.0</v>
      </c>
      <c r="M75" s="10" t="s">
        <v>393</v>
      </c>
      <c r="N75" s="15" t="s">
        <v>203</v>
      </c>
      <c r="O75" s="6">
        <v>36.8</v>
      </c>
      <c r="P75" s="6">
        <v>27.2</v>
      </c>
      <c r="Q75" s="10" t="str">
        <f t="shared" si="1"/>
        <v>36.8, 27.2</v>
      </c>
      <c r="R75" s="6"/>
      <c r="S75" s="10"/>
      <c r="T75" s="6" t="s">
        <v>53</v>
      </c>
      <c r="U75" s="6" t="s">
        <v>254</v>
      </c>
      <c r="V75" s="18" t="s">
        <v>394</v>
      </c>
    </row>
    <row r="76" ht="12.75" customHeight="1">
      <c r="A76" s="5"/>
      <c r="B76" s="11" t="s">
        <v>49</v>
      </c>
      <c r="C76" s="11" t="s">
        <v>50</v>
      </c>
      <c r="D76" s="5"/>
      <c r="E76" s="12">
        <v>42445.0</v>
      </c>
      <c r="F76" s="6" t="s">
        <v>264</v>
      </c>
      <c r="G76" s="13" t="s">
        <v>265</v>
      </c>
      <c r="H76" s="6">
        <v>2016.0</v>
      </c>
      <c r="I76" s="6">
        <v>3.0</v>
      </c>
      <c r="J76" s="6">
        <v>0.0</v>
      </c>
      <c r="K76" s="10">
        <f t="shared" si="2"/>
        <v>3</v>
      </c>
      <c r="L76" s="19">
        <v>1.0</v>
      </c>
      <c r="M76" s="10" t="s">
        <v>397</v>
      </c>
      <c r="N76" s="15" t="s">
        <v>188</v>
      </c>
      <c r="O76" s="6">
        <v>37.5</v>
      </c>
      <c r="P76" s="6">
        <v>11.9</v>
      </c>
      <c r="Q76" s="10" t="str">
        <f t="shared" si="1"/>
        <v>37.5, 11.9</v>
      </c>
      <c r="R76" s="6"/>
      <c r="S76" s="10"/>
      <c r="T76" s="6" t="s">
        <v>58</v>
      </c>
      <c r="U76" s="6" t="s">
        <v>92</v>
      </c>
      <c r="V76" s="18" t="s">
        <v>399</v>
      </c>
    </row>
    <row r="77" ht="12.75" customHeight="1">
      <c r="A77" s="5"/>
      <c r="B77" s="11" t="s">
        <v>49</v>
      </c>
      <c r="C77" s="11" t="s">
        <v>50</v>
      </c>
      <c r="D77" s="5"/>
      <c r="E77" s="12">
        <v>42442.0</v>
      </c>
      <c r="F77" s="6" t="s">
        <v>264</v>
      </c>
      <c r="G77" s="13" t="s">
        <v>265</v>
      </c>
      <c r="H77" s="6">
        <v>2016.0</v>
      </c>
      <c r="I77" s="6">
        <v>1.0</v>
      </c>
      <c r="J77" s="6">
        <v>0.0</v>
      </c>
      <c r="K77" s="10">
        <f t="shared" si="2"/>
        <v>1</v>
      </c>
      <c r="L77" s="19">
        <v>1.0</v>
      </c>
      <c r="M77" s="10" t="s">
        <v>402</v>
      </c>
      <c r="N77" s="15" t="s">
        <v>82</v>
      </c>
      <c r="O77" s="6">
        <v>35.28</v>
      </c>
      <c r="P77" s="6">
        <v>-2.93</v>
      </c>
      <c r="Q77" s="10" t="str">
        <f t="shared" si="1"/>
        <v>35.28, -2.93</v>
      </c>
      <c r="R77" s="6"/>
      <c r="S77" s="10"/>
      <c r="T77" s="6" t="s">
        <v>72</v>
      </c>
      <c r="U77" s="6" t="s">
        <v>403</v>
      </c>
      <c r="V77" s="18" t="s">
        <v>404</v>
      </c>
    </row>
    <row r="78" ht="12.75" customHeight="1">
      <c r="A78" s="5"/>
      <c r="B78" s="11" t="s">
        <v>49</v>
      </c>
      <c r="C78" s="11" t="s">
        <v>50</v>
      </c>
      <c r="D78" s="5"/>
      <c r="E78" s="22">
        <v>42443.0</v>
      </c>
      <c r="F78" s="6" t="s">
        <v>264</v>
      </c>
      <c r="G78" s="20" t="s">
        <v>265</v>
      </c>
      <c r="H78" s="6">
        <v>2016.0</v>
      </c>
      <c r="I78" s="6">
        <v>3.0</v>
      </c>
      <c r="J78" s="6">
        <v>0.0</v>
      </c>
      <c r="K78" s="10">
        <f t="shared" si="2"/>
        <v>3</v>
      </c>
      <c r="L78" s="19">
        <v>1.0</v>
      </c>
      <c r="M78" s="10" t="s">
        <v>409</v>
      </c>
      <c r="N78" s="15" t="s">
        <v>199</v>
      </c>
      <c r="O78" s="6">
        <v>21.1</v>
      </c>
      <c r="P78" s="6">
        <v>22.5</v>
      </c>
      <c r="Q78" s="10" t="str">
        <f t="shared" si="1"/>
        <v>21.1, 22.5</v>
      </c>
      <c r="R78" s="6"/>
      <c r="S78" s="10"/>
      <c r="T78" s="6" t="s">
        <v>65</v>
      </c>
      <c r="U78" s="6" t="s">
        <v>92</v>
      </c>
      <c r="V78" s="18" t="s">
        <v>410</v>
      </c>
    </row>
    <row r="79" ht="12.75" customHeight="1">
      <c r="A79" s="5"/>
      <c r="B79" s="11" t="s">
        <v>413</v>
      </c>
      <c r="C79" s="11" t="s">
        <v>124</v>
      </c>
      <c r="D79" s="5"/>
      <c r="E79" s="22">
        <v>42440.0</v>
      </c>
      <c r="F79" s="6" t="s">
        <v>264</v>
      </c>
      <c r="G79" s="20" t="s">
        <v>265</v>
      </c>
      <c r="H79" s="6">
        <v>2016.0</v>
      </c>
      <c r="I79" s="6">
        <v>1.0</v>
      </c>
      <c r="J79" s="6">
        <v>0.0</v>
      </c>
      <c r="K79" s="10">
        <f t="shared" si="2"/>
        <v>1</v>
      </c>
      <c r="L79" s="19">
        <v>1.0</v>
      </c>
      <c r="M79" s="10" t="s">
        <v>414</v>
      </c>
      <c r="N79" s="15" t="s">
        <v>415</v>
      </c>
      <c r="O79" s="6">
        <v>48.0</v>
      </c>
      <c r="P79" s="6">
        <v>11.6</v>
      </c>
      <c r="Q79" s="10" t="str">
        <f t="shared" si="1"/>
        <v>48, 11.6</v>
      </c>
      <c r="R79" s="6"/>
      <c r="S79" s="10"/>
      <c r="T79" s="6"/>
      <c r="U79" s="6" t="s">
        <v>92</v>
      </c>
      <c r="V79" s="18" t="s">
        <v>417</v>
      </c>
    </row>
    <row r="80" ht="12.75" customHeight="1">
      <c r="A80" s="5"/>
      <c r="B80" s="11" t="s">
        <v>49</v>
      </c>
      <c r="C80" s="11" t="s">
        <v>50</v>
      </c>
      <c r="D80" s="5"/>
      <c r="E80" s="22">
        <v>42438.0</v>
      </c>
      <c r="F80" s="6" t="s">
        <v>264</v>
      </c>
      <c r="G80" s="20" t="s">
        <v>265</v>
      </c>
      <c r="H80" s="6">
        <v>2016.0</v>
      </c>
      <c r="I80" s="6">
        <v>1.0</v>
      </c>
      <c r="J80" s="6">
        <v>0.0</v>
      </c>
      <c r="K80" s="10">
        <f t="shared" si="2"/>
        <v>1</v>
      </c>
      <c r="L80" s="19">
        <v>1.0</v>
      </c>
      <c r="M80" s="10" t="s">
        <v>420</v>
      </c>
      <c r="N80" s="15" t="s">
        <v>182</v>
      </c>
      <c r="O80" s="6">
        <v>37.7</v>
      </c>
      <c r="P80" s="6">
        <v>27.01</v>
      </c>
      <c r="Q80" s="10" t="str">
        <f t="shared" si="1"/>
        <v>37.7, 27.01</v>
      </c>
      <c r="R80" s="6"/>
      <c r="S80" s="10"/>
      <c r="T80" s="6" t="s">
        <v>53</v>
      </c>
      <c r="U80" s="6" t="s">
        <v>54</v>
      </c>
      <c r="V80" s="18" t="s">
        <v>421</v>
      </c>
    </row>
    <row r="81" ht="12.75" customHeight="1">
      <c r="A81" s="5"/>
      <c r="B81" s="11" t="s">
        <v>49</v>
      </c>
      <c r="C81" s="11" t="s">
        <v>50</v>
      </c>
      <c r="D81" s="5"/>
      <c r="E81" s="22">
        <v>42438.0</v>
      </c>
      <c r="F81" s="6" t="s">
        <v>264</v>
      </c>
      <c r="G81" s="20" t="s">
        <v>265</v>
      </c>
      <c r="H81" s="6">
        <v>2016.0</v>
      </c>
      <c r="I81" s="6">
        <v>1.0</v>
      </c>
      <c r="J81" s="6">
        <v>0.0</v>
      </c>
      <c r="K81" s="10">
        <f t="shared" si="2"/>
        <v>1</v>
      </c>
      <c r="L81" s="19">
        <v>1.0</v>
      </c>
      <c r="M81" s="10" t="s">
        <v>424</v>
      </c>
      <c r="N81" s="15" t="s">
        <v>182</v>
      </c>
      <c r="O81" s="6">
        <v>37.7</v>
      </c>
      <c r="P81" s="6">
        <v>26.9</v>
      </c>
      <c r="Q81" s="10" t="str">
        <f t="shared" si="1"/>
        <v>37.7, 26.9</v>
      </c>
      <c r="R81" s="6"/>
      <c r="S81" s="10"/>
      <c r="T81" s="6" t="s">
        <v>53</v>
      </c>
      <c r="U81" s="6" t="s">
        <v>54</v>
      </c>
      <c r="V81" s="18" t="s">
        <v>425</v>
      </c>
    </row>
    <row r="82" ht="12.75" customHeight="1">
      <c r="A82" s="5"/>
      <c r="B82" s="11" t="s">
        <v>49</v>
      </c>
      <c r="C82" s="11" t="s">
        <v>50</v>
      </c>
      <c r="D82" s="5"/>
      <c r="E82" s="22">
        <v>42438.0</v>
      </c>
      <c r="F82" s="6" t="s">
        <v>264</v>
      </c>
      <c r="G82" s="20" t="s">
        <v>265</v>
      </c>
      <c r="H82" s="6">
        <v>2016.0</v>
      </c>
      <c r="I82" s="6">
        <v>5.0</v>
      </c>
      <c r="J82" s="6">
        <v>2.0</v>
      </c>
      <c r="K82" s="10">
        <f t="shared" si="2"/>
        <v>7</v>
      </c>
      <c r="L82" s="19">
        <v>1.0</v>
      </c>
      <c r="M82" s="10" t="s">
        <v>428</v>
      </c>
      <c r="N82" s="15"/>
      <c r="O82" s="6">
        <v>39.3</v>
      </c>
      <c r="P82" s="6">
        <v>26.4</v>
      </c>
      <c r="Q82" s="10" t="str">
        <f t="shared" si="1"/>
        <v>39.3, 26.4</v>
      </c>
      <c r="R82" s="6"/>
      <c r="S82" s="10"/>
      <c r="T82" s="6" t="s">
        <v>53</v>
      </c>
      <c r="U82" s="6" t="s">
        <v>430</v>
      </c>
      <c r="V82" s="23" t="s">
        <v>431</v>
      </c>
    </row>
    <row r="83" ht="12.75" customHeight="1">
      <c r="A83" s="5"/>
      <c r="B83" s="11" t="s">
        <v>49</v>
      </c>
      <c r="C83" s="11" t="s">
        <v>50</v>
      </c>
      <c r="D83" s="5"/>
      <c r="E83" s="22">
        <v>42435.0</v>
      </c>
      <c r="F83" s="6" t="s">
        <v>264</v>
      </c>
      <c r="G83" s="20" t="s">
        <v>265</v>
      </c>
      <c r="H83" s="6">
        <v>2016.0</v>
      </c>
      <c r="I83" s="6">
        <v>25.0</v>
      </c>
      <c r="J83" s="6">
        <v>0.0</v>
      </c>
      <c r="K83" s="10">
        <f t="shared" si="2"/>
        <v>25</v>
      </c>
      <c r="L83" s="19">
        <v>1.0</v>
      </c>
      <c r="M83" s="10" t="s">
        <v>434</v>
      </c>
      <c r="N83" s="15" t="s">
        <v>435</v>
      </c>
      <c r="O83" s="6">
        <v>37.3</v>
      </c>
      <c r="P83" s="6">
        <v>27.2</v>
      </c>
      <c r="Q83" s="10" t="str">
        <f t="shared" si="1"/>
        <v>37.3, 27.2</v>
      </c>
      <c r="R83" s="6"/>
      <c r="S83" s="10"/>
      <c r="T83" s="6" t="s">
        <v>53</v>
      </c>
      <c r="U83" s="6" t="s">
        <v>437</v>
      </c>
      <c r="V83" s="23" t="s">
        <v>438</v>
      </c>
    </row>
    <row r="84" ht="12.75" customHeight="1">
      <c r="A84" s="5"/>
      <c r="B84" s="11" t="s">
        <v>441</v>
      </c>
      <c r="C84" s="11" t="s">
        <v>42</v>
      </c>
      <c r="D84" s="5"/>
      <c r="E84" s="22">
        <v>42434.0</v>
      </c>
      <c r="F84" s="6" t="s">
        <v>264</v>
      </c>
      <c r="G84" s="20" t="s">
        <v>443</v>
      </c>
      <c r="H84" s="6">
        <v>2016.0</v>
      </c>
      <c r="I84" s="6">
        <v>10.0</v>
      </c>
      <c r="J84" s="6">
        <v>0.0</v>
      </c>
      <c r="K84" s="10">
        <f t="shared" si="2"/>
        <v>10</v>
      </c>
      <c r="L84" s="19">
        <v>0.0</v>
      </c>
      <c r="M84" s="10" t="s">
        <v>444</v>
      </c>
      <c r="N84" s="15" t="s">
        <v>445</v>
      </c>
      <c r="O84" s="6">
        <v>35.8</v>
      </c>
      <c r="P84" s="6">
        <v>36.4</v>
      </c>
      <c r="Q84" s="10" t="str">
        <f t="shared" si="1"/>
        <v>35.8, 36.4</v>
      </c>
      <c r="R84" s="6"/>
      <c r="S84" s="10"/>
      <c r="T84" s="6"/>
      <c r="U84" s="6" t="s">
        <v>447</v>
      </c>
      <c r="V84" s="23" t="s">
        <v>448</v>
      </c>
    </row>
    <row r="85" ht="12.75" customHeight="1">
      <c r="A85" s="5"/>
      <c r="B85" s="11" t="s">
        <v>68</v>
      </c>
      <c r="C85" s="11" t="s">
        <v>75</v>
      </c>
      <c r="D85" s="5"/>
      <c r="E85" s="22">
        <v>42431.0</v>
      </c>
      <c r="F85" s="6" t="s">
        <v>264</v>
      </c>
      <c r="G85" s="20" t="s">
        <v>265</v>
      </c>
      <c r="H85" s="6">
        <v>2016.0</v>
      </c>
      <c r="I85" s="6">
        <v>1.0</v>
      </c>
      <c r="J85" s="6">
        <v>0.0</v>
      </c>
      <c r="K85" s="10">
        <f t="shared" si="2"/>
        <v>1</v>
      </c>
      <c r="L85" s="19">
        <v>1.0</v>
      </c>
      <c r="M85" s="10" t="s">
        <v>450</v>
      </c>
      <c r="N85" s="15" t="s">
        <v>368</v>
      </c>
      <c r="O85" s="6">
        <v>39.09</v>
      </c>
      <c r="P85" s="6">
        <v>26.53</v>
      </c>
      <c r="Q85" s="10" t="str">
        <f t="shared" si="1"/>
        <v>39.09, 26.53</v>
      </c>
      <c r="R85" s="6"/>
      <c r="S85" s="10"/>
      <c r="T85" s="6" t="s">
        <v>53</v>
      </c>
      <c r="U85" s="6" t="s">
        <v>363</v>
      </c>
      <c r="V85" s="24"/>
    </row>
    <row r="86" ht="12.75" customHeight="1">
      <c r="A86" s="5"/>
      <c r="B86" s="11" t="s">
        <v>452</v>
      </c>
      <c r="C86" s="11" t="s">
        <v>124</v>
      </c>
      <c r="D86" s="5"/>
      <c r="E86" s="22">
        <v>42430.0</v>
      </c>
      <c r="F86" s="6" t="s">
        <v>264</v>
      </c>
      <c r="G86" s="20" t="s">
        <v>265</v>
      </c>
      <c r="H86" s="6">
        <v>2016.0</v>
      </c>
      <c r="I86" s="6">
        <v>42.0</v>
      </c>
      <c r="J86" s="6">
        <v>0.0</v>
      </c>
      <c r="K86" s="10">
        <f t="shared" si="2"/>
        <v>42</v>
      </c>
      <c r="L86" s="19">
        <v>0.0</v>
      </c>
      <c r="M86" s="10" t="s">
        <v>454</v>
      </c>
      <c r="N86" s="15" t="s">
        <v>455</v>
      </c>
      <c r="O86" s="6"/>
      <c r="P86" s="6"/>
      <c r="Q86" s="10" t="str">
        <f t="shared" si="1"/>
        <v>, </v>
      </c>
      <c r="R86" s="6"/>
      <c r="S86" s="10"/>
      <c r="T86" s="6"/>
      <c r="U86" s="6" t="s">
        <v>456</v>
      </c>
      <c r="V86" s="23" t="s">
        <v>457</v>
      </c>
    </row>
    <row r="87" ht="12.75" customHeight="1">
      <c r="A87" s="5"/>
      <c r="B87" s="11" t="s">
        <v>68</v>
      </c>
      <c r="C87" s="11" t="s">
        <v>69</v>
      </c>
      <c r="D87" s="5"/>
      <c r="E87" s="22">
        <v>42423.0</v>
      </c>
      <c r="F87" s="6" t="s">
        <v>264</v>
      </c>
      <c r="G87" s="20" t="s">
        <v>460</v>
      </c>
      <c r="H87" s="6">
        <v>2016.0</v>
      </c>
      <c r="I87" s="6">
        <v>5.0</v>
      </c>
      <c r="J87" s="6">
        <v>0.0</v>
      </c>
      <c r="K87" s="10">
        <f t="shared" si="2"/>
        <v>5</v>
      </c>
      <c r="L87" s="19">
        <v>1.0</v>
      </c>
      <c r="M87" s="10" t="s">
        <v>461</v>
      </c>
      <c r="N87" s="15" t="s">
        <v>188</v>
      </c>
      <c r="O87" s="6">
        <v>37.5</v>
      </c>
      <c r="P87" s="6">
        <v>11.9</v>
      </c>
      <c r="Q87" s="10" t="str">
        <f t="shared" si="1"/>
        <v>37.5, 11.9</v>
      </c>
      <c r="R87" s="6"/>
      <c r="S87" s="10"/>
      <c r="T87" s="6" t="s">
        <v>58</v>
      </c>
      <c r="U87" s="6" t="s">
        <v>117</v>
      </c>
      <c r="V87" s="24"/>
    </row>
    <row r="88" ht="12.75" customHeight="1">
      <c r="A88" s="5"/>
      <c r="B88" s="11" t="s">
        <v>452</v>
      </c>
      <c r="C88" s="11" t="s">
        <v>124</v>
      </c>
      <c r="D88" s="5"/>
      <c r="E88" s="22">
        <v>42417.0</v>
      </c>
      <c r="F88" s="6" t="s">
        <v>264</v>
      </c>
      <c r="G88" s="20" t="s">
        <v>460</v>
      </c>
      <c r="H88" s="6">
        <v>2016.0</v>
      </c>
      <c r="I88" s="6">
        <v>2.0</v>
      </c>
      <c r="J88" s="6">
        <v>0.0</v>
      </c>
      <c r="K88" s="10">
        <f t="shared" si="2"/>
        <v>2</v>
      </c>
      <c r="L88" s="19">
        <v>0.0</v>
      </c>
      <c r="M88" s="10" t="s">
        <v>463</v>
      </c>
      <c r="N88" s="15" t="s">
        <v>168</v>
      </c>
      <c r="O88" s="6">
        <v>36.7</v>
      </c>
      <c r="P88" s="6">
        <v>37.0</v>
      </c>
      <c r="Q88" s="10" t="str">
        <f t="shared" si="1"/>
        <v>36.7, 37</v>
      </c>
      <c r="R88" s="6"/>
      <c r="S88" s="10"/>
      <c r="T88" s="6"/>
      <c r="U88" s="6" t="s">
        <v>92</v>
      </c>
      <c r="V88" s="23" t="s">
        <v>464</v>
      </c>
    </row>
    <row r="89" ht="12.75" customHeight="1">
      <c r="A89" s="5"/>
      <c r="B89" s="11" t="s">
        <v>49</v>
      </c>
      <c r="C89" s="11" t="s">
        <v>50</v>
      </c>
      <c r="D89" s="5"/>
      <c r="E89" s="22">
        <v>42419.0</v>
      </c>
      <c r="F89" s="6" t="s">
        <v>264</v>
      </c>
      <c r="G89" s="20" t="s">
        <v>460</v>
      </c>
      <c r="H89" s="6">
        <v>2016.0</v>
      </c>
      <c r="I89" s="6">
        <v>2.0</v>
      </c>
      <c r="J89" s="6">
        <v>0.0</v>
      </c>
      <c r="K89" s="10">
        <f t="shared" si="2"/>
        <v>2</v>
      </c>
      <c r="L89" s="19">
        <v>1.0</v>
      </c>
      <c r="M89" s="10" t="s">
        <v>467</v>
      </c>
      <c r="N89" s="15" t="s">
        <v>468</v>
      </c>
      <c r="O89" s="6">
        <v>37.3</v>
      </c>
      <c r="P89" s="6">
        <v>13.4</v>
      </c>
      <c r="Q89" s="10" t="str">
        <f t="shared" si="1"/>
        <v>37.3, 13.4</v>
      </c>
      <c r="R89" s="6"/>
      <c r="S89" s="10"/>
      <c r="T89" s="6" t="s">
        <v>58</v>
      </c>
      <c r="U89" s="6" t="s">
        <v>92</v>
      </c>
      <c r="V89" s="23" t="s">
        <v>469</v>
      </c>
    </row>
    <row r="90" ht="12.75" customHeight="1">
      <c r="A90" s="5"/>
      <c r="B90" s="11" t="s">
        <v>68</v>
      </c>
      <c r="C90" s="11" t="s">
        <v>69</v>
      </c>
      <c r="D90" s="5"/>
      <c r="E90" s="22">
        <v>42417.0</v>
      </c>
      <c r="F90" s="6" t="s">
        <v>264</v>
      </c>
      <c r="G90" s="20" t="s">
        <v>460</v>
      </c>
      <c r="H90" s="6">
        <v>2016.0</v>
      </c>
      <c r="I90" s="6">
        <v>1.0</v>
      </c>
      <c r="J90" s="6">
        <v>0.0</v>
      </c>
      <c r="K90" s="10">
        <f t="shared" si="2"/>
        <v>1</v>
      </c>
      <c r="L90" s="19">
        <v>1.0</v>
      </c>
      <c r="M90" s="10" t="s">
        <v>472</v>
      </c>
      <c r="N90" s="25" t="s">
        <v>155</v>
      </c>
      <c r="O90" s="6">
        <v>38.3</v>
      </c>
      <c r="P90" s="6">
        <v>26.1</v>
      </c>
      <c r="Q90" s="10" t="str">
        <f t="shared" si="1"/>
        <v>38.3, 26.1</v>
      </c>
      <c r="R90" s="6"/>
      <c r="S90" s="10"/>
      <c r="T90" s="6" t="s">
        <v>53</v>
      </c>
      <c r="U90" s="6" t="s">
        <v>475</v>
      </c>
      <c r="V90" s="23" t="s">
        <v>476</v>
      </c>
    </row>
    <row r="91" ht="12.75" customHeight="1">
      <c r="A91" s="5"/>
      <c r="B91" s="11" t="s">
        <v>98</v>
      </c>
      <c r="C91" s="11" t="s">
        <v>62</v>
      </c>
      <c r="D91" s="5"/>
      <c r="E91" s="22">
        <v>42414.0</v>
      </c>
      <c r="F91" s="6" t="s">
        <v>264</v>
      </c>
      <c r="G91" s="20" t="s">
        <v>460</v>
      </c>
      <c r="H91" s="6">
        <v>2016.0</v>
      </c>
      <c r="I91" s="6">
        <v>1.0</v>
      </c>
      <c r="J91" s="6">
        <v>0.0</v>
      </c>
      <c r="K91" s="10">
        <f t="shared" si="2"/>
        <v>1</v>
      </c>
      <c r="L91" s="19">
        <v>1.0</v>
      </c>
      <c r="M91" s="10" t="s">
        <v>479</v>
      </c>
      <c r="N91" s="26" t="s">
        <v>480</v>
      </c>
      <c r="O91" s="6">
        <v>61.21</v>
      </c>
      <c r="P91" s="6">
        <v>17.12</v>
      </c>
      <c r="Q91" s="10" t="str">
        <f t="shared" si="1"/>
        <v>61.21, 17.12</v>
      </c>
      <c r="R91" s="6"/>
      <c r="S91" s="10"/>
      <c r="T91" s="6"/>
      <c r="U91" s="6" t="s">
        <v>254</v>
      </c>
      <c r="V91" s="23" t="s">
        <v>482</v>
      </c>
    </row>
    <row r="92" ht="12.75" customHeight="1">
      <c r="A92" s="5"/>
      <c r="B92" s="11" t="s">
        <v>485</v>
      </c>
      <c r="C92" s="11" t="s">
        <v>75</v>
      </c>
      <c r="D92" s="5"/>
      <c r="E92" s="22">
        <v>42401.0</v>
      </c>
      <c r="F92" s="6" t="s">
        <v>264</v>
      </c>
      <c r="G92" s="20" t="s">
        <v>460</v>
      </c>
      <c r="H92" s="6">
        <v>2016.0</v>
      </c>
      <c r="I92" s="6">
        <v>0.0</v>
      </c>
      <c r="J92" s="6">
        <v>1.0</v>
      </c>
      <c r="K92" s="10">
        <f t="shared" si="2"/>
        <v>1</v>
      </c>
      <c r="L92" s="19">
        <v>1.0</v>
      </c>
      <c r="M92" s="10" t="s">
        <v>486</v>
      </c>
      <c r="N92" s="26" t="s">
        <v>126</v>
      </c>
      <c r="O92" s="6">
        <v>50.9</v>
      </c>
      <c r="P92" s="6">
        <v>1.8</v>
      </c>
      <c r="Q92" s="10" t="str">
        <f t="shared" si="1"/>
        <v>50.9, 1.8</v>
      </c>
      <c r="R92" s="6"/>
      <c r="S92" s="10"/>
      <c r="T92" s="6"/>
      <c r="U92" s="6" t="s">
        <v>488</v>
      </c>
      <c r="V92" s="23" t="s">
        <v>489</v>
      </c>
    </row>
    <row r="93" ht="12.75" customHeight="1">
      <c r="A93" s="5"/>
      <c r="B93" s="11" t="s">
        <v>491</v>
      </c>
      <c r="C93" s="11" t="s">
        <v>75</v>
      </c>
      <c r="D93" s="5"/>
      <c r="E93" s="22">
        <v>42408.0</v>
      </c>
      <c r="F93" s="6" t="s">
        <v>264</v>
      </c>
      <c r="G93" s="20" t="s">
        <v>460</v>
      </c>
      <c r="H93" s="6">
        <v>2016.0</v>
      </c>
      <c r="I93" s="6">
        <v>1.0</v>
      </c>
      <c r="J93" s="6">
        <v>0.0</v>
      </c>
      <c r="K93" s="10">
        <f t="shared" si="2"/>
        <v>1</v>
      </c>
      <c r="L93" s="19">
        <v>1.0</v>
      </c>
      <c r="M93" s="10" t="s">
        <v>493</v>
      </c>
      <c r="N93" s="26" t="s">
        <v>494</v>
      </c>
      <c r="O93" s="6">
        <v>36.99</v>
      </c>
      <c r="P93" s="27">
        <v>35.26</v>
      </c>
      <c r="Q93" s="10" t="str">
        <f t="shared" si="1"/>
        <v>36.99, 35.26</v>
      </c>
      <c r="R93" s="6"/>
      <c r="S93" s="10"/>
      <c r="T93" s="6"/>
      <c r="U93" s="6" t="s">
        <v>495</v>
      </c>
      <c r="V93" s="23" t="s">
        <v>496</v>
      </c>
    </row>
    <row r="94" ht="12.75" customHeight="1">
      <c r="A94" s="5"/>
      <c r="B94" s="11" t="s">
        <v>49</v>
      </c>
      <c r="C94" s="11" t="s">
        <v>50</v>
      </c>
      <c r="D94" s="5"/>
      <c r="E94" s="28">
        <v>42410.0</v>
      </c>
      <c r="F94" s="6" t="s">
        <v>264</v>
      </c>
      <c r="G94" s="6" t="s">
        <v>460</v>
      </c>
      <c r="H94" s="6">
        <v>2016.0</v>
      </c>
      <c r="I94" s="6">
        <v>1.0</v>
      </c>
      <c r="J94" s="6">
        <v>0.0</v>
      </c>
      <c r="K94" s="10">
        <f t="shared" si="2"/>
        <v>1</v>
      </c>
      <c r="L94" s="29">
        <v>1.0</v>
      </c>
      <c r="M94" s="10" t="s">
        <v>500</v>
      </c>
      <c r="N94" s="26" t="s">
        <v>126</v>
      </c>
      <c r="O94" s="6">
        <v>50.9</v>
      </c>
      <c r="P94" s="6">
        <v>1.8</v>
      </c>
      <c r="Q94" s="10" t="str">
        <f t="shared" si="1"/>
        <v>50.9, 1.8</v>
      </c>
      <c r="R94" s="6"/>
      <c r="S94" s="10"/>
      <c r="T94" s="6"/>
      <c r="U94" s="6" t="s">
        <v>502</v>
      </c>
      <c r="V94" s="23" t="s">
        <v>503</v>
      </c>
    </row>
    <row r="95" ht="12.75" customHeight="1">
      <c r="A95" s="5"/>
      <c r="B95" s="11" t="s">
        <v>49</v>
      </c>
      <c r="C95" s="11" t="s">
        <v>50</v>
      </c>
      <c r="D95" s="5"/>
      <c r="E95" s="28">
        <v>42408.0</v>
      </c>
      <c r="F95" s="6" t="s">
        <v>264</v>
      </c>
      <c r="G95" s="6" t="s">
        <v>460</v>
      </c>
      <c r="H95" s="6">
        <v>2016.0</v>
      </c>
      <c r="I95" s="6">
        <v>27.0</v>
      </c>
      <c r="J95" s="6">
        <v>11.0</v>
      </c>
      <c r="K95" s="10">
        <f t="shared" si="2"/>
        <v>38</v>
      </c>
      <c r="L95" s="19">
        <v>1.0</v>
      </c>
      <c r="M95" s="10" t="s">
        <v>506</v>
      </c>
      <c r="N95" s="26" t="s">
        <v>507</v>
      </c>
      <c r="O95" s="6">
        <v>39.5</v>
      </c>
      <c r="P95" s="6">
        <v>26.9</v>
      </c>
      <c r="Q95" s="10" t="str">
        <f t="shared" si="1"/>
        <v>39.5, 26.9</v>
      </c>
      <c r="R95" s="6"/>
      <c r="S95" s="10"/>
      <c r="T95" s="6" t="s">
        <v>53</v>
      </c>
      <c r="U95" s="6" t="s">
        <v>430</v>
      </c>
      <c r="V95" s="23" t="s">
        <v>508</v>
      </c>
    </row>
    <row r="96" ht="12.75" customHeight="1">
      <c r="A96" s="5"/>
      <c r="B96" s="11" t="s">
        <v>74</v>
      </c>
      <c r="C96" s="11" t="s">
        <v>75</v>
      </c>
      <c r="D96" s="5"/>
      <c r="E96" s="28">
        <v>42407.0</v>
      </c>
      <c r="F96" s="6" t="s">
        <v>264</v>
      </c>
      <c r="G96" s="6" t="s">
        <v>460</v>
      </c>
      <c r="H96" s="6">
        <v>2016.0</v>
      </c>
      <c r="I96" s="6">
        <v>2.0</v>
      </c>
      <c r="J96" s="6">
        <v>0.0</v>
      </c>
      <c r="K96" s="10">
        <f t="shared" si="2"/>
        <v>2</v>
      </c>
      <c r="L96" s="30"/>
      <c r="M96" s="10" t="s">
        <v>513</v>
      </c>
      <c r="N96" s="26" t="s">
        <v>354</v>
      </c>
      <c r="O96" s="6">
        <v>41.9</v>
      </c>
      <c r="P96" s="6">
        <v>27.5</v>
      </c>
      <c r="Q96" s="10" t="str">
        <f t="shared" si="1"/>
        <v>41.9, 27.5</v>
      </c>
      <c r="R96" s="6"/>
      <c r="S96" s="10"/>
      <c r="T96" s="6" t="s">
        <v>65</v>
      </c>
      <c r="U96" s="6" t="s">
        <v>514</v>
      </c>
      <c r="V96" s="23" t="s">
        <v>515</v>
      </c>
    </row>
    <row r="97" ht="12.75" customHeight="1">
      <c r="A97" s="5"/>
      <c r="B97" s="11" t="s">
        <v>49</v>
      </c>
      <c r="C97" s="11" t="s">
        <v>50</v>
      </c>
      <c r="D97" s="5"/>
      <c r="E97" s="28">
        <v>42402.0</v>
      </c>
      <c r="F97" s="6" t="s">
        <v>264</v>
      </c>
      <c r="G97" s="6" t="s">
        <v>460</v>
      </c>
      <c r="H97" s="6">
        <v>2016.0</v>
      </c>
      <c r="I97" s="6">
        <v>9.0</v>
      </c>
      <c r="J97" s="6">
        <v>0.0</v>
      </c>
      <c r="K97" s="10">
        <f t="shared" si="2"/>
        <v>9</v>
      </c>
      <c r="L97" s="30"/>
      <c r="M97" s="10" t="s">
        <v>519</v>
      </c>
      <c r="N97" s="26" t="s">
        <v>520</v>
      </c>
      <c r="O97" s="6">
        <v>38.1</v>
      </c>
      <c r="P97" s="6">
        <v>26.8</v>
      </c>
      <c r="Q97" s="10" t="str">
        <f t="shared" si="1"/>
        <v>38.1, 26.8</v>
      </c>
      <c r="R97" s="6"/>
      <c r="S97" s="10"/>
      <c r="T97" s="6" t="s">
        <v>53</v>
      </c>
      <c r="U97" s="6" t="s">
        <v>521</v>
      </c>
      <c r="V97" s="23" t="s">
        <v>522</v>
      </c>
    </row>
    <row r="98" ht="12.75" customHeight="1">
      <c r="A98" s="5"/>
      <c r="B98" s="11" t="s">
        <v>49</v>
      </c>
      <c r="C98" s="11" t="s">
        <v>50</v>
      </c>
      <c r="D98" s="5"/>
      <c r="E98" s="28">
        <v>42400.0</v>
      </c>
      <c r="F98" s="6" t="s">
        <v>264</v>
      </c>
      <c r="G98" s="6" t="s">
        <v>525</v>
      </c>
      <c r="H98" s="6">
        <v>2016.0</v>
      </c>
      <c r="I98" s="6">
        <v>3.0</v>
      </c>
      <c r="J98" s="6">
        <v>0.0</v>
      </c>
      <c r="K98" s="10">
        <f t="shared" si="2"/>
        <v>3</v>
      </c>
      <c r="L98" s="19">
        <v>1.0</v>
      </c>
      <c r="M98" s="10" t="s">
        <v>526</v>
      </c>
      <c r="N98" s="26" t="s">
        <v>435</v>
      </c>
      <c r="O98" s="6">
        <v>37.3</v>
      </c>
      <c r="P98" s="6">
        <v>27.2</v>
      </c>
      <c r="Q98" s="10" t="str">
        <f t="shared" si="1"/>
        <v>37.3, 27.2</v>
      </c>
      <c r="R98" s="6"/>
      <c r="S98" s="10"/>
      <c r="T98" s="6" t="s">
        <v>53</v>
      </c>
      <c r="U98" s="6" t="s">
        <v>521</v>
      </c>
      <c r="V98" s="23" t="s">
        <v>528</v>
      </c>
    </row>
    <row r="99" ht="12.75" customHeight="1">
      <c r="A99" s="5"/>
      <c r="B99" s="11" t="s">
        <v>49</v>
      </c>
      <c r="C99" s="11" t="s">
        <v>50</v>
      </c>
      <c r="D99" s="5"/>
      <c r="E99" s="28">
        <v>42399.0</v>
      </c>
      <c r="F99" s="6" t="s">
        <v>264</v>
      </c>
      <c r="G99" s="6" t="s">
        <v>525</v>
      </c>
      <c r="H99" s="6">
        <v>2016.0</v>
      </c>
      <c r="I99" s="6">
        <v>6.0</v>
      </c>
      <c r="J99" s="6">
        <v>64.0</v>
      </c>
      <c r="K99" s="10">
        <f t="shared" si="2"/>
        <v>70</v>
      </c>
      <c r="L99" s="19">
        <v>1.0</v>
      </c>
      <c r="M99" s="10" t="s">
        <v>530</v>
      </c>
      <c r="N99" s="26" t="s">
        <v>188</v>
      </c>
      <c r="O99" s="6">
        <v>37.5</v>
      </c>
      <c r="P99" s="6">
        <v>11.9</v>
      </c>
      <c r="Q99" s="10" t="str">
        <f t="shared" si="1"/>
        <v>37.5, 11.9</v>
      </c>
      <c r="R99" s="6"/>
      <c r="S99" s="10"/>
      <c r="T99" s="6" t="s">
        <v>58</v>
      </c>
      <c r="U99" s="6" t="s">
        <v>117</v>
      </c>
      <c r="V99" s="24"/>
    </row>
    <row r="100" ht="12.75" customHeight="1">
      <c r="A100" s="5"/>
      <c r="B100" s="11" t="s">
        <v>49</v>
      </c>
      <c r="C100" s="11" t="s">
        <v>50</v>
      </c>
      <c r="D100" s="5"/>
      <c r="E100" s="28">
        <v>42399.0</v>
      </c>
      <c r="F100" s="6" t="s">
        <v>264</v>
      </c>
      <c r="G100" s="6" t="s">
        <v>525</v>
      </c>
      <c r="H100" s="6">
        <v>2016.0</v>
      </c>
      <c r="I100" s="6">
        <v>39.0</v>
      </c>
      <c r="J100" s="6">
        <v>0.0</v>
      </c>
      <c r="K100" s="10">
        <f t="shared" si="2"/>
        <v>39</v>
      </c>
      <c r="L100" s="30"/>
      <c r="M100" s="10" t="s">
        <v>533</v>
      </c>
      <c r="N100" s="26" t="s">
        <v>534</v>
      </c>
      <c r="O100" s="6">
        <v>39.4</v>
      </c>
      <c r="P100" s="6">
        <v>26.1</v>
      </c>
      <c r="Q100" s="10" t="str">
        <f t="shared" si="1"/>
        <v>39.4, 26.1</v>
      </c>
      <c r="R100" s="6"/>
      <c r="S100" s="10"/>
      <c r="T100" s="6" t="s">
        <v>53</v>
      </c>
      <c r="U100" s="6" t="s">
        <v>456</v>
      </c>
      <c r="V100" s="23" t="s">
        <v>535</v>
      </c>
    </row>
    <row r="101" ht="12.75" customHeight="1">
      <c r="A101" s="5"/>
      <c r="B101" s="11" t="s">
        <v>49</v>
      </c>
      <c r="C101" s="11" t="s">
        <v>50</v>
      </c>
      <c r="D101" s="5"/>
      <c r="E101" s="28">
        <v>42398.0</v>
      </c>
      <c r="F101" s="6" t="s">
        <v>264</v>
      </c>
      <c r="G101" s="6" t="s">
        <v>525</v>
      </c>
      <c r="H101" s="6">
        <v>2016.0</v>
      </c>
      <c r="I101" s="6">
        <v>1.0</v>
      </c>
      <c r="J101" s="6">
        <v>0.0</v>
      </c>
      <c r="K101" s="10">
        <f t="shared" si="2"/>
        <v>1</v>
      </c>
      <c r="L101" s="19">
        <v>1.0</v>
      </c>
      <c r="M101" s="10" t="s">
        <v>539</v>
      </c>
      <c r="N101" s="26" t="s">
        <v>182</v>
      </c>
      <c r="O101" s="6">
        <v>37.7</v>
      </c>
      <c r="P101" s="6">
        <v>26.8</v>
      </c>
      <c r="Q101" s="10" t="str">
        <f t="shared" si="1"/>
        <v>37.7, 26.8</v>
      </c>
      <c r="R101" s="6"/>
      <c r="S101" s="10"/>
      <c r="T101" s="6" t="s">
        <v>53</v>
      </c>
      <c r="U101" s="6" t="s">
        <v>370</v>
      </c>
      <c r="V101" s="23" t="s">
        <v>540</v>
      </c>
    </row>
    <row r="102" ht="12.75" customHeight="1">
      <c r="A102" s="5"/>
      <c r="B102" s="11" t="s">
        <v>49</v>
      </c>
      <c r="C102" s="11" t="s">
        <v>50</v>
      </c>
      <c r="D102" s="5"/>
      <c r="E102" s="28">
        <v>42398.0</v>
      </c>
      <c r="F102" s="6" t="s">
        <v>264</v>
      </c>
      <c r="G102" s="6" t="s">
        <v>525</v>
      </c>
      <c r="H102" s="6">
        <v>2016.0</v>
      </c>
      <c r="I102" s="6">
        <v>1.0</v>
      </c>
      <c r="J102" s="6">
        <v>0.0</v>
      </c>
      <c r="K102" s="10">
        <f t="shared" si="2"/>
        <v>1</v>
      </c>
      <c r="L102" s="19">
        <v>1.0</v>
      </c>
      <c r="M102" s="10" t="s">
        <v>543</v>
      </c>
      <c r="N102" s="26" t="s">
        <v>182</v>
      </c>
      <c r="O102" s="6">
        <v>37.7</v>
      </c>
      <c r="P102" s="6">
        <v>26.8</v>
      </c>
      <c r="Q102" s="10" t="str">
        <f t="shared" si="1"/>
        <v>37.7, 26.8</v>
      </c>
      <c r="R102" s="6"/>
      <c r="S102" s="10"/>
      <c r="T102" s="6" t="s">
        <v>53</v>
      </c>
      <c r="U102" s="6" t="s">
        <v>370</v>
      </c>
      <c r="V102" s="23" t="s">
        <v>545</v>
      </c>
    </row>
    <row r="103" ht="12.75" customHeight="1">
      <c r="A103" s="5"/>
      <c r="B103" s="11" t="s">
        <v>49</v>
      </c>
      <c r="C103" s="11" t="s">
        <v>50</v>
      </c>
      <c r="D103" s="5"/>
      <c r="E103" s="28">
        <v>42397.0</v>
      </c>
      <c r="F103" s="6" t="s">
        <v>264</v>
      </c>
      <c r="G103" s="6" t="s">
        <v>525</v>
      </c>
      <c r="H103" s="6">
        <v>2016.0</v>
      </c>
      <c r="I103" s="6">
        <v>6.0</v>
      </c>
      <c r="J103" s="6">
        <v>0.0</v>
      </c>
      <c r="K103" s="10">
        <f t="shared" si="2"/>
        <v>6</v>
      </c>
      <c r="L103" s="8"/>
      <c r="M103" s="10" t="s">
        <v>547</v>
      </c>
      <c r="N103" s="26"/>
      <c r="O103" s="6">
        <v>37.0</v>
      </c>
      <c r="P103" s="6">
        <v>16.0</v>
      </c>
      <c r="Q103" s="10" t="str">
        <f t="shared" si="1"/>
        <v>37, 16</v>
      </c>
      <c r="R103" s="6"/>
      <c r="S103" s="10"/>
      <c r="T103" s="6" t="s">
        <v>58</v>
      </c>
      <c r="U103" s="6" t="s">
        <v>92</v>
      </c>
      <c r="V103" s="23" t="s">
        <v>549</v>
      </c>
    </row>
    <row r="104" ht="12.75" customHeight="1">
      <c r="A104" s="5"/>
      <c r="B104" s="11" t="s">
        <v>49</v>
      </c>
      <c r="C104" s="11" t="s">
        <v>50</v>
      </c>
      <c r="D104" s="5"/>
      <c r="E104" s="28">
        <v>42397.0</v>
      </c>
      <c r="F104" s="6" t="s">
        <v>264</v>
      </c>
      <c r="G104" s="6" t="s">
        <v>525</v>
      </c>
      <c r="H104" s="6">
        <v>2016.0</v>
      </c>
      <c r="I104" s="6">
        <v>26.0</v>
      </c>
      <c r="J104" s="6">
        <v>11.0</v>
      </c>
      <c r="K104" s="10">
        <f t="shared" si="2"/>
        <v>37</v>
      </c>
      <c r="L104" s="8"/>
      <c r="M104" s="10" t="s">
        <v>552</v>
      </c>
      <c r="N104" s="26" t="s">
        <v>182</v>
      </c>
      <c r="O104" s="6">
        <v>37.7</v>
      </c>
      <c r="P104" s="6">
        <v>26.8</v>
      </c>
      <c r="Q104" s="10" t="str">
        <f t="shared" si="1"/>
        <v>37.7, 26.8</v>
      </c>
      <c r="R104" s="6"/>
      <c r="S104" s="10"/>
      <c r="T104" s="6" t="s">
        <v>53</v>
      </c>
      <c r="U104" s="6" t="s">
        <v>176</v>
      </c>
      <c r="V104" s="23" t="s">
        <v>554</v>
      </c>
    </row>
    <row r="105" ht="12.75" customHeight="1">
      <c r="A105" s="5"/>
      <c r="B105" s="11" t="s">
        <v>49</v>
      </c>
      <c r="C105" s="11" t="s">
        <v>50</v>
      </c>
      <c r="D105" s="5"/>
      <c r="E105" s="28">
        <v>42396.0</v>
      </c>
      <c r="F105" s="6" t="s">
        <v>264</v>
      </c>
      <c r="G105" s="6" t="s">
        <v>525</v>
      </c>
      <c r="H105" s="6">
        <v>2016.0</v>
      </c>
      <c r="I105" s="6">
        <v>7.0</v>
      </c>
      <c r="J105" s="6">
        <v>3.0</v>
      </c>
      <c r="K105" s="10">
        <f t="shared" si="2"/>
        <v>10</v>
      </c>
      <c r="L105" s="8"/>
      <c r="M105" s="10" t="s">
        <v>557</v>
      </c>
      <c r="N105" s="26" t="s">
        <v>203</v>
      </c>
      <c r="O105" s="6">
        <v>36.8</v>
      </c>
      <c r="P105" s="6">
        <v>27.2</v>
      </c>
      <c r="Q105" s="10" t="str">
        <f t="shared" si="1"/>
        <v>36.8, 27.2</v>
      </c>
      <c r="R105" s="6"/>
      <c r="S105" s="10"/>
      <c r="T105" s="6" t="s">
        <v>53</v>
      </c>
      <c r="U105" s="6" t="s">
        <v>92</v>
      </c>
      <c r="V105" s="23" t="s">
        <v>558</v>
      </c>
    </row>
    <row r="106" ht="12.75" customHeight="1">
      <c r="A106" s="5"/>
      <c r="B106" s="11" t="s">
        <v>49</v>
      </c>
      <c r="C106" s="11" t="s">
        <v>50</v>
      </c>
      <c r="D106" s="5"/>
      <c r="E106" s="28">
        <v>42395.0</v>
      </c>
      <c r="F106" s="6" t="s">
        <v>264</v>
      </c>
      <c r="G106" s="6" t="s">
        <v>525</v>
      </c>
      <c r="H106" s="6">
        <v>2016.0</v>
      </c>
      <c r="I106" s="6">
        <v>5.0</v>
      </c>
      <c r="J106" s="6">
        <v>0.0</v>
      </c>
      <c r="K106" s="10">
        <f t="shared" si="2"/>
        <v>5</v>
      </c>
      <c r="L106" s="8"/>
      <c r="M106" s="10" t="s">
        <v>563</v>
      </c>
      <c r="N106" s="26" t="s">
        <v>564</v>
      </c>
      <c r="O106" s="6">
        <v>37.3</v>
      </c>
      <c r="P106" s="6">
        <v>27.2</v>
      </c>
      <c r="Q106" s="10" t="str">
        <f t="shared" si="1"/>
        <v>37.3, 27.2</v>
      </c>
      <c r="R106" s="6"/>
      <c r="S106" s="10"/>
      <c r="T106" s="6" t="s">
        <v>53</v>
      </c>
      <c r="U106" s="6" t="s">
        <v>430</v>
      </c>
      <c r="V106" s="23" t="s">
        <v>566</v>
      </c>
    </row>
    <row r="107" ht="12.75" customHeight="1">
      <c r="A107" s="5"/>
      <c r="B107" s="11" t="s">
        <v>68</v>
      </c>
      <c r="C107" s="11" t="s">
        <v>69</v>
      </c>
      <c r="D107" s="5"/>
      <c r="E107" s="28">
        <v>42394.0</v>
      </c>
      <c r="F107" s="6" t="s">
        <v>264</v>
      </c>
      <c r="G107" s="6" t="s">
        <v>525</v>
      </c>
      <c r="H107" s="6">
        <v>2016.0</v>
      </c>
      <c r="I107" s="6">
        <v>1.0</v>
      </c>
      <c r="J107" s="6">
        <v>0.0</v>
      </c>
      <c r="K107" s="10">
        <f t="shared" si="2"/>
        <v>1</v>
      </c>
      <c r="L107" s="8">
        <v>1.0</v>
      </c>
      <c r="M107" s="10" t="s">
        <v>570</v>
      </c>
      <c r="N107" s="26" t="s">
        <v>572</v>
      </c>
      <c r="O107" s="6">
        <v>37.8</v>
      </c>
      <c r="P107" s="6">
        <v>12.6</v>
      </c>
      <c r="Q107" s="10" t="str">
        <f t="shared" si="1"/>
        <v>37.8, 12.6</v>
      </c>
      <c r="R107" s="6"/>
      <c r="S107" s="10"/>
      <c r="T107" s="6" t="s">
        <v>58</v>
      </c>
      <c r="U107" s="6" t="s">
        <v>180</v>
      </c>
      <c r="V107" s="24"/>
    </row>
    <row r="108" ht="12.75" customHeight="1">
      <c r="A108" s="5"/>
      <c r="B108" s="11" t="s">
        <v>61</v>
      </c>
      <c r="C108" s="11" t="s">
        <v>62</v>
      </c>
      <c r="D108" s="5"/>
      <c r="E108" s="28">
        <v>42394.0</v>
      </c>
      <c r="F108" s="6" t="s">
        <v>264</v>
      </c>
      <c r="G108" s="6" t="s">
        <v>525</v>
      </c>
      <c r="H108" s="6">
        <v>2016.0</v>
      </c>
      <c r="I108" s="6">
        <v>1.0</v>
      </c>
      <c r="J108" s="6">
        <v>0.0</v>
      </c>
      <c r="K108" s="10">
        <f t="shared" si="2"/>
        <v>1</v>
      </c>
      <c r="L108" s="8">
        <v>1.0</v>
      </c>
      <c r="M108" s="10" t="s">
        <v>574</v>
      </c>
      <c r="N108" s="26" t="s">
        <v>575</v>
      </c>
      <c r="O108" s="6">
        <v>41.0</v>
      </c>
      <c r="P108" s="6">
        <v>22.4</v>
      </c>
      <c r="Q108" s="10" t="str">
        <f t="shared" si="1"/>
        <v>41, 22.4</v>
      </c>
      <c r="R108" s="6"/>
      <c r="S108" s="10"/>
      <c r="T108" s="6" t="s">
        <v>65</v>
      </c>
      <c r="U108" s="6" t="s">
        <v>254</v>
      </c>
      <c r="V108" s="23" t="s">
        <v>576</v>
      </c>
    </row>
    <row r="109" ht="12.75" customHeight="1">
      <c r="A109" s="5"/>
      <c r="B109" s="11" t="s">
        <v>49</v>
      </c>
      <c r="C109" s="11" t="s">
        <v>50</v>
      </c>
      <c r="D109" s="5"/>
      <c r="E109" s="28">
        <v>42395.0</v>
      </c>
      <c r="F109" s="6" t="s">
        <v>264</v>
      </c>
      <c r="G109" s="6" t="s">
        <v>525</v>
      </c>
      <c r="H109" s="6">
        <v>2016.0</v>
      </c>
      <c r="I109" s="6">
        <v>1.0</v>
      </c>
      <c r="J109" s="6">
        <v>0.0</v>
      </c>
      <c r="K109" s="10">
        <f t="shared" si="2"/>
        <v>1</v>
      </c>
      <c r="L109" s="8">
        <v>1.0</v>
      </c>
      <c r="M109" s="10" t="s">
        <v>581</v>
      </c>
      <c r="N109" s="26" t="s">
        <v>182</v>
      </c>
      <c r="O109" s="6">
        <v>37.7</v>
      </c>
      <c r="P109" s="6">
        <v>26.8</v>
      </c>
      <c r="Q109" s="10" t="str">
        <f t="shared" si="1"/>
        <v>37.7, 26.8</v>
      </c>
      <c r="R109" s="6"/>
      <c r="S109" s="10"/>
      <c r="T109" s="6" t="s">
        <v>53</v>
      </c>
      <c r="U109" s="6" t="s">
        <v>370</v>
      </c>
      <c r="V109" s="23" t="s">
        <v>583</v>
      </c>
    </row>
    <row r="110" ht="12.75" customHeight="1">
      <c r="A110" s="5"/>
      <c r="B110" s="11" t="s">
        <v>49</v>
      </c>
      <c r="C110" s="11" t="s">
        <v>50</v>
      </c>
      <c r="D110" s="5"/>
      <c r="E110" s="28">
        <v>42393.0</v>
      </c>
      <c r="F110" s="6" t="s">
        <v>264</v>
      </c>
      <c r="G110" s="6" t="s">
        <v>525</v>
      </c>
      <c r="H110" s="6">
        <v>2016.0</v>
      </c>
      <c r="I110" s="6">
        <v>2.0</v>
      </c>
      <c r="J110" s="6">
        <v>0.0</v>
      </c>
      <c r="K110" s="10">
        <f t="shared" si="2"/>
        <v>2</v>
      </c>
      <c r="L110" s="8">
        <v>1.0</v>
      </c>
      <c r="M110" s="10" t="s">
        <v>587</v>
      </c>
      <c r="N110" s="26" t="s">
        <v>182</v>
      </c>
      <c r="O110" s="6">
        <v>37.7</v>
      </c>
      <c r="P110" s="6">
        <v>26.8</v>
      </c>
      <c r="Q110" s="10" t="str">
        <f t="shared" si="1"/>
        <v>37.7, 26.8</v>
      </c>
      <c r="R110" s="6"/>
      <c r="S110" s="10"/>
      <c r="T110" s="6" t="s">
        <v>53</v>
      </c>
      <c r="U110" s="6" t="s">
        <v>370</v>
      </c>
      <c r="V110" s="23" t="s">
        <v>588</v>
      </c>
    </row>
    <row r="111" ht="12.75" customHeight="1">
      <c r="A111" s="5"/>
      <c r="B111" s="11" t="s">
        <v>49</v>
      </c>
      <c r="C111" s="11" t="s">
        <v>50</v>
      </c>
      <c r="D111" s="5"/>
      <c r="E111" s="28">
        <v>42393.0</v>
      </c>
      <c r="F111" s="6" t="s">
        <v>264</v>
      </c>
      <c r="G111" s="6" t="s">
        <v>525</v>
      </c>
      <c r="H111" s="6">
        <v>2016.0</v>
      </c>
      <c r="I111" s="6">
        <v>1.0</v>
      </c>
      <c r="J111" s="6">
        <v>0.0</v>
      </c>
      <c r="K111" s="10">
        <f t="shared" si="2"/>
        <v>1</v>
      </c>
      <c r="L111" s="8">
        <v>1.0</v>
      </c>
      <c r="M111" s="10" t="s">
        <v>590</v>
      </c>
      <c r="N111" s="26" t="s">
        <v>591</v>
      </c>
      <c r="O111" s="6">
        <v>38.8</v>
      </c>
      <c r="P111" s="6">
        <v>26.4</v>
      </c>
      <c r="Q111" s="10" t="str">
        <f t="shared" si="1"/>
        <v>38.8, 26.4</v>
      </c>
      <c r="R111" s="6"/>
      <c r="S111" s="10"/>
      <c r="T111" s="6" t="s">
        <v>53</v>
      </c>
      <c r="U111" s="6" t="s">
        <v>370</v>
      </c>
      <c r="V111" s="23" t="s">
        <v>588</v>
      </c>
    </row>
    <row r="112" ht="12.75" customHeight="1">
      <c r="A112" s="5"/>
      <c r="B112" s="11" t="s">
        <v>49</v>
      </c>
      <c r="C112" s="11" t="s">
        <v>50</v>
      </c>
      <c r="D112" s="5"/>
      <c r="E112" s="28">
        <v>42393.0</v>
      </c>
      <c r="F112" s="6" t="s">
        <v>264</v>
      </c>
      <c r="G112" s="6" t="s">
        <v>525</v>
      </c>
      <c r="H112" s="6">
        <v>2016.0</v>
      </c>
      <c r="I112" s="6">
        <v>1.0</v>
      </c>
      <c r="J112" s="6">
        <v>0.0</v>
      </c>
      <c r="K112" s="10">
        <f t="shared" si="2"/>
        <v>1</v>
      </c>
      <c r="L112" s="8">
        <v>1.0</v>
      </c>
      <c r="M112" s="10" t="s">
        <v>595</v>
      </c>
      <c r="N112" s="26" t="s">
        <v>596</v>
      </c>
      <c r="O112" s="6">
        <v>39.1</v>
      </c>
      <c r="P112" s="6">
        <v>26.21</v>
      </c>
      <c r="Q112" s="10" t="str">
        <f t="shared" si="1"/>
        <v>39.1, 26.21</v>
      </c>
      <c r="R112" s="6"/>
      <c r="S112" s="10"/>
      <c r="T112" s="6" t="s">
        <v>53</v>
      </c>
      <c r="U112" s="6" t="s">
        <v>370</v>
      </c>
      <c r="V112" s="23" t="s">
        <v>597</v>
      </c>
    </row>
    <row r="113" ht="12.75" customHeight="1">
      <c r="A113" s="5"/>
      <c r="B113" s="11" t="s">
        <v>68</v>
      </c>
      <c r="C113" s="11" t="s">
        <v>69</v>
      </c>
      <c r="D113" s="5"/>
      <c r="E113" s="28">
        <v>42392.0</v>
      </c>
      <c r="F113" s="6" t="s">
        <v>264</v>
      </c>
      <c r="G113" s="6" t="s">
        <v>525</v>
      </c>
      <c r="H113" s="6">
        <v>2016.0</v>
      </c>
      <c r="I113" s="6">
        <v>2.0</v>
      </c>
      <c r="J113" s="6">
        <v>0.0</v>
      </c>
      <c r="K113" s="10">
        <f t="shared" si="2"/>
        <v>2</v>
      </c>
      <c r="L113" s="8">
        <v>1.0</v>
      </c>
      <c r="M113" s="10" t="s">
        <v>601</v>
      </c>
      <c r="N113" s="26" t="s">
        <v>602</v>
      </c>
      <c r="O113" s="6">
        <v>42.42</v>
      </c>
      <c r="P113" s="6">
        <v>22.49</v>
      </c>
      <c r="Q113" s="10" t="str">
        <f t="shared" si="1"/>
        <v>42.42, 22.49</v>
      </c>
      <c r="R113" s="6"/>
      <c r="S113" s="10"/>
      <c r="T113" s="6" t="s">
        <v>65</v>
      </c>
      <c r="U113" s="6" t="s">
        <v>88</v>
      </c>
      <c r="V113" s="23" t="s">
        <v>604</v>
      </c>
    </row>
    <row r="114" ht="12.75" customHeight="1">
      <c r="A114" s="5"/>
      <c r="B114" s="11" t="s">
        <v>293</v>
      </c>
      <c r="C114" s="11" t="s">
        <v>124</v>
      </c>
      <c r="D114" s="5"/>
      <c r="E114" s="28">
        <v>42392.0</v>
      </c>
      <c r="F114" s="6" t="s">
        <v>264</v>
      </c>
      <c r="G114" s="6" t="s">
        <v>525</v>
      </c>
      <c r="H114" s="6">
        <v>2016.0</v>
      </c>
      <c r="I114" s="6">
        <v>1.0</v>
      </c>
      <c r="J114" s="6">
        <v>0.0</v>
      </c>
      <c r="K114" s="10">
        <f t="shared" si="2"/>
        <v>1</v>
      </c>
      <c r="L114" s="8">
        <v>1.0</v>
      </c>
      <c r="M114" s="10" t="s">
        <v>608</v>
      </c>
      <c r="N114" s="26" t="s">
        <v>609</v>
      </c>
      <c r="O114" s="6">
        <v>43.56</v>
      </c>
      <c r="P114" s="6">
        <v>13.57</v>
      </c>
      <c r="Q114" s="10" t="str">
        <f t="shared" si="1"/>
        <v>43.56, 13.57</v>
      </c>
      <c r="R114" s="6"/>
      <c r="S114" s="10"/>
      <c r="T114" s="6"/>
      <c r="U114" s="6" t="s">
        <v>611</v>
      </c>
      <c r="V114" s="23" t="s">
        <v>612</v>
      </c>
    </row>
    <row r="115" ht="12.75" customHeight="1">
      <c r="A115" s="5"/>
      <c r="B115" s="11" t="s">
        <v>49</v>
      </c>
      <c r="C115" s="11" t="s">
        <v>50</v>
      </c>
      <c r="D115" s="5"/>
      <c r="E115" s="28">
        <v>42392.0</v>
      </c>
      <c r="F115" s="6" t="s">
        <v>264</v>
      </c>
      <c r="G115" s="6" t="s">
        <v>525</v>
      </c>
      <c r="H115" s="6">
        <v>2016.0</v>
      </c>
      <c r="I115" s="6">
        <v>1.0</v>
      </c>
      <c r="J115" s="6">
        <v>0.0</v>
      </c>
      <c r="K115" s="10">
        <f t="shared" si="2"/>
        <v>1</v>
      </c>
      <c r="L115" s="8">
        <v>1.0</v>
      </c>
      <c r="M115" s="10" t="s">
        <v>616</v>
      </c>
      <c r="N115" s="26" t="s">
        <v>182</v>
      </c>
      <c r="O115" s="6">
        <v>37.7</v>
      </c>
      <c r="P115" s="6">
        <v>26.8</v>
      </c>
      <c r="Q115" s="10" t="str">
        <f t="shared" si="1"/>
        <v>37.7, 26.8</v>
      </c>
      <c r="R115" s="6"/>
      <c r="S115" s="10"/>
      <c r="T115" s="6" t="s">
        <v>53</v>
      </c>
      <c r="U115" s="6" t="s">
        <v>370</v>
      </c>
      <c r="V115" s="23" t="s">
        <v>618</v>
      </c>
    </row>
    <row r="116" ht="12.75" customHeight="1">
      <c r="A116" s="5"/>
      <c r="B116" s="11" t="s">
        <v>49</v>
      </c>
      <c r="C116" s="11" t="s">
        <v>50</v>
      </c>
      <c r="D116" s="5"/>
      <c r="E116" s="28">
        <v>42391.0</v>
      </c>
      <c r="F116" s="6" t="s">
        <v>264</v>
      </c>
      <c r="G116" s="6" t="s">
        <v>525</v>
      </c>
      <c r="H116" s="6">
        <v>2016.0</v>
      </c>
      <c r="I116" s="6">
        <v>8.0</v>
      </c>
      <c r="J116" s="6">
        <v>0.0</v>
      </c>
      <c r="K116" s="10">
        <f t="shared" si="2"/>
        <v>8</v>
      </c>
      <c r="L116" s="8"/>
      <c r="M116" s="10" t="s">
        <v>620</v>
      </c>
      <c r="N116" s="26" t="s">
        <v>622</v>
      </c>
      <c r="O116" s="6">
        <v>37.2</v>
      </c>
      <c r="P116" s="6">
        <v>26.8</v>
      </c>
      <c r="Q116" s="10" t="str">
        <f t="shared" si="1"/>
        <v>37.2, 26.8</v>
      </c>
      <c r="R116" s="6"/>
      <c r="S116" s="10"/>
      <c r="T116" s="6" t="s">
        <v>53</v>
      </c>
      <c r="U116" s="6" t="s">
        <v>254</v>
      </c>
      <c r="V116" s="23" t="s">
        <v>623</v>
      </c>
    </row>
    <row r="117" ht="12.75" customHeight="1">
      <c r="A117" s="5"/>
      <c r="B117" s="11" t="s">
        <v>49</v>
      </c>
      <c r="C117" s="11" t="s">
        <v>50</v>
      </c>
      <c r="D117" s="5"/>
      <c r="E117" s="28">
        <v>42391.0</v>
      </c>
      <c r="F117" s="6" t="s">
        <v>264</v>
      </c>
      <c r="G117" s="6" t="s">
        <v>525</v>
      </c>
      <c r="H117" s="6">
        <v>2016.0</v>
      </c>
      <c r="I117" s="6">
        <v>35.0</v>
      </c>
      <c r="J117" s="6">
        <v>0.0</v>
      </c>
      <c r="K117" s="10">
        <f t="shared" si="2"/>
        <v>35</v>
      </c>
      <c r="L117" s="8"/>
      <c r="M117" s="10" t="s">
        <v>626</v>
      </c>
      <c r="N117" s="26" t="s">
        <v>374</v>
      </c>
      <c r="O117" s="6">
        <v>36.9</v>
      </c>
      <c r="P117" s="6">
        <v>26.9</v>
      </c>
      <c r="Q117" s="10" t="str">
        <f t="shared" si="1"/>
        <v>36.9, 26.9</v>
      </c>
      <c r="R117" s="6"/>
      <c r="S117" s="10"/>
      <c r="T117" s="6" t="s">
        <v>53</v>
      </c>
      <c r="U117" s="6" t="s">
        <v>92</v>
      </c>
      <c r="V117" s="23" t="s">
        <v>627</v>
      </c>
    </row>
    <row r="118" ht="12.75" customHeight="1">
      <c r="A118" s="5"/>
      <c r="B118" s="11" t="s">
        <v>49</v>
      </c>
      <c r="C118" s="11" t="s">
        <v>50</v>
      </c>
      <c r="D118" s="5"/>
      <c r="E118" s="28">
        <v>42390.0</v>
      </c>
      <c r="F118" s="6" t="s">
        <v>264</v>
      </c>
      <c r="G118" s="6" t="s">
        <v>525</v>
      </c>
      <c r="H118" s="6">
        <v>2016.0</v>
      </c>
      <c r="I118" s="6">
        <v>13.0</v>
      </c>
      <c r="J118" s="6">
        <v>11.0</v>
      </c>
      <c r="K118" s="10">
        <f t="shared" si="2"/>
        <v>24</v>
      </c>
      <c r="L118" s="8"/>
      <c r="M118" s="10" t="s">
        <v>630</v>
      </c>
      <c r="N118" s="26" t="s">
        <v>631</v>
      </c>
      <c r="O118" s="6">
        <v>36.8</v>
      </c>
      <c r="P118" s="6">
        <v>26.7</v>
      </c>
      <c r="Q118" s="10" t="str">
        <f t="shared" si="1"/>
        <v>36.8, 26.7</v>
      </c>
      <c r="R118" s="6"/>
      <c r="S118" s="10"/>
      <c r="T118" s="6" t="s">
        <v>53</v>
      </c>
      <c r="U118" s="6" t="s">
        <v>456</v>
      </c>
      <c r="V118" s="23" t="s">
        <v>633</v>
      </c>
    </row>
    <row r="119" ht="12.75" customHeight="1">
      <c r="A119" s="5"/>
      <c r="B119" s="11" t="s">
        <v>636</v>
      </c>
      <c r="C119" s="11" t="s">
        <v>50</v>
      </c>
      <c r="D119" s="5"/>
      <c r="E119" s="28">
        <v>42390.0</v>
      </c>
      <c r="F119" s="6" t="s">
        <v>264</v>
      </c>
      <c r="G119" s="6" t="s">
        <v>525</v>
      </c>
      <c r="H119" s="6">
        <v>2016.0</v>
      </c>
      <c r="I119" s="6">
        <v>3.0</v>
      </c>
      <c r="J119" s="6">
        <v>0.0</v>
      </c>
      <c r="K119" s="10">
        <f t="shared" si="2"/>
        <v>3</v>
      </c>
      <c r="L119" s="8"/>
      <c r="M119" s="10" t="s">
        <v>638</v>
      </c>
      <c r="N119" s="26" t="s">
        <v>596</v>
      </c>
      <c r="O119" s="6">
        <v>39.1</v>
      </c>
      <c r="P119" s="6">
        <v>26.21</v>
      </c>
      <c r="Q119" s="10" t="str">
        <f t="shared" si="1"/>
        <v>39.1, 26.21</v>
      </c>
      <c r="R119" s="6"/>
      <c r="S119" s="10"/>
      <c r="T119" s="6" t="s">
        <v>53</v>
      </c>
      <c r="U119" s="6" t="s">
        <v>92</v>
      </c>
      <c r="V119" s="23" t="s">
        <v>640</v>
      </c>
    </row>
    <row r="120" ht="12.75" customHeight="1">
      <c r="A120" s="5"/>
      <c r="B120" s="11" t="s">
        <v>68</v>
      </c>
      <c r="C120" s="11" t="s">
        <v>69</v>
      </c>
      <c r="D120" s="5"/>
      <c r="E120" s="28">
        <v>42389.0</v>
      </c>
      <c r="F120" s="6" t="s">
        <v>264</v>
      </c>
      <c r="G120" s="6" t="s">
        <v>525</v>
      </c>
      <c r="H120" s="6">
        <v>2016.0</v>
      </c>
      <c r="I120" s="6">
        <v>1.0</v>
      </c>
      <c r="J120" s="6">
        <v>0.0</v>
      </c>
      <c r="K120" s="10">
        <f t="shared" si="2"/>
        <v>1</v>
      </c>
      <c r="L120" s="8">
        <v>1.0</v>
      </c>
      <c r="M120" s="10" t="s">
        <v>601</v>
      </c>
      <c r="N120" s="26" t="s">
        <v>602</v>
      </c>
      <c r="O120" s="6">
        <v>42.42</v>
      </c>
      <c r="P120" s="6">
        <v>22.49</v>
      </c>
      <c r="Q120" s="10" t="str">
        <f t="shared" si="1"/>
        <v>42.42, 22.49</v>
      </c>
      <c r="R120" s="6"/>
      <c r="S120" s="10"/>
      <c r="T120" s="6" t="s">
        <v>65</v>
      </c>
      <c r="U120" s="6" t="s">
        <v>88</v>
      </c>
      <c r="V120" s="23" t="s">
        <v>604</v>
      </c>
    </row>
    <row r="121" ht="12.75" customHeight="1">
      <c r="A121" s="5"/>
      <c r="B121" s="11" t="s">
        <v>49</v>
      </c>
      <c r="C121" s="11" t="s">
        <v>50</v>
      </c>
      <c r="D121" s="5"/>
      <c r="E121" s="28">
        <v>42387.0</v>
      </c>
      <c r="F121" s="6" t="s">
        <v>264</v>
      </c>
      <c r="G121" s="6" t="s">
        <v>525</v>
      </c>
      <c r="H121" s="6">
        <v>2016.0</v>
      </c>
      <c r="I121" s="6">
        <v>1.0</v>
      </c>
      <c r="J121" s="6">
        <v>8.0</v>
      </c>
      <c r="K121" s="10">
        <f t="shared" si="2"/>
        <v>9</v>
      </c>
      <c r="L121" s="8">
        <v>1.0</v>
      </c>
      <c r="M121" s="10" t="s">
        <v>647</v>
      </c>
      <c r="N121" s="26" t="s">
        <v>648</v>
      </c>
      <c r="O121" s="6">
        <v>37.5</v>
      </c>
      <c r="P121" s="6">
        <v>11.9</v>
      </c>
      <c r="Q121" s="10" t="str">
        <f t="shared" si="1"/>
        <v>37.5, 11.9</v>
      </c>
      <c r="R121" s="6"/>
      <c r="S121" s="10"/>
      <c r="T121" s="6" t="s">
        <v>58</v>
      </c>
      <c r="U121" s="6" t="s">
        <v>117</v>
      </c>
      <c r="V121" s="23" t="s">
        <v>650</v>
      </c>
    </row>
    <row r="122" ht="12.75" customHeight="1">
      <c r="A122" s="5"/>
      <c r="B122" s="11" t="s">
        <v>49</v>
      </c>
      <c r="C122" s="11" t="s">
        <v>50</v>
      </c>
      <c r="D122" s="5"/>
      <c r="E122" s="28">
        <v>42387.0</v>
      </c>
      <c r="F122" s="6" t="s">
        <v>264</v>
      </c>
      <c r="G122" s="6" t="s">
        <v>525</v>
      </c>
      <c r="H122" s="6">
        <v>2016.0</v>
      </c>
      <c r="I122" s="6">
        <v>1.0</v>
      </c>
      <c r="J122" s="6">
        <v>0.0</v>
      </c>
      <c r="K122" s="10">
        <f t="shared" si="2"/>
        <v>1</v>
      </c>
      <c r="L122" s="8">
        <v>1.0</v>
      </c>
      <c r="M122" s="10" t="s">
        <v>654</v>
      </c>
      <c r="N122" s="26" t="s">
        <v>655</v>
      </c>
      <c r="O122" s="6">
        <v>39.6</v>
      </c>
      <c r="P122" s="6">
        <v>26.5</v>
      </c>
      <c r="Q122" s="10" t="str">
        <f t="shared" si="1"/>
        <v>39.6, 26.5</v>
      </c>
      <c r="R122" s="6"/>
      <c r="S122" s="10"/>
      <c r="T122" s="6" t="s">
        <v>53</v>
      </c>
      <c r="U122" s="6" t="s">
        <v>370</v>
      </c>
      <c r="V122" s="23" t="s">
        <v>656</v>
      </c>
    </row>
    <row r="123" ht="12.75" customHeight="1">
      <c r="A123" s="5"/>
      <c r="B123" s="11" t="s">
        <v>658</v>
      </c>
      <c r="C123" s="11" t="s">
        <v>75</v>
      </c>
      <c r="D123" s="5"/>
      <c r="E123" s="28">
        <v>42387.0</v>
      </c>
      <c r="F123" s="6" t="s">
        <v>264</v>
      </c>
      <c r="G123" s="6" t="s">
        <v>525</v>
      </c>
      <c r="H123" s="6">
        <v>2016.0</v>
      </c>
      <c r="I123" s="6">
        <v>1.0</v>
      </c>
      <c r="J123" s="6">
        <v>0.0</v>
      </c>
      <c r="K123" s="10">
        <f t="shared" si="2"/>
        <v>1</v>
      </c>
      <c r="L123" s="8"/>
      <c r="M123" s="10" t="s">
        <v>660</v>
      </c>
      <c r="N123" s="26" t="s">
        <v>126</v>
      </c>
      <c r="O123" s="6">
        <v>50.9</v>
      </c>
      <c r="P123" s="6">
        <v>1.8</v>
      </c>
      <c r="Q123" s="10" t="str">
        <f t="shared" si="1"/>
        <v>50.9, 1.8</v>
      </c>
      <c r="R123" s="6"/>
      <c r="S123" s="10"/>
      <c r="T123" s="6"/>
      <c r="U123" s="6" t="s">
        <v>662</v>
      </c>
      <c r="V123" s="23" t="s">
        <v>663</v>
      </c>
    </row>
    <row r="124" ht="12.75" customHeight="1">
      <c r="A124" s="5"/>
      <c r="B124" s="11" t="s">
        <v>74</v>
      </c>
      <c r="C124" s="11" t="s">
        <v>75</v>
      </c>
      <c r="D124" s="5"/>
      <c r="E124" s="28">
        <v>42386.0</v>
      </c>
      <c r="F124" s="6" t="s">
        <v>264</v>
      </c>
      <c r="G124" s="6" t="s">
        <v>525</v>
      </c>
      <c r="H124" s="6">
        <v>2016.0</v>
      </c>
      <c r="I124" s="6">
        <v>1.0</v>
      </c>
      <c r="J124" s="6">
        <v>0.0</v>
      </c>
      <c r="K124" s="10">
        <f t="shared" si="2"/>
        <v>1</v>
      </c>
      <c r="L124" s="8">
        <v>1.0</v>
      </c>
      <c r="M124" s="10" t="s">
        <v>670</v>
      </c>
      <c r="N124" s="26" t="s">
        <v>671</v>
      </c>
      <c r="O124" s="6">
        <v>66.9</v>
      </c>
      <c r="P124" s="6">
        <v>29.02</v>
      </c>
      <c r="Q124" s="10" t="str">
        <f t="shared" si="1"/>
        <v>66.9, 29.02</v>
      </c>
      <c r="R124" s="6"/>
      <c r="S124" s="10"/>
      <c r="T124" s="6"/>
      <c r="U124" s="6" t="s">
        <v>673</v>
      </c>
      <c r="V124" s="23" t="s">
        <v>674</v>
      </c>
    </row>
    <row r="125" ht="12.75" customHeight="1">
      <c r="A125" s="5"/>
      <c r="B125" s="11" t="s">
        <v>211</v>
      </c>
      <c r="C125" s="11" t="s">
        <v>211</v>
      </c>
      <c r="D125" s="5"/>
      <c r="E125" s="28">
        <v>42385.0</v>
      </c>
      <c r="F125" s="6" t="s">
        <v>264</v>
      </c>
      <c r="G125" s="6" t="s">
        <v>525</v>
      </c>
      <c r="H125" s="6">
        <v>2016.0</v>
      </c>
      <c r="I125" s="6">
        <v>1.0</v>
      </c>
      <c r="J125" s="6">
        <v>0.0</v>
      </c>
      <c r="K125" s="10">
        <f t="shared" si="2"/>
        <v>1</v>
      </c>
      <c r="L125" s="8"/>
      <c r="M125" s="10" t="s">
        <v>678</v>
      </c>
      <c r="N125" s="26" t="s">
        <v>679</v>
      </c>
      <c r="O125" s="6">
        <v>52.1</v>
      </c>
      <c r="P125" s="6">
        <v>4.7</v>
      </c>
      <c r="Q125" s="10" t="str">
        <f t="shared" si="1"/>
        <v>52.1, 4.7</v>
      </c>
      <c r="R125" s="6"/>
      <c r="S125" s="10"/>
      <c r="T125" s="6"/>
      <c r="U125" s="6" t="s">
        <v>681</v>
      </c>
      <c r="V125" s="23" t="s">
        <v>682</v>
      </c>
    </row>
    <row r="126" ht="12.75" customHeight="1">
      <c r="A126" s="5"/>
      <c r="B126" s="11" t="s">
        <v>49</v>
      </c>
      <c r="C126" s="11" t="s">
        <v>50</v>
      </c>
      <c r="D126" s="5"/>
      <c r="E126" s="28">
        <v>42385.0</v>
      </c>
      <c r="F126" s="6" t="s">
        <v>264</v>
      </c>
      <c r="G126" s="6" t="s">
        <v>525</v>
      </c>
      <c r="H126" s="6">
        <v>2016.0</v>
      </c>
      <c r="I126" s="6">
        <v>1.0</v>
      </c>
      <c r="J126" s="6">
        <v>0.0</v>
      </c>
      <c r="K126" s="10">
        <f t="shared" si="2"/>
        <v>1</v>
      </c>
      <c r="L126" s="8">
        <v>1.0</v>
      </c>
      <c r="M126" s="10" t="s">
        <v>686</v>
      </c>
      <c r="N126" s="31" t="s">
        <v>182</v>
      </c>
      <c r="O126" s="6">
        <v>37.7</v>
      </c>
      <c r="P126" s="6">
        <v>26.8</v>
      </c>
      <c r="Q126" s="10" t="str">
        <f t="shared" si="1"/>
        <v>37.7, 26.8</v>
      </c>
      <c r="R126" s="6"/>
      <c r="S126" s="10"/>
      <c r="T126" s="6" t="s">
        <v>53</v>
      </c>
      <c r="U126" s="6" t="s">
        <v>370</v>
      </c>
      <c r="V126" s="23" t="s">
        <v>689</v>
      </c>
    </row>
    <row r="127" ht="12.75" customHeight="1">
      <c r="A127" s="5"/>
      <c r="B127" s="11" t="s">
        <v>49</v>
      </c>
      <c r="C127" s="11" t="s">
        <v>50</v>
      </c>
      <c r="D127" s="5"/>
      <c r="E127" s="28">
        <v>42385.0</v>
      </c>
      <c r="F127" s="6" t="s">
        <v>264</v>
      </c>
      <c r="G127" s="6" t="s">
        <v>525</v>
      </c>
      <c r="H127" s="6">
        <v>2016.0</v>
      </c>
      <c r="I127" s="6">
        <v>6.0</v>
      </c>
      <c r="J127" s="6">
        <v>0.0</v>
      </c>
      <c r="K127" s="10">
        <f t="shared" si="2"/>
        <v>6</v>
      </c>
      <c r="L127" s="8"/>
      <c r="M127" s="10" t="s">
        <v>692</v>
      </c>
      <c r="N127" s="31" t="s">
        <v>182</v>
      </c>
      <c r="O127" s="6">
        <v>37.7</v>
      </c>
      <c r="P127" s="6">
        <v>26.8</v>
      </c>
      <c r="Q127" s="10" t="str">
        <f t="shared" si="1"/>
        <v>37.7, 26.8</v>
      </c>
      <c r="R127" s="6"/>
      <c r="S127" s="10"/>
      <c r="T127" s="6" t="s">
        <v>53</v>
      </c>
      <c r="U127" s="6" t="s">
        <v>514</v>
      </c>
      <c r="V127" s="23" t="s">
        <v>693</v>
      </c>
    </row>
    <row r="128" ht="12.75" customHeight="1">
      <c r="A128" s="5"/>
      <c r="B128" s="11" t="s">
        <v>49</v>
      </c>
      <c r="C128" s="11" t="s">
        <v>50</v>
      </c>
      <c r="D128" s="5"/>
      <c r="E128" s="28">
        <v>42384.0</v>
      </c>
      <c r="F128" s="6" t="s">
        <v>264</v>
      </c>
      <c r="G128" s="6" t="s">
        <v>525</v>
      </c>
      <c r="H128" s="6">
        <v>2016.0</v>
      </c>
      <c r="I128" s="6">
        <v>4.0</v>
      </c>
      <c r="J128" s="6">
        <v>0.0</v>
      </c>
      <c r="K128" s="10">
        <f t="shared" si="2"/>
        <v>4</v>
      </c>
      <c r="L128" s="8"/>
      <c r="M128" s="10" t="s">
        <v>699</v>
      </c>
      <c r="N128" s="32" t="s">
        <v>700</v>
      </c>
      <c r="O128" s="6">
        <v>39.0</v>
      </c>
      <c r="P128" s="6">
        <v>26.0</v>
      </c>
      <c r="Q128" s="10" t="str">
        <f t="shared" si="1"/>
        <v>39, 26</v>
      </c>
      <c r="R128" s="6"/>
      <c r="S128" s="10"/>
      <c r="T128" s="6" t="s">
        <v>53</v>
      </c>
      <c r="U128" s="6" t="s">
        <v>703</v>
      </c>
      <c r="V128" s="23" t="s">
        <v>705</v>
      </c>
    </row>
    <row r="129" ht="12.75" customHeight="1">
      <c r="A129" s="5"/>
      <c r="B129" s="11" t="s">
        <v>68</v>
      </c>
      <c r="C129" s="11" t="s">
        <v>69</v>
      </c>
      <c r="D129" s="5"/>
      <c r="E129" s="28">
        <v>42384.0</v>
      </c>
      <c r="F129" s="6" t="s">
        <v>264</v>
      </c>
      <c r="G129" s="6" t="s">
        <v>525</v>
      </c>
      <c r="H129" s="6">
        <v>2016.0</v>
      </c>
      <c r="I129" s="6">
        <v>1.0</v>
      </c>
      <c r="J129" s="6">
        <v>0.0</v>
      </c>
      <c r="K129" s="10">
        <f t="shared" si="2"/>
        <v>1</v>
      </c>
      <c r="L129" s="8"/>
      <c r="M129" s="10" t="s">
        <v>711</v>
      </c>
      <c r="N129" s="32" t="s">
        <v>622</v>
      </c>
      <c r="O129" s="6">
        <v>37.2</v>
      </c>
      <c r="P129" s="6">
        <v>27.0</v>
      </c>
      <c r="Q129" s="10" t="str">
        <f t="shared" si="1"/>
        <v>37.2, 27</v>
      </c>
      <c r="R129" s="6"/>
      <c r="S129" s="10"/>
      <c r="T129" s="6" t="s">
        <v>53</v>
      </c>
      <c r="U129" s="6" t="s">
        <v>712</v>
      </c>
      <c r="V129" s="23" t="s">
        <v>713</v>
      </c>
    </row>
    <row r="130" ht="12.75" customHeight="1">
      <c r="A130" s="5"/>
      <c r="B130" s="11" t="s">
        <v>49</v>
      </c>
      <c r="C130" s="11" t="s">
        <v>50</v>
      </c>
      <c r="D130" s="5"/>
      <c r="E130" s="28">
        <v>42384.0</v>
      </c>
      <c r="F130" s="6" t="s">
        <v>264</v>
      </c>
      <c r="G130" s="6" t="s">
        <v>718</v>
      </c>
      <c r="H130" s="6">
        <v>2016.0</v>
      </c>
      <c r="I130" s="6">
        <v>3.0</v>
      </c>
      <c r="J130" s="6">
        <v>0.0</v>
      </c>
      <c r="K130" s="10">
        <f t="shared" si="2"/>
        <v>3</v>
      </c>
      <c r="L130" s="8"/>
      <c r="M130" s="10" t="s">
        <v>719</v>
      </c>
      <c r="N130" s="31" t="s">
        <v>720</v>
      </c>
      <c r="O130" s="6">
        <v>37.3</v>
      </c>
      <c r="P130" s="6">
        <v>26.58</v>
      </c>
      <c r="Q130" s="10" t="str">
        <f t="shared" si="1"/>
        <v>37.3, 26.58</v>
      </c>
      <c r="R130" s="6"/>
      <c r="S130" s="10"/>
      <c r="T130" s="6" t="s">
        <v>53</v>
      </c>
      <c r="U130" s="6" t="s">
        <v>722</v>
      </c>
      <c r="V130" s="23" t="s">
        <v>723</v>
      </c>
    </row>
    <row r="131" ht="12.75" customHeight="1">
      <c r="A131" s="5"/>
      <c r="B131" s="11" t="s">
        <v>49</v>
      </c>
      <c r="C131" s="11" t="s">
        <v>50</v>
      </c>
      <c r="D131" s="5"/>
      <c r="E131" s="28">
        <v>42374.0</v>
      </c>
      <c r="F131" s="6" t="s">
        <v>264</v>
      </c>
      <c r="G131" s="6" t="s">
        <v>525</v>
      </c>
      <c r="H131" s="6">
        <v>2016.0</v>
      </c>
      <c r="I131" s="6">
        <v>6.0</v>
      </c>
      <c r="J131" s="6">
        <v>0.0</v>
      </c>
      <c r="K131" s="10">
        <f t="shared" si="2"/>
        <v>6</v>
      </c>
      <c r="L131" s="8"/>
      <c r="M131" s="10" t="s">
        <v>727</v>
      </c>
      <c r="N131" s="31" t="s">
        <v>728</v>
      </c>
      <c r="O131" s="6">
        <v>38.1</v>
      </c>
      <c r="P131" s="6">
        <v>26.8</v>
      </c>
      <c r="Q131" s="10" t="str">
        <f t="shared" si="1"/>
        <v>38.1, 26.8</v>
      </c>
      <c r="R131" s="6"/>
      <c r="S131" s="10"/>
      <c r="T131" s="6" t="s">
        <v>53</v>
      </c>
      <c r="U131" s="6" t="s">
        <v>92</v>
      </c>
      <c r="V131" s="23" t="s">
        <v>729</v>
      </c>
    </row>
    <row r="132" ht="12.75" customHeight="1">
      <c r="A132" s="5"/>
      <c r="B132" s="11" t="s">
        <v>74</v>
      </c>
      <c r="C132" s="11" t="s">
        <v>75</v>
      </c>
      <c r="D132" s="5"/>
      <c r="E132" s="33">
        <v>42380.0</v>
      </c>
      <c r="F132" s="6" t="s">
        <v>264</v>
      </c>
      <c r="G132" s="6" t="s">
        <v>525</v>
      </c>
      <c r="H132" s="6">
        <v>2016.0</v>
      </c>
      <c r="I132" s="6">
        <v>1.0</v>
      </c>
      <c r="J132" s="6">
        <v>0.0</v>
      </c>
      <c r="K132" s="10">
        <f t="shared" si="2"/>
        <v>1</v>
      </c>
      <c r="L132" s="8"/>
      <c r="M132" s="10" t="s">
        <v>735</v>
      </c>
      <c r="N132" s="31" t="s">
        <v>736</v>
      </c>
      <c r="O132" s="6">
        <v>48.4</v>
      </c>
      <c r="P132" s="6">
        <v>2.22</v>
      </c>
      <c r="Q132" s="10" t="str">
        <f t="shared" si="1"/>
        <v>48.4, 2.22</v>
      </c>
      <c r="R132" s="6"/>
      <c r="S132" s="10"/>
      <c r="T132" s="6"/>
      <c r="U132" s="6" t="s">
        <v>738</v>
      </c>
      <c r="V132" s="23" t="s">
        <v>739</v>
      </c>
    </row>
    <row r="133" ht="12.75" customHeight="1">
      <c r="A133" s="5"/>
      <c r="B133" s="11" t="s">
        <v>49</v>
      </c>
      <c r="C133" s="11" t="s">
        <v>50</v>
      </c>
      <c r="D133" s="5"/>
      <c r="E133" s="33">
        <v>42380.0</v>
      </c>
      <c r="F133" s="6" t="s">
        <v>264</v>
      </c>
      <c r="G133" s="6" t="s">
        <v>525</v>
      </c>
      <c r="H133" s="6">
        <v>2016.0</v>
      </c>
      <c r="I133" s="6">
        <v>1.0</v>
      </c>
      <c r="J133" s="6">
        <v>5.0</v>
      </c>
      <c r="K133" s="10">
        <f t="shared" si="2"/>
        <v>6</v>
      </c>
      <c r="L133" s="8"/>
      <c r="M133" s="10" t="s">
        <v>745</v>
      </c>
      <c r="N133" s="31" t="s">
        <v>746</v>
      </c>
      <c r="O133" s="6">
        <v>41.1</v>
      </c>
      <c r="P133" s="6">
        <v>16.9</v>
      </c>
      <c r="Q133" s="10" t="str">
        <f t="shared" si="1"/>
        <v>41.1, 16.9</v>
      </c>
      <c r="R133" s="6"/>
      <c r="S133" s="10"/>
      <c r="T133" s="6" t="s">
        <v>58</v>
      </c>
      <c r="U133" s="6" t="s">
        <v>92</v>
      </c>
      <c r="V133" s="23" t="s">
        <v>747</v>
      </c>
    </row>
    <row r="134" ht="12.75" customHeight="1">
      <c r="A134" s="5"/>
      <c r="B134" s="11" t="s">
        <v>49</v>
      </c>
      <c r="C134" s="11" t="s">
        <v>50</v>
      </c>
      <c r="D134" s="5"/>
      <c r="E134" s="33">
        <v>42380.0</v>
      </c>
      <c r="F134" s="6" t="s">
        <v>264</v>
      </c>
      <c r="G134" s="6" t="s">
        <v>525</v>
      </c>
      <c r="H134" s="6">
        <v>2016.0</v>
      </c>
      <c r="I134" s="6">
        <v>3.0</v>
      </c>
      <c r="J134" s="6">
        <v>3.0</v>
      </c>
      <c r="K134" s="10">
        <f t="shared" si="2"/>
        <v>6</v>
      </c>
      <c r="L134" s="8"/>
      <c r="M134" s="10" t="s">
        <v>752</v>
      </c>
      <c r="N134" s="31" t="s">
        <v>700</v>
      </c>
      <c r="O134" s="6">
        <v>39.5</v>
      </c>
      <c r="P134" s="6">
        <v>26.4</v>
      </c>
      <c r="Q134" s="10" t="str">
        <f t="shared" si="1"/>
        <v>39.5, 26.4</v>
      </c>
      <c r="R134" s="6"/>
      <c r="S134" s="10"/>
      <c r="T134" s="6" t="s">
        <v>53</v>
      </c>
      <c r="U134" s="6" t="s">
        <v>92</v>
      </c>
      <c r="V134" s="23" t="s">
        <v>729</v>
      </c>
    </row>
    <row r="135" ht="12.75" customHeight="1">
      <c r="A135" s="5"/>
      <c r="B135" s="11" t="s">
        <v>49</v>
      </c>
      <c r="C135" s="11" t="s">
        <v>50</v>
      </c>
      <c r="D135" s="5"/>
      <c r="E135" s="33">
        <v>42377.0</v>
      </c>
      <c r="F135" s="6" t="s">
        <v>264</v>
      </c>
      <c r="G135" s="6" t="s">
        <v>525</v>
      </c>
      <c r="H135" s="6">
        <v>2016.0</v>
      </c>
      <c r="I135" s="6">
        <v>1.0</v>
      </c>
      <c r="J135" s="6">
        <v>0.0</v>
      </c>
      <c r="K135" s="10">
        <f t="shared" si="2"/>
        <v>1</v>
      </c>
      <c r="L135" s="8">
        <v>1.0</v>
      </c>
      <c r="M135" s="10" t="s">
        <v>758</v>
      </c>
      <c r="N135" s="31" t="s">
        <v>596</v>
      </c>
      <c r="O135" s="6">
        <v>39.1</v>
      </c>
      <c r="P135" s="6">
        <v>26.21</v>
      </c>
      <c r="Q135" s="10" t="str">
        <f t="shared" si="1"/>
        <v>39.1, 26.21</v>
      </c>
      <c r="R135" s="6"/>
      <c r="S135" s="10"/>
      <c r="T135" s="6" t="s">
        <v>53</v>
      </c>
      <c r="U135" s="6" t="s">
        <v>370</v>
      </c>
      <c r="V135" s="23" t="s">
        <v>760</v>
      </c>
    </row>
    <row r="136" ht="12.75" customHeight="1">
      <c r="A136" s="5"/>
      <c r="B136" s="11" t="s">
        <v>763</v>
      </c>
      <c r="C136" s="11" t="s">
        <v>124</v>
      </c>
      <c r="D136" s="5"/>
      <c r="E136" s="33">
        <v>42377.0</v>
      </c>
      <c r="F136" s="6" t="s">
        <v>264</v>
      </c>
      <c r="G136" s="6" t="s">
        <v>525</v>
      </c>
      <c r="H136" s="6">
        <v>2016.0</v>
      </c>
      <c r="I136" s="6">
        <v>4.0</v>
      </c>
      <c r="J136" s="6">
        <v>0.0</v>
      </c>
      <c r="K136" s="10">
        <f t="shared" si="2"/>
        <v>4</v>
      </c>
      <c r="L136" s="8"/>
      <c r="M136" s="10" t="s">
        <v>765</v>
      </c>
      <c r="N136" s="31" t="s">
        <v>700</v>
      </c>
      <c r="O136" s="6">
        <v>36.5</v>
      </c>
      <c r="P136" s="6">
        <v>26.5</v>
      </c>
      <c r="Q136" s="10" t="str">
        <f t="shared" si="1"/>
        <v>36.5, 26.5</v>
      </c>
      <c r="R136" s="6"/>
      <c r="S136" s="10"/>
      <c r="T136" s="6" t="s">
        <v>53</v>
      </c>
      <c r="U136" s="6" t="s">
        <v>521</v>
      </c>
      <c r="V136" s="23" t="s">
        <v>767</v>
      </c>
    </row>
    <row r="137" ht="12.75" customHeight="1">
      <c r="A137" s="5"/>
      <c r="B137" s="11" t="s">
        <v>763</v>
      </c>
      <c r="C137" s="11" t="s">
        <v>124</v>
      </c>
      <c r="D137" s="5"/>
      <c r="E137" s="33">
        <v>42378.0</v>
      </c>
      <c r="F137" s="6" t="s">
        <v>264</v>
      </c>
      <c r="G137" s="6" t="s">
        <v>525</v>
      </c>
      <c r="H137" s="6">
        <v>2016.0</v>
      </c>
      <c r="I137" s="6">
        <v>7.0</v>
      </c>
      <c r="J137" s="6">
        <v>0.0</v>
      </c>
      <c r="K137" s="10">
        <f t="shared" si="2"/>
        <v>7</v>
      </c>
      <c r="L137" s="8"/>
      <c r="M137" s="24" t="s">
        <v>771</v>
      </c>
      <c r="N137" s="31" t="s">
        <v>700</v>
      </c>
      <c r="O137" s="6">
        <v>39.2</v>
      </c>
      <c r="P137" s="6">
        <v>26.8</v>
      </c>
      <c r="Q137" s="10" t="str">
        <f t="shared" si="1"/>
        <v>39.2, 26.8</v>
      </c>
      <c r="R137" s="6"/>
      <c r="S137" s="10"/>
      <c r="T137" s="6" t="s">
        <v>53</v>
      </c>
      <c r="U137" s="6" t="s">
        <v>521</v>
      </c>
      <c r="V137" s="34" t="s">
        <v>772</v>
      </c>
    </row>
    <row r="138" ht="12.75" customHeight="1">
      <c r="A138" s="5"/>
      <c r="B138" s="11" t="s">
        <v>763</v>
      </c>
      <c r="C138" s="11" t="s">
        <v>124</v>
      </c>
      <c r="D138" s="5"/>
      <c r="E138" s="33">
        <v>42377.0</v>
      </c>
      <c r="F138" s="6" t="s">
        <v>264</v>
      </c>
      <c r="G138" s="6" t="s">
        <v>525</v>
      </c>
      <c r="H138" s="6">
        <v>2016.0</v>
      </c>
      <c r="I138" s="6">
        <v>6.0</v>
      </c>
      <c r="J138" s="6">
        <v>0.0</v>
      </c>
      <c r="K138" s="10">
        <f t="shared" si="2"/>
        <v>6</v>
      </c>
      <c r="L138" s="8"/>
      <c r="M138" s="10" t="s">
        <v>781</v>
      </c>
      <c r="N138" s="31" t="s">
        <v>782</v>
      </c>
      <c r="O138" s="6">
        <v>40.0</v>
      </c>
      <c r="P138" s="6">
        <v>30.0</v>
      </c>
      <c r="Q138" s="10" t="str">
        <f t="shared" si="1"/>
        <v>40, 30</v>
      </c>
      <c r="R138" s="6"/>
      <c r="S138" s="10"/>
      <c r="T138" s="6" t="s">
        <v>53</v>
      </c>
      <c r="U138" s="6" t="s">
        <v>254</v>
      </c>
      <c r="V138" s="34" t="s">
        <v>784</v>
      </c>
    </row>
    <row r="139" ht="12.75" customHeight="1">
      <c r="A139" s="5"/>
      <c r="B139" s="6" t="s">
        <v>49</v>
      </c>
      <c r="C139" s="6" t="s">
        <v>50</v>
      </c>
      <c r="D139" s="5"/>
      <c r="E139" s="28">
        <v>42374.0</v>
      </c>
      <c r="F139" s="6" t="s">
        <v>264</v>
      </c>
      <c r="G139" s="6" t="s">
        <v>525</v>
      </c>
      <c r="H139" s="6">
        <v>2016.0</v>
      </c>
      <c r="I139" s="6">
        <v>1.0</v>
      </c>
      <c r="J139" s="6">
        <v>0.0</v>
      </c>
      <c r="K139" s="10">
        <f t="shared" si="2"/>
        <v>1</v>
      </c>
      <c r="L139" s="8">
        <v>1.0</v>
      </c>
      <c r="M139" s="10" t="s">
        <v>654</v>
      </c>
      <c r="N139" s="31" t="s">
        <v>789</v>
      </c>
      <c r="O139" s="6">
        <v>39.6</v>
      </c>
      <c r="P139" s="6">
        <v>26.5</v>
      </c>
      <c r="Q139" s="10" t="str">
        <f t="shared" si="1"/>
        <v>39.6, 26.5</v>
      </c>
      <c r="R139" s="6"/>
      <c r="S139" s="10"/>
      <c r="T139" s="6" t="s">
        <v>53</v>
      </c>
      <c r="U139" s="6" t="s">
        <v>370</v>
      </c>
      <c r="V139" s="34" t="s">
        <v>791</v>
      </c>
    </row>
    <row r="140" ht="12.75" customHeight="1">
      <c r="A140" s="5"/>
      <c r="B140" s="6" t="s">
        <v>49</v>
      </c>
      <c r="C140" s="6" t="s">
        <v>50</v>
      </c>
      <c r="D140" s="5"/>
      <c r="E140" s="28">
        <v>42374.0</v>
      </c>
      <c r="F140" s="6" t="s">
        <v>264</v>
      </c>
      <c r="G140" s="6" t="s">
        <v>525</v>
      </c>
      <c r="H140" s="6">
        <v>2016.0</v>
      </c>
      <c r="I140" s="6">
        <v>7.0</v>
      </c>
      <c r="J140" s="6">
        <v>0.0</v>
      </c>
      <c r="K140" s="10">
        <f t="shared" si="2"/>
        <v>7</v>
      </c>
      <c r="L140" s="8"/>
      <c r="M140" s="10" t="s">
        <v>795</v>
      </c>
      <c r="N140" s="31" t="s">
        <v>796</v>
      </c>
      <c r="O140" s="6">
        <v>39.44</v>
      </c>
      <c r="P140" s="6">
        <v>26.39</v>
      </c>
      <c r="Q140" s="10" t="str">
        <f t="shared" si="1"/>
        <v>39.44, 26.39</v>
      </c>
      <c r="R140" s="6"/>
      <c r="S140" s="10"/>
      <c r="T140" s="6" t="s">
        <v>53</v>
      </c>
      <c r="U140" s="6" t="s">
        <v>254</v>
      </c>
      <c r="V140" s="34" t="s">
        <v>797</v>
      </c>
    </row>
    <row r="141" ht="12.75" customHeight="1">
      <c r="A141" s="5"/>
      <c r="B141" s="6" t="s">
        <v>49</v>
      </c>
      <c r="C141" s="6" t="s">
        <v>50</v>
      </c>
      <c r="D141" s="5"/>
      <c r="E141" s="28">
        <v>42374.0</v>
      </c>
      <c r="F141" s="6" t="s">
        <v>264</v>
      </c>
      <c r="G141" s="6" t="s">
        <v>525</v>
      </c>
      <c r="H141" s="6">
        <v>2016.0</v>
      </c>
      <c r="I141" s="6">
        <v>29.0</v>
      </c>
      <c r="J141" s="6">
        <v>0.0</v>
      </c>
      <c r="K141" s="10">
        <f t="shared" si="2"/>
        <v>29</v>
      </c>
      <c r="L141" s="8"/>
      <c r="M141" s="10" t="s">
        <v>795</v>
      </c>
      <c r="N141" s="31" t="s">
        <v>796</v>
      </c>
      <c r="O141" s="6">
        <v>39.44</v>
      </c>
      <c r="P141" s="6">
        <v>26.39</v>
      </c>
      <c r="Q141" s="10" t="str">
        <f t="shared" si="1"/>
        <v>39.44, 26.39</v>
      </c>
      <c r="R141" s="6"/>
      <c r="S141" s="10"/>
      <c r="T141" s="6" t="s">
        <v>53</v>
      </c>
      <c r="U141" s="6" t="s">
        <v>254</v>
      </c>
      <c r="V141" s="34" t="s">
        <v>797</v>
      </c>
    </row>
    <row r="142" ht="12.75" customHeight="1">
      <c r="A142" s="5"/>
      <c r="B142" s="6" t="s">
        <v>49</v>
      </c>
      <c r="C142" s="6" t="s">
        <v>50</v>
      </c>
      <c r="D142" s="5"/>
      <c r="E142" s="33">
        <v>42373.0</v>
      </c>
      <c r="F142" s="6" t="s">
        <v>264</v>
      </c>
      <c r="G142" s="6" t="s">
        <v>525</v>
      </c>
      <c r="H142" s="6">
        <v>2016.0</v>
      </c>
      <c r="I142" s="6">
        <v>2.0</v>
      </c>
      <c r="J142" s="6">
        <v>0.0</v>
      </c>
      <c r="K142" s="10">
        <v>2.0</v>
      </c>
      <c r="L142" s="8">
        <v>1.0</v>
      </c>
      <c r="M142" s="10" t="s">
        <v>806</v>
      </c>
      <c r="N142" s="20" t="s">
        <v>807</v>
      </c>
      <c r="O142" s="6">
        <v>37.6</v>
      </c>
      <c r="P142" s="6">
        <v>26.3</v>
      </c>
      <c r="Q142" s="10" t="str">
        <f t="shared" si="1"/>
        <v>37.6, 26.3</v>
      </c>
      <c r="R142" s="6"/>
      <c r="S142" s="6"/>
      <c r="T142" s="6" t="s">
        <v>53</v>
      </c>
      <c r="U142" s="6" t="s">
        <v>370</v>
      </c>
      <c r="V142" s="34" t="s">
        <v>791</v>
      </c>
    </row>
    <row r="143" ht="12.75" customHeight="1">
      <c r="A143" s="5"/>
      <c r="B143" s="6" t="s">
        <v>49</v>
      </c>
      <c r="C143" s="6" t="s">
        <v>50</v>
      </c>
      <c r="D143" s="5"/>
      <c r="E143" s="33">
        <v>42373.0</v>
      </c>
      <c r="F143" s="6" t="s">
        <v>264</v>
      </c>
      <c r="G143" s="6" t="s">
        <v>525</v>
      </c>
      <c r="H143" s="6">
        <v>2016.0</v>
      </c>
      <c r="I143" s="6">
        <v>1.0</v>
      </c>
      <c r="J143" s="6">
        <v>0.0</v>
      </c>
      <c r="K143" s="10">
        <f t="shared" ref="K143:K144" si="4">SUM(I143:J143)</f>
        <v>1</v>
      </c>
      <c r="L143" s="8">
        <v>1.0</v>
      </c>
      <c r="M143" s="10" t="s">
        <v>811</v>
      </c>
      <c r="N143" s="20" t="s">
        <v>812</v>
      </c>
      <c r="O143" s="6">
        <v>37.6</v>
      </c>
      <c r="P143" s="6">
        <v>25.2</v>
      </c>
      <c r="Q143" s="10" t="str">
        <f t="shared" si="1"/>
        <v>37.6, 25.2</v>
      </c>
      <c r="R143" s="6"/>
      <c r="S143" s="6"/>
      <c r="T143" s="6" t="s">
        <v>53</v>
      </c>
      <c r="U143" s="6" t="s">
        <v>370</v>
      </c>
      <c r="V143" s="34" t="s">
        <v>791</v>
      </c>
    </row>
    <row r="144" ht="12.75" customHeight="1">
      <c r="A144" s="5"/>
      <c r="B144" s="6" t="s">
        <v>49</v>
      </c>
      <c r="C144" s="6" t="s">
        <v>50</v>
      </c>
      <c r="D144" s="5"/>
      <c r="E144" s="33">
        <v>42373.0</v>
      </c>
      <c r="F144" s="6" t="s">
        <v>264</v>
      </c>
      <c r="G144" s="6" t="s">
        <v>525</v>
      </c>
      <c r="H144" s="6">
        <v>2016.0</v>
      </c>
      <c r="I144" s="6">
        <v>1.0</v>
      </c>
      <c r="J144" s="6">
        <v>0.0</v>
      </c>
      <c r="K144" s="10">
        <f t="shared" si="4"/>
        <v>1</v>
      </c>
      <c r="L144" s="8">
        <v>1.0</v>
      </c>
      <c r="M144" s="10" t="s">
        <v>816</v>
      </c>
      <c r="N144" s="20" t="s">
        <v>182</v>
      </c>
      <c r="O144" s="6">
        <v>37.7</v>
      </c>
      <c r="P144" s="6">
        <v>26.8</v>
      </c>
      <c r="Q144" s="10" t="str">
        <f t="shared" si="1"/>
        <v>37.7, 26.8</v>
      </c>
      <c r="R144" s="6"/>
      <c r="S144" s="6"/>
      <c r="T144" s="6" t="s">
        <v>53</v>
      </c>
      <c r="U144" s="6" t="s">
        <v>370</v>
      </c>
      <c r="V144" s="34" t="s">
        <v>817</v>
      </c>
    </row>
    <row r="145" ht="12.75" customHeight="1">
      <c r="A145" s="5"/>
      <c r="B145" s="11" t="s">
        <v>49</v>
      </c>
      <c r="C145" s="11" t="s">
        <v>50</v>
      </c>
      <c r="D145" s="5"/>
      <c r="E145" s="28">
        <v>42373.0</v>
      </c>
      <c r="F145" s="6" t="s">
        <v>264</v>
      </c>
      <c r="G145" s="6" t="s">
        <v>525</v>
      </c>
      <c r="H145" s="6">
        <v>2016.0</v>
      </c>
      <c r="I145" s="6">
        <v>4.0</v>
      </c>
      <c r="J145" s="6">
        <v>0.0</v>
      </c>
      <c r="K145" s="10">
        <v>4.0</v>
      </c>
      <c r="L145" s="8">
        <v>1.0</v>
      </c>
      <c r="M145" s="10" t="s">
        <v>821</v>
      </c>
      <c r="N145" s="31" t="s">
        <v>655</v>
      </c>
      <c r="O145" s="6">
        <v>39.6</v>
      </c>
      <c r="P145" s="6">
        <v>26.5</v>
      </c>
      <c r="Q145" s="10" t="str">
        <f t="shared" si="1"/>
        <v>39.6, 26.5</v>
      </c>
      <c r="R145" s="6"/>
      <c r="S145" s="10"/>
      <c r="T145" s="6" t="s">
        <v>53</v>
      </c>
      <c r="U145" s="6" t="s">
        <v>370</v>
      </c>
      <c r="V145" s="18" t="s">
        <v>824</v>
      </c>
    </row>
    <row r="146" ht="12.75" customHeight="1">
      <c r="A146" s="5"/>
      <c r="B146" s="6" t="s">
        <v>49</v>
      </c>
      <c r="C146" s="6" t="s">
        <v>50</v>
      </c>
      <c r="D146" s="5"/>
      <c r="E146" s="28" t="s">
        <v>829</v>
      </c>
      <c r="F146" s="6" t="s">
        <v>264</v>
      </c>
      <c r="G146" s="6" t="s">
        <v>525</v>
      </c>
      <c r="H146" s="6">
        <v>2016.0</v>
      </c>
      <c r="I146" s="6">
        <v>1.0</v>
      </c>
      <c r="J146" s="6">
        <v>0.0</v>
      </c>
      <c r="K146" s="10">
        <f t="shared" ref="K146:K149" si="5">SUM(I146:J146)</f>
        <v>1</v>
      </c>
      <c r="L146" s="8"/>
      <c r="M146" s="10" t="s">
        <v>831</v>
      </c>
      <c r="N146" s="20" t="s">
        <v>720</v>
      </c>
      <c r="O146" s="6">
        <v>37.4653524</v>
      </c>
      <c r="P146" s="6">
        <v>26.9676859</v>
      </c>
      <c r="Q146" s="10" t="str">
        <f t="shared" si="1"/>
        <v>37.4653524, 26.9676859</v>
      </c>
      <c r="R146" s="6"/>
      <c r="S146" s="6"/>
      <c r="T146" s="6" t="s">
        <v>53</v>
      </c>
      <c r="U146" s="6" t="s">
        <v>254</v>
      </c>
      <c r="V146" s="34" t="s">
        <v>833</v>
      </c>
    </row>
    <row r="147" ht="12.75" customHeight="1">
      <c r="A147" s="5"/>
      <c r="B147" s="11" t="s">
        <v>763</v>
      </c>
      <c r="C147" s="11" t="s">
        <v>124</v>
      </c>
      <c r="D147" s="5"/>
      <c r="E147" s="35" t="s">
        <v>837</v>
      </c>
      <c r="F147" s="6" t="s">
        <v>838</v>
      </c>
      <c r="G147" s="6" t="s">
        <v>840</v>
      </c>
      <c r="H147" s="5">
        <v>2015.0</v>
      </c>
      <c r="I147" s="6">
        <v>1.0</v>
      </c>
      <c r="J147" s="6">
        <v>0.0</v>
      </c>
      <c r="K147" s="10">
        <f t="shared" si="5"/>
        <v>1</v>
      </c>
      <c r="L147" s="8"/>
      <c r="M147" s="10" t="s">
        <v>841</v>
      </c>
      <c r="N147" s="9" t="s">
        <v>842</v>
      </c>
      <c r="O147" s="6">
        <v>51.0157</v>
      </c>
      <c r="P147" s="6">
        <v>2.2589</v>
      </c>
      <c r="Q147" s="10" t="str">
        <f t="shared" si="1"/>
        <v>51.0157, 2.2589</v>
      </c>
      <c r="R147" s="6"/>
      <c r="S147" s="10"/>
      <c r="T147" s="6"/>
      <c r="U147" s="6" t="s">
        <v>844</v>
      </c>
      <c r="V147" s="34" t="s">
        <v>845</v>
      </c>
    </row>
    <row r="148" ht="12.75" customHeight="1">
      <c r="A148" s="5"/>
      <c r="B148" s="36" t="s">
        <v>61</v>
      </c>
      <c r="C148" s="36" t="s">
        <v>62</v>
      </c>
      <c r="D148" s="5"/>
      <c r="E148" s="35" t="s">
        <v>850</v>
      </c>
      <c r="F148" s="6" t="s">
        <v>838</v>
      </c>
      <c r="G148" s="6" t="s">
        <v>840</v>
      </c>
      <c r="H148" s="5">
        <v>2015.0</v>
      </c>
      <c r="I148" s="6">
        <v>1.0</v>
      </c>
      <c r="J148" s="6">
        <v>0.0</v>
      </c>
      <c r="K148" s="10">
        <f t="shared" si="5"/>
        <v>1</v>
      </c>
      <c r="L148" s="8"/>
      <c r="M148" s="10" t="s">
        <v>852</v>
      </c>
      <c r="N148" s="27" t="s">
        <v>853</v>
      </c>
      <c r="O148" s="6">
        <v>36.74585</v>
      </c>
      <c r="P148" s="6">
        <v>-2.65693</v>
      </c>
      <c r="Q148" s="10" t="str">
        <f t="shared" si="1"/>
        <v>36.74585, -2.65693</v>
      </c>
      <c r="R148" s="6"/>
      <c r="S148" s="10"/>
      <c r="T148" s="6" t="s">
        <v>72</v>
      </c>
      <c r="U148" s="6" t="s">
        <v>855</v>
      </c>
      <c r="V148" s="34" t="s">
        <v>856</v>
      </c>
    </row>
    <row r="149" ht="12.75" customHeight="1">
      <c r="A149" s="5"/>
      <c r="B149" s="6" t="s">
        <v>49</v>
      </c>
      <c r="C149" s="6" t="s">
        <v>50</v>
      </c>
      <c r="D149" s="5"/>
      <c r="E149" s="35" t="s">
        <v>859</v>
      </c>
      <c r="F149" s="6" t="s">
        <v>838</v>
      </c>
      <c r="G149" s="6" t="s">
        <v>840</v>
      </c>
      <c r="H149" s="5">
        <v>2015.0</v>
      </c>
      <c r="I149" s="6">
        <v>2.0</v>
      </c>
      <c r="J149" s="6">
        <v>0.0</v>
      </c>
      <c r="K149" s="10">
        <f t="shared" si="5"/>
        <v>2</v>
      </c>
      <c r="L149" s="8"/>
      <c r="M149" s="10" t="s">
        <v>861</v>
      </c>
      <c r="N149" s="27" t="s">
        <v>862</v>
      </c>
      <c r="O149" s="6">
        <v>35.9157</v>
      </c>
      <c r="P149" s="6">
        <v>-5.40833</v>
      </c>
      <c r="Q149" s="10" t="str">
        <f t="shared" si="1"/>
        <v>35.9157, -5.40833</v>
      </c>
      <c r="R149" s="6"/>
      <c r="S149" s="10"/>
      <c r="T149" s="6" t="s">
        <v>53</v>
      </c>
      <c r="U149" s="6" t="s">
        <v>864</v>
      </c>
      <c r="V149" s="34" t="s">
        <v>865</v>
      </c>
    </row>
    <row r="150" ht="12.75" customHeight="1">
      <c r="A150" s="5"/>
      <c r="B150" s="6" t="s">
        <v>49</v>
      </c>
      <c r="C150" s="6" t="s">
        <v>50</v>
      </c>
      <c r="D150" s="5"/>
      <c r="E150" s="35" t="s">
        <v>868</v>
      </c>
      <c r="F150" s="6" t="s">
        <v>838</v>
      </c>
      <c r="G150" s="6" t="s">
        <v>840</v>
      </c>
      <c r="H150" s="5">
        <v>2015.0</v>
      </c>
      <c r="I150" s="6">
        <v>11.0</v>
      </c>
      <c r="J150" s="6">
        <v>0.0</v>
      </c>
      <c r="K150" s="10">
        <f t="shared" ref="K150:K200" si="6">sum(I150:J150)</f>
        <v>11</v>
      </c>
      <c r="L150" s="8"/>
      <c r="M150" s="10" t="s">
        <v>870</v>
      </c>
      <c r="N150" s="27" t="s">
        <v>182</v>
      </c>
      <c r="O150" s="6">
        <v>37.711</v>
      </c>
      <c r="P150" s="6">
        <v>26.8</v>
      </c>
      <c r="Q150" s="10" t="str">
        <f t="shared" si="1"/>
        <v>37.711, 26.8</v>
      </c>
      <c r="R150" s="6"/>
      <c r="S150" s="10"/>
      <c r="T150" s="6" t="s">
        <v>53</v>
      </c>
      <c r="U150" s="6" t="s">
        <v>872</v>
      </c>
      <c r="V150" s="34" t="s">
        <v>873</v>
      </c>
    </row>
    <row r="151" ht="12.75" customHeight="1">
      <c r="A151" s="5"/>
      <c r="B151" s="6" t="s">
        <v>49</v>
      </c>
      <c r="C151" s="6" t="s">
        <v>50</v>
      </c>
      <c r="D151" s="5"/>
      <c r="E151" s="35" t="s">
        <v>876</v>
      </c>
      <c r="F151" s="6" t="s">
        <v>838</v>
      </c>
      <c r="G151" s="6" t="s">
        <v>840</v>
      </c>
      <c r="H151" s="5">
        <v>2015.0</v>
      </c>
      <c r="I151" s="6">
        <v>18.0</v>
      </c>
      <c r="J151" s="6">
        <v>2.0</v>
      </c>
      <c r="K151" s="10">
        <f t="shared" si="6"/>
        <v>20</v>
      </c>
      <c r="L151" s="8"/>
      <c r="M151" s="10" t="s">
        <v>877</v>
      </c>
      <c r="N151" s="31" t="s">
        <v>596</v>
      </c>
      <c r="O151" s="10">
        <v>39.1</v>
      </c>
      <c r="P151" s="6">
        <v>26.21</v>
      </c>
      <c r="Q151" s="10" t="str">
        <f t="shared" si="1"/>
        <v>39.1, 26.21</v>
      </c>
      <c r="R151" s="6"/>
      <c r="S151" s="10"/>
      <c r="T151" s="6" t="s">
        <v>53</v>
      </c>
      <c r="U151" s="6" t="s">
        <v>254</v>
      </c>
      <c r="V151" s="34" t="s">
        <v>879</v>
      </c>
    </row>
    <row r="152" ht="12.75" customHeight="1">
      <c r="A152" s="5"/>
      <c r="B152" s="6" t="s">
        <v>68</v>
      </c>
      <c r="C152" s="6" t="s">
        <v>69</v>
      </c>
      <c r="D152" s="5"/>
      <c r="E152" s="35" t="s">
        <v>882</v>
      </c>
      <c r="F152" s="6" t="s">
        <v>838</v>
      </c>
      <c r="G152" s="6" t="s">
        <v>840</v>
      </c>
      <c r="H152" s="5">
        <v>2015.0</v>
      </c>
      <c r="I152" s="6">
        <v>0.0</v>
      </c>
      <c r="J152" s="6">
        <v>1.0</v>
      </c>
      <c r="K152" s="10">
        <f t="shared" si="6"/>
        <v>1</v>
      </c>
      <c r="L152" s="8"/>
      <c r="M152" s="10" t="s">
        <v>884</v>
      </c>
      <c r="N152" s="9" t="s">
        <v>885</v>
      </c>
      <c r="O152" s="6">
        <v>37.16</v>
      </c>
      <c r="P152" s="6">
        <v>26.97</v>
      </c>
      <c r="Q152" s="10" t="str">
        <f t="shared" si="1"/>
        <v>37.16, 26.97</v>
      </c>
      <c r="R152" s="6"/>
      <c r="S152" s="10"/>
      <c r="T152" s="6" t="s">
        <v>53</v>
      </c>
      <c r="U152" s="6" t="s">
        <v>92</v>
      </c>
      <c r="V152" s="34" t="s">
        <v>886</v>
      </c>
    </row>
    <row r="153" ht="12.75" customHeight="1">
      <c r="A153" s="5"/>
      <c r="B153" s="6" t="s">
        <v>49</v>
      </c>
      <c r="C153" s="6" t="s">
        <v>50</v>
      </c>
      <c r="D153" s="5"/>
      <c r="E153" s="35" t="s">
        <v>882</v>
      </c>
      <c r="F153" s="6" t="s">
        <v>838</v>
      </c>
      <c r="G153" s="6" t="s">
        <v>840</v>
      </c>
      <c r="H153" s="5">
        <v>2015.0</v>
      </c>
      <c r="I153" s="6">
        <v>13.0</v>
      </c>
      <c r="J153" s="6">
        <v>0.0</v>
      </c>
      <c r="K153" s="10">
        <f t="shared" si="6"/>
        <v>13</v>
      </c>
      <c r="L153" s="8"/>
      <c r="M153" s="10" t="s">
        <v>890</v>
      </c>
      <c r="N153" s="31" t="s">
        <v>891</v>
      </c>
      <c r="O153" s="10">
        <v>37.29</v>
      </c>
      <c r="P153" s="6">
        <v>27.16</v>
      </c>
      <c r="Q153" s="10" t="str">
        <f t="shared" si="1"/>
        <v>37.29, 27.16</v>
      </c>
      <c r="R153" s="6"/>
      <c r="S153" s="10"/>
      <c r="T153" s="6" t="s">
        <v>53</v>
      </c>
      <c r="U153" s="6" t="s">
        <v>92</v>
      </c>
      <c r="V153" s="34" t="s">
        <v>886</v>
      </c>
    </row>
    <row r="154" ht="12.75" customHeight="1">
      <c r="A154" s="5"/>
      <c r="B154" s="6" t="s">
        <v>49</v>
      </c>
      <c r="C154" s="6" t="s">
        <v>50</v>
      </c>
      <c r="D154" s="5"/>
      <c r="E154" s="35" t="s">
        <v>868</v>
      </c>
      <c r="F154" s="6" t="s">
        <v>838</v>
      </c>
      <c r="G154" s="6" t="s">
        <v>840</v>
      </c>
      <c r="H154" s="5">
        <v>2015.0</v>
      </c>
      <c r="I154" s="6">
        <v>2.0</v>
      </c>
      <c r="J154" s="6">
        <v>0.0</v>
      </c>
      <c r="K154" s="10">
        <f t="shared" si="6"/>
        <v>2</v>
      </c>
      <c r="L154" s="8"/>
      <c r="M154" s="10" t="s">
        <v>896</v>
      </c>
      <c r="N154" s="9" t="s">
        <v>897</v>
      </c>
      <c r="O154" s="6">
        <v>38.3</v>
      </c>
      <c r="P154" s="6">
        <v>26.2</v>
      </c>
      <c r="Q154" s="10" t="str">
        <f t="shared" si="1"/>
        <v>38.3, 26.2</v>
      </c>
      <c r="R154" s="6"/>
      <c r="S154" s="10"/>
      <c r="T154" s="6" t="s">
        <v>53</v>
      </c>
      <c r="U154" s="6" t="s">
        <v>437</v>
      </c>
      <c r="V154" s="34" t="s">
        <v>898</v>
      </c>
    </row>
    <row r="155" ht="12.75" customHeight="1">
      <c r="A155" s="5"/>
      <c r="B155" s="6" t="s">
        <v>49</v>
      </c>
      <c r="C155" s="6" t="s">
        <v>50</v>
      </c>
      <c r="D155" s="5"/>
      <c r="E155" s="35" t="s">
        <v>903</v>
      </c>
      <c r="F155" s="6" t="s">
        <v>838</v>
      </c>
      <c r="G155" s="6" t="s">
        <v>840</v>
      </c>
      <c r="H155" s="5">
        <v>2015.0</v>
      </c>
      <c r="I155" s="6">
        <v>2.0</v>
      </c>
      <c r="J155" s="6">
        <v>10.0</v>
      </c>
      <c r="K155" s="10">
        <f t="shared" si="6"/>
        <v>12</v>
      </c>
      <c r="L155" s="8"/>
      <c r="M155" s="10" t="s">
        <v>905</v>
      </c>
      <c r="N155" s="9" t="s">
        <v>906</v>
      </c>
      <c r="O155" s="6">
        <v>32.952</v>
      </c>
      <c r="P155" s="6">
        <v>12.907</v>
      </c>
      <c r="Q155" s="10" t="str">
        <f t="shared" si="1"/>
        <v>32.952, 12.907</v>
      </c>
      <c r="R155" s="6"/>
      <c r="S155" s="10"/>
      <c r="T155" s="6" t="s">
        <v>58</v>
      </c>
      <c r="U155" s="6" t="s">
        <v>254</v>
      </c>
      <c r="V155" s="34" t="s">
        <v>907</v>
      </c>
    </row>
    <row r="156" ht="12.75" customHeight="1">
      <c r="A156" s="5"/>
      <c r="B156" s="6" t="s">
        <v>912</v>
      </c>
      <c r="C156" s="6" t="s">
        <v>62</v>
      </c>
      <c r="D156" s="5"/>
      <c r="E156" s="35" t="s">
        <v>914</v>
      </c>
      <c r="F156" s="6" t="s">
        <v>915</v>
      </c>
      <c r="G156" s="6" t="s">
        <v>916</v>
      </c>
      <c r="H156" s="6">
        <v>2012.0</v>
      </c>
      <c r="I156" s="6">
        <v>1.0</v>
      </c>
      <c r="J156" s="6">
        <v>0.0</v>
      </c>
      <c r="K156" s="10">
        <f t="shared" si="6"/>
        <v>1</v>
      </c>
      <c r="L156" s="8"/>
      <c r="M156" s="10" t="s">
        <v>917</v>
      </c>
      <c r="N156" s="9" t="s">
        <v>918</v>
      </c>
      <c r="O156" s="6">
        <v>43.2</v>
      </c>
      <c r="P156" s="6">
        <v>44.6</v>
      </c>
      <c r="Q156" s="10" t="str">
        <f t="shared" si="1"/>
        <v>43.2, 44.6</v>
      </c>
      <c r="R156" s="6"/>
      <c r="S156" s="10"/>
      <c r="T156" s="6"/>
      <c r="U156" s="6" t="s">
        <v>102</v>
      </c>
      <c r="V156" s="34" t="s">
        <v>920</v>
      </c>
    </row>
    <row r="157" ht="12.75" customHeight="1">
      <c r="A157" s="5"/>
      <c r="B157" s="6" t="s">
        <v>912</v>
      </c>
      <c r="C157" s="6" t="s">
        <v>62</v>
      </c>
      <c r="D157" s="5"/>
      <c r="E157" s="35" t="s">
        <v>925</v>
      </c>
      <c r="F157" s="6" t="s">
        <v>926</v>
      </c>
      <c r="G157" s="6" t="s">
        <v>927</v>
      </c>
      <c r="H157" s="6">
        <v>2013.0</v>
      </c>
      <c r="I157" s="6">
        <v>1.0</v>
      </c>
      <c r="J157" s="6">
        <v>0.0</v>
      </c>
      <c r="K157" s="10">
        <f t="shared" si="6"/>
        <v>1</v>
      </c>
      <c r="L157" s="8"/>
      <c r="M157" s="10" t="s">
        <v>929</v>
      </c>
      <c r="N157" s="9" t="s">
        <v>930</v>
      </c>
      <c r="O157" s="6">
        <v>42.683</v>
      </c>
      <c r="P157" s="6">
        <v>44.3347</v>
      </c>
      <c r="Q157" s="10" t="str">
        <f t="shared" si="1"/>
        <v>42.683, 44.3347</v>
      </c>
      <c r="R157" s="6"/>
      <c r="S157" s="10"/>
      <c r="T157" s="6"/>
      <c r="U157" s="6" t="s">
        <v>102</v>
      </c>
      <c r="V157" s="34" t="s">
        <v>920</v>
      </c>
    </row>
    <row r="158" ht="12.75" customHeight="1">
      <c r="A158" s="5"/>
      <c r="B158" s="6" t="s">
        <v>49</v>
      </c>
      <c r="C158" s="6" t="s">
        <v>50</v>
      </c>
      <c r="D158" s="5"/>
      <c r="E158" s="35" t="s">
        <v>935</v>
      </c>
      <c r="F158" s="6" t="s">
        <v>838</v>
      </c>
      <c r="G158" s="6" t="s">
        <v>840</v>
      </c>
      <c r="H158" s="5">
        <v>2015.0</v>
      </c>
      <c r="I158" s="6">
        <v>4.0</v>
      </c>
      <c r="J158" s="6">
        <v>0.0</v>
      </c>
      <c r="K158" s="10">
        <f t="shared" si="6"/>
        <v>4</v>
      </c>
      <c r="L158" s="8"/>
      <c r="M158" s="10" t="s">
        <v>937</v>
      </c>
      <c r="N158" s="31" t="s">
        <v>938</v>
      </c>
      <c r="O158" s="6">
        <v>37.1</v>
      </c>
      <c r="P158" s="6">
        <v>27.2</v>
      </c>
      <c r="Q158" s="10" t="str">
        <f t="shared" si="1"/>
        <v>37.1, 27.2</v>
      </c>
      <c r="R158" s="6"/>
      <c r="S158" s="10"/>
      <c r="T158" s="6" t="s">
        <v>53</v>
      </c>
      <c r="U158" s="6" t="s">
        <v>939</v>
      </c>
      <c r="V158" s="34" t="s">
        <v>941</v>
      </c>
    </row>
    <row r="159" ht="12.75" customHeight="1">
      <c r="A159" s="5"/>
      <c r="B159" s="6" t="s">
        <v>49</v>
      </c>
      <c r="C159" s="6" t="s">
        <v>50</v>
      </c>
      <c r="D159" s="5"/>
      <c r="E159" s="35" t="s">
        <v>946</v>
      </c>
      <c r="F159" s="6" t="s">
        <v>838</v>
      </c>
      <c r="G159" s="6" t="s">
        <v>840</v>
      </c>
      <c r="H159" s="5">
        <v>2015.0</v>
      </c>
      <c r="I159" s="6">
        <v>18.0</v>
      </c>
      <c r="J159" s="6">
        <v>0.0</v>
      </c>
      <c r="K159" s="10">
        <f t="shared" si="6"/>
        <v>18</v>
      </c>
      <c r="L159" s="8"/>
      <c r="M159" s="10" t="s">
        <v>947</v>
      </c>
      <c r="N159" s="31" t="s">
        <v>948</v>
      </c>
      <c r="O159" s="6">
        <v>36.9</v>
      </c>
      <c r="P159" s="6">
        <v>27.9</v>
      </c>
      <c r="Q159" s="10" t="str">
        <f t="shared" si="1"/>
        <v>36.9, 27.9</v>
      </c>
      <c r="R159" s="6"/>
      <c r="S159" s="10"/>
      <c r="T159" s="6" t="s">
        <v>53</v>
      </c>
      <c r="U159" s="6" t="s">
        <v>950</v>
      </c>
      <c r="V159" s="34" t="s">
        <v>951</v>
      </c>
    </row>
    <row r="160" ht="12.75" customHeight="1">
      <c r="A160" s="5"/>
      <c r="B160" s="6" t="s">
        <v>49</v>
      </c>
      <c r="C160" s="6" t="s">
        <v>50</v>
      </c>
      <c r="D160" s="5"/>
      <c r="E160" s="35" t="s">
        <v>935</v>
      </c>
      <c r="F160" s="6" t="s">
        <v>838</v>
      </c>
      <c r="G160" s="6" t="s">
        <v>840</v>
      </c>
      <c r="H160" s="5">
        <v>2015.0</v>
      </c>
      <c r="I160" s="6">
        <v>4.0</v>
      </c>
      <c r="J160" s="6">
        <v>0.0</v>
      </c>
      <c r="K160" s="10">
        <f t="shared" si="6"/>
        <v>4</v>
      </c>
      <c r="L160" s="8"/>
      <c r="M160" s="10" t="s">
        <v>957</v>
      </c>
      <c r="N160" s="31" t="s">
        <v>948</v>
      </c>
      <c r="O160" s="6">
        <v>36.9</v>
      </c>
      <c r="P160" s="6">
        <v>27.9</v>
      </c>
      <c r="Q160" s="10" t="str">
        <f t="shared" si="1"/>
        <v>36.9, 27.9</v>
      </c>
      <c r="R160" s="6"/>
      <c r="S160" s="10"/>
      <c r="T160" s="6" t="s">
        <v>53</v>
      </c>
      <c r="U160" s="6" t="s">
        <v>456</v>
      </c>
      <c r="V160" s="34" t="s">
        <v>958</v>
      </c>
    </row>
    <row r="161" ht="12.75" customHeight="1">
      <c r="A161" s="5"/>
      <c r="B161" s="6" t="s">
        <v>68</v>
      </c>
      <c r="C161" s="6" t="s">
        <v>69</v>
      </c>
      <c r="D161" s="5"/>
      <c r="E161" s="35" t="s">
        <v>963</v>
      </c>
      <c r="F161" s="6" t="s">
        <v>838</v>
      </c>
      <c r="G161" s="6" t="s">
        <v>840</v>
      </c>
      <c r="H161" s="5">
        <v>2015.0</v>
      </c>
      <c r="I161" s="6">
        <v>2.0</v>
      </c>
      <c r="J161" s="6">
        <v>0.0</v>
      </c>
      <c r="K161" s="10">
        <f t="shared" si="6"/>
        <v>2</v>
      </c>
      <c r="L161" s="8"/>
      <c r="M161" s="10" t="s">
        <v>965</v>
      </c>
      <c r="N161" s="31" t="s">
        <v>596</v>
      </c>
      <c r="O161" s="10">
        <v>39.1</v>
      </c>
      <c r="P161" s="6">
        <v>26.21</v>
      </c>
      <c r="Q161" s="10" t="str">
        <f t="shared" si="1"/>
        <v>39.1, 26.21</v>
      </c>
      <c r="R161" s="6"/>
      <c r="S161" s="10"/>
      <c r="T161" s="6" t="s">
        <v>53</v>
      </c>
      <c r="U161" s="6" t="s">
        <v>254</v>
      </c>
      <c r="V161" s="34" t="s">
        <v>967</v>
      </c>
    </row>
    <row r="162" ht="12.75" customHeight="1">
      <c r="A162" s="5"/>
      <c r="B162" s="6" t="s">
        <v>68</v>
      </c>
      <c r="C162" s="6" t="s">
        <v>69</v>
      </c>
      <c r="D162" s="5"/>
      <c r="E162" s="35" t="s">
        <v>963</v>
      </c>
      <c r="F162" s="6" t="s">
        <v>838</v>
      </c>
      <c r="G162" s="6" t="s">
        <v>840</v>
      </c>
      <c r="H162" s="5">
        <v>2015.0</v>
      </c>
      <c r="I162" s="6">
        <v>2.0</v>
      </c>
      <c r="J162" s="6">
        <v>0.0</v>
      </c>
      <c r="K162" s="10">
        <f t="shared" si="6"/>
        <v>2</v>
      </c>
      <c r="L162" s="8"/>
      <c r="M162" s="10" t="s">
        <v>971</v>
      </c>
      <c r="N162" s="9" t="s">
        <v>897</v>
      </c>
      <c r="O162" s="6">
        <v>38.3</v>
      </c>
      <c r="P162" s="6">
        <v>26.2</v>
      </c>
      <c r="Q162" s="10" t="str">
        <f t="shared" si="1"/>
        <v>38.3, 26.2</v>
      </c>
      <c r="R162" s="6"/>
      <c r="S162" s="10"/>
      <c r="T162" s="6" t="s">
        <v>53</v>
      </c>
      <c r="U162" s="6" t="s">
        <v>872</v>
      </c>
      <c r="V162" s="34" t="s">
        <v>973</v>
      </c>
    </row>
    <row r="163" ht="12.75" customHeight="1">
      <c r="A163" s="5"/>
      <c r="B163" s="6" t="s">
        <v>68</v>
      </c>
      <c r="C163" s="6" t="s">
        <v>69</v>
      </c>
      <c r="D163" s="5"/>
      <c r="E163" s="35" t="s">
        <v>963</v>
      </c>
      <c r="F163" s="6" t="s">
        <v>838</v>
      </c>
      <c r="G163" s="6" t="s">
        <v>840</v>
      </c>
      <c r="H163" s="5">
        <v>2015.0</v>
      </c>
      <c r="I163" s="6">
        <v>4.0</v>
      </c>
      <c r="J163" s="6">
        <v>0.0</v>
      </c>
      <c r="K163" s="10">
        <f t="shared" si="6"/>
        <v>4</v>
      </c>
      <c r="L163" s="8"/>
      <c r="M163" s="10" t="s">
        <v>979</v>
      </c>
      <c r="N163" s="9" t="s">
        <v>948</v>
      </c>
      <c r="O163" s="6">
        <v>36.9</v>
      </c>
      <c r="P163" s="6">
        <v>27.9</v>
      </c>
      <c r="Q163" s="10" t="str">
        <f t="shared" si="1"/>
        <v>36.9, 27.9</v>
      </c>
      <c r="R163" s="6"/>
      <c r="S163" s="10"/>
      <c r="T163" s="6" t="s">
        <v>53</v>
      </c>
      <c r="U163" s="6" t="s">
        <v>872</v>
      </c>
      <c r="V163" s="34" t="s">
        <v>981</v>
      </c>
    </row>
    <row r="164" ht="12.75" customHeight="1">
      <c r="A164" s="5"/>
      <c r="B164" s="6" t="s">
        <v>49</v>
      </c>
      <c r="C164" s="6" t="s">
        <v>50</v>
      </c>
      <c r="D164" s="5"/>
      <c r="E164" s="35" t="s">
        <v>985</v>
      </c>
      <c r="F164" s="6" t="s">
        <v>838</v>
      </c>
      <c r="G164" s="6" t="s">
        <v>840</v>
      </c>
      <c r="H164" s="5">
        <v>2015.0</v>
      </c>
      <c r="I164" s="6">
        <v>3.0</v>
      </c>
      <c r="J164" s="6">
        <v>3.0</v>
      </c>
      <c r="K164" s="10">
        <f t="shared" si="6"/>
        <v>6</v>
      </c>
      <c r="L164" s="8"/>
      <c r="M164" s="10" t="s">
        <v>987</v>
      </c>
      <c r="N164" s="31" t="s">
        <v>988</v>
      </c>
      <c r="O164" s="6">
        <v>36.14</v>
      </c>
      <c r="P164" s="6">
        <v>29.62</v>
      </c>
      <c r="Q164" s="10" t="str">
        <f t="shared" si="1"/>
        <v>36.14, 29.62</v>
      </c>
      <c r="R164" s="6"/>
      <c r="S164" s="10"/>
      <c r="T164" s="6" t="s">
        <v>53</v>
      </c>
      <c r="U164" s="6" t="s">
        <v>54</v>
      </c>
      <c r="V164" s="34" t="s">
        <v>990</v>
      </c>
    </row>
    <row r="165" ht="12.75" customHeight="1">
      <c r="A165" s="5"/>
      <c r="B165" s="6" t="s">
        <v>61</v>
      </c>
      <c r="C165" s="6" t="s">
        <v>62</v>
      </c>
      <c r="D165" s="5"/>
      <c r="E165" s="35" t="s">
        <v>985</v>
      </c>
      <c r="F165" s="6" t="s">
        <v>838</v>
      </c>
      <c r="G165" s="6" t="s">
        <v>840</v>
      </c>
      <c r="H165" s="5">
        <v>2015.0</v>
      </c>
      <c r="I165" s="6">
        <v>1.0</v>
      </c>
      <c r="J165" s="6">
        <v>0.0</v>
      </c>
      <c r="K165" s="10">
        <f t="shared" si="6"/>
        <v>1</v>
      </c>
      <c r="L165" s="8"/>
      <c r="M165" s="10" t="s">
        <v>997</v>
      </c>
      <c r="N165" s="31" t="s">
        <v>998</v>
      </c>
      <c r="O165" s="6">
        <v>49.3511</v>
      </c>
      <c r="P165" s="6">
        <v>8.1968</v>
      </c>
      <c r="Q165" s="10" t="str">
        <f t="shared" si="1"/>
        <v>49.3511, 8.1968</v>
      </c>
      <c r="R165" s="6"/>
      <c r="S165" s="10"/>
      <c r="T165" s="6"/>
      <c r="U165" s="6" t="s">
        <v>254</v>
      </c>
      <c r="V165" s="34" t="s">
        <v>999</v>
      </c>
    </row>
    <row r="166" ht="12.75" customHeight="1">
      <c r="A166" s="5"/>
      <c r="B166" s="6" t="s">
        <v>49</v>
      </c>
      <c r="C166" s="6" t="s">
        <v>50</v>
      </c>
      <c r="D166" s="5"/>
      <c r="E166" s="35" t="s">
        <v>1003</v>
      </c>
      <c r="F166" s="6" t="s">
        <v>838</v>
      </c>
      <c r="G166" s="6" t="s">
        <v>840</v>
      </c>
      <c r="H166" s="5">
        <v>2015.0</v>
      </c>
      <c r="I166" s="6">
        <v>1.0</v>
      </c>
      <c r="J166" s="6">
        <v>0.0</v>
      </c>
      <c r="K166" s="10">
        <f t="shared" si="6"/>
        <v>1</v>
      </c>
      <c r="L166" s="8"/>
      <c r="M166" s="10" t="s">
        <v>1005</v>
      </c>
      <c r="N166" s="31" t="s">
        <v>796</v>
      </c>
      <c r="O166" s="6">
        <v>39.44</v>
      </c>
      <c r="P166" s="6">
        <v>26.39</v>
      </c>
      <c r="Q166" s="10" t="str">
        <f t="shared" si="1"/>
        <v>39.44, 26.39</v>
      </c>
      <c r="R166" s="6"/>
      <c r="S166" s="10"/>
      <c r="T166" s="6" t="s">
        <v>53</v>
      </c>
      <c r="U166" s="6" t="s">
        <v>1007</v>
      </c>
      <c r="V166" s="34" t="s">
        <v>1008</v>
      </c>
    </row>
    <row r="167" ht="12.75" customHeight="1">
      <c r="A167" s="5"/>
      <c r="B167" s="6" t="s">
        <v>49</v>
      </c>
      <c r="C167" s="6" t="s">
        <v>50</v>
      </c>
      <c r="D167" s="5"/>
      <c r="E167" s="35" t="s">
        <v>1014</v>
      </c>
      <c r="F167" s="6" t="s">
        <v>838</v>
      </c>
      <c r="G167" s="6" t="s">
        <v>840</v>
      </c>
      <c r="H167" s="5">
        <v>2015.0</v>
      </c>
      <c r="I167" s="6">
        <v>4.0</v>
      </c>
      <c r="J167" s="6">
        <v>9.0</v>
      </c>
      <c r="K167" s="10">
        <f t="shared" si="6"/>
        <v>13</v>
      </c>
      <c r="L167" s="8"/>
      <c r="M167" s="10" t="s">
        <v>1016</v>
      </c>
      <c r="N167" s="31" t="s">
        <v>891</v>
      </c>
      <c r="O167" s="10">
        <v>37.29</v>
      </c>
      <c r="P167" s="6">
        <v>27.16</v>
      </c>
      <c r="Q167" s="10" t="str">
        <f t="shared" si="1"/>
        <v>37.29, 27.16</v>
      </c>
      <c r="R167" s="6"/>
      <c r="S167" s="10"/>
      <c r="T167" s="6" t="s">
        <v>53</v>
      </c>
      <c r="U167" s="6" t="s">
        <v>872</v>
      </c>
      <c r="V167" s="34" t="s">
        <v>1017</v>
      </c>
    </row>
    <row r="168" ht="12.75" customHeight="1">
      <c r="A168" s="5"/>
      <c r="B168" s="6" t="s">
        <v>68</v>
      </c>
      <c r="C168" s="6" t="s">
        <v>69</v>
      </c>
      <c r="D168" s="5"/>
      <c r="E168" s="35" t="s">
        <v>1025</v>
      </c>
      <c r="F168" s="6" t="s">
        <v>838</v>
      </c>
      <c r="G168" s="6" t="s">
        <v>840</v>
      </c>
      <c r="H168" s="5">
        <v>2015.0</v>
      </c>
      <c r="I168" s="6">
        <v>1.0</v>
      </c>
      <c r="J168" s="6">
        <v>0.0</v>
      </c>
      <c r="K168" s="10">
        <f t="shared" si="6"/>
        <v>1</v>
      </c>
      <c r="L168" s="8"/>
      <c r="M168" s="10" t="s">
        <v>1027</v>
      </c>
      <c r="N168" s="31" t="s">
        <v>891</v>
      </c>
      <c r="O168" s="10">
        <v>37.29</v>
      </c>
      <c r="P168" s="6">
        <v>27.16</v>
      </c>
      <c r="Q168" s="10" t="str">
        <f t="shared" si="1"/>
        <v>37.29, 27.16</v>
      </c>
      <c r="R168" s="6"/>
      <c r="S168" s="10"/>
      <c r="T168" s="6" t="s">
        <v>53</v>
      </c>
      <c r="U168" s="6" t="s">
        <v>872</v>
      </c>
      <c r="V168" s="34" t="s">
        <v>1029</v>
      </c>
    </row>
    <row r="169" ht="12.75" customHeight="1">
      <c r="A169" s="5"/>
      <c r="B169" s="6" t="s">
        <v>49</v>
      </c>
      <c r="C169" s="6" t="s">
        <v>50</v>
      </c>
      <c r="D169" s="5"/>
      <c r="E169" s="35" t="s">
        <v>1036</v>
      </c>
      <c r="F169" s="6" t="s">
        <v>838</v>
      </c>
      <c r="G169" s="6" t="s">
        <v>840</v>
      </c>
      <c r="H169" s="5">
        <v>2015.0</v>
      </c>
      <c r="I169" s="6">
        <v>11.0</v>
      </c>
      <c r="J169" s="6">
        <v>0.0</v>
      </c>
      <c r="K169" s="10">
        <f t="shared" si="6"/>
        <v>11</v>
      </c>
      <c r="L169" s="8"/>
      <c r="M169" s="10" t="s">
        <v>1037</v>
      </c>
      <c r="N169" s="31" t="s">
        <v>1038</v>
      </c>
      <c r="O169" s="10">
        <v>26.7</v>
      </c>
      <c r="P169" s="6">
        <v>-15.0</v>
      </c>
      <c r="Q169" s="10" t="str">
        <f t="shared" si="1"/>
        <v>26.7, -15</v>
      </c>
      <c r="R169" s="6"/>
      <c r="S169" s="10"/>
      <c r="T169" s="6" t="s">
        <v>1040</v>
      </c>
      <c r="U169" s="6" t="s">
        <v>1041</v>
      </c>
      <c r="V169" s="34" t="s">
        <v>1042</v>
      </c>
    </row>
    <row r="170" ht="12.75" customHeight="1">
      <c r="A170" s="5"/>
      <c r="B170" s="6" t="s">
        <v>68</v>
      </c>
      <c r="C170" s="6" t="s">
        <v>69</v>
      </c>
      <c r="D170" s="5"/>
      <c r="E170" s="35" t="s">
        <v>1048</v>
      </c>
      <c r="F170" s="6" t="s">
        <v>838</v>
      </c>
      <c r="G170" s="6" t="s">
        <v>840</v>
      </c>
      <c r="H170" s="5">
        <v>2015.0</v>
      </c>
      <c r="I170" s="6">
        <v>12.0</v>
      </c>
      <c r="J170" s="6">
        <v>12.0</v>
      </c>
      <c r="K170" s="10">
        <f t="shared" si="6"/>
        <v>24</v>
      </c>
      <c r="L170" s="8"/>
      <c r="M170" s="10" t="s">
        <v>1050</v>
      </c>
      <c r="N170" s="31" t="s">
        <v>891</v>
      </c>
      <c r="O170" s="10">
        <v>37.29</v>
      </c>
      <c r="P170" s="6">
        <v>27.16</v>
      </c>
      <c r="Q170" s="10" t="str">
        <f t="shared" si="1"/>
        <v>37.29, 27.16</v>
      </c>
      <c r="R170" s="6"/>
      <c r="S170" s="10"/>
      <c r="T170" s="6" t="s">
        <v>53</v>
      </c>
      <c r="U170" s="6" t="s">
        <v>54</v>
      </c>
      <c r="V170" s="34" t="s">
        <v>1052</v>
      </c>
    </row>
    <row r="171" ht="12.75" customHeight="1">
      <c r="A171" s="5"/>
      <c r="B171" s="6" t="s">
        <v>49</v>
      </c>
      <c r="C171" s="6" t="s">
        <v>50</v>
      </c>
      <c r="D171" s="5"/>
      <c r="E171" s="35" t="s">
        <v>1025</v>
      </c>
      <c r="F171" s="6" t="s">
        <v>838</v>
      </c>
      <c r="G171" s="6" t="s">
        <v>840</v>
      </c>
      <c r="H171" s="5">
        <v>2015.0</v>
      </c>
      <c r="I171" s="6">
        <v>6.0</v>
      </c>
      <c r="J171" s="6">
        <v>2.0</v>
      </c>
      <c r="K171" s="10">
        <f t="shared" si="6"/>
        <v>8</v>
      </c>
      <c r="L171" s="8"/>
      <c r="M171" s="10" t="s">
        <v>1059</v>
      </c>
      <c r="N171" s="31" t="s">
        <v>897</v>
      </c>
      <c r="O171" s="6">
        <v>38.3</v>
      </c>
      <c r="P171" s="6">
        <v>26.2</v>
      </c>
      <c r="Q171" s="10" t="str">
        <f t="shared" si="1"/>
        <v>38.3, 26.2</v>
      </c>
      <c r="R171" s="6"/>
      <c r="S171" s="10"/>
      <c r="T171" s="6" t="s">
        <v>53</v>
      </c>
      <c r="U171" s="6" t="s">
        <v>950</v>
      </c>
      <c r="V171" s="34" t="s">
        <v>1062</v>
      </c>
    </row>
    <row r="172" ht="12.75" customHeight="1">
      <c r="A172" s="5"/>
      <c r="B172" s="6" t="s">
        <v>61</v>
      </c>
      <c r="C172" s="6" t="s">
        <v>62</v>
      </c>
      <c r="D172" s="5"/>
      <c r="E172" s="35" t="s">
        <v>1025</v>
      </c>
      <c r="F172" s="6" t="s">
        <v>838</v>
      </c>
      <c r="G172" s="6" t="s">
        <v>840</v>
      </c>
      <c r="H172" s="5">
        <v>2015.0</v>
      </c>
      <c r="I172" s="6">
        <v>1.0</v>
      </c>
      <c r="J172" s="6">
        <v>0.0</v>
      </c>
      <c r="K172" s="10">
        <f t="shared" si="6"/>
        <v>1</v>
      </c>
      <c r="L172" s="8"/>
      <c r="M172" s="10" t="s">
        <v>1069</v>
      </c>
      <c r="N172" s="31" t="s">
        <v>126</v>
      </c>
      <c r="O172" s="6">
        <v>50.951</v>
      </c>
      <c r="P172" s="6">
        <v>1.861</v>
      </c>
      <c r="Q172" s="10" t="str">
        <f t="shared" si="1"/>
        <v>50.951, 1.861</v>
      </c>
      <c r="R172" s="6"/>
      <c r="S172" s="10"/>
      <c r="T172" s="6"/>
      <c r="U172" s="6" t="s">
        <v>254</v>
      </c>
      <c r="V172" s="34" t="s">
        <v>1071</v>
      </c>
    </row>
    <row r="173" ht="12.75" customHeight="1">
      <c r="A173" s="5"/>
      <c r="B173" s="6" t="s">
        <v>1076</v>
      </c>
      <c r="C173" s="6" t="s">
        <v>42</v>
      </c>
      <c r="D173" s="5"/>
      <c r="E173" s="35" t="s">
        <v>1078</v>
      </c>
      <c r="F173" s="6" t="s">
        <v>838</v>
      </c>
      <c r="G173" s="6" t="s">
        <v>1079</v>
      </c>
      <c r="H173" s="5">
        <v>2015.0</v>
      </c>
      <c r="I173" s="6">
        <v>2.0</v>
      </c>
      <c r="J173" s="6">
        <v>0.0</v>
      </c>
      <c r="K173" s="10">
        <f t="shared" si="6"/>
        <v>2</v>
      </c>
      <c r="L173" s="8"/>
      <c r="M173" s="10" t="s">
        <v>1080</v>
      </c>
      <c r="N173" s="31" t="s">
        <v>1081</v>
      </c>
      <c r="O173" s="10">
        <v>35.843</v>
      </c>
      <c r="P173" s="10">
        <v>-5.397</v>
      </c>
      <c r="Q173" s="10" t="str">
        <f t="shared" si="1"/>
        <v>35.843, -5.397</v>
      </c>
      <c r="R173" s="6"/>
      <c r="S173" s="10"/>
      <c r="T173" s="6" t="s">
        <v>72</v>
      </c>
      <c r="U173" s="6" t="s">
        <v>1083</v>
      </c>
      <c r="V173" s="34" t="s">
        <v>1084</v>
      </c>
    </row>
    <row r="174" ht="12.75" customHeight="1">
      <c r="A174" s="5"/>
      <c r="B174" s="6" t="s">
        <v>129</v>
      </c>
      <c r="C174" s="6" t="s">
        <v>124</v>
      </c>
      <c r="D174" s="5"/>
      <c r="E174" s="35" t="s">
        <v>1089</v>
      </c>
      <c r="F174" s="6" t="s">
        <v>838</v>
      </c>
      <c r="G174" s="6" t="s">
        <v>840</v>
      </c>
      <c r="H174" s="5">
        <v>2015.0</v>
      </c>
      <c r="I174" s="6">
        <v>1.0</v>
      </c>
      <c r="J174" s="6">
        <v>0.0</v>
      </c>
      <c r="K174" s="10">
        <f t="shared" si="6"/>
        <v>1</v>
      </c>
      <c r="L174" s="8"/>
      <c r="M174" s="10" t="s">
        <v>1091</v>
      </c>
      <c r="N174" s="31" t="s">
        <v>1092</v>
      </c>
      <c r="O174" s="10">
        <v>50.92</v>
      </c>
      <c r="P174" s="10">
        <v>1.78</v>
      </c>
      <c r="Q174" s="10" t="str">
        <f t="shared" si="1"/>
        <v>50.92, 1.78</v>
      </c>
      <c r="R174" s="6"/>
      <c r="S174" s="10"/>
      <c r="T174" s="6"/>
      <c r="U174" s="6" t="s">
        <v>1093</v>
      </c>
      <c r="V174" s="34" t="s">
        <v>1094</v>
      </c>
    </row>
    <row r="175" ht="12.75" customHeight="1">
      <c r="A175" s="5"/>
      <c r="B175" s="6" t="s">
        <v>68</v>
      </c>
      <c r="C175" s="6" t="s">
        <v>69</v>
      </c>
      <c r="D175" s="5"/>
      <c r="E175" s="35" t="s">
        <v>1089</v>
      </c>
      <c r="F175" s="6" t="s">
        <v>838</v>
      </c>
      <c r="G175" s="6" t="s">
        <v>840</v>
      </c>
      <c r="H175" s="5">
        <v>2015.0</v>
      </c>
      <c r="I175" s="6">
        <v>1.0</v>
      </c>
      <c r="J175" s="6">
        <v>3.0</v>
      </c>
      <c r="K175" s="10">
        <f t="shared" si="6"/>
        <v>4</v>
      </c>
      <c r="L175" s="8"/>
      <c r="M175" s="10" t="s">
        <v>1099</v>
      </c>
      <c r="N175" s="31" t="s">
        <v>891</v>
      </c>
      <c r="O175" s="10">
        <v>37.29</v>
      </c>
      <c r="P175" s="6">
        <v>27.16</v>
      </c>
      <c r="Q175" s="10" t="str">
        <f t="shared" si="1"/>
        <v>37.29, 27.16</v>
      </c>
      <c r="R175" s="6"/>
      <c r="S175" s="10"/>
      <c r="T175" s="6" t="s">
        <v>53</v>
      </c>
      <c r="U175" s="6" t="s">
        <v>54</v>
      </c>
      <c r="V175" s="34" t="s">
        <v>1101</v>
      </c>
    </row>
    <row r="176" ht="12.75" customHeight="1">
      <c r="A176" s="5"/>
      <c r="B176" s="6" t="s">
        <v>1105</v>
      </c>
      <c r="C176" s="6" t="s">
        <v>124</v>
      </c>
      <c r="D176" s="5"/>
      <c r="E176" s="35" t="s">
        <v>1089</v>
      </c>
      <c r="F176" s="6" t="s">
        <v>838</v>
      </c>
      <c r="G176" s="6" t="s">
        <v>840</v>
      </c>
      <c r="H176" s="5">
        <v>2015.0</v>
      </c>
      <c r="I176" s="6">
        <v>1.0</v>
      </c>
      <c r="J176" s="6">
        <v>0.0</v>
      </c>
      <c r="K176" s="10">
        <f t="shared" si="6"/>
        <v>1</v>
      </c>
      <c r="L176" s="8"/>
      <c r="M176" s="10" t="s">
        <v>1107</v>
      </c>
      <c r="N176" s="9" t="s">
        <v>199</v>
      </c>
      <c r="O176" s="6">
        <v>41.1223</v>
      </c>
      <c r="P176" s="6">
        <v>22.4402</v>
      </c>
      <c r="Q176" s="10" t="str">
        <f t="shared" si="1"/>
        <v>41.1223, 22.4402</v>
      </c>
      <c r="R176" s="6"/>
      <c r="S176" s="10"/>
      <c r="T176" s="6" t="s">
        <v>65</v>
      </c>
      <c r="U176" s="6" t="s">
        <v>92</v>
      </c>
      <c r="V176" s="34" t="s">
        <v>1109</v>
      </c>
    </row>
    <row r="177" ht="12.75" customHeight="1">
      <c r="A177" s="5"/>
      <c r="B177" s="6" t="s">
        <v>49</v>
      </c>
      <c r="C177" s="6" t="s">
        <v>50</v>
      </c>
      <c r="D177" s="5"/>
      <c r="E177" s="35" t="s">
        <v>1114</v>
      </c>
      <c r="F177" s="6" t="s">
        <v>838</v>
      </c>
      <c r="G177" s="6" t="s">
        <v>840</v>
      </c>
      <c r="H177" s="5">
        <v>2015.0</v>
      </c>
      <c r="I177" s="6">
        <v>1.0</v>
      </c>
      <c r="J177" s="6">
        <v>0.0</v>
      </c>
      <c r="K177" s="10">
        <f t="shared" si="6"/>
        <v>1</v>
      </c>
      <c r="L177" s="8"/>
      <c r="M177" s="10" t="s">
        <v>1115</v>
      </c>
      <c r="N177" s="9" t="s">
        <v>1116</v>
      </c>
      <c r="O177" s="6">
        <v>36.15</v>
      </c>
      <c r="P177" s="6">
        <v>29.51</v>
      </c>
      <c r="Q177" s="10" t="str">
        <f t="shared" si="1"/>
        <v>36.15, 29.51</v>
      </c>
      <c r="R177" s="6"/>
      <c r="S177" s="10"/>
      <c r="T177" s="6" t="s">
        <v>53</v>
      </c>
      <c r="U177" s="6" t="s">
        <v>872</v>
      </c>
      <c r="V177" s="34" t="s">
        <v>1117</v>
      </c>
    </row>
    <row r="178" ht="12.75" customHeight="1">
      <c r="A178" s="5"/>
      <c r="B178" s="6" t="s">
        <v>68</v>
      </c>
      <c r="C178" s="6" t="s">
        <v>69</v>
      </c>
      <c r="D178" s="5"/>
      <c r="E178" s="35" t="s">
        <v>1114</v>
      </c>
      <c r="F178" s="6" t="s">
        <v>838</v>
      </c>
      <c r="G178" s="6" t="s">
        <v>840</v>
      </c>
      <c r="H178" s="5">
        <v>2015.0</v>
      </c>
      <c r="I178" s="6">
        <v>3.0</v>
      </c>
      <c r="J178" s="6">
        <v>30.0</v>
      </c>
      <c r="K178" s="10">
        <f t="shared" si="6"/>
        <v>33</v>
      </c>
      <c r="L178" s="8"/>
      <c r="M178" s="10" t="s">
        <v>1122</v>
      </c>
      <c r="N178" s="9" t="s">
        <v>897</v>
      </c>
      <c r="O178" s="6">
        <v>38.3</v>
      </c>
      <c r="P178" s="6">
        <v>26.2</v>
      </c>
      <c r="Q178" s="10" t="str">
        <f t="shared" si="1"/>
        <v>38.3, 26.2</v>
      </c>
      <c r="R178" s="6"/>
      <c r="S178" s="10"/>
      <c r="T178" s="6" t="s">
        <v>53</v>
      </c>
      <c r="U178" s="6" t="s">
        <v>872</v>
      </c>
      <c r="V178" s="34" t="s">
        <v>1123</v>
      </c>
    </row>
    <row r="179" ht="12.75" customHeight="1">
      <c r="A179" s="5"/>
      <c r="B179" s="6" t="s">
        <v>215</v>
      </c>
      <c r="C179" s="6" t="s">
        <v>62</v>
      </c>
      <c r="D179" s="5"/>
      <c r="E179" s="35" t="s">
        <v>1078</v>
      </c>
      <c r="F179" s="6" t="s">
        <v>838</v>
      </c>
      <c r="G179" s="6" t="s">
        <v>1079</v>
      </c>
      <c r="H179" s="5">
        <v>2015.0</v>
      </c>
      <c r="I179" s="6">
        <v>4.0</v>
      </c>
      <c r="J179" s="6">
        <v>0.0</v>
      </c>
      <c r="K179" s="10">
        <f t="shared" si="6"/>
        <v>4</v>
      </c>
      <c r="L179" s="8"/>
      <c r="M179" s="10" t="s">
        <v>1127</v>
      </c>
      <c r="N179" s="9" t="s">
        <v>1128</v>
      </c>
      <c r="O179" s="6">
        <v>17.9</v>
      </c>
      <c r="P179" s="6">
        <v>0.7</v>
      </c>
      <c r="Q179" s="10" t="str">
        <f t="shared" si="1"/>
        <v>17.9, 0.7</v>
      </c>
      <c r="R179" s="6"/>
      <c r="S179" s="10"/>
      <c r="T179" s="6"/>
      <c r="U179" s="6" t="s">
        <v>254</v>
      </c>
      <c r="V179" s="34" t="s">
        <v>1130</v>
      </c>
    </row>
    <row r="180" ht="12.75" customHeight="1">
      <c r="A180" s="5"/>
      <c r="B180" s="6" t="s">
        <v>49</v>
      </c>
      <c r="C180" s="6" t="s">
        <v>50</v>
      </c>
      <c r="D180" s="5"/>
      <c r="E180" s="35" t="s">
        <v>1134</v>
      </c>
      <c r="F180" s="6" t="s">
        <v>838</v>
      </c>
      <c r="G180" s="6" t="s">
        <v>1079</v>
      </c>
      <c r="H180" s="5">
        <v>2015.0</v>
      </c>
      <c r="I180" s="6">
        <v>4.0</v>
      </c>
      <c r="J180" s="6">
        <v>0.0</v>
      </c>
      <c r="K180" s="10">
        <f t="shared" si="6"/>
        <v>4</v>
      </c>
      <c r="L180" s="8"/>
      <c r="M180" s="10" t="s">
        <v>1135</v>
      </c>
      <c r="N180" s="9" t="s">
        <v>796</v>
      </c>
      <c r="O180" s="6">
        <v>39.44</v>
      </c>
      <c r="P180" s="6">
        <v>26.39</v>
      </c>
      <c r="Q180" s="10" t="str">
        <f t="shared" si="1"/>
        <v>39.44, 26.39</v>
      </c>
      <c r="R180" s="6"/>
      <c r="S180" s="10"/>
      <c r="T180" s="6" t="s">
        <v>53</v>
      </c>
      <c r="U180" s="6" t="s">
        <v>950</v>
      </c>
      <c r="V180" s="34" t="s">
        <v>1137</v>
      </c>
    </row>
    <row r="181" ht="12.75" customHeight="1">
      <c r="A181" s="5"/>
      <c r="B181" s="6" t="s">
        <v>49</v>
      </c>
      <c r="C181" s="6" t="s">
        <v>50</v>
      </c>
      <c r="D181" s="5"/>
      <c r="E181" s="35" t="s">
        <v>1134</v>
      </c>
      <c r="F181" s="6" t="s">
        <v>838</v>
      </c>
      <c r="G181" s="6" t="s">
        <v>1079</v>
      </c>
      <c r="H181" s="5">
        <v>2015.0</v>
      </c>
      <c r="I181" s="6">
        <v>2.0</v>
      </c>
      <c r="J181" s="6">
        <v>0.0</v>
      </c>
      <c r="K181" s="10">
        <f t="shared" si="6"/>
        <v>2</v>
      </c>
      <c r="L181" s="8"/>
      <c r="M181" s="10" t="s">
        <v>1141</v>
      </c>
      <c r="N181" s="9" t="s">
        <v>948</v>
      </c>
      <c r="O181" s="6">
        <v>36.9</v>
      </c>
      <c r="P181" s="6">
        <v>27.9</v>
      </c>
      <c r="Q181" s="10" t="str">
        <f t="shared" si="1"/>
        <v>36.9, 27.9</v>
      </c>
      <c r="R181" s="6"/>
      <c r="S181" s="10"/>
      <c r="T181" s="6" t="s">
        <v>53</v>
      </c>
      <c r="U181" s="6" t="s">
        <v>950</v>
      </c>
      <c r="V181" s="34" t="s">
        <v>1137</v>
      </c>
    </row>
    <row r="182" ht="12.75" customHeight="1">
      <c r="A182" s="5"/>
      <c r="B182" s="6" t="s">
        <v>41</v>
      </c>
      <c r="C182" s="6" t="s">
        <v>42</v>
      </c>
      <c r="D182" s="5"/>
      <c r="E182" s="35" t="s">
        <v>1146</v>
      </c>
      <c r="F182" s="6" t="s">
        <v>838</v>
      </c>
      <c r="G182" s="6" t="s">
        <v>1079</v>
      </c>
      <c r="H182" s="5">
        <v>2015.0</v>
      </c>
      <c r="I182" s="6">
        <v>6.0</v>
      </c>
      <c r="J182" s="6">
        <v>0.0</v>
      </c>
      <c r="K182" s="10">
        <f t="shared" si="6"/>
        <v>6</v>
      </c>
      <c r="L182" s="8"/>
      <c r="M182" s="10" t="s">
        <v>1147</v>
      </c>
      <c r="N182" s="9" t="s">
        <v>1148</v>
      </c>
      <c r="O182" s="6">
        <v>30.0</v>
      </c>
      <c r="P182" s="6">
        <v>34.0</v>
      </c>
      <c r="Q182" s="10" t="str">
        <f t="shared" si="1"/>
        <v>30, 34</v>
      </c>
      <c r="R182" s="6"/>
      <c r="S182" s="10"/>
      <c r="T182" s="6"/>
      <c r="U182" s="6" t="s">
        <v>254</v>
      </c>
      <c r="V182" s="34" t="s">
        <v>1149</v>
      </c>
    </row>
    <row r="183" ht="12.75" customHeight="1">
      <c r="A183" s="5"/>
      <c r="B183" s="6" t="s">
        <v>68</v>
      </c>
      <c r="C183" s="6" t="s">
        <v>69</v>
      </c>
      <c r="D183" s="5"/>
      <c r="E183" s="35" t="s">
        <v>1153</v>
      </c>
      <c r="F183" s="6" t="s">
        <v>838</v>
      </c>
      <c r="G183" s="6" t="s">
        <v>1079</v>
      </c>
      <c r="H183" s="5">
        <v>2015.0</v>
      </c>
      <c r="I183" s="6">
        <v>1.0</v>
      </c>
      <c r="J183" s="6">
        <v>0.0</v>
      </c>
      <c r="K183" s="10">
        <f t="shared" si="6"/>
        <v>1</v>
      </c>
      <c r="L183" s="8"/>
      <c r="M183" s="10" t="s">
        <v>1155</v>
      </c>
      <c r="N183" s="9" t="s">
        <v>948</v>
      </c>
      <c r="O183" s="6">
        <v>36.9</v>
      </c>
      <c r="P183" s="6">
        <v>27.9</v>
      </c>
      <c r="Q183" s="10" t="str">
        <f t="shared" si="1"/>
        <v>36.9, 27.9</v>
      </c>
      <c r="R183" s="6"/>
      <c r="S183" s="10"/>
      <c r="T183" s="6" t="s">
        <v>53</v>
      </c>
      <c r="U183" s="6" t="s">
        <v>437</v>
      </c>
      <c r="V183" s="34" t="s">
        <v>1156</v>
      </c>
    </row>
    <row r="184" ht="12.75" customHeight="1">
      <c r="A184" s="5"/>
      <c r="B184" s="6" t="s">
        <v>1161</v>
      </c>
      <c r="C184" s="6" t="s">
        <v>124</v>
      </c>
      <c r="D184" s="5"/>
      <c r="E184" s="35" t="s">
        <v>1162</v>
      </c>
      <c r="F184" s="6" t="s">
        <v>838</v>
      </c>
      <c r="G184" s="6" t="s">
        <v>1079</v>
      </c>
      <c r="H184" s="5">
        <v>2015.0</v>
      </c>
      <c r="I184" s="6">
        <v>18.0</v>
      </c>
      <c r="J184" s="6">
        <v>0.0</v>
      </c>
      <c r="K184" s="10">
        <f t="shared" si="6"/>
        <v>18</v>
      </c>
      <c r="L184" s="8"/>
      <c r="M184" s="10" t="s">
        <v>1164</v>
      </c>
      <c r="N184" s="9" t="s">
        <v>1165</v>
      </c>
      <c r="O184" s="6">
        <v>32.189</v>
      </c>
      <c r="P184" s="6">
        <v>4.3962</v>
      </c>
      <c r="Q184" s="10" t="str">
        <f t="shared" si="1"/>
        <v>32.189, 4.3962</v>
      </c>
      <c r="R184" s="6"/>
      <c r="S184" s="10"/>
      <c r="T184" s="5"/>
      <c r="U184" s="6" t="s">
        <v>254</v>
      </c>
      <c r="V184" s="34" t="s">
        <v>1166</v>
      </c>
    </row>
    <row r="185" ht="12.75" customHeight="1">
      <c r="A185" s="5"/>
      <c r="B185" s="6" t="s">
        <v>61</v>
      </c>
      <c r="C185" s="6" t="s">
        <v>62</v>
      </c>
      <c r="D185" s="5"/>
      <c r="E185" s="35" t="s">
        <v>1171</v>
      </c>
      <c r="F185" s="6" t="s">
        <v>838</v>
      </c>
      <c r="G185" s="6" t="s">
        <v>1079</v>
      </c>
      <c r="H185" s="5">
        <v>2015.0</v>
      </c>
      <c r="I185" s="6">
        <v>1.0</v>
      </c>
      <c r="J185" s="6">
        <v>0.0</v>
      </c>
      <c r="K185" s="10">
        <f t="shared" si="6"/>
        <v>1</v>
      </c>
      <c r="L185" s="8"/>
      <c r="M185" s="10" t="s">
        <v>1173</v>
      </c>
      <c r="N185" s="9" t="s">
        <v>1174</v>
      </c>
      <c r="O185" s="6">
        <v>62.635</v>
      </c>
      <c r="P185" s="6">
        <v>8.1646</v>
      </c>
      <c r="Q185" s="10" t="str">
        <f t="shared" si="1"/>
        <v>62.635, 8.1646</v>
      </c>
      <c r="R185" s="6"/>
      <c r="S185" s="10"/>
      <c r="T185" s="6"/>
      <c r="U185" s="6" t="s">
        <v>1176</v>
      </c>
      <c r="V185" s="34" t="s">
        <v>1177</v>
      </c>
    </row>
    <row r="186" ht="12.75" customHeight="1">
      <c r="A186" s="5"/>
      <c r="B186" s="6" t="s">
        <v>129</v>
      </c>
      <c r="C186" s="6" t="s">
        <v>124</v>
      </c>
      <c r="D186" s="5"/>
      <c r="E186" s="35" t="s">
        <v>1181</v>
      </c>
      <c r="F186" s="6" t="s">
        <v>838</v>
      </c>
      <c r="G186" s="6" t="s">
        <v>1079</v>
      </c>
      <c r="H186" s="5">
        <v>2015.0</v>
      </c>
      <c r="I186" s="6">
        <v>1.0</v>
      </c>
      <c r="J186" s="6">
        <v>0.0</v>
      </c>
      <c r="K186" s="10">
        <f t="shared" si="6"/>
        <v>1</v>
      </c>
      <c r="L186" s="8"/>
      <c r="M186" s="10" t="s">
        <v>1182</v>
      </c>
      <c r="N186" s="9" t="s">
        <v>842</v>
      </c>
      <c r="O186" s="6">
        <v>51.0157</v>
      </c>
      <c r="P186" s="6">
        <v>2.2589</v>
      </c>
      <c r="Q186" s="10" t="str">
        <f t="shared" si="1"/>
        <v>51.0157, 2.2589</v>
      </c>
      <c r="R186" s="6"/>
      <c r="S186" s="10"/>
      <c r="T186" s="6"/>
      <c r="U186" s="6" t="s">
        <v>1184</v>
      </c>
      <c r="V186" s="34" t="s">
        <v>1185</v>
      </c>
    </row>
    <row r="187" ht="12.75" customHeight="1">
      <c r="A187" s="5"/>
      <c r="B187" s="6" t="s">
        <v>68</v>
      </c>
      <c r="C187" s="6" t="s">
        <v>69</v>
      </c>
      <c r="D187" s="5"/>
      <c r="E187" s="35" t="s">
        <v>1189</v>
      </c>
      <c r="F187" s="6" t="s">
        <v>838</v>
      </c>
      <c r="G187" s="6" t="s">
        <v>1079</v>
      </c>
      <c r="H187" s="5">
        <v>2015.0</v>
      </c>
      <c r="I187" s="6">
        <v>2.0</v>
      </c>
      <c r="J187" s="6">
        <v>0.0</v>
      </c>
      <c r="K187" s="10">
        <f t="shared" si="6"/>
        <v>2</v>
      </c>
      <c r="L187" s="8"/>
      <c r="M187" s="10" t="s">
        <v>1190</v>
      </c>
      <c r="N187" s="9" t="s">
        <v>1191</v>
      </c>
      <c r="O187" s="6">
        <v>52.8128</v>
      </c>
      <c r="P187" s="6">
        <v>-1.70278</v>
      </c>
      <c r="Q187" s="10" t="str">
        <f t="shared" si="1"/>
        <v>52.8128, -1.70278</v>
      </c>
      <c r="R187" s="6"/>
      <c r="S187" s="10"/>
      <c r="T187" s="6"/>
      <c r="U187" s="6" t="s">
        <v>1194</v>
      </c>
      <c r="V187" s="34" t="s">
        <v>1195</v>
      </c>
    </row>
    <row r="188" ht="12.75" customHeight="1">
      <c r="A188" s="5"/>
      <c r="B188" s="6" t="s">
        <v>68</v>
      </c>
      <c r="C188" s="6" t="s">
        <v>69</v>
      </c>
      <c r="D188" s="5"/>
      <c r="E188" s="35" t="s">
        <v>1198</v>
      </c>
      <c r="F188" s="6" t="s">
        <v>838</v>
      </c>
      <c r="G188" s="6" t="s">
        <v>1079</v>
      </c>
      <c r="H188" s="5">
        <v>2015.0</v>
      </c>
      <c r="I188" s="6">
        <v>1.0</v>
      </c>
      <c r="J188" s="6">
        <v>17.0</v>
      </c>
      <c r="K188" s="10">
        <f t="shared" si="6"/>
        <v>18</v>
      </c>
      <c r="L188" s="8"/>
      <c r="M188" s="10" t="s">
        <v>1199</v>
      </c>
      <c r="N188" s="9" t="s">
        <v>1200</v>
      </c>
      <c r="O188" s="6">
        <v>27.82</v>
      </c>
      <c r="P188" s="6">
        <v>-14.04</v>
      </c>
      <c r="Q188" s="10" t="str">
        <f t="shared" si="1"/>
        <v>27.82, -14.04</v>
      </c>
      <c r="R188" s="6"/>
      <c r="S188" s="10"/>
      <c r="T188" s="6" t="s">
        <v>1040</v>
      </c>
      <c r="U188" s="6" t="s">
        <v>950</v>
      </c>
      <c r="V188" s="34" t="s">
        <v>1202</v>
      </c>
    </row>
    <row r="189" ht="12.75" customHeight="1">
      <c r="A189" s="5"/>
      <c r="B189" s="6" t="s">
        <v>68</v>
      </c>
      <c r="C189" s="6" t="s">
        <v>69</v>
      </c>
      <c r="D189" s="5"/>
      <c r="E189" s="35" t="s">
        <v>1198</v>
      </c>
      <c r="F189" s="6" t="s">
        <v>838</v>
      </c>
      <c r="G189" s="6" t="s">
        <v>1079</v>
      </c>
      <c r="H189" s="5">
        <v>2015.0</v>
      </c>
      <c r="I189" s="6">
        <v>1.0</v>
      </c>
      <c r="J189" s="6">
        <v>14.0</v>
      </c>
      <c r="K189" s="10">
        <f t="shared" si="6"/>
        <v>15</v>
      </c>
      <c r="L189" s="8"/>
      <c r="M189" s="10" t="s">
        <v>1206</v>
      </c>
      <c r="N189" s="9" t="s">
        <v>948</v>
      </c>
      <c r="O189" s="6">
        <v>36.9</v>
      </c>
      <c r="P189" s="6">
        <v>27.9</v>
      </c>
      <c r="Q189" s="10" t="str">
        <f t="shared" si="1"/>
        <v>36.9, 27.9</v>
      </c>
      <c r="R189" s="6"/>
      <c r="S189" s="10"/>
      <c r="T189" s="6" t="s">
        <v>53</v>
      </c>
      <c r="U189" s="6" t="s">
        <v>872</v>
      </c>
      <c r="V189" s="34" t="s">
        <v>1207</v>
      </c>
    </row>
    <row r="190" ht="12.75" customHeight="1">
      <c r="A190" s="5"/>
      <c r="B190" s="6" t="s">
        <v>1211</v>
      </c>
      <c r="C190" s="6" t="s">
        <v>124</v>
      </c>
      <c r="D190" s="5"/>
      <c r="E190" s="35" t="s">
        <v>1189</v>
      </c>
      <c r="F190" s="6" t="s">
        <v>838</v>
      </c>
      <c r="G190" s="6" t="s">
        <v>1079</v>
      </c>
      <c r="H190" s="5">
        <v>2015.0</v>
      </c>
      <c r="I190" s="6">
        <v>1.0</v>
      </c>
      <c r="J190" s="6">
        <v>0.0</v>
      </c>
      <c r="K190" s="10">
        <f t="shared" si="6"/>
        <v>1</v>
      </c>
      <c r="L190" s="8"/>
      <c r="M190" s="10" t="s">
        <v>1212</v>
      </c>
      <c r="N190" s="9" t="s">
        <v>1213</v>
      </c>
      <c r="O190" s="6">
        <v>49.634</v>
      </c>
      <c r="P190" s="6">
        <v>-1.668</v>
      </c>
      <c r="Q190" s="10" t="str">
        <f t="shared" si="1"/>
        <v>49.634, -1.668</v>
      </c>
      <c r="R190" s="6"/>
      <c r="S190" s="10"/>
      <c r="T190" s="6"/>
      <c r="U190" s="6" t="s">
        <v>254</v>
      </c>
      <c r="V190" s="34" t="s">
        <v>1215</v>
      </c>
    </row>
    <row r="191" ht="12.75" customHeight="1">
      <c r="A191" s="5"/>
      <c r="B191" s="6" t="s">
        <v>68</v>
      </c>
      <c r="C191" s="6" t="s">
        <v>69</v>
      </c>
      <c r="D191" s="5"/>
      <c r="E191" s="35" t="s">
        <v>1189</v>
      </c>
      <c r="F191" s="6" t="s">
        <v>838</v>
      </c>
      <c r="G191" s="6" t="s">
        <v>1079</v>
      </c>
      <c r="H191" s="5">
        <v>2015.0</v>
      </c>
      <c r="I191" s="6">
        <v>9.0</v>
      </c>
      <c r="J191" s="6">
        <v>2.0</v>
      </c>
      <c r="K191" s="10">
        <f t="shared" si="6"/>
        <v>11</v>
      </c>
      <c r="L191" s="8"/>
      <c r="M191" s="10" t="s">
        <v>1217</v>
      </c>
      <c r="N191" s="9" t="s">
        <v>203</v>
      </c>
      <c r="O191" s="6">
        <v>31.1</v>
      </c>
      <c r="P191" s="6">
        <v>27.1</v>
      </c>
      <c r="Q191" s="10" t="str">
        <f t="shared" si="1"/>
        <v>31.1, 27.1</v>
      </c>
      <c r="R191" s="6"/>
      <c r="S191" s="10"/>
      <c r="T191" s="6" t="s">
        <v>53</v>
      </c>
      <c r="U191" s="6" t="s">
        <v>950</v>
      </c>
      <c r="V191" s="34" t="s">
        <v>1219</v>
      </c>
    </row>
    <row r="192" ht="12.75" customHeight="1">
      <c r="A192" s="5"/>
      <c r="B192" s="6" t="s">
        <v>68</v>
      </c>
      <c r="C192" s="6" t="s">
        <v>69</v>
      </c>
      <c r="D192" s="5"/>
      <c r="E192" s="35" t="s">
        <v>1221</v>
      </c>
      <c r="F192" s="6" t="s">
        <v>838</v>
      </c>
      <c r="G192" s="6" t="s">
        <v>1079</v>
      </c>
      <c r="H192" s="5">
        <v>2015.0</v>
      </c>
      <c r="I192" s="6">
        <v>1.0</v>
      </c>
      <c r="J192" s="6">
        <v>0.0</v>
      </c>
      <c r="K192" s="10">
        <f t="shared" si="6"/>
        <v>1</v>
      </c>
      <c r="L192" s="8"/>
      <c r="M192" s="10" t="s">
        <v>1223</v>
      </c>
      <c r="N192" s="9" t="s">
        <v>596</v>
      </c>
      <c r="O192" s="10">
        <v>39.1</v>
      </c>
      <c r="P192" s="6">
        <v>26.21</v>
      </c>
      <c r="Q192" s="10" t="str">
        <f t="shared" si="1"/>
        <v>39.1, 26.21</v>
      </c>
      <c r="R192" s="6"/>
      <c r="S192" s="10"/>
      <c r="T192" s="6" t="s">
        <v>53</v>
      </c>
      <c r="U192" s="6" t="s">
        <v>950</v>
      </c>
      <c r="V192" s="34" t="s">
        <v>1224</v>
      </c>
    </row>
    <row r="193" ht="12.75" customHeight="1">
      <c r="A193" s="5"/>
      <c r="B193" s="6" t="s">
        <v>1211</v>
      </c>
      <c r="C193" s="6" t="s">
        <v>124</v>
      </c>
      <c r="D193" s="5"/>
      <c r="E193" s="35" t="s">
        <v>1221</v>
      </c>
      <c r="F193" s="6" t="s">
        <v>838</v>
      </c>
      <c r="G193" s="6" t="s">
        <v>1079</v>
      </c>
      <c r="H193" s="5">
        <v>2015.0</v>
      </c>
      <c r="I193" s="6">
        <v>1.0</v>
      </c>
      <c r="J193" s="6">
        <v>0.0</v>
      </c>
      <c r="K193" s="10">
        <f t="shared" si="6"/>
        <v>1</v>
      </c>
      <c r="L193" s="8"/>
      <c r="M193" s="10" t="s">
        <v>1227</v>
      </c>
      <c r="N193" s="20" t="s">
        <v>1228</v>
      </c>
      <c r="O193" s="10">
        <v>40.85</v>
      </c>
      <c r="P193" s="10">
        <v>25.85</v>
      </c>
      <c r="Q193" s="10" t="str">
        <f t="shared" si="1"/>
        <v>40.85, 25.85</v>
      </c>
      <c r="R193" s="6"/>
      <c r="S193" s="10"/>
      <c r="T193" s="6" t="s">
        <v>53</v>
      </c>
      <c r="U193" s="6" t="s">
        <v>950</v>
      </c>
      <c r="V193" s="34" t="s">
        <v>1224</v>
      </c>
    </row>
    <row r="194" ht="12.75" customHeight="1">
      <c r="A194" s="5"/>
      <c r="B194" s="6" t="s">
        <v>68</v>
      </c>
      <c r="C194" s="6" t="s">
        <v>69</v>
      </c>
      <c r="D194" s="5"/>
      <c r="E194" s="35" t="s">
        <v>1221</v>
      </c>
      <c r="F194" s="6" t="s">
        <v>838</v>
      </c>
      <c r="G194" s="6" t="s">
        <v>1079</v>
      </c>
      <c r="H194" s="5">
        <v>2015.0</v>
      </c>
      <c r="I194" s="6">
        <v>1.0</v>
      </c>
      <c r="J194" s="6">
        <v>0.0</v>
      </c>
      <c r="K194" s="10">
        <f t="shared" si="6"/>
        <v>1</v>
      </c>
      <c r="L194" s="8"/>
      <c r="M194" s="10" t="s">
        <v>1233</v>
      </c>
      <c r="N194" s="9" t="s">
        <v>155</v>
      </c>
      <c r="O194" s="10">
        <v>38.11</v>
      </c>
      <c r="P194" s="10">
        <v>26.19</v>
      </c>
      <c r="Q194" s="10" t="str">
        <f t="shared" si="1"/>
        <v>38.11, 26.19</v>
      </c>
      <c r="R194" s="6"/>
      <c r="S194" s="10"/>
      <c r="T194" s="6" t="s">
        <v>53</v>
      </c>
      <c r="U194" s="6" t="s">
        <v>950</v>
      </c>
      <c r="V194" s="34" t="s">
        <v>1224</v>
      </c>
    </row>
    <row r="195" ht="12.75" customHeight="1">
      <c r="A195" s="5"/>
      <c r="B195" s="6" t="s">
        <v>41</v>
      </c>
      <c r="C195" s="6" t="s">
        <v>42</v>
      </c>
      <c r="D195" s="5"/>
      <c r="E195" s="35" t="s">
        <v>1237</v>
      </c>
      <c r="F195" s="6" t="s">
        <v>838</v>
      </c>
      <c r="G195" s="6" t="s">
        <v>1079</v>
      </c>
      <c r="H195" s="5">
        <v>2015.0</v>
      </c>
      <c r="I195" s="6">
        <v>15.0</v>
      </c>
      <c r="J195" s="6">
        <v>0.0</v>
      </c>
      <c r="K195" s="10">
        <f t="shared" si="6"/>
        <v>15</v>
      </c>
      <c r="L195" s="8"/>
      <c r="M195" s="10" t="s">
        <v>1238</v>
      </c>
      <c r="N195" s="9" t="s">
        <v>1239</v>
      </c>
      <c r="O195" s="10">
        <v>31.26</v>
      </c>
      <c r="P195" s="10">
        <v>34.19</v>
      </c>
      <c r="Q195" s="10" t="str">
        <f t="shared" si="1"/>
        <v>31.26, 34.19</v>
      </c>
      <c r="R195" s="6"/>
      <c r="S195" s="10"/>
      <c r="T195" s="6"/>
      <c r="U195" s="6" t="s">
        <v>1241</v>
      </c>
      <c r="V195" s="34" t="s">
        <v>1242</v>
      </c>
    </row>
    <row r="196" ht="12.75" customHeight="1">
      <c r="A196" s="5"/>
      <c r="B196" s="6" t="s">
        <v>68</v>
      </c>
      <c r="C196" s="6" t="s">
        <v>69</v>
      </c>
      <c r="D196" s="5"/>
      <c r="E196" s="35" t="s">
        <v>1245</v>
      </c>
      <c r="F196" s="6" t="s">
        <v>838</v>
      </c>
      <c r="G196" s="6" t="s">
        <v>1079</v>
      </c>
      <c r="H196" s="5">
        <v>2015.0</v>
      </c>
      <c r="I196" s="6">
        <v>4.0</v>
      </c>
      <c r="J196" s="6">
        <v>2.0</v>
      </c>
      <c r="K196" s="10">
        <f t="shared" si="6"/>
        <v>6</v>
      </c>
      <c r="L196" s="8"/>
      <c r="M196" s="10" t="s">
        <v>1247</v>
      </c>
      <c r="N196" s="27" t="s">
        <v>155</v>
      </c>
      <c r="O196" s="10">
        <v>38.11</v>
      </c>
      <c r="P196" s="10">
        <v>26.19</v>
      </c>
      <c r="Q196" s="10" t="str">
        <f t="shared" si="1"/>
        <v>38.11, 26.19</v>
      </c>
      <c r="R196" s="6"/>
      <c r="S196" s="10"/>
      <c r="T196" s="6" t="s">
        <v>53</v>
      </c>
      <c r="U196" s="6" t="s">
        <v>872</v>
      </c>
      <c r="V196" s="34" t="s">
        <v>1249</v>
      </c>
    </row>
    <row r="197" ht="12.75" customHeight="1">
      <c r="A197" s="5"/>
      <c r="B197" s="6" t="s">
        <v>49</v>
      </c>
      <c r="C197" s="6" t="s">
        <v>50</v>
      </c>
      <c r="D197" s="5"/>
      <c r="E197" s="35" t="s">
        <v>1245</v>
      </c>
      <c r="F197" s="6" t="s">
        <v>838</v>
      </c>
      <c r="G197" s="6" t="s">
        <v>1079</v>
      </c>
      <c r="H197" s="5">
        <v>2015.0</v>
      </c>
      <c r="I197" s="6">
        <v>14.0</v>
      </c>
      <c r="J197" s="6">
        <v>0.0</v>
      </c>
      <c r="K197" s="10">
        <f t="shared" si="6"/>
        <v>14</v>
      </c>
      <c r="L197" s="8"/>
      <c r="M197" s="10" t="s">
        <v>1252</v>
      </c>
      <c r="N197" s="27" t="s">
        <v>596</v>
      </c>
      <c r="O197" s="10">
        <v>39.1</v>
      </c>
      <c r="P197" s="6">
        <v>26.21</v>
      </c>
      <c r="Q197" s="10" t="str">
        <f t="shared" si="1"/>
        <v>39.1, 26.21</v>
      </c>
      <c r="R197" s="6"/>
      <c r="S197" s="10"/>
      <c r="T197" s="6" t="s">
        <v>53</v>
      </c>
      <c r="U197" s="6" t="s">
        <v>872</v>
      </c>
      <c r="V197" s="34" t="s">
        <v>1254</v>
      </c>
    </row>
    <row r="198" ht="12.75" customHeight="1">
      <c r="A198" s="5"/>
      <c r="B198" s="6" t="s">
        <v>68</v>
      </c>
      <c r="C198" s="6" t="s">
        <v>69</v>
      </c>
      <c r="D198" s="5"/>
      <c r="E198" s="35" t="s">
        <v>1257</v>
      </c>
      <c r="F198" s="6" t="s">
        <v>838</v>
      </c>
      <c r="G198" s="6" t="s">
        <v>1079</v>
      </c>
      <c r="H198" s="5">
        <v>2015.0</v>
      </c>
      <c r="I198" s="6">
        <v>1.0</v>
      </c>
      <c r="J198" s="6">
        <v>1.0</v>
      </c>
      <c r="K198" s="10">
        <f t="shared" si="6"/>
        <v>2</v>
      </c>
      <c r="L198" s="8"/>
      <c r="M198" s="10" t="s">
        <v>1258</v>
      </c>
      <c r="N198" s="27" t="s">
        <v>182</v>
      </c>
      <c r="O198" s="6">
        <v>37.711</v>
      </c>
      <c r="P198" s="6">
        <v>26.8</v>
      </c>
      <c r="Q198" s="10" t="str">
        <f t="shared" si="1"/>
        <v>37.711, 26.8</v>
      </c>
      <c r="R198" s="6"/>
      <c r="S198" s="10"/>
      <c r="T198" s="6" t="s">
        <v>53</v>
      </c>
      <c r="U198" s="6" t="s">
        <v>872</v>
      </c>
      <c r="V198" s="34" t="s">
        <v>1259</v>
      </c>
    </row>
    <row r="199" ht="12.75" customHeight="1">
      <c r="A199" s="5"/>
      <c r="B199" s="6" t="s">
        <v>49</v>
      </c>
      <c r="C199" s="6" t="s">
        <v>50</v>
      </c>
      <c r="D199" s="5"/>
      <c r="E199" s="35" t="s">
        <v>1264</v>
      </c>
      <c r="F199" s="6" t="s">
        <v>838</v>
      </c>
      <c r="G199" s="6" t="s">
        <v>1079</v>
      </c>
      <c r="H199" s="5">
        <v>2015.0</v>
      </c>
      <c r="I199" s="6">
        <v>1.0</v>
      </c>
      <c r="J199" s="6">
        <v>0.0</v>
      </c>
      <c r="K199" s="10">
        <f t="shared" si="6"/>
        <v>1</v>
      </c>
      <c r="L199" s="8"/>
      <c r="M199" s="10" t="s">
        <v>1265</v>
      </c>
      <c r="N199" s="27" t="s">
        <v>596</v>
      </c>
      <c r="O199" s="10">
        <v>39.1</v>
      </c>
      <c r="P199" s="6">
        <v>26.21</v>
      </c>
      <c r="Q199" s="10" t="str">
        <f t="shared" si="1"/>
        <v>39.1, 26.21</v>
      </c>
      <c r="R199" s="6"/>
      <c r="S199" s="10"/>
      <c r="T199" s="6" t="s">
        <v>53</v>
      </c>
      <c r="U199" s="6" t="s">
        <v>950</v>
      </c>
      <c r="V199" s="34" t="s">
        <v>1267</v>
      </c>
    </row>
    <row r="200" ht="12.75" customHeight="1">
      <c r="A200" s="5"/>
      <c r="B200" s="6" t="s">
        <v>49</v>
      </c>
      <c r="C200" s="6" t="s">
        <v>50</v>
      </c>
      <c r="D200" s="5"/>
      <c r="E200" s="35" t="s">
        <v>1272</v>
      </c>
      <c r="F200" s="6" t="s">
        <v>838</v>
      </c>
      <c r="G200" s="6" t="s">
        <v>1079</v>
      </c>
      <c r="H200" s="5">
        <v>2015.0</v>
      </c>
      <c r="I200" s="6">
        <v>1.0</v>
      </c>
      <c r="J200" s="6">
        <v>1.0</v>
      </c>
      <c r="K200" s="10">
        <f t="shared" si="6"/>
        <v>2</v>
      </c>
      <c r="L200" s="8"/>
      <c r="M200" s="10" t="s">
        <v>1273</v>
      </c>
      <c r="N200" s="27" t="s">
        <v>1274</v>
      </c>
      <c r="O200" s="6">
        <v>31.1</v>
      </c>
      <c r="P200" s="6">
        <v>27.1</v>
      </c>
      <c r="Q200" s="10" t="str">
        <f t="shared" si="1"/>
        <v>31.1, 27.1</v>
      </c>
      <c r="R200" s="6"/>
      <c r="S200" s="10"/>
      <c r="T200" s="6" t="s">
        <v>53</v>
      </c>
      <c r="U200" s="6" t="s">
        <v>92</v>
      </c>
      <c r="V200" s="34" t="s">
        <v>1276</v>
      </c>
    </row>
    <row r="201" ht="12.75" customHeight="1">
      <c r="A201" s="5"/>
      <c r="B201" s="6" t="s">
        <v>68</v>
      </c>
      <c r="C201" s="6" t="s">
        <v>69</v>
      </c>
      <c r="D201" s="5"/>
      <c r="E201" s="35" t="s">
        <v>1280</v>
      </c>
      <c r="F201" s="6" t="s">
        <v>838</v>
      </c>
      <c r="G201" s="6" t="s">
        <v>1079</v>
      </c>
      <c r="H201" s="5">
        <v>2015.0</v>
      </c>
      <c r="I201" s="6">
        <v>0.0</v>
      </c>
      <c r="J201" s="6">
        <v>4.0</v>
      </c>
      <c r="K201" s="10">
        <f t="shared" ref="K201:K299" si="7">SUM(I201,J201)</f>
        <v>4</v>
      </c>
      <c r="L201" s="8"/>
      <c r="M201" s="10" t="s">
        <v>1283</v>
      </c>
      <c r="N201" s="31" t="s">
        <v>596</v>
      </c>
      <c r="O201" s="10">
        <v>39.1</v>
      </c>
      <c r="P201" s="6">
        <v>26.21</v>
      </c>
      <c r="Q201" s="10" t="str">
        <f t="shared" si="1"/>
        <v>39.1, 26.21</v>
      </c>
      <c r="R201" s="6"/>
      <c r="S201" s="10"/>
      <c r="T201" s="6" t="s">
        <v>53</v>
      </c>
      <c r="U201" s="6" t="s">
        <v>950</v>
      </c>
      <c r="V201" s="34" t="s">
        <v>1285</v>
      </c>
    </row>
    <row r="202" ht="12.75" customHeight="1">
      <c r="A202" s="5"/>
      <c r="B202" s="6" t="s">
        <v>49</v>
      </c>
      <c r="C202" s="6" t="s">
        <v>50</v>
      </c>
      <c r="D202" s="5"/>
      <c r="E202" s="35" t="s">
        <v>1280</v>
      </c>
      <c r="F202" s="6" t="s">
        <v>838</v>
      </c>
      <c r="G202" s="6" t="s">
        <v>1079</v>
      </c>
      <c r="H202" s="5">
        <v>2015.0</v>
      </c>
      <c r="I202" s="6">
        <v>4.0</v>
      </c>
      <c r="J202" s="6">
        <v>0.0</v>
      </c>
      <c r="K202" s="10">
        <f t="shared" si="7"/>
        <v>4</v>
      </c>
      <c r="L202" s="8"/>
      <c r="M202" s="10" t="s">
        <v>1291</v>
      </c>
      <c r="N202" s="31" t="s">
        <v>596</v>
      </c>
      <c r="O202" s="10">
        <v>39.1</v>
      </c>
      <c r="P202" s="6">
        <v>26.21</v>
      </c>
      <c r="Q202" s="10" t="str">
        <f t="shared" si="1"/>
        <v>39.1, 26.21</v>
      </c>
      <c r="R202" s="6"/>
      <c r="S202" s="10"/>
      <c r="T202" s="6" t="s">
        <v>53</v>
      </c>
      <c r="U202" s="6" t="s">
        <v>950</v>
      </c>
      <c r="V202" s="34" t="s">
        <v>1285</v>
      </c>
    </row>
    <row r="203" ht="12.75" customHeight="1">
      <c r="A203" s="5"/>
      <c r="B203" s="6" t="s">
        <v>68</v>
      </c>
      <c r="C203" s="6" t="s">
        <v>69</v>
      </c>
      <c r="D203" s="5"/>
      <c r="E203" s="35" t="s">
        <v>1296</v>
      </c>
      <c r="F203" s="6" t="s">
        <v>838</v>
      </c>
      <c r="G203" s="6" t="s">
        <v>1079</v>
      </c>
      <c r="H203" s="5">
        <v>2015.0</v>
      </c>
      <c r="I203" s="6">
        <v>4.0</v>
      </c>
      <c r="J203" s="6">
        <v>6.0</v>
      </c>
      <c r="K203" s="10">
        <f t="shared" si="7"/>
        <v>10</v>
      </c>
      <c r="L203" s="8"/>
      <c r="M203" s="10" t="s">
        <v>1297</v>
      </c>
      <c r="N203" s="31" t="s">
        <v>891</v>
      </c>
      <c r="O203" s="10">
        <v>37.29</v>
      </c>
      <c r="P203" s="6">
        <v>27.16</v>
      </c>
      <c r="Q203" s="10" t="str">
        <f t="shared" si="1"/>
        <v>37.29, 27.16</v>
      </c>
      <c r="R203" s="6"/>
      <c r="S203" s="10"/>
      <c r="T203" s="6" t="s">
        <v>53</v>
      </c>
      <c r="U203" s="6" t="s">
        <v>92</v>
      </c>
      <c r="V203" s="34" t="s">
        <v>1299</v>
      </c>
    </row>
    <row r="204" ht="12.75" customHeight="1">
      <c r="A204" s="5"/>
      <c r="B204" s="6" t="s">
        <v>68</v>
      </c>
      <c r="C204" s="6" t="s">
        <v>69</v>
      </c>
      <c r="D204" s="5"/>
      <c r="E204" s="35" t="s">
        <v>1303</v>
      </c>
      <c r="F204" s="6" t="s">
        <v>838</v>
      </c>
      <c r="G204" s="6" t="s">
        <v>1304</v>
      </c>
      <c r="H204" s="5">
        <v>2015.0</v>
      </c>
      <c r="I204" s="6">
        <v>3.0</v>
      </c>
      <c r="J204" s="6">
        <v>38.0</v>
      </c>
      <c r="K204" s="10">
        <f t="shared" si="7"/>
        <v>41</v>
      </c>
      <c r="L204" s="8"/>
      <c r="M204" s="10" t="s">
        <v>1305</v>
      </c>
      <c r="N204" s="31" t="s">
        <v>596</v>
      </c>
      <c r="O204" s="10">
        <v>39.1</v>
      </c>
      <c r="P204" s="6">
        <v>26.21</v>
      </c>
      <c r="Q204" s="10" t="str">
        <f t="shared" si="1"/>
        <v>39.1, 26.21</v>
      </c>
      <c r="R204" s="6"/>
      <c r="S204" s="10"/>
      <c r="T204" s="6" t="s">
        <v>53</v>
      </c>
      <c r="U204" s="6" t="s">
        <v>950</v>
      </c>
      <c r="V204" s="18" t="s">
        <v>1307</v>
      </c>
    </row>
    <row r="205" ht="12.75" customHeight="1">
      <c r="A205" s="5"/>
      <c r="B205" s="6" t="s">
        <v>1310</v>
      </c>
      <c r="C205" s="6" t="s">
        <v>75</v>
      </c>
      <c r="D205" s="5"/>
      <c r="E205" s="35" t="s">
        <v>1311</v>
      </c>
      <c r="F205" s="6" t="s">
        <v>838</v>
      </c>
      <c r="G205" s="6" t="s">
        <v>1304</v>
      </c>
      <c r="H205" s="5">
        <v>2015.0</v>
      </c>
      <c r="I205" s="6">
        <v>1.0</v>
      </c>
      <c r="J205" s="6">
        <v>0.0</v>
      </c>
      <c r="K205" s="10">
        <f t="shared" si="7"/>
        <v>1</v>
      </c>
      <c r="L205" s="8"/>
      <c r="M205" s="10" t="s">
        <v>1313</v>
      </c>
      <c r="N205" s="31" t="s">
        <v>1314</v>
      </c>
      <c r="O205" s="10">
        <v>45.257</v>
      </c>
      <c r="P205" s="6">
        <v>19.1235</v>
      </c>
      <c r="Q205" s="10" t="str">
        <f t="shared" si="1"/>
        <v>45.257, 19.1235</v>
      </c>
      <c r="R205" s="6"/>
      <c r="S205" s="10"/>
      <c r="T205" s="6" t="s">
        <v>65</v>
      </c>
      <c r="U205" s="6" t="s">
        <v>950</v>
      </c>
      <c r="V205" s="18" t="s">
        <v>1316</v>
      </c>
    </row>
    <row r="206" ht="12.75" customHeight="1">
      <c r="A206" s="5"/>
      <c r="B206" s="6" t="s">
        <v>49</v>
      </c>
      <c r="C206" s="6" t="s">
        <v>50</v>
      </c>
      <c r="D206" s="5"/>
      <c r="E206" s="35" t="s">
        <v>1296</v>
      </c>
      <c r="F206" s="6" t="s">
        <v>838</v>
      </c>
      <c r="G206" s="6" t="s">
        <v>1079</v>
      </c>
      <c r="H206" s="5">
        <v>2015.0</v>
      </c>
      <c r="I206" s="6">
        <v>15.0</v>
      </c>
      <c r="J206" s="6">
        <v>0.0</v>
      </c>
      <c r="K206" s="10">
        <f t="shared" si="7"/>
        <v>15</v>
      </c>
      <c r="L206" s="8"/>
      <c r="M206" s="10" t="s">
        <v>1320</v>
      </c>
      <c r="N206" s="31" t="s">
        <v>182</v>
      </c>
      <c r="O206" s="6">
        <v>37.71</v>
      </c>
      <c r="P206" s="6">
        <v>26.8</v>
      </c>
      <c r="Q206" s="10" t="str">
        <f t="shared" si="1"/>
        <v>37.71, 26.8</v>
      </c>
      <c r="R206" s="6"/>
      <c r="S206" s="10"/>
      <c r="T206" s="6" t="s">
        <v>53</v>
      </c>
      <c r="U206" s="6" t="s">
        <v>254</v>
      </c>
      <c r="V206" s="18" t="s">
        <v>623</v>
      </c>
    </row>
    <row r="207" ht="12.75" customHeight="1">
      <c r="A207" s="5"/>
      <c r="B207" s="6" t="s">
        <v>68</v>
      </c>
      <c r="C207" s="6" t="s">
        <v>69</v>
      </c>
      <c r="D207" s="5"/>
      <c r="E207" s="35" t="s">
        <v>1303</v>
      </c>
      <c r="F207" s="6" t="s">
        <v>838</v>
      </c>
      <c r="G207" s="6" t="s">
        <v>1304</v>
      </c>
      <c r="H207" s="5">
        <v>2015.0</v>
      </c>
      <c r="I207" s="6">
        <v>4.0</v>
      </c>
      <c r="J207" s="6">
        <v>39.0</v>
      </c>
      <c r="K207" s="10">
        <f t="shared" si="7"/>
        <v>43</v>
      </c>
      <c r="L207" s="8"/>
      <c r="M207" s="10" t="s">
        <v>1326</v>
      </c>
      <c r="N207" s="31" t="s">
        <v>1327</v>
      </c>
      <c r="O207" s="10">
        <v>35.9</v>
      </c>
      <c r="P207" s="6">
        <v>-5.5</v>
      </c>
      <c r="Q207" s="10" t="str">
        <f t="shared" si="1"/>
        <v>35.9, -5.5</v>
      </c>
      <c r="R207" s="6"/>
      <c r="S207" s="10"/>
      <c r="T207" s="6" t="s">
        <v>72</v>
      </c>
      <c r="U207" s="6" t="s">
        <v>254</v>
      </c>
      <c r="V207" s="18" t="s">
        <v>1328</v>
      </c>
    </row>
    <row r="208" ht="12.75" customHeight="1">
      <c r="A208" s="5"/>
      <c r="B208" s="6" t="s">
        <v>49</v>
      </c>
      <c r="C208" s="6" t="s">
        <v>50</v>
      </c>
      <c r="D208" s="5"/>
      <c r="E208" s="35" t="s">
        <v>1303</v>
      </c>
      <c r="F208" s="6" t="s">
        <v>838</v>
      </c>
      <c r="G208" s="6" t="s">
        <v>1304</v>
      </c>
      <c r="H208" s="5">
        <v>2015.0</v>
      </c>
      <c r="I208" s="6">
        <v>8.0</v>
      </c>
      <c r="J208" s="6">
        <v>0.0</v>
      </c>
      <c r="K208" s="10">
        <f t="shared" si="7"/>
        <v>8</v>
      </c>
      <c r="L208" s="8"/>
      <c r="M208" s="10" t="s">
        <v>1333</v>
      </c>
      <c r="N208" s="31" t="s">
        <v>596</v>
      </c>
      <c r="O208" s="10">
        <v>39.1</v>
      </c>
      <c r="P208" s="6">
        <v>26.21</v>
      </c>
      <c r="Q208" s="10" t="str">
        <f t="shared" si="1"/>
        <v>39.1, 26.21</v>
      </c>
      <c r="R208" s="6"/>
      <c r="S208" s="10"/>
      <c r="T208" s="6" t="s">
        <v>53</v>
      </c>
      <c r="U208" s="6" t="s">
        <v>950</v>
      </c>
      <c r="V208" s="18" t="s">
        <v>1335</v>
      </c>
    </row>
    <row r="209" ht="12.75" customHeight="1">
      <c r="A209" s="5"/>
      <c r="B209" s="6" t="s">
        <v>49</v>
      </c>
      <c r="C209" s="6" t="s">
        <v>50</v>
      </c>
      <c r="D209" s="5"/>
      <c r="E209" s="35" t="s">
        <v>1303</v>
      </c>
      <c r="F209" s="6" t="s">
        <v>838</v>
      </c>
      <c r="G209" s="6" t="s">
        <v>1304</v>
      </c>
      <c r="H209" s="5">
        <v>2015.0</v>
      </c>
      <c r="I209" s="6">
        <v>3.0</v>
      </c>
      <c r="J209" s="6">
        <v>3.0</v>
      </c>
      <c r="K209" s="10">
        <f t="shared" si="7"/>
        <v>6</v>
      </c>
      <c r="L209" s="8"/>
      <c r="M209" s="10" t="s">
        <v>1340</v>
      </c>
      <c r="N209" s="31" t="s">
        <v>1341</v>
      </c>
      <c r="O209" s="6">
        <v>36.55</v>
      </c>
      <c r="P209" s="6">
        <v>28.22</v>
      </c>
      <c r="Q209" s="10" t="str">
        <f t="shared" si="1"/>
        <v>36.55, 28.22</v>
      </c>
      <c r="R209" s="6"/>
      <c r="S209" s="10"/>
      <c r="T209" s="6" t="s">
        <v>53</v>
      </c>
      <c r="U209" s="6" t="s">
        <v>950</v>
      </c>
      <c r="V209" s="18" t="s">
        <v>1335</v>
      </c>
    </row>
    <row r="210" ht="12.75" customHeight="1">
      <c r="A210" s="5"/>
      <c r="B210" s="6" t="s">
        <v>68</v>
      </c>
      <c r="C210" s="6" t="s">
        <v>69</v>
      </c>
      <c r="D210" s="5"/>
      <c r="E210" s="35" t="s">
        <v>1303</v>
      </c>
      <c r="F210" s="6" t="s">
        <v>838</v>
      </c>
      <c r="G210" s="6" t="s">
        <v>1304</v>
      </c>
      <c r="H210" s="5">
        <v>2015.0</v>
      </c>
      <c r="I210" s="6">
        <v>19.0</v>
      </c>
      <c r="J210" s="6">
        <v>0.0</v>
      </c>
      <c r="K210" s="10">
        <f t="shared" si="7"/>
        <v>19</v>
      </c>
      <c r="L210" s="8"/>
      <c r="M210" s="10" t="s">
        <v>1347</v>
      </c>
      <c r="N210" s="31" t="s">
        <v>1348</v>
      </c>
      <c r="O210" s="6">
        <v>37.01</v>
      </c>
      <c r="P210" s="6">
        <v>27.12</v>
      </c>
      <c r="Q210" s="10" t="str">
        <f t="shared" si="1"/>
        <v>37.01, 27.12</v>
      </c>
      <c r="R210" s="6"/>
      <c r="S210" s="10"/>
      <c r="T210" s="6" t="s">
        <v>53</v>
      </c>
      <c r="U210" s="6" t="s">
        <v>950</v>
      </c>
      <c r="V210" s="18" t="s">
        <v>1349</v>
      </c>
    </row>
    <row r="211" ht="12.75" customHeight="1">
      <c r="A211" s="5"/>
      <c r="B211" s="6" t="s">
        <v>68</v>
      </c>
      <c r="C211" s="6" t="s">
        <v>69</v>
      </c>
      <c r="D211" s="5"/>
      <c r="E211" s="35" t="s">
        <v>1303</v>
      </c>
      <c r="F211" s="6" t="s">
        <v>838</v>
      </c>
      <c r="G211" s="6" t="s">
        <v>1304</v>
      </c>
      <c r="H211" s="5">
        <v>2015.0</v>
      </c>
      <c r="I211" s="6">
        <v>1.0</v>
      </c>
      <c r="J211" s="6">
        <v>0.0</v>
      </c>
      <c r="K211" s="10">
        <f t="shared" si="7"/>
        <v>1</v>
      </c>
      <c r="L211" s="8"/>
      <c r="M211" s="10" t="s">
        <v>1353</v>
      </c>
      <c r="N211" s="31" t="s">
        <v>1354</v>
      </c>
      <c r="O211" s="6">
        <v>52.5072</v>
      </c>
      <c r="P211" s="6">
        <v>13.144</v>
      </c>
      <c r="Q211" s="10" t="str">
        <f t="shared" si="1"/>
        <v>52.5072, 13.144</v>
      </c>
      <c r="R211" s="6"/>
      <c r="S211" s="10"/>
      <c r="T211" s="6"/>
      <c r="U211" s="6" t="s">
        <v>950</v>
      </c>
      <c r="V211" s="18" t="s">
        <v>1355</v>
      </c>
    </row>
    <row r="212" ht="12.75" customHeight="1">
      <c r="A212" s="5"/>
      <c r="B212" s="6" t="s">
        <v>68</v>
      </c>
      <c r="C212" s="6" t="s">
        <v>69</v>
      </c>
      <c r="D212" s="5"/>
      <c r="E212" s="35" t="s">
        <v>1360</v>
      </c>
      <c r="F212" s="6" t="s">
        <v>838</v>
      </c>
      <c r="G212" s="6" t="s">
        <v>1304</v>
      </c>
      <c r="H212" s="5">
        <v>2015.0</v>
      </c>
      <c r="I212" s="6">
        <v>3.0</v>
      </c>
      <c r="J212" s="6">
        <v>0.0</v>
      </c>
      <c r="K212" s="10">
        <f t="shared" si="7"/>
        <v>3</v>
      </c>
      <c r="L212" s="8"/>
      <c r="M212" s="10" t="s">
        <v>1361</v>
      </c>
      <c r="N212" s="31" t="s">
        <v>1362</v>
      </c>
      <c r="O212" s="6">
        <v>37.465</v>
      </c>
      <c r="P212" s="6">
        <v>26.967</v>
      </c>
      <c r="Q212" s="10" t="str">
        <f t="shared" si="1"/>
        <v>37.465, 26.967</v>
      </c>
      <c r="R212" s="6"/>
      <c r="S212" s="10"/>
      <c r="T212" s="6" t="s">
        <v>53</v>
      </c>
      <c r="U212" s="6" t="s">
        <v>950</v>
      </c>
      <c r="V212" s="18" t="s">
        <v>1364</v>
      </c>
    </row>
    <row r="213" ht="12.75" customHeight="1">
      <c r="A213" s="5"/>
      <c r="B213" s="6" t="s">
        <v>68</v>
      </c>
      <c r="C213" s="6" t="s">
        <v>69</v>
      </c>
      <c r="D213" s="5"/>
      <c r="E213" s="35" t="s">
        <v>1360</v>
      </c>
      <c r="F213" s="6" t="s">
        <v>838</v>
      </c>
      <c r="G213" s="6" t="s">
        <v>1304</v>
      </c>
      <c r="H213" s="5">
        <v>2015.0</v>
      </c>
      <c r="I213" s="6">
        <v>4.0</v>
      </c>
      <c r="J213" s="6">
        <v>0.0</v>
      </c>
      <c r="K213" s="10">
        <f t="shared" si="7"/>
        <v>4</v>
      </c>
      <c r="L213" s="8"/>
      <c r="M213" s="10" t="s">
        <v>1369</v>
      </c>
      <c r="N213" s="27" t="s">
        <v>182</v>
      </c>
      <c r="O213" s="6">
        <v>37.711</v>
      </c>
      <c r="P213" s="6">
        <v>26.8</v>
      </c>
      <c r="Q213" s="10" t="str">
        <f t="shared" si="1"/>
        <v>37.711, 26.8</v>
      </c>
      <c r="R213" s="6"/>
      <c r="S213" s="10"/>
      <c r="T213" s="6" t="s">
        <v>53</v>
      </c>
      <c r="U213" s="6" t="s">
        <v>950</v>
      </c>
      <c r="V213" s="18" t="s">
        <v>1364</v>
      </c>
    </row>
    <row r="214" ht="12.75" customHeight="1">
      <c r="A214" s="5"/>
      <c r="B214" s="6" t="s">
        <v>68</v>
      </c>
      <c r="C214" s="6" t="s">
        <v>69</v>
      </c>
      <c r="D214" s="5"/>
      <c r="E214" s="35" t="s">
        <v>1360</v>
      </c>
      <c r="F214" s="6" t="s">
        <v>838</v>
      </c>
      <c r="G214" s="6" t="s">
        <v>1304</v>
      </c>
      <c r="H214" s="5">
        <v>2015.0</v>
      </c>
      <c r="I214" s="6">
        <v>1.0</v>
      </c>
      <c r="J214" s="6">
        <v>0.0</v>
      </c>
      <c r="K214" s="10">
        <f t="shared" si="7"/>
        <v>1</v>
      </c>
      <c r="L214" s="8"/>
      <c r="M214" s="10" t="s">
        <v>1376</v>
      </c>
      <c r="N214" s="27" t="s">
        <v>596</v>
      </c>
      <c r="O214" s="10">
        <v>39.0</v>
      </c>
      <c r="P214" s="10">
        <v>26.1911</v>
      </c>
      <c r="Q214" s="10" t="str">
        <f t="shared" si="1"/>
        <v>39, 26.1911</v>
      </c>
      <c r="R214" s="6"/>
      <c r="S214" s="10"/>
      <c r="T214" s="6" t="s">
        <v>53</v>
      </c>
      <c r="U214" s="6" t="s">
        <v>950</v>
      </c>
      <c r="V214" s="18" t="s">
        <v>1364</v>
      </c>
    </row>
    <row r="215" ht="12.75" customHeight="1">
      <c r="A215" s="5"/>
      <c r="B215" s="6" t="s">
        <v>68</v>
      </c>
      <c r="C215" s="6" t="s">
        <v>69</v>
      </c>
      <c r="D215" s="5"/>
      <c r="E215" s="35" t="s">
        <v>1360</v>
      </c>
      <c r="F215" s="6" t="s">
        <v>838</v>
      </c>
      <c r="G215" s="6" t="s">
        <v>1304</v>
      </c>
      <c r="H215" s="5">
        <v>2015.0</v>
      </c>
      <c r="I215" s="6">
        <v>3.0</v>
      </c>
      <c r="J215" s="6">
        <v>0.0</v>
      </c>
      <c r="K215" s="10">
        <f t="shared" si="7"/>
        <v>3</v>
      </c>
      <c r="L215" s="8"/>
      <c r="M215" s="10" t="s">
        <v>1381</v>
      </c>
      <c r="N215" s="27" t="s">
        <v>596</v>
      </c>
      <c r="O215" s="10">
        <v>39.1</v>
      </c>
      <c r="P215" s="6">
        <v>26.2</v>
      </c>
      <c r="Q215" s="10" t="str">
        <f t="shared" si="1"/>
        <v>39.1, 26.2</v>
      </c>
      <c r="R215" s="6"/>
      <c r="S215" s="10"/>
      <c r="T215" s="6" t="s">
        <v>53</v>
      </c>
      <c r="U215" s="6" t="s">
        <v>92</v>
      </c>
      <c r="V215" s="18" t="s">
        <v>1383</v>
      </c>
    </row>
    <row r="216" ht="12.75" customHeight="1">
      <c r="A216" s="5"/>
      <c r="B216" s="6" t="s">
        <v>68</v>
      </c>
      <c r="C216" s="6" t="s">
        <v>69</v>
      </c>
      <c r="D216" s="5"/>
      <c r="E216" s="35" t="s">
        <v>1387</v>
      </c>
      <c r="F216" s="6" t="s">
        <v>838</v>
      </c>
      <c r="G216" s="6" t="s">
        <v>1304</v>
      </c>
      <c r="H216" s="5">
        <v>2015.0</v>
      </c>
      <c r="I216" s="6">
        <v>1.0</v>
      </c>
      <c r="J216" s="6">
        <v>0.0</v>
      </c>
      <c r="K216" s="10">
        <f t="shared" si="7"/>
        <v>1</v>
      </c>
      <c r="L216" s="8"/>
      <c r="M216" s="10" t="s">
        <v>1389</v>
      </c>
      <c r="N216" s="27" t="s">
        <v>596</v>
      </c>
      <c r="O216" s="10">
        <v>39.0</v>
      </c>
      <c r="P216" s="10">
        <v>26.19101</v>
      </c>
      <c r="Q216" s="10" t="str">
        <f t="shared" si="1"/>
        <v>39, 26.19101</v>
      </c>
      <c r="R216" s="6"/>
      <c r="S216" s="10"/>
      <c r="T216" s="6" t="s">
        <v>53</v>
      </c>
      <c r="U216" s="6" t="s">
        <v>254</v>
      </c>
      <c r="V216" s="18" t="s">
        <v>1391</v>
      </c>
    </row>
    <row r="217" ht="12.75" customHeight="1">
      <c r="A217" s="5"/>
      <c r="B217" s="6" t="s">
        <v>68</v>
      </c>
      <c r="C217" s="6" t="s">
        <v>69</v>
      </c>
      <c r="D217" s="5"/>
      <c r="E217" s="35" t="s">
        <v>1387</v>
      </c>
      <c r="F217" s="6" t="s">
        <v>838</v>
      </c>
      <c r="G217" s="6" t="s">
        <v>1304</v>
      </c>
      <c r="H217" s="5">
        <v>2015.0</v>
      </c>
      <c r="I217" s="6">
        <v>1.0</v>
      </c>
      <c r="J217" s="6">
        <v>0.0</v>
      </c>
      <c r="K217" s="10">
        <f t="shared" si="7"/>
        <v>1</v>
      </c>
      <c r="L217" s="8"/>
      <c r="M217" s="10" t="s">
        <v>1396</v>
      </c>
      <c r="N217" s="27" t="s">
        <v>155</v>
      </c>
      <c r="O217" s="10">
        <v>38.11</v>
      </c>
      <c r="P217" s="10">
        <v>26.19</v>
      </c>
      <c r="Q217" s="10" t="str">
        <f t="shared" si="1"/>
        <v>38.11, 26.19</v>
      </c>
      <c r="R217" s="6"/>
      <c r="S217" s="10"/>
      <c r="T217" s="6" t="s">
        <v>53</v>
      </c>
      <c r="U217" s="6" t="s">
        <v>254</v>
      </c>
      <c r="V217" s="18" t="s">
        <v>1391</v>
      </c>
    </row>
    <row r="218" ht="12.75" customHeight="1">
      <c r="A218" s="5"/>
      <c r="B218" s="6" t="s">
        <v>49</v>
      </c>
      <c r="C218" s="6" t="s">
        <v>50</v>
      </c>
      <c r="D218" s="5"/>
      <c r="E218" s="35" t="s">
        <v>1401</v>
      </c>
      <c r="F218" s="6" t="s">
        <v>838</v>
      </c>
      <c r="G218" s="6" t="s">
        <v>1304</v>
      </c>
      <c r="H218" s="5">
        <v>2015.0</v>
      </c>
      <c r="I218" s="6">
        <v>3.0</v>
      </c>
      <c r="J218" s="6">
        <v>7.0</v>
      </c>
      <c r="K218" s="10">
        <f t="shared" si="7"/>
        <v>10</v>
      </c>
      <c r="L218" s="8"/>
      <c r="M218" s="10" t="s">
        <v>1403</v>
      </c>
      <c r="N218" s="27" t="s">
        <v>1404</v>
      </c>
      <c r="O218" s="10">
        <v>39.0</v>
      </c>
      <c r="P218" s="10">
        <v>26.191</v>
      </c>
      <c r="Q218" s="10" t="str">
        <f t="shared" si="1"/>
        <v>39, 26.191</v>
      </c>
      <c r="R218" s="6"/>
      <c r="S218" s="10"/>
      <c r="T218" s="6" t="s">
        <v>53</v>
      </c>
      <c r="U218" s="6" t="s">
        <v>1405</v>
      </c>
      <c r="V218" s="18" t="s">
        <v>1406</v>
      </c>
    </row>
    <row r="219" ht="12.75" customHeight="1">
      <c r="A219" s="5"/>
      <c r="B219" s="6" t="s">
        <v>49</v>
      </c>
      <c r="C219" s="6" t="s">
        <v>50</v>
      </c>
      <c r="D219" s="5"/>
      <c r="E219" s="35" t="s">
        <v>1387</v>
      </c>
      <c r="F219" s="6" t="s">
        <v>838</v>
      </c>
      <c r="G219" s="6" t="s">
        <v>1304</v>
      </c>
      <c r="H219" s="5">
        <v>2015.0</v>
      </c>
      <c r="I219" s="6">
        <v>1.0</v>
      </c>
      <c r="J219" s="6">
        <v>0.0</v>
      </c>
      <c r="K219" s="10">
        <f t="shared" si="7"/>
        <v>1</v>
      </c>
      <c r="L219" s="8"/>
      <c r="M219" s="10" t="s">
        <v>1412</v>
      </c>
      <c r="N219" s="27" t="s">
        <v>163</v>
      </c>
      <c r="O219" s="6">
        <v>35.9</v>
      </c>
      <c r="P219" s="6">
        <v>-5.31</v>
      </c>
      <c r="Q219" s="10" t="str">
        <f t="shared" si="1"/>
        <v>35.9, -5.31</v>
      </c>
      <c r="R219" s="6"/>
      <c r="S219" s="10"/>
      <c r="T219" s="6" t="s">
        <v>72</v>
      </c>
      <c r="U219" s="6" t="s">
        <v>254</v>
      </c>
      <c r="V219" s="18" t="s">
        <v>1414</v>
      </c>
    </row>
    <row r="220" ht="12.75" customHeight="1">
      <c r="A220" s="5"/>
      <c r="B220" s="6" t="s">
        <v>129</v>
      </c>
      <c r="C220" s="6" t="s">
        <v>124</v>
      </c>
      <c r="D220" s="5"/>
      <c r="E220" s="35" t="s">
        <v>1387</v>
      </c>
      <c r="F220" s="6" t="s">
        <v>838</v>
      </c>
      <c r="G220" s="6" t="s">
        <v>1304</v>
      </c>
      <c r="H220" s="5">
        <v>2015.0</v>
      </c>
      <c r="I220" s="6">
        <v>1.0</v>
      </c>
      <c r="J220" s="6">
        <v>0.0</v>
      </c>
      <c r="K220" s="10">
        <f t="shared" si="7"/>
        <v>1</v>
      </c>
      <c r="L220" s="8"/>
      <c r="M220" s="10" t="s">
        <v>1421</v>
      </c>
      <c r="N220" s="27" t="s">
        <v>126</v>
      </c>
      <c r="O220" s="6">
        <v>50.951</v>
      </c>
      <c r="P220" s="6">
        <v>1.861</v>
      </c>
      <c r="Q220" s="10" t="str">
        <f t="shared" si="1"/>
        <v>50.951, 1.861</v>
      </c>
      <c r="R220" s="6"/>
      <c r="S220" s="10"/>
      <c r="T220" s="6"/>
      <c r="U220" s="6" t="s">
        <v>844</v>
      </c>
      <c r="V220" s="18" t="s">
        <v>1422</v>
      </c>
    </row>
    <row r="221" ht="12.75" customHeight="1">
      <c r="A221" s="5"/>
      <c r="B221" s="6" t="s">
        <v>68</v>
      </c>
      <c r="C221" s="6" t="s">
        <v>69</v>
      </c>
      <c r="D221" s="5"/>
      <c r="E221" s="35" t="s">
        <v>1426</v>
      </c>
      <c r="F221" s="6" t="s">
        <v>838</v>
      </c>
      <c r="G221" s="6" t="s">
        <v>1304</v>
      </c>
      <c r="H221" s="5">
        <v>2015.0</v>
      </c>
      <c r="I221" s="6">
        <v>43.0</v>
      </c>
      <c r="J221" s="6">
        <v>0.0</v>
      </c>
      <c r="K221" s="10">
        <f t="shared" si="7"/>
        <v>43</v>
      </c>
      <c r="L221" s="8"/>
      <c r="M221" s="10" t="s">
        <v>1427</v>
      </c>
      <c r="N221" s="27" t="s">
        <v>1428</v>
      </c>
      <c r="O221" s="10">
        <v>32.55</v>
      </c>
      <c r="P221" s="6">
        <v>14.668</v>
      </c>
      <c r="Q221" s="10" t="str">
        <f t="shared" si="1"/>
        <v>32.55, 14.668</v>
      </c>
      <c r="R221" s="6"/>
      <c r="S221" s="10"/>
      <c r="T221" s="6" t="s">
        <v>58</v>
      </c>
      <c r="U221" s="6" t="s">
        <v>1429</v>
      </c>
      <c r="V221" s="18" t="s">
        <v>1430</v>
      </c>
    </row>
    <row r="222" ht="12.75" customHeight="1">
      <c r="A222" s="5"/>
      <c r="B222" s="6" t="s">
        <v>68</v>
      </c>
      <c r="C222" s="6" t="s">
        <v>69</v>
      </c>
      <c r="D222" s="5"/>
      <c r="E222" s="35" t="s">
        <v>1434</v>
      </c>
      <c r="F222" s="6" t="s">
        <v>838</v>
      </c>
      <c r="G222" s="6" t="s">
        <v>1304</v>
      </c>
      <c r="H222" s="5">
        <v>2015.0</v>
      </c>
      <c r="I222" s="6">
        <v>0.0</v>
      </c>
      <c r="J222" s="6">
        <v>15.0</v>
      </c>
      <c r="K222" s="10">
        <f t="shared" si="7"/>
        <v>15</v>
      </c>
      <c r="L222" s="8"/>
      <c r="M222" s="10" t="s">
        <v>1435</v>
      </c>
      <c r="N222" s="27" t="s">
        <v>1436</v>
      </c>
      <c r="O222" s="10">
        <v>37.87</v>
      </c>
      <c r="P222" s="6">
        <v>27.18</v>
      </c>
      <c r="Q222" s="10" t="str">
        <f t="shared" si="1"/>
        <v>37.87, 27.18</v>
      </c>
      <c r="R222" s="6"/>
      <c r="S222" s="10"/>
      <c r="T222" s="6" t="s">
        <v>53</v>
      </c>
      <c r="U222" s="6" t="s">
        <v>1438</v>
      </c>
      <c r="V222" s="18" t="s">
        <v>1439</v>
      </c>
    </row>
    <row r="223" ht="12.75" customHeight="1">
      <c r="A223" s="5"/>
      <c r="B223" s="6" t="s">
        <v>68</v>
      </c>
      <c r="C223" s="6" t="s">
        <v>69</v>
      </c>
      <c r="D223" s="5"/>
      <c r="E223" s="35" t="s">
        <v>1434</v>
      </c>
      <c r="F223" s="6" t="s">
        <v>838</v>
      </c>
      <c r="G223" s="6" t="s">
        <v>1304</v>
      </c>
      <c r="H223" s="5">
        <v>2015.0</v>
      </c>
      <c r="I223" s="6">
        <v>6.0</v>
      </c>
      <c r="J223" s="6">
        <v>0.0</v>
      </c>
      <c r="K223" s="10">
        <f t="shared" si="7"/>
        <v>6</v>
      </c>
      <c r="L223" s="8"/>
      <c r="M223" s="37" t="s">
        <v>1443</v>
      </c>
      <c r="N223" s="9" t="s">
        <v>1446</v>
      </c>
      <c r="O223" s="10">
        <v>33.31</v>
      </c>
      <c r="P223" s="6">
        <v>13.71</v>
      </c>
      <c r="Q223" s="10" t="str">
        <f t="shared" si="1"/>
        <v>33.31, 13.71</v>
      </c>
      <c r="R223" s="6"/>
      <c r="S223" s="10"/>
      <c r="T223" s="6" t="s">
        <v>53</v>
      </c>
      <c r="U223" s="6" t="s">
        <v>1447</v>
      </c>
      <c r="V223" s="18" t="s">
        <v>1430</v>
      </c>
    </row>
    <row r="224" ht="12.75" customHeight="1">
      <c r="A224" s="5"/>
      <c r="B224" s="6" t="s">
        <v>68</v>
      </c>
      <c r="C224" s="6" t="s">
        <v>69</v>
      </c>
      <c r="D224" s="5"/>
      <c r="E224" s="35" t="s">
        <v>1450</v>
      </c>
      <c r="F224" s="6" t="s">
        <v>838</v>
      </c>
      <c r="G224" s="6" t="s">
        <v>1304</v>
      </c>
      <c r="H224" s="5">
        <v>2015.0</v>
      </c>
      <c r="I224" s="6">
        <v>2.0</v>
      </c>
      <c r="J224" s="6">
        <v>1.0</v>
      </c>
      <c r="K224" s="10">
        <f t="shared" si="7"/>
        <v>3</v>
      </c>
      <c r="L224" s="8"/>
      <c r="M224" s="37" t="s">
        <v>1452</v>
      </c>
      <c r="N224" s="38" t="s">
        <v>1453</v>
      </c>
      <c r="O224" s="10">
        <v>39.366</v>
      </c>
      <c r="P224" s="6">
        <v>26.67</v>
      </c>
      <c r="Q224" s="10" t="str">
        <f t="shared" si="1"/>
        <v>39.366, 26.67</v>
      </c>
      <c r="R224" s="6"/>
      <c r="S224" s="10"/>
      <c r="T224" s="6" t="s">
        <v>53</v>
      </c>
      <c r="U224" s="6" t="s">
        <v>1438</v>
      </c>
      <c r="V224" s="18" t="s">
        <v>1439</v>
      </c>
    </row>
    <row r="225" ht="12.75" customHeight="1">
      <c r="A225" s="5"/>
      <c r="B225" s="6" t="s">
        <v>49</v>
      </c>
      <c r="C225" s="6" t="s">
        <v>50</v>
      </c>
      <c r="D225" s="5"/>
      <c r="E225" s="35" t="s">
        <v>1458</v>
      </c>
      <c r="F225" s="6" t="s">
        <v>838</v>
      </c>
      <c r="G225" s="6" t="s">
        <v>1304</v>
      </c>
      <c r="H225" s="5">
        <v>2015.0</v>
      </c>
      <c r="I225" s="6">
        <v>1.0</v>
      </c>
      <c r="J225" s="6">
        <v>0.0</v>
      </c>
      <c r="K225" s="10">
        <f t="shared" si="7"/>
        <v>1</v>
      </c>
      <c r="L225" s="8"/>
      <c r="M225" s="10" t="s">
        <v>1460</v>
      </c>
      <c r="N225" s="27" t="s">
        <v>1461</v>
      </c>
      <c r="O225" s="10">
        <v>37.0</v>
      </c>
      <c r="P225" s="6">
        <v>27.0</v>
      </c>
      <c r="Q225" s="10" t="str">
        <f t="shared" si="1"/>
        <v>37, 27</v>
      </c>
      <c r="R225" s="6"/>
      <c r="S225" s="10"/>
      <c r="T225" s="6" t="s">
        <v>53</v>
      </c>
      <c r="U225" s="6" t="s">
        <v>1438</v>
      </c>
      <c r="V225" s="18" t="s">
        <v>1462</v>
      </c>
    </row>
    <row r="226" ht="12.75" customHeight="1">
      <c r="A226" s="5"/>
      <c r="B226" s="6" t="s">
        <v>49</v>
      </c>
      <c r="C226" s="6" t="s">
        <v>50</v>
      </c>
      <c r="D226" s="5"/>
      <c r="E226" s="35" t="s">
        <v>1458</v>
      </c>
      <c r="F226" s="6" t="s">
        <v>838</v>
      </c>
      <c r="G226" s="6" t="s">
        <v>1304</v>
      </c>
      <c r="H226" s="5">
        <v>2015.0</v>
      </c>
      <c r="I226" s="6">
        <v>12.0</v>
      </c>
      <c r="J226" s="6">
        <v>11.0</v>
      </c>
      <c r="K226" s="10">
        <f t="shared" si="7"/>
        <v>23</v>
      </c>
      <c r="L226" s="8"/>
      <c r="M226" s="10" t="s">
        <v>1467</v>
      </c>
      <c r="N226" s="27" t="s">
        <v>1404</v>
      </c>
      <c r="O226" s="10">
        <v>39.1</v>
      </c>
      <c r="P226" s="10">
        <v>26.191</v>
      </c>
      <c r="Q226" s="10" t="str">
        <f t="shared" si="1"/>
        <v>39.1, 26.191</v>
      </c>
      <c r="R226" s="6"/>
      <c r="S226" s="10"/>
      <c r="T226" s="6" t="s">
        <v>53</v>
      </c>
      <c r="U226" s="6" t="s">
        <v>1438</v>
      </c>
      <c r="V226" s="18" t="s">
        <v>1462</v>
      </c>
    </row>
    <row r="227" ht="12.75" customHeight="1">
      <c r="A227" s="5"/>
      <c r="B227" s="6" t="s">
        <v>49</v>
      </c>
      <c r="C227" s="6" t="s">
        <v>50</v>
      </c>
      <c r="D227" s="5"/>
      <c r="E227" s="35" t="s">
        <v>1472</v>
      </c>
      <c r="F227" s="6" t="s">
        <v>838</v>
      </c>
      <c r="G227" s="6" t="s">
        <v>1304</v>
      </c>
      <c r="H227" s="5">
        <v>2015.0</v>
      </c>
      <c r="I227" s="6">
        <v>4.0</v>
      </c>
      <c r="J227" s="6">
        <v>3.0</v>
      </c>
      <c r="K227" s="10">
        <f t="shared" si="7"/>
        <v>7</v>
      </c>
      <c r="L227" s="8"/>
      <c r="M227" s="10" t="s">
        <v>1474</v>
      </c>
      <c r="N227" s="9" t="s">
        <v>1348</v>
      </c>
      <c r="O227" s="39">
        <v>37.0211</v>
      </c>
      <c r="P227" s="6">
        <v>27.151</v>
      </c>
      <c r="Q227" s="10" t="str">
        <f t="shared" si="1"/>
        <v>37.0211, 27.151</v>
      </c>
      <c r="R227" s="6"/>
      <c r="S227" s="10"/>
      <c r="T227" s="6" t="s">
        <v>53</v>
      </c>
      <c r="U227" s="6" t="s">
        <v>1477</v>
      </c>
      <c r="V227" s="18" t="s">
        <v>1478</v>
      </c>
    </row>
    <row r="228" ht="12.75" customHeight="1">
      <c r="A228" s="5"/>
      <c r="B228" s="6" t="s">
        <v>68</v>
      </c>
      <c r="C228" s="6" t="s">
        <v>69</v>
      </c>
      <c r="D228" s="5"/>
      <c r="E228" s="35" t="s">
        <v>1482</v>
      </c>
      <c r="F228" s="6" t="s">
        <v>838</v>
      </c>
      <c r="G228" s="6" t="s">
        <v>1304</v>
      </c>
      <c r="H228" s="5">
        <v>2015.0</v>
      </c>
      <c r="I228" s="6">
        <v>4.0</v>
      </c>
      <c r="J228" s="6">
        <v>1.0</v>
      </c>
      <c r="K228" s="37">
        <f t="shared" si="7"/>
        <v>5</v>
      </c>
      <c r="L228" s="8"/>
      <c r="M228" s="37" t="s">
        <v>1484</v>
      </c>
      <c r="N228" s="9" t="s">
        <v>988</v>
      </c>
      <c r="O228" s="37">
        <v>36.155</v>
      </c>
      <c r="P228" s="6">
        <v>29.584</v>
      </c>
      <c r="Q228" s="37" t="str">
        <f t="shared" si="1"/>
        <v>36.155, 29.584</v>
      </c>
      <c r="R228" s="6"/>
      <c r="S228" s="37"/>
      <c r="T228" s="6" t="s">
        <v>53</v>
      </c>
      <c r="U228" s="6" t="s">
        <v>1477</v>
      </c>
      <c r="V228" s="18" t="s">
        <v>1486</v>
      </c>
    </row>
    <row r="229" ht="12.75" customHeight="1">
      <c r="A229" s="5"/>
      <c r="B229" s="6" t="s">
        <v>68</v>
      </c>
      <c r="C229" s="6" t="s">
        <v>69</v>
      </c>
      <c r="D229" s="5"/>
      <c r="E229" s="35" t="s">
        <v>1482</v>
      </c>
      <c r="F229" s="6" t="s">
        <v>838</v>
      </c>
      <c r="G229" s="6" t="s">
        <v>1304</v>
      </c>
      <c r="H229" s="5">
        <v>2015.0</v>
      </c>
      <c r="I229" s="6">
        <v>1.0</v>
      </c>
      <c r="J229" s="6">
        <v>0.0</v>
      </c>
      <c r="K229" s="10">
        <f t="shared" si="7"/>
        <v>1</v>
      </c>
      <c r="L229" s="8"/>
      <c r="M229" s="10" t="s">
        <v>1490</v>
      </c>
      <c r="N229" s="9" t="s">
        <v>891</v>
      </c>
      <c r="O229" s="10">
        <v>37.299</v>
      </c>
      <c r="P229" s="6">
        <v>27.167</v>
      </c>
      <c r="Q229" s="10" t="str">
        <f t="shared" si="1"/>
        <v>37.299, 27.167</v>
      </c>
      <c r="R229" s="6"/>
      <c r="S229" s="10"/>
      <c r="T229" s="6" t="s">
        <v>53</v>
      </c>
      <c r="U229" s="6" t="s">
        <v>1477</v>
      </c>
      <c r="V229" s="18" t="s">
        <v>1486</v>
      </c>
    </row>
    <row r="230" ht="12.75" customHeight="1">
      <c r="A230" s="5"/>
      <c r="B230" s="5" t="s">
        <v>41</v>
      </c>
      <c r="C230" s="5" t="s">
        <v>42</v>
      </c>
      <c r="D230" s="5"/>
      <c r="E230" s="35" t="s">
        <v>1472</v>
      </c>
      <c r="F230" s="6" t="s">
        <v>838</v>
      </c>
      <c r="G230" s="6" t="s">
        <v>1304</v>
      </c>
      <c r="H230" s="5">
        <v>2015.0</v>
      </c>
      <c r="I230" s="6">
        <v>1.0</v>
      </c>
      <c r="J230" s="6">
        <v>0.0</v>
      </c>
      <c r="K230" s="10">
        <f t="shared" si="7"/>
        <v>1</v>
      </c>
      <c r="L230" s="8"/>
      <c r="M230" s="10" t="s">
        <v>1496</v>
      </c>
      <c r="N230" s="9" t="s">
        <v>1497</v>
      </c>
      <c r="O230" s="10">
        <v>42.3453</v>
      </c>
      <c r="P230" s="6">
        <v>27.1638</v>
      </c>
      <c r="Q230" s="10" t="str">
        <f t="shared" si="1"/>
        <v>42.3453, 27.1638</v>
      </c>
      <c r="R230" s="6"/>
      <c r="S230" s="10"/>
      <c r="T230" s="6" t="s">
        <v>53</v>
      </c>
      <c r="U230" s="6" t="s">
        <v>950</v>
      </c>
      <c r="V230" s="18" t="s">
        <v>1498</v>
      </c>
    </row>
    <row r="231" ht="12.75" customHeight="1">
      <c r="A231" s="5"/>
      <c r="B231" s="6" t="s">
        <v>1211</v>
      </c>
      <c r="C231" s="6" t="s">
        <v>124</v>
      </c>
      <c r="D231" s="5"/>
      <c r="E231" s="35" t="s">
        <v>1472</v>
      </c>
      <c r="F231" s="6" t="s">
        <v>838</v>
      </c>
      <c r="G231" s="6" t="s">
        <v>1304</v>
      </c>
      <c r="H231" s="5">
        <v>2015.0</v>
      </c>
      <c r="I231" s="6">
        <v>1.0</v>
      </c>
      <c r="J231" s="6">
        <v>0.0</v>
      </c>
      <c r="K231" s="10">
        <f t="shared" si="7"/>
        <v>1</v>
      </c>
      <c r="L231" s="8"/>
      <c r="M231" s="10" t="s">
        <v>1504</v>
      </c>
      <c r="N231" s="9" t="s">
        <v>1092</v>
      </c>
      <c r="O231" s="10">
        <v>50.9279</v>
      </c>
      <c r="P231" s="10">
        <v>1.7875</v>
      </c>
      <c r="Q231" s="10" t="str">
        <f t="shared" si="1"/>
        <v>50.9279, 1.7875</v>
      </c>
      <c r="R231" s="6"/>
      <c r="S231" s="10"/>
      <c r="T231" s="6"/>
      <c r="U231" s="6" t="s">
        <v>254</v>
      </c>
      <c r="V231" s="18" t="s">
        <v>1506</v>
      </c>
    </row>
    <row r="232" ht="12.75" customHeight="1">
      <c r="A232" s="5"/>
      <c r="B232" s="6" t="s">
        <v>49</v>
      </c>
      <c r="C232" s="6" t="s">
        <v>50</v>
      </c>
      <c r="D232" s="5"/>
      <c r="E232" s="35" t="s">
        <v>1510</v>
      </c>
      <c r="F232" s="6" t="s">
        <v>838</v>
      </c>
      <c r="G232" s="6" t="s">
        <v>1304</v>
      </c>
      <c r="H232" s="5">
        <v>2015.0</v>
      </c>
      <c r="I232" s="6">
        <v>3.0</v>
      </c>
      <c r="J232" s="6">
        <v>0.0</v>
      </c>
      <c r="K232" s="37">
        <f t="shared" si="7"/>
        <v>3</v>
      </c>
      <c r="L232" s="8"/>
      <c r="M232" s="37" t="s">
        <v>1512</v>
      </c>
      <c r="N232" s="9" t="s">
        <v>1404</v>
      </c>
      <c r="O232" s="10">
        <v>39.11</v>
      </c>
      <c r="P232" s="10">
        <v>26.191</v>
      </c>
      <c r="Q232" s="10" t="str">
        <f t="shared" si="1"/>
        <v>39.11, 26.191</v>
      </c>
      <c r="R232" s="6"/>
      <c r="S232" s="10"/>
      <c r="T232" s="6" t="s">
        <v>53</v>
      </c>
      <c r="U232" s="6" t="s">
        <v>1477</v>
      </c>
      <c r="V232" s="18" t="s">
        <v>1514</v>
      </c>
    </row>
    <row r="233" ht="12.75" customHeight="1">
      <c r="A233" s="5"/>
      <c r="B233" s="6" t="s">
        <v>129</v>
      </c>
      <c r="C233" s="6" t="s">
        <v>124</v>
      </c>
      <c r="D233" s="5"/>
      <c r="E233" s="35" t="s">
        <v>1517</v>
      </c>
      <c r="F233" s="6" t="s">
        <v>838</v>
      </c>
      <c r="G233" s="6" t="s">
        <v>1304</v>
      </c>
      <c r="H233" s="5">
        <v>2015.0</v>
      </c>
      <c r="I233" s="6">
        <v>1.0</v>
      </c>
      <c r="J233" s="6">
        <v>0.0</v>
      </c>
      <c r="K233" s="10">
        <f t="shared" si="7"/>
        <v>1</v>
      </c>
      <c r="L233" s="8"/>
      <c r="M233" s="10" t="s">
        <v>1519</v>
      </c>
      <c r="N233" s="9" t="s">
        <v>1520</v>
      </c>
      <c r="O233" s="6">
        <v>50.951</v>
      </c>
      <c r="P233" s="6">
        <v>1.86</v>
      </c>
      <c r="Q233" s="10" t="str">
        <f t="shared" si="1"/>
        <v>50.951, 1.86</v>
      </c>
      <c r="R233" s="6"/>
      <c r="S233" s="10"/>
      <c r="T233" s="6"/>
      <c r="U233" s="6" t="s">
        <v>1093</v>
      </c>
      <c r="V233" s="18" t="s">
        <v>1522</v>
      </c>
    </row>
    <row r="234" ht="12.75" customHeight="1">
      <c r="A234" s="5"/>
      <c r="B234" s="6" t="s">
        <v>68</v>
      </c>
      <c r="C234" s="6" t="s">
        <v>69</v>
      </c>
      <c r="D234" s="5"/>
      <c r="E234" s="35" t="s">
        <v>1517</v>
      </c>
      <c r="F234" s="6" t="s">
        <v>838</v>
      </c>
      <c r="G234" s="6" t="s">
        <v>1304</v>
      </c>
      <c r="H234" s="5">
        <v>2015.0</v>
      </c>
      <c r="I234" s="6">
        <v>12.0</v>
      </c>
      <c r="J234" s="6">
        <v>0.0</v>
      </c>
      <c r="K234" s="10">
        <f t="shared" si="7"/>
        <v>12</v>
      </c>
      <c r="L234" s="40"/>
      <c r="M234" s="10" t="s">
        <v>1528</v>
      </c>
      <c r="N234" s="27" t="s">
        <v>1461</v>
      </c>
      <c r="O234" s="10">
        <v>37.1</v>
      </c>
      <c r="P234" s="6">
        <v>27.0</v>
      </c>
      <c r="Q234" s="41" t="str">
        <f t="shared" si="1"/>
        <v>37.1, 27</v>
      </c>
      <c r="R234" s="41"/>
      <c r="S234" s="41"/>
      <c r="T234" s="41" t="s">
        <v>53</v>
      </c>
      <c r="U234" s="41" t="s">
        <v>950</v>
      </c>
      <c r="V234" s="18" t="s">
        <v>1531</v>
      </c>
    </row>
    <row r="235" ht="12.75" customHeight="1">
      <c r="A235" s="5"/>
      <c r="B235" s="6" t="s">
        <v>49</v>
      </c>
      <c r="C235" s="6" t="s">
        <v>50</v>
      </c>
      <c r="D235" s="5"/>
      <c r="E235" s="35" t="s">
        <v>1517</v>
      </c>
      <c r="F235" s="6" t="s">
        <v>838</v>
      </c>
      <c r="G235" s="6" t="s">
        <v>1304</v>
      </c>
      <c r="H235" s="5">
        <v>2015.0</v>
      </c>
      <c r="I235" s="6">
        <v>7.0</v>
      </c>
      <c r="J235" s="6">
        <v>1.0</v>
      </c>
      <c r="K235" s="10">
        <f t="shared" si="7"/>
        <v>8</v>
      </c>
      <c r="L235" s="40"/>
      <c r="M235" s="10" t="s">
        <v>1537</v>
      </c>
      <c r="N235" s="9" t="s">
        <v>1404</v>
      </c>
      <c r="O235" s="10">
        <v>39.1</v>
      </c>
      <c r="P235" s="41">
        <v>26.191</v>
      </c>
      <c r="Q235" s="41" t="str">
        <f t="shared" si="1"/>
        <v>39.1, 26.191</v>
      </c>
      <c r="R235" s="41"/>
      <c r="S235" s="41"/>
      <c r="T235" s="41" t="s">
        <v>53</v>
      </c>
      <c r="U235" s="41" t="s">
        <v>1477</v>
      </c>
      <c r="V235" s="6" t="s">
        <v>1539</v>
      </c>
    </row>
    <row r="236" ht="12.75" customHeight="1">
      <c r="A236" s="5"/>
      <c r="B236" s="6" t="s">
        <v>49</v>
      </c>
      <c r="C236" s="6" t="s">
        <v>50</v>
      </c>
      <c r="D236" s="5"/>
      <c r="E236" s="35" t="s">
        <v>1540</v>
      </c>
      <c r="F236" s="6" t="s">
        <v>838</v>
      </c>
      <c r="G236" s="6" t="s">
        <v>1304</v>
      </c>
      <c r="H236" s="5">
        <v>2015.0</v>
      </c>
      <c r="I236" s="6">
        <v>11.0</v>
      </c>
      <c r="J236" s="6">
        <v>0.0</v>
      </c>
      <c r="K236" s="10">
        <f t="shared" si="7"/>
        <v>11</v>
      </c>
      <c r="L236" s="8"/>
      <c r="M236" s="10" t="s">
        <v>1542</v>
      </c>
      <c r="N236" s="9" t="s">
        <v>1543</v>
      </c>
      <c r="O236" s="10">
        <v>32.07</v>
      </c>
      <c r="P236" s="6">
        <v>31.05</v>
      </c>
      <c r="Q236" s="6" t="str">
        <f t="shared" si="1"/>
        <v>32.07, 31.05</v>
      </c>
      <c r="R236" s="6"/>
      <c r="S236" s="6"/>
      <c r="T236" s="6" t="s">
        <v>72</v>
      </c>
      <c r="U236" s="6" t="s">
        <v>254</v>
      </c>
      <c r="V236" s="18" t="s">
        <v>1545</v>
      </c>
    </row>
    <row r="237" ht="12.75" customHeight="1">
      <c r="A237" s="5"/>
      <c r="B237" s="6" t="s">
        <v>68</v>
      </c>
      <c r="C237" s="6" t="s">
        <v>69</v>
      </c>
      <c r="D237" s="5"/>
      <c r="E237" s="35" t="s">
        <v>1548</v>
      </c>
      <c r="F237" s="6" t="s">
        <v>838</v>
      </c>
      <c r="G237" s="6" t="s">
        <v>1304</v>
      </c>
      <c r="H237" s="5">
        <v>2015.0</v>
      </c>
      <c r="I237" s="6">
        <v>1.0</v>
      </c>
      <c r="J237" s="6">
        <v>0.0</v>
      </c>
      <c r="K237" s="10">
        <f t="shared" si="7"/>
        <v>1</v>
      </c>
      <c r="L237" s="8"/>
      <c r="M237" s="10" t="s">
        <v>1550</v>
      </c>
      <c r="N237" s="9" t="s">
        <v>1404</v>
      </c>
      <c r="O237" s="10">
        <v>39.1</v>
      </c>
      <c r="P237" s="6">
        <v>26.19</v>
      </c>
      <c r="Q237" s="6" t="str">
        <f t="shared" si="1"/>
        <v>39.1, 26.19</v>
      </c>
      <c r="R237" s="6"/>
      <c r="S237" s="6"/>
      <c r="T237" s="6" t="s">
        <v>53</v>
      </c>
      <c r="U237" s="6" t="s">
        <v>92</v>
      </c>
      <c r="V237" s="18" t="s">
        <v>1552</v>
      </c>
    </row>
    <row r="238" ht="12.75" customHeight="1">
      <c r="A238" s="5"/>
      <c r="B238" s="6" t="s">
        <v>1555</v>
      </c>
      <c r="C238" s="6" t="s">
        <v>42</v>
      </c>
      <c r="D238" s="5"/>
      <c r="E238" s="35" t="s">
        <v>1548</v>
      </c>
      <c r="F238" s="6" t="s">
        <v>838</v>
      </c>
      <c r="G238" s="6" t="s">
        <v>1304</v>
      </c>
      <c r="H238" s="5">
        <v>2015.0</v>
      </c>
      <c r="I238" s="6">
        <v>2.0</v>
      </c>
      <c r="J238" s="6">
        <v>0.0</v>
      </c>
      <c r="K238" s="10">
        <f t="shared" si="7"/>
        <v>2</v>
      </c>
      <c r="L238" s="8"/>
      <c r="M238" s="10" t="s">
        <v>1557</v>
      </c>
      <c r="N238" s="27" t="s">
        <v>163</v>
      </c>
      <c r="O238" s="6">
        <v>35.9</v>
      </c>
      <c r="P238" s="6">
        <v>-5.3</v>
      </c>
      <c r="Q238" s="6" t="str">
        <f t="shared" si="1"/>
        <v>35.9, -5.3</v>
      </c>
      <c r="R238" s="6"/>
      <c r="S238" s="6"/>
      <c r="T238" s="6" t="s">
        <v>72</v>
      </c>
      <c r="U238" s="6" t="s">
        <v>1559</v>
      </c>
      <c r="V238" s="18" t="s">
        <v>1560</v>
      </c>
    </row>
    <row r="239" ht="12.75" customHeight="1">
      <c r="A239" s="5"/>
      <c r="B239" s="6" t="s">
        <v>68</v>
      </c>
      <c r="C239" s="6" t="s">
        <v>69</v>
      </c>
      <c r="D239" s="5"/>
      <c r="E239" s="35" t="s">
        <v>1563</v>
      </c>
      <c r="F239" s="6" t="s">
        <v>838</v>
      </c>
      <c r="G239" s="6" t="s">
        <v>1304</v>
      </c>
      <c r="H239" s="5">
        <v>2015.0</v>
      </c>
      <c r="I239" s="6">
        <v>2.0</v>
      </c>
      <c r="J239" s="6">
        <v>0.0</v>
      </c>
      <c r="K239" s="10">
        <f t="shared" si="7"/>
        <v>2</v>
      </c>
      <c r="L239" s="8"/>
      <c r="M239" s="10" t="s">
        <v>1565</v>
      </c>
      <c r="N239" s="27" t="s">
        <v>1274</v>
      </c>
      <c r="O239" s="6">
        <v>31.1</v>
      </c>
      <c r="P239" s="6">
        <v>27.1</v>
      </c>
      <c r="Q239" s="6" t="str">
        <f t="shared" si="1"/>
        <v>31.1, 27.1</v>
      </c>
      <c r="R239" s="6"/>
      <c r="S239" s="6"/>
      <c r="T239" s="6" t="s">
        <v>53</v>
      </c>
      <c r="U239" s="6" t="s">
        <v>1566</v>
      </c>
      <c r="V239" s="18" t="s">
        <v>1568</v>
      </c>
    </row>
    <row r="240" ht="12.75" customHeight="1">
      <c r="A240" s="5"/>
      <c r="B240" s="6" t="s">
        <v>763</v>
      </c>
      <c r="C240" s="6" t="s">
        <v>124</v>
      </c>
      <c r="D240" s="5"/>
      <c r="E240" s="35" t="s">
        <v>1572</v>
      </c>
      <c r="F240" s="6" t="s">
        <v>838</v>
      </c>
      <c r="G240" s="6" t="s">
        <v>1304</v>
      </c>
      <c r="H240" s="5">
        <v>2015.0</v>
      </c>
      <c r="I240" s="6">
        <v>1.0</v>
      </c>
      <c r="J240" s="6">
        <v>0.0</v>
      </c>
      <c r="K240" s="10">
        <f t="shared" si="7"/>
        <v>1</v>
      </c>
      <c r="L240" s="8"/>
      <c r="M240" s="10" t="s">
        <v>1573</v>
      </c>
      <c r="N240" s="27" t="s">
        <v>1574</v>
      </c>
      <c r="O240" s="10">
        <v>42.24</v>
      </c>
      <c r="P240" s="6">
        <v>21.7</v>
      </c>
      <c r="Q240" s="6" t="str">
        <f t="shared" si="1"/>
        <v>42.24, 21.7</v>
      </c>
      <c r="R240" s="6"/>
      <c r="S240" s="6"/>
      <c r="T240" s="6" t="s">
        <v>65</v>
      </c>
      <c r="U240" s="6" t="s">
        <v>1576</v>
      </c>
      <c r="V240" s="18" t="s">
        <v>1568</v>
      </c>
    </row>
    <row r="241" ht="12.75" customHeight="1">
      <c r="A241" s="5"/>
      <c r="B241" s="6" t="s">
        <v>68</v>
      </c>
      <c r="C241" s="6" t="s">
        <v>69</v>
      </c>
      <c r="D241" s="5"/>
      <c r="E241" s="35" t="s">
        <v>1563</v>
      </c>
      <c r="F241" s="6" t="s">
        <v>838</v>
      </c>
      <c r="G241" s="6" t="s">
        <v>1304</v>
      </c>
      <c r="H241" s="5">
        <v>2015.0</v>
      </c>
      <c r="I241" s="6">
        <v>10.0</v>
      </c>
      <c r="J241" s="6">
        <v>0.0</v>
      </c>
      <c r="K241" s="10">
        <f t="shared" si="7"/>
        <v>10</v>
      </c>
      <c r="L241" s="8"/>
      <c r="M241" s="10" t="s">
        <v>1581</v>
      </c>
      <c r="N241" s="27" t="s">
        <v>1582</v>
      </c>
      <c r="O241" s="10">
        <v>33.1</v>
      </c>
      <c r="P241" s="6">
        <v>12.6</v>
      </c>
      <c r="Q241" s="6" t="str">
        <f t="shared" si="1"/>
        <v>33.1, 12.6</v>
      </c>
      <c r="R241" s="6"/>
      <c r="S241" s="6"/>
      <c r="T241" s="6" t="s">
        <v>58</v>
      </c>
      <c r="U241" s="6" t="s">
        <v>1429</v>
      </c>
      <c r="V241" s="18" t="s">
        <v>1584</v>
      </c>
    </row>
    <row r="242" ht="12.75" customHeight="1">
      <c r="A242" s="5"/>
      <c r="B242" s="6" t="s">
        <v>68</v>
      </c>
      <c r="C242" s="6" t="s">
        <v>69</v>
      </c>
      <c r="D242" s="5"/>
      <c r="E242" s="35" t="s">
        <v>1563</v>
      </c>
      <c r="F242" s="6" t="s">
        <v>838</v>
      </c>
      <c r="G242" s="6" t="s">
        <v>1304</v>
      </c>
      <c r="H242" s="5">
        <v>2015.0</v>
      </c>
      <c r="I242" s="6">
        <v>85.0</v>
      </c>
      <c r="J242" s="6">
        <v>0.0</v>
      </c>
      <c r="K242" s="10">
        <f t="shared" si="7"/>
        <v>85</v>
      </c>
      <c r="L242" s="8"/>
      <c r="M242" s="10" t="s">
        <v>1587</v>
      </c>
      <c r="N242" s="27" t="s">
        <v>1588</v>
      </c>
      <c r="O242" s="10">
        <v>34.4</v>
      </c>
      <c r="P242" s="6">
        <v>14.11</v>
      </c>
      <c r="Q242" s="6" t="str">
        <f t="shared" si="1"/>
        <v>34.4, 14.11</v>
      </c>
      <c r="R242" s="6"/>
      <c r="S242" s="6"/>
      <c r="T242" s="6" t="s">
        <v>58</v>
      </c>
      <c r="U242" s="6" t="s">
        <v>1429</v>
      </c>
      <c r="V242" s="18" t="s">
        <v>1584</v>
      </c>
    </row>
    <row r="243" ht="12.75" customHeight="1">
      <c r="A243" s="5"/>
      <c r="B243" s="6" t="s">
        <v>1161</v>
      </c>
      <c r="C243" s="6" t="s">
        <v>124</v>
      </c>
      <c r="D243" s="5"/>
      <c r="E243" s="35" t="s">
        <v>1593</v>
      </c>
      <c r="F243" s="6" t="s">
        <v>838</v>
      </c>
      <c r="G243" s="6" t="s">
        <v>1304</v>
      </c>
      <c r="H243" s="5">
        <v>2015.0</v>
      </c>
      <c r="I243" s="6">
        <v>1.0</v>
      </c>
      <c r="J243" s="6">
        <v>0.0</v>
      </c>
      <c r="K243" s="10">
        <f t="shared" si="7"/>
        <v>1</v>
      </c>
      <c r="L243" s="8"/>
      <c r="M243" s="10" t="s">
        <v>1594</v>
      </c>
      <c r="N243" s="27" t="s">
        <v>1595</v>
      </c>
      <c r="O243" s="10">
        <v>50.6392547</v>
      </c>
      <c r="P243" s="10">
        <v>11.3581621</v>
      </c>
      <c r="Q243" s="10" t="str">
        <f t="shared" si="1"/>
        <v>50.6392547, 11.3581621</v>
      </c>
      <c r="R243" s="6"/>
      <c r="S243" s="10"/>
      <c r="T243" s="6"/>
      <c r="U243" s="6" t="s">
        <v>1597</v>
      </c>
      <c r="V243" s="18" t="s">
        <v>1598</v>
      </c>
    </row>
    <row r="244" ht="12.75" customHeight="1">
      <c r="A244" s="5"/>
      <c r="B244" s="6" t="s">
        <v>68</v>
      </c>
      <c r="C244" s="6" t="s">
        <v>69</v>
      </c>
      <c r="D244" s="5"/>
      <c r="E244" s="35" t="s">
        <v>1602</v>
      </c>
      <c r="F244" s="6" t="s">
        <v>838</v>
      </c>
      <c r="G244" s="6" t="s">
        <v>1603</v>
      </c>
      <c r="H244" s="5">
        <v>2015.0</v>
      </c>
      <c r="I244" s="6">
        <v>2.0</v>
      </c>
      <c r="J244" s="6">
        <v>0.0</v>
      </c>
      <c r="K244" s="10">
        <f t="shared" si="7"/>
        <v>2</v>
      </c>
      <c r="L244" s="8"/>
      <c r="M244" s="10" t="s">
        <v>1604</v>
      </c>
      <c r="N244" s="27" t="s">
        <v>1404</v>
      </c>
      <c r="O244" s="6">
        <v>39.1</v>
      </c>
      <c r="P244" s="6">
        <v>26.2</v>
      </c>
      <c r="Q244" s="6" t="str">
        <f t="shared" si="1"/>
        <v>39.1, 26.2</v>
      </c>
      <c r="R244" s="6"/>
      <c r="S244" s="6"/>
      <c r="T244" s="6" t="s">
        <v>53</v>
      </c>
      <c r="U244" s="6" t="s">
        <v>1477</v>
      </c>
      <c r="V244" s="18" t="s">
        <v>1606</v>
      </c>
    </row>
    <row r="245" ht="12.75" customHeight="1">
      <c r="A245" s="5"/>
      <c r="B245" s="6" t="s">
        <v>68</v>
      </c>
      <c r="C245" s="6" t="s">
        <v>69</v>
      </c>
      <c r="D245" s="5"/>
      <c r="E245" s="35" t="s">
        <v>1611</v>
      </c>
      <c r="F245" s="6" t="s">
        <v>838</v>
      </c>
      <c r="G245" s="6" t="s">
        <v>1603</v>
      </c>
      <c r="H245" s="5">
        <v>2015.0</v>
      </c>
      <c r="I245" s="6">
        <v>1.0</v>
      </c>
      <c r="J245" s="6">
        <v>5.0</v>
      </c>
      <c r="K245" s="10">
        <f t="shared" si="7"/>
        <v>6</v>
      </c>
      <c r="L245" s="8"/>
      <c r="M245" s="10" t="s">
        <v>1612</v>
      </c>
      <c r="N245" s="27" t="s">
        <v>1613</v>
      </c>
      <c r="O245" s="6">
        <v>40.7014</v>
      </c>
      <c r="P245" s="6">
        <v>26.02</v>
      </c>
      <c r="Q245" s="6" t="str">
        <f t="shared" si="1"/>
        <v>40.7014, 26.02</v>
      </c>
      <c r="R245" s="6"/>
      <c r="S245" s="6"/>
      <c r="T245" s="6" t="s">
        <v>53</v>
      </c>
      <c r="U245" s="6" t="s">
        <v>437</v>
      </c>
      <c r="V245" s="18" t="s">
        <v>1615</v>
      </c>
    </row>
    <row r="246" ht="12.75" customHeight="1">
      <c r="A246" s="5"/>
      <c r="B246" s="6" t="s">
        <v>1621</v>
      </c>
      <c r="C246" s="6" t="s">
        <v>124</v>
      </c>
      <c r="D246" s="5"/>
      <c r="E246" s="35" t="s">
        <v>1611</v>
      </c>
      <c r="F246" s="6" t="s">
        <v>838</v>
      </c>
      <c r="G246" s="6" t="s">
        <v>1603</v>
      </c>
      <c r="H246" s="5">
        <v>2015.0</v>
      </c>
      <c r="I246" s="6">
        <v>1.0</v>
      </c>
      <c r="J246" s="6">
        <v>0.0</v>
      </c>
      <c r="K246" s="10">
        <f t="shared" si="7"/>
        <v>1</v>
      </c>
      <c r="L246" s="8"/>
      <c r="M246" s="10" t="s">
        <v>1622</v>
      </c>
      <c r="N246" s="27" t="s">
        <v>126</v>
      </c>
      <c r="O246" s="6">
        <v>50.95</v>
      </c>
      <c r="P246" s="6">
        <v>1.86</v>
      </c>
      <c r="Q246" s="6" t="str">
        <f t="shared" si="1"/>
        <v>50.95, 1.86</v>
      </c>
      <c r="R246" s="6"/>
      <c r="S246" s="6"/>
      <c r="T246" s="6"/>
      <c r="U246" s="6" t="s">
        <v>1184</v>
      </c>
      <c r="V246" s="18" t="s">
        <v>1624</v>
      </c>
    </row>
    <row r="247" ht="12.75" customHeight="1">
      <c r="A247" s="5"/>
      <c r="B247" s="6" t="s">
        <v>68</v>
      </c>
      <c r="C247" s="6" t="s">
        <v>69</v>
      </c>
      <c r="D247" s="5"/>
      <c r="E247" s="35" t="s">
        <v>1629</v>
      </c>
      <c r="F247" s="6" t="s">
        <v>838</v>
      </c>
      <c r="G247" s="6" t="s">
        <v>1603</v>
      </c>
      <c r="H247" s="5">
        <v>2015.0</v>
      </c>
      <c r="I247" s="6">
        <v>0.0</v>
      </c>
      <c r="J247" s="6">
        <v>7.0</v>
      </c>
      <c r="K247" s="10">
        <f t="shared" si="7"/>
        <v>7</v>
      </c>
      <c r="L247" s="8"/>
      <c r="M247" s="10" t="s">
        <v>1631</v>
      </c>
      <c r="N247" s="27" t="s">
        <v>203</v>
      </c>
      <c r="O247" s="6">
        <v>31.0</v>
      </c>
      <c r="P247" s="6">
        <v>27.09</v>
      </c>
      <c r="Q247" s="6" t="str">
        <f t="shared" si="1"/>
        <v>31, 27.09</v>
      </c>
      <c r="R247" s="6"/>
      <c r="S247" s="6"/>
      <c r="T247" s="6" t="s">
        <v>53</v>
      </c>
      <c r="U247" s="6" t="s">
        <v>1632</v>
      </c>
      <c r="V247" s="18" t="s">
        <v>1633</v>
      </c>
    </row>
    <row r="248" ht="12.75" customHeight="1">
      <c r="A248" s="5"/>
      <c r="B248" s="6" t="s">
        <v>49</v>
      </c>
      <c r="C248" s="6" t="s">
        <v>50</v>
      </c>
      <c r="D248" s="5"/>
      <c r="E248" s="35" t="s">
        <v>1636</v>
      </c>
      <c r="F248" s="6" t="s">
        <v>838</v>
      </c>
      <c r="G248" s="6" t="s">
        <v>1603</v>
      </c>
      <c r="H248" s="5">
        <v>2015.0</v>
      </c>
      <c r="I248" s="6">
        <v>17.0</v>
      </c>
      <c r="J248" s="6">
        <v>0.0</v>
      </c>
      <c r="K248" s="10">
        <f t="shared" si="7"/>
        <v>17</v>
      </c>
      <c r="L248" s="8"/>
      <c r="M248" s="10" t="s">
        <v>1637</v>
      </c>
      <c r="N248" s="27" t="s">
        <v>1638</v>
      </c>
      <c r="O248" s="6">
        <v>37.0502</v>
      </c>
      <c r="P248" s="6">
        <v>27.223749</v>
      </c>
      <c r="Q248" s="6" t="str">
        <f t="shared" si="1"/>
        <v>37.0502, 27.223749</v>
      </c>
      <c r="R248" s="6"/>
      <c r="S248" s="6"/>
      <c r="T248" s="6" t="s">
        <v>53</v>
      </c>
      <c r="U248" s="6" t="s">
        <v>1639</v>
      </c>
      <c r="V248" s="18" t="s">
        <v>1640</v>
      </c>
    </row>
    <row r="249" ht="12.75" customHeight="1">
      <c r="A249" s="5"/>
      <c r="B249" s="6" t="s">
        <v>1211</v>
      </c>
      <c r="C249" s="6" t="s">
        <v>124</v>
      </c>
      <c r="D249" s="5"/>
      <c r="E249" s="35" t="s">
        <v>1643</v>
      </c>
      <c r="F249" s="6" t="s">
        <v>838</v>
      </c>
      <c r="G249" s="6" t="s">
        <v>1603</v>
      </c>
      <c r="H249" s="5">
        <v>2015.0</v>
      </c>
      <c r="I249" s="6">
        <v>1.0</v>
      </c>
      <c r="J249" s="6">
        <v>0.0</v>
      </c>
      <c r="K249" s="10">
        <f t="shared" si="7"/>
        <v>1</v>
      </c>
      <c r="L249" s="8"/>
      <c r="M249" s="10" t="s">
        <v>1644</v>
      </c>
      <c r="N249" s="27" t="s">
        <v>126</v>
      </c>
      <c r="O249" s="6">
        <v>50.9544</v>
      </c>
      <c r="P249" s="6">
        <v>1.8628</v>
      </c>
      <c r="Q249" s="6" t="str">
        <f t="shared" si="1"/>
        <v>50.9544, 1.8628</v>
      </c>
      <c r="R249" s="6"/>
      <c r="S249" s="6"/>
      <c r="T249" s="6"/>
      <c r="U249" s="6" t="s">
        <v>92</v>
      </c>
      <c r="V249" s="18" t="s">
        <v>1646</v>
      </c>
    </row>
    <row r="250" ht="12.75" customHeight="1">
      <c r="A250" s="5"/>
      <c r="B250" s="6" t="s">
        <v>1650</v>
      </c>
      <c r="C250" s="6" t="s">
        <v>124</v>
      </c>
      <c r="D250" s="5"/>
      <c r="E250" s="35" t="s">
        <v>1651</v>
      </c>
      <c r="F250" s="6" t="s">
        <v>838</v>
      </c>
      <c r="G250" s="6" t="s">
        <v>1603</v>
      </c>
      <c r="H250" s="5">
        <v>2015.0</v>
      </c>
      <c r="I250" s="6">
        <v>1.0</v>
      </c>
      <c r="J250" s="6">
        <v>0.0</v>
      </c>
      <c r="K250" s="10">
        <f t="shared" si="7"/>
        <v>1</v>
      </c>
      <c r="L250" s="8"/>
      <c r="M250" s="10" t="s">
        <v>1652</v>
      </c>
      <c r="N250" s="42" t="s">
        <v>1653</v>
      </c>
      <c r="O250" s="6">
        <v>51.971453</v>
      </c>
      <c r="P250" s="6">
        <v>7.6240971</v>
      </c>
      <c r="Q250" s="6" t="str">
        <f t="shared" si="1"/>
        <v>51.971453, 7.6240971</v>
      </c>
      <c r="R250" s="6"/>
      <c r="S250" s="6"/>
      <c r="T250" s="6"/>
      <c r="U250" s="6" t="s">
        <v>1657</v>
      </c>
      <c r="V250" s="18" t="s">
        <v>1658</v>
      </c>
    </row>
    <row r="251" ht="12.75" customHeight="1">
      <c r="A251" s="5"/>
      <c r="B251" s="6" t="s">
        <v>68</v>
      </c>
      <c r="C251" s="6" t="s">
        <v>69</v>
      </c>
      <c r="D251" s="5"/>
      <c r="E251" s="35" t="s">
        <v>1651</v>
      </c>
      <c r="F251" s="6" t="s">
        <v>838</v>
      </c>
      <c r="G251" s="6" t="s">
        <v>1603</v>
      </c>
      <c r="H251" s="5">
        <v>2015.0</v>
      </c>
      <c r="I251" s="6">
        <v>0.0</v>
      </c>
      <c r="J251" s="6">
        <v>2.0</v>
      </c>
      <c r="K251" s="10">
        <f t="shared" si="7"/>
        <v>2</v>
      </c>
      <c r="L251" s="8"/>
      <c r="M251" s="10" t="s">
        <v>1661</v>
      </c>
      <c r="N251" s="27" t="s">
        <v>1404</v>
      </c>
      <c r="O251" s="6">
        <v>39.0</v>
      </c>
      <c r="P251" s="6">
        <v>26.21</v>
      </c>
      <c r="Q251" s="6" t="str">
        <f t="shared" si="1"/>
        <v>39, 26.21</v>
      </c>
      <c r="R251" s="6"/>
      <c r="S251" s="6"/>
      <c r="T251" s="6" t="s">
        <v>53</v>
      </c>
      <c r="U251" s="6" t="s">
        <v>1657</v>
      </c>
      <c r="V251" s="18" t="s">
        <v>1663</v>
      </c>
    </row>
    <row r="252" ht="12.75" customHeight="1">
      <c r="A252" s="5"/>
      <c r="B252" s="6" t="s">
        <v>68</v>
      </c>
      <c r="C252" s="6" t="s">
        <v>69</v>
      </c>
      <c r="D252" s="5"/>
      <c r="E252" s="35" t="s">
        <v>1666</v>
      </c>
      <c r="F252" s="6" t="s">
        <v>838</v>
      </c>
      <c r="G252" s="6" t="s">
        <v>1603</v>
      </c>
      <c r="H252" s="5">
        <v>2015.0</v>
      </c>
      <c r="I252" s="6">
        <v>1.0</v>
      </c>
      <c r="J252" s="6">
        <v>0.0</v>
      </c>
      <c r="K252" s="10">
        <f t="shared" si="7"/>
        <v>1</v>
      </c>
      <c r="L252" s="8"/>
      <c r="M252" s="10" t="s">
        <v>1667</v>
      </c>
      <c r="N252" s="27" t="s">
        <v>1668</v>
      </c>
      <c r="O252" s="6">
        <v>51.00283</v>
      </c>
      <c r="P252" s="6">
        <v>2.1078</v>
      </c>
      <c r="Q252" s="6" t="str">
        <f t="shared" si="1"/>
        <v>51.00283, 2.1078</v>
      </c>
      <c r="R252" s="6"/>
      <c r="S252" s="6"/>
      <c r="T252" s="6"/>
      <c r="U252" s="6" t="s">
        <v>1670</v>
      </c>
      <c r="V252" s="18" t="s">
        <v>1671</v>
      </c>
    </row>
    <row r="253" ht="12.75" customHeight="1">
      <c r="A253" s="5"/>
      <c r="B253" s="6" t="s">
        <v>68</v>
      </c>
      <c r="C253" s="6" t="s">
        <v>69</v>
      </c>
      <c r="D253" s="5"/>
      <c r="E253" s="35" t="s">
        <v>1674</v>
      </c>
      <c r="F253" s="6" t="s">
        <v>838</v>
      </c>
      <c r="G253" s="6" t="s">
        <v>1603</v>
      </c>
      <c r="H253" s="5">
        <v>2015.0</v>
      </c>
      <c r="I253" s="6">
        <v>1.0</v>
      </c>
      <c r="J253" s="6">
        <v>14.0</v>
      </c>
      <c r="K253" s="10">
        <f t="shared" si="7"/>
        <v>15</v>
      </c>
      <c r="L253" s="8"/>
      <c r="M253" s="10" t="s">
        <v>1676</v>
      </c>
      <c r="N253" s="27" t="s">
        <v>1404</v>
      </c>
      <c r="O253" s="6">
        <v>39.0</v>
      </c>
      <c r="P253" s="6">
        <v>26.2</v>
      </c>
      <c r="Q253" s="6" t="str">
        <f t="shared" si="1"/>
        <v>39, 26.2</v>
      </c>
      <c r="R253" s="6"/>
      <c r="S253" s="6"/>
      <c r="T253" s="6" t="s">
        <v>53</v>
      </c>
      <c r="U253" s="6" t="s">
        <v>1632</v>
      </c>
      <c r="V253" s="18" t="s">
        <v>1677</v>
      </c>
    </row>
    <row r="254" ht="12.75" customHeight="1">
      <c r="A254" s="5"/>
      <c r="B254" s="6" t="s">
        <v>49</v>
      </c>
      <c r="C254" s="6" t="s">
        <v>50</v>
      </c>
      <c r="D254" s="5"/>
      <c r="E254" s="35" t="s">
        <v>1682</v>
      </c>
      <c r="F254" s="6" t="s">
        <v>838</v>
      </c>
      <c r="G254" s="6" t="s">
        <v>1603</v>
      </c>
      <c r="H254" s="5">
        <v>2015.0</v>
      </c>
      <c r="I254" s="6">
        <v>1.0</v>
      </c>
      <c r="J254" s="6">
        <v>0.0</v>
      </c>
      <c r="K254" s="10">
        <f t="shared" si="7"/>
        <v>1</v>
      </c>
      <c r="L254" s="8"/>
      <c r="M254" s="10" t="s">
        <v>1683</v>
      </c>
      <c r="N254" s="42" t="s">
        <v>1684</v>
      </c>
      <c r="O254" s="6">
        <v>38.3204079</v>
      </c>
      <c r="P254" s="6">
        <v>26.2969054</v>
      </c>
      <c r="Q254" s="6" t="str">
        <f t="shared" si="1"/>
        <v>38.3204079, 26.2969054</v>
      </c>
      <c r="R254" s="6"/>
      <c r="S254" s="6"/>
      <c r="T254" s="6" t="s">
        <v>53</v>
      </c>
      <c r="U254" s="6" t="s">
        <v>1687</v>
      </c>
      <c r="V254" s="18" t="s">
        <v>1689</v>
      </c>
    </row>
    <row r="255" ht="12.75" customHeight="1">
      <c r="A255" s="5"/>
      <c r="B255" s="6" t="s">
        <v>68</v>
      </c>
      <c r="C255" s="6" t="s">
        <v>69</v>
      </c>
      <c r="D255" s="5"/>
      <c r="E255" s="35" t="s">
        <v>1674</v>
      </c>
      <c r="F255" s="6" t="s">
        <v>838</v>
      </c>
      <c r="G255" s="6" t="s">
        <v>1603</v>
      </c>
      <c r="H255" s="5">
        <v>2015.0</v>
      </c>
      <c r="I255" s="6">
        <v>13.0</v>
      </c>
      <c r="J255" s="6">
        <v>13.0</v>
      </c>
      <c r="K255" s="10">
        <f t="shared" si="7"/>
        <v>26</v>
      </c>
      <c r="L255" s="8"/>
      <c r="M255" s="10" t="s">
        <v>1693</v>
      </c>
      <c r="N255" s="42" t="s">
        <v>1694</v>
      </c>
      <c r="O255" s="6">
        <v>40.0</v>
      </c>
      <c r="P255" s="6">
        <v>26.4</v>
      </c>
      <c r="Q255" s="6" t="str">
        <f t="shared" si="1"/>
        <v>40, 26.4</v>
      </c>
      <c r="R255" s="6"/>
      <c r="S255" s="6"/>
      <c r="T255" s="6" t="s">
        <v>53</v>
      </c>
      <c r="U255" s="6" t="s">
        <v>254</v>
      </c>
      <c r="V255" s="18" t="s">
        <v>1696</v>
      </c>
    </row>
    <row r="256" ht="12.75" customHeight="1">
      <c r="A256" s="5"/>
      <c r="B256" s="6" t="s">
        <v>68</v>
      </c>
      <c r="C256" s="6" t="s">
        <v>69</v>
      </c>
      <c r="D256" s="5"/>
      <c r="E256" s="35" t="s">
        <v>1682</v>
      </c>
      <c r="F256" s="6" t="s">
        <v>838</v>
      </c>
      <c r="G256" s="6" t="s">
        <v>1603</v>
      </c>
      <c r="H256" s="5">
        <v>2015.0</v>
      </c>
      <c r="I256" s="6">
        <v>7.0</v>
      </c>
      <c r="J256" s="6">
        <v>0.0</v>
      </c>
      <c r="K256" s="10">
        <f t="shared" si="7"/>
        <v>7</v>
      </c>
      <c r="L256" s="8"/>
      <c r="M256" s="10" t="s">
        <v>1700</v>
      </c>
      <c r="N256" s="42" t="s">
        <v>1701</v>
      </c>
      <c r="O256" s="6" t="s">
        <v>1702</v>
      </c>
      <c r="P256" s="6" t="s">
        <v>1703</v>
      </c>
      <c r="Q256" s="6" t="str">
        <f t="shared" si="1"/>
        <v>35,1, 17,1</v>
      </c>
      <c r="R256" s="6"/>
      <c r="S256" s="6"/>
      <c r="T256" s="6" t="s">
        <v>72</v>
      </c>
      <c r="U256" s="6" t="s">
        <v>1447</v>
      </c>
      <c r="V256" s="18" t="s">
        <v>1705</v>
      </c>
    </row>
    <row r="257" ht="12.75" customHeight="1">
      <c r="A257" s="5"/>
      <c r="B257" s="6" t="s">
        <v>1105</v>
      </c>
      <c r="C257" s="6" t="s">
        <v>124</v>
      </c>
      <c r="D257" s="5"/>
      <c r="E257" s="35" t="s">
        <v>1709</v>
      </c>
      <c r="F257" s="6" t="s">
        <v>838</v>
      </c>
      <c r="G257" s="6" t="s">
        <v>1603</v>
      </c>
      <c r="H257" s="5">
        <v>2015.0</v>
      </c>
      <c r="I257" s="6">
        <v>1.0</v>
      </c>
      <c r="J257" s="6">
        <v>0.0</v>
      </c>
      <c r="K257" s="10">
        <f t="shared" si="7"/>
        <v>1</v>
      </c>
      <c r="L257" s="8"/>
      <c r="M257" s="10" t="s">
        <v>1710</v>
      </c>
      <c r="N257" s="42" t="s">
        <v>1711</v>
      </c>
      <c r="O257" s="6">
        <v>50.92</v>
      </c>
      <c r="P257" s="6">
        <v>1.82</v>
      </c>
      <c r="Q257" s="6" t="str">
        <f t="shared" si="1"/>
        <v>50.92, 1.82</v>
      </c>
      <c r="R257" s="6"/>
      <c r="S257" s="6"/>
      <c r="T257" s="6"/>
      <c r="U257" s="6" t="s">
        <v>1184</v>
      </c>
      <c r="V257" s="18" t="s">
        <v>1712</v>
      </c>
    </row>
    <row r="258" ht="12.75" customHeight="1">
      <c r="A258" s="5"/>
      <c r="B258" s="6" t="s">
        <v>49</v>
      </c>
      <c r="C258" s="6" t="s">
        <v>50</v>
      </c>
      <c r="D258" s="5"/>
      <c r="E258" s="35" t="s">
        <v>1715</v>
      </c>
      <c r="F258" s="6" t="s">
        <v>838</v>
      </c>
      <c r="G258" s="6" t="s">
        <v>1603</v>
      </c>
      <c r="H258" s="5">
        <v>2015.0</v>
      </c>
      <c r="I258" s="6">
        <v>22.0</v>
      </c>
      <c r="J258" s="6">
        <v>0.0</v>
      </c>
      <c r="K258" s="10">
        <f t="shared" si="7"/>
        <v>22</v>
      </c>
      <c r="L258" s="8"/>
      <c r="M258" s="10" t="s">
        <v>1717</v>
      </c>
      <c r="N258" s="42" t="s">
        <v>1718</v>
      </c>
      <c r="O258" s="6">
        <v>31.0</v>
      </c>
      <c r="P258" s="6">
        <v>27.1</v>
      </c>
      <c r="Q258" s="6" t="str">
        <f t="shared" si="1"/>
        <v>31, 27.1</v>
      </c>
      <c r="R258" s="6"/>
      <c r="S258" s="6"/>
      <c r="T258" s="6" t="s">
        <v>53</v>
      </c>
      <c r="U258" s="6" t="s">
        <v>254</v>
      </c>
      <c r="V258" s="18" t="s">
        <v>1719</v>
      </c>
    </row>
    <row r="259" ht="12.75" customHeight="1">
      <c r="A259" s="5"/>
      <c r="B259" s="6" t="s">
        <v>49</v>
      </c>
      <c r="C259" s="6" t="s">
        <v>50</v>
      </c>
      <c r="D259" s="5"/>
      <c r="E259" s="35" t="s">
        <v>1723</v>
      </c>
      <c r="F259" s="6" t="s">
        <v>838</v>
      </c>
      <c r="G259" s="6" t="s">
        <v>1603</v>
      </c>
      <c r="H259" s="5">
        <v>2015.0</v>
      </c>
      <c r="I259" s="6">
        <v>2.0</v>
      </c>
      <c r="J259" s="6">
        <v>0.0</v>
      </c>
      <c r="K259" s="10">
        <f t="shared" si="7"/>
        <v>2</v>
      </c>
      <c r="L259" s="8"/>
      <c r="M259" s="10" t="s">
        <v>1725</v>
      </c>
      <c r="N259" s="42" t="s">
        <v>1726</v>
      </c>
      <c r="O259" s="6">
        <v>38.41</v>
      </c>
      <c r="P259" s="6">
        <v>27.08</v>
      </c>
      <c r="Q259" s="6" t="str">
        <f t="shared" si="1"/>
        <v>38.41, 27.08</v>
      </c>
      <c r="R259" s="6"/>
      <c r="S259" s="6"/>
      <c r="T259" s="6" t="s">
        <v>53</v>
      </c>
      <c r="U259" s="6" t="s">
        <v>1727</v>
      </c>
      <c r="V259" s="18" t="s">
        <v>1728</v>
      </c>
    </row>
    <row r="260" ht="12.75" customHeight="1">
      <c r="A260" s="5"/>
      <c r="B260" s="6" t="s">
        <v>68</v>
      </c>
      <c r="C260" s="6" t="s">
        <v>69</v>
      </c>
      <c r="D260" s="5"/>
      <c r="E260" s="35" t="s">
        <v>1732</v>
      </c>
      <c r="F260" s="6" t="s">
        <v>838</v>
      </c>
      <c r="G260" s="6" t="s">
        <v>1603</v>
      </c>
      <c r="H260" s="5">
        <v>2015.0</v>
      </c>
      <c r="I260" s="6">
        <v>0.0</v>
      </c>
      <c r="J260" s="6">
        <v>4.0</v>
      </c>
      <c r="K260" s="10">
        <f t="shared" si="7"/>
        <v>4</v>
      </c>
      <c r="L260" s="8"/>
      <c r="M260" s="10" t="s">
        <v>1733</v>
      </c>
      <c r="N260" s="42" t="s">
        <v>1734</v>
      </c>
      <c r="O260" s="6">
        <v>37.71</v>
      </c>
      <c r="P260" s="6">
        <v>26.8</v>
      </c>
      <c r="Q260" s="6" t="str">
        <f t="shared" si="1"/>
        <v>37.71, 26.8</v>
      </c>
      <c r="R260" s="6"/>
      <c r="S260" s="6"/>
      <c r="T260" s="6" t="s">
        <v>53</v>
      </c>
      <c r="U260" s="6" t="s">
        <v>1477</v>
      </c>
      <c r="V260" s="18" t="s">
        <v>1736</v>
      </c>
    </row>
    <row r="261" ht="12.75" customHeight="1">
      <c r="A261" s="5"/>
      <c r="B261" s="6" t="s">
        <v>68</v>
      </c>
      <c r="C261" s="6" t="s">
        <v>69</v>
      </c>
      <c r="D261" s="5"/>
      <c r="E261" s="35" t="s">
        <v>1732</v>
      </c>
      <c r="F261" s="6" t="s">
        <v>838</v>
      </c>
      <c r="G261" s="6" t="s">
        <v>1603</v>
      </c>
      <c r="H261" s="5">
        <v>2015.0</v>
      </c>
      <c r="I261" s="6">
        <v>34.0</v>
      </c>
      <c r="J261" s="6">
        <v>0.0</v>
      </c>
      <c r="K261" s="10">
        <f t="shared" si="7"/>
        <v>34</v>
      </c>
      <c r="L261" s="8"/>
      <c r="M261" s="10" t="s">
        <v>1740</v>
      </c>
      <c r="N261" s="42" t="s">
        <v>891</v>
      </c>
      <c r="O261" s="6">
        <v>37.29721</v>
      </c>
      <c r="P261" s="6">
        <v>27.135624</v>
      </c>
      <c r="Q261" s="6" t="str">
        <f t="shared" si="1"/>
        <v>37.29721, 27.135624</v>
      </c>
      <c r="R261" s="6"/>
      <c r="S261" s="6"/>
      <c r="T261" s="6" t="s">
        <v>53</v>
      </c>
      <c r="U261" s="6" t="s">
        <v>1477</v>
      </c>
      <c r="V261" s="18" t="s">
        <v>1736</v>
      </c>
    </row>
    <row r="262" ht="12.75" customHeight="1">
      <c r="A262" s="5"/>
      <c r="B262" s="6" t="s">
        <v>1744</v>
      </c>
      <c r="C262" s="6" t="s">
        <v>124</v>
      </c>
      <c r="D262" s="5"/>
      <c r="E262" s="35" t="s">
        <v>1745</v>
      </c>
      <c r="F262" s="6" t="s">
        <v>838</v>
      </c>
      <c r="G262" s="6" t="s">
        <v>1603</v>
      </c>
      <c r="H262" s="5">
        <v>2015.0</v>
      </c>
      <c r="I262" s="6">
        <v>1.0</v>
      </c>
      <c r="J262" s="6">
        <v>0.0</v>
      </c>
      <c r="K262" s="10">
        <f t="shared" si="7"/>
        <v>1</v>
      </c>
      <c r="L262" s="8"/>
      <c r="M262" s="10" t="s">
        <v>1747</v>
      </c>
      <c r="N262" s="42" t="s">
        <v>1748</v>
      </c>
      <c r="O262" s="6">
        <v>46.232789</v>
      </c>
      <c r="P262" s="6">
        <v>20.1404686</v>
      </c>
      <c r="Q262" s="6" t="str">
        <f t="shared" si="1"/>
        <v>46.232789, 20.1404686</v>
      </c>
      <c r="R262" s="6"/>
      <c r="S262" s="6"/>
      <c r="T262" s="6" t="s">
        <v>65</v>
      </c>
      <c r="U262" s="6" t="s">
        <v>1749</v>
      </c>
      <c r="V262" s="18" t="s">
        <v>1750</v>
      </c>
    </row>
    <row r="263" ht="12.75" customHeight="1">
      <c r="A263" s="5"/>
      <c r="B263" s="6" t="s">
        <v>68</v>
      </c>
      <c r="C263" s="6" t="s">
        <v>69</v>
      </c>
      <c r="D263" s="5"/>
      <c r="E263" s="35" t="s">
        <v>1754</v>
      </c>
      <c r="F263" s="6" t="s">
        <v>838</v>
      </c>
      <c r="G263" s="6" t="s">
        <v>1603</v>
      </c>
      <c r="H263" s="5">
        <v>2015.0</v>
      </c>
      <c r="I263" s="6">
        <v>1.0</v>
      </c>
      <c r="J263" s="6">
        <v>0.0</v>
      </c>
      <c r="K263" s="10">
        <f t="shared" si="7"/>
        <v>1</v>
      </c>
      <c r="L263" s="8"/>
      <c r="M263" s="10" t="s">
        <v>1755</v>
      </c>
      <c r="N263" s="42" t="s">
        <v>163</v>
      </c>
      <c r="O263" s="6">
        <v>35.9</v>
      </c>
      <c r="P263" s="6">
        <v>-5.2</v>
      </c>
      <c r="Q263" s="6" t="str">
        <f t="shared" si="1"/>
        <v>35.9, -5.2</v>
      </c>
      <c r="R263" s="6"/>
      <c r="S263" s="6"/>
      <c r="T263" s="6" t="s">
        <v>72</v>
      </c>
      <c r="U263" s="6" t="s">
        <v>1756</v>
      </c>
      <c r="V263" s="18" t="s">
        <v>1757</v>
      </c>
    </row>
    <row r="264" ht="12.75" customHeight="1">
      <c r="A264" s="5"/>
      <c r="B264" s="6" t="s">
        <v>1761</v>
      </c>
      <c r="C264" s="6" t="s">
        <v>124</v>
      </c>
      <c r="D264" s="5"/>
      <c r="E264" s="35" t="s">
        <v>1762</v>
      </c>
      <c r="F264" s="6" t="s">
        <v>838</v>
      </c>
      <c r="G264" s="6" t="s">
        <v>1603</v>
      </c>
      <c r="H264" s="5">
        <v>2015.0</v>
      </c>
      <c r="I264" s="6">
        <v>1.0</v>
      </c>
      <c r="J264" s="6">
        <v>0.0</v>
      </c>
      <c r="K264" s="6">
        <f t="shared" si="7"/>
        <v>1</v>
      </c>
      <c r="L264" s="8"/>
      <c r="M264" s="6" t="s">
        <v>1763</v>
      </c>
      <c r="N264" s="43" t="s">
        <v>1764</v>
      </c>
      <c r="O264" s="6">
        <v>41.5</v>
      </c>
      <c r="P264" s="6">
        <v>26.53</v>
      </c>
      <c r="Q264" s="6" t="str">
        <f t="shared" si="1"/>
        <v>41.5, 26.53</v>
      </c>
      <c r="R264" s="6"/>
      <c r="S264" s="6"/>
      <c r="T264" s="6" t="s">
        <v>53</v>
      </c>
      <c r="U264" s="6" t="s">
        <v>1768</v>
      </c>
      <c r="V264" s="18" t="s">
        <v>1769</v>
      </c>
    </row>
    <row r="265" ht="12.75" customHeight="1">
      <c r="A265" s="5"/>
      <c r="B265" s="6" t="s">
        <v>1773</v>
      </c>
      <c r="C265" s="6" t="s">
        <v>124</v>
      </c>
      <c r="D265" s="5"/>
      <c r="E265" s="35" t="s">
        <v>1762</v>
      </c>
      <c r="F265" s="6" t="s">
        <v>838</v>
      </c>
      <c r="G265" s="6" t="s">
        <v>1603</v>
      </c>
      <c r="H265" s="5">
        <v>2015.0</v>
      </c>
      <c r="I265" s="6">
        <v>1.0</v>
      </c>
      <c r="J265" s="6">
        <v>0.0</v>
      </c>
      <c r="K265" s="6">
        <f t="shared" si="7"/>
        <v>1</v>
      </c>
      <c r="L265" s="8"/>
      <c r="M265" s="6" t="s">
        <v>1775</v>
      </c>
      <c r="N265" s="9" t="s">
        <v>1776</v>
      </c>
      <c r="O265" s="6">
        <v>47.5054954</v>
      </c>
      <c r="P265" s="6">
        <v>18.5903625</v>
      </c>
      <c r="Q265" s="6" t="str">
        <f t="shared" si="1"/>
        <v>47.5054954, 18.5903625</v>
      </c>
      <c r="R265" s="6"/>
      <c r="S265" s="6"/>
      <c r="T265" s="6" t="s">
        <v>65</v>
      </c>
      <c r="U265" s="6" t="s">
        <v>1778</v>
      </c>
      <c r="V265" s="18" t="s">
        <v>1779</v>
      </c>
    </row>
    <row r="266" ht="12.75" customHeight="1">
      <c r="A266" s="5"/>
      <c r="B266" s="6" t="s">
        <v>68</v>
      </c>
      <c r="C266" s="6" t="s">
        <v>69</v>
      </c>
      <c r="D266" s="5"/>
      <c r="E266" s="35" t="s">
        <v>1783</v>
      </c>
      <c r="F266" s="6" t="s">
        <v>838</v>
      </c>
      <c r="G266" s="6" t="s">
        <v>1603</v>
      </c>
      <c r="H266" s="5">
        <v>2015.0</v>
      </c>
      <c r="I266" s="6">
        <v>0.0</v>
      </c>
      <c r="J266" s="6">
        <v>30.0</v>
      </c>
      <c r="K266" s="6">
        <f t="shared" si="7"/>
        <v>30</v>
      </c>
      <c r="L266" s="8"/>
      <c r="M266" s="6" t="s">
        <v>1784</v>
      </c>
      <c r="N266" s="9" t="s">
        <v>1785</v>
      </c>
      <c r="O266" s="6">
        <v>32.6</v>
      </c>
      <c r="P266" s="6">
        <v>15.4</v>
      </c>
      <c r="Q266" s="6" t="str">
        <f t="shared" si="1"/>
        <v>32.6, 15.4</v>
      </c>
      <c r="R266" s="6"/>
      <c r="S266" s="6"/>
      <c r="T266" s="6" t="s">
        <v>58</v>
      </c>
      <c r="U266" s="6" t="s">
        <v>73</v>
      </c>
      <c r="V266" s="18" t="s">
        <v>1787</v>
      </c>
    </row>
    <row r="267" ht="12.75" customHeight="1">
      <c r="A267" s="5"/>
      <c r="B267" s="6" t="s">
        <v>68</v>
      </c>
      <c r="C267" s="6" t="s">
        <v>69</v>
      </c>
      <c r="D267" s="5"/>
      <c r="E267" s="35" t="s">
        <v>1791</v>
      </c>
      <c r="F267" s="6" t="s">
        <v>838</v>
      </c>
      <c r="G267" s="6" t="s">
        <v>1603</v>
      </c>
      <c r="H267" s="5">
        <v>2015.0</v>
      </c>
      <c r="I267" s="6">
        <v>1.0</v>
      </c>
      <c r="J267" s="6">
        <v>0.0</v>
      </c>
      <c r="K267" s="6">
        <f t="shared" si="7"/>
        <v>1</v>
      </c>
      <c r="L267" s="8"/>
      <c r="M267" s="6" t="s">
        <v>1793</v>
      </c>
      <c r="N267" s="9" t="s">
        <v>720</v>
      </c>
      <c r="O267" s="6">
        <v>37.4653524</v>
      </c>
      <c r="P267" s="6">
        <v>26.9676859</v>
      </c>
      <c r="Q267" s="6" t="str">
        <f t="shared" si="1"/>
        <v>37.4653524, 26.9676859</v>
      </c>
      <c r="R267" s="6"/>
      <c r="S267" s="6"/>
      <c r="T267" s="6" t="s">
        <v>53</v>
      </c>
      <c r="U267" s="6" t="s">
        <v>254</v>
      </c>
      <c r="V267" s="18" t="s">
        <v>1794</v>
      </c>
    </row>
    <row r="268" ht="12.75" customHeight="1">
      <c r="A268" s="5"/>
      <c r="B268" s="6" t="s">
        <v>68</v>
      </c>
      <c r="C268" s="6" t="s">
        <v>69</v>
      </c>
      <c r="D268" s="5"/>
      <c r="E268" s="35" t="s">
        <v>1800</v>
      </c>
      <c r="F268" s="6" t="s">
        <v>838</v>
      </c>
      <c r="G268" s="6" t="s">
        <v>1603</v>
      </c>
      <c r="H268" s="5">
        <v>2015.0</v>
      </c>
      <c r="I268" s="6">
        <v>4.0</v>
      </c>
      <c r="J268" s="6">
        <v>0.0</v>
      </c>
      <c r="K268" s="6">
        <f t="shared" si="7"/>
        <v>4</v>
      </c>
      <c r="L268" s="8"/>
      <c r="M268" s="6" t="s">
        <v>1801</v>
      </c>
      <c r="N268" s="9" t="s">
        <v>1802</v>
      </c>
      <c r="O268" s="6">
        <v>40.08</v>
      </c>
      <c r="P268" s="6">
        <v>8.98</v>
      </c>
      <c r="Q268" s="6" t="str">
        <f t="shared" si="1"/>
        <v>40.08, 8.98</v>
      </c>
      <c r="R268" s="6"/>
      <c r="S268" s="6"/>
      <c r="T268" s="6" t="s">
        <v>58</v>
      </c>
      <c r="U268" s="6" t="s">
        <v>1804</v>
      </c>
      <c r="V268" s="18" t="s">
        <v>1805</v>
      </c>
    </row>
    <row r="269" ht="12.75" customHeight="1">
      <c r="A269" s="5"/>
      <c r="B269" s="6" t="s">
        <v>49</v>
      </c>
      <c r="C269" s="6" t="s">
        <v>50</v>
      </c>
      <c r="D269" s="5"/>
      <c r="E269" s="35" t="s">
        <v>1800</v>
      </c>
      <c r="F269" s="6" t="s">
        <v>838</v>
      </c>
      <c r="G269" s="6" t="s">
        <v>1603</v>
      </c>
      <c r="H269" s="5">
        <v>2015.0</v>
      </c>
      <c r="I269" s="6">
        <v>12.0</v>
      </c>
      <c r="J269" s="6">
        <v>0.0</v>
      </c>
      <c r="K269" s="6">
        <f t="shared" si="7"/>
        <v>12</v>
      </c>
      <c r="L269" s="8"/>
      <c r="M269" s="44" t="s">
        <v>1809</v>
      </c>
      <c r="N269" s="27" t="s">
        <v>1718</v>
      </c>
      <c r="O269" s="6">
        <v>31.0</v>
      </c>
      <c r="P269" s="6">
        <v>27.0</v>
      </c>
      <c r="Q269" s="6" t="str">
        <f t="shared" si="1"/>
        <v>31, 27</v>
      </c>
      <c r="R269" s="6"/>
      <c r="S269" s="6"/>
      <c r="T269" s="6" t="s">
        <v>53</v>
      </c>
      <c r="U269" s="6" t="s">
        <v>92</v>
      </c>
      <c r="V269" s="18" t="s">
        <v>1814</v>
      </c>
    </row>
    <row r="270" ht="12.75" customHeight="1">
      <c r="A270" s="5"/>
      <c r="B270" s="6" t="s">
        <v>68</v>
      </c>
      <c r="C270" s="6" t="s">
        <v>69</v>
      </c>
      <c r="D270" s="5"/>
      <c r="E270" s="35" t="s">
        <v>1818</v>
      </c>
      <c r="F270" s="6" t="s">
        <v>1819</v>
      </c>
      <c r="G270" s="6" t="s">
        <v>1820</v>
      </c>
      <c r="H270" s="5">
        <v>2015.0</v>
      </c>
      <c r="I270" s="6">
        <v>37.0</v>
      </c>
      <c r="J270" s="6">
        <v>0.0</v>
      </c>
      <c r="K270" s="6">
        <f t="shared" si="7"/>
        <v>37</v>
      </c>
      <c r="L270" s="8"/>
      <c r="M270" s="6" t="s">
        <v>1822</v>
      </c>
      <c r="N270" s="27" t="s">
        <v>1823</v>
      </c>
      <c r="O270" s="6">
        <v>33.29</v>
      </c>
      <c r="P270" s="6">
        <v>14.93</v>
      </c>
      <c r="Q270" s="6" t="str">
        <f t="shared" si="1"/>
        <v>33.29, 14.93</v>
      </c>
      <c r="R270" s="6"/>
      <c r="S270" s="6"/>
      <c r="T270" s="6" t="s">
        <v>58</v>
      </c>
      <c r="U270" s="6" t="s">
        <v>1447</v>
      </c>
      <c r="V270" s="18" t="s">
        <v>1825</v>
      </c>
    </row>
    <row r="271" ht="12.75" customHeight="1">
      <c r="A271" s="5"/>
      <c r="B271" s="6" t="s">
        <v>215</v>
      </c>
      <c r="C271" s="6" t="s">
        <v>124</v>
      </c>
      <c r="D271" s="5"/>
      <c r="E271" s="35" t="s">
        <v>1829</v>
      </c>
      <c r="F271" s="6" t="s">
        <v>1819</v>
      </c>
      <c r="G271" s="6" t="s">
        <v>1820</v>
      </c>
      <c r="H271" s="5">
        <v>2015.0</v>
      </c>
      <c r="I271" s="6">
        <v>1.0</v>
      </c>
      <c r="J271" s="6">
        <v>0.0</v>
      </c>
      <c r="K271" s="6">
        <f t="shared" si="7"/>
        <v>1</v>
      </c>
      <c r="L271" s="8"/>
      <c r="M271" s="6" t="s">
        <v>1830</v>
      </c>
      <c r="N271" s="27" t="s">
        <v>1831</v>
      </c>
      <c r="O271" s="6">
        <v>36.59</v>
      </c>
      <c r="P271" s="6">
        <v>27.89</v>
      </c>
      <c r="Q271" s="6" t="str">
        <f t="shared" si="1"/>
        <v>36.59, 27.89</v>
      </c>
      <c r="R271" s="6"/>
      <c r="S271" s="6"/>
      <c r="T271" s="6" t="s">
        <v>53</v>
      </c>
      <c r="U271" s="6" t="s">
        <v>1833</v>
      </c>
      <c r="V271" s="18" t="s">
        <v>1834</v>
      </c>
    </row>
    <row r="272" ht="12.75" customHeight="1">
      <c r="A272" s="5"/>
      <c r="B272" s="6" t="s">
        <v>68</v>
      </c>
      <c r="C272" s="6" t="s">
        <v>69</v>
      </c>
      <c r="D272" s="5"/>
      <c r="E272" s="35" t="s">
        <v>1838</v>
      </c>
      <c r="F272" s="6" t="s">
        <v>1819</v>
      </c>
      <c r="G272" s="6" t="s">
        <v>1820</v>
      </c>
      <c r="H272" s="5">
        <v>2015.0</v>
      </c>
      <c r="I272" s="6">
        <v>200.0</v>
      </c>
      <c r="J272" s="6">
        <v>0.0</v>
      </c>
      <c r="K272" s="6">
        <f t="shared" si="7"/>
        <v>200</v>
      </c>
      <c r="L272" s="8"/>
      <c r="M272" s="6" t="s">
        <v>1840</v>
      </c>
      <c r="N272" s="27" t="s">
        <v>1841</v>
      </c>
      <c r="O272" s="6">
        <v>33.0</v>
      </c>
      <c r="P272" s="6">
        <v>12.2</v>
      </c>
      <c r="Q272" s="6" t="str">
        <f t="shared" si="1"/>
        <v>33, 12.2</v>
      </c>
      <c r="R272" s="6"/>
      <c r="S272" s="6"/>
      <c r="T272" s="6" t="s">
        <v>58</v>
      </c>
      <c r="U272" s="6" t="s">
        <v>1842</v>
      </c>
      <c r="V272" s="18" t="s">
        <v>1843</v>
      </c>
    </row>
    <row r="273" ht="12.75" customHeight="1">
      <c r="A273" s="5"/>
      <c r="B273" s="6" t="s">
        <v>1076</v>
      </c>
      <c r="C273" s="6" t="s">
        <v>50</v>
      </c>
      <c r="D273" s="5"/>
      <c r="E273" s="35" t="s">
        <v>1838</v>
      </c>
      <c r="F273" s="6" t="s">
        <v>1819</v>
      </c>
      <c r="G273" s="6" t="s">
        <v>1820</v>
      </c>
      <c r="H273" s="5">
        <v>2015.0</v>
      </c>
      <c r="I273" s="6">
        <v>71.0</v>
      </c>
      <c r="J273" s="6">
        <v>0.0</v>
      </c>
      <c r="K273" s="6">
        <f t="shared" si="7"/>
        <v>71</v>
      </c>
      <c r="L273" s="8"/>
      <c r="M273" s="6" t="s">
        <v>1850</v>
      </c>
      <c r="N273" s="27" t="s">
        <v>1851</v>
      </c>
      <c r="O273" s="10">
        <v>48.0</v>
      </c>
      <c r="P273" s="10">
        <v>16.8</v>
      </c>
      <c r="Q273" s="10" t="str">
        <f t="shared" si="1"/>
        <v>48, 16.8</v>
      </c>
      <c r="R273" s="10"/>
      <c r="S273" s="5"/>
      <c r="T273" s="6" t="s">
        <v>65</v>
      </c>
      <c r="U273" s="6" t="s">
        <v>1853</v>
      </c>
      <c r="V273" s="18" t="s">
        <v>1854</v>
      </c>
    </row>
    <row r="274" ht="12.75" customHeight="1">
      <c r="A274" s="5"/>
      <c r="B274" s="6" t="s">
        <v>1857</v>
      </c>
      <c r="C274" s="6" t="s">
        <v>50</v>
      </c>
      <c r="D274" s="5"/>
      <c r="E274" s="35" t="s">
        <v>1858</v>
      </c>
      <c r="F274" s="6" t="s">
        <v>1819</v>
      </c>
      <c r="G274" s="6" t="s">
        <v>1820</v>
      </c>
      <c r="H274" s="5">
        <v>2015.0</v>
      </c>
      <c r="I274" s="6">
        <v>1.0</v>
      </c>
      <c r="J274" s="6">
        <v>0.0</v>
      </c>
      <c r="K274" s="6">
        <f t="shared" si="7"/>
        <v>1</v>
      </c>
      <c r="L274" s="8"/>
      <c r="M274" s="6" t="s">
        <v>1860</v>
      </c>
      <c r="N274" s="27" t="s">
        <v>1861</v>
      </c>
      <c r="O274" s="10">
        <v>35.0</v>
      </c>
      <c r="P274" s="10">
        <v>14.0</v>
      </c>
      <c r="Q274" s="10" t="str">
        <f t="shared" si="1"/>
        <v>35, 14</v>
      </c>
      <c r="R274" s="10"/>
      <c r="S274" s="5"/>
      <c r="T274" s="6" t="s">
        <v>58</v>
      </c>
      <c r="U274" s="6" t="s">
        <v>1863</v>
      </c>
      <c r="V274" s="18" t="s">
        <v>1864</v>
      </c>
    </row>
    <row r="275" ht="12.75" customHeight="1">
      <c r="A275" s="5"/>
      <c r="B275" s="6" t="s">
        <v>68</v>
      </c>
      <c r="C275" s="6" t="s">
        <v>69</v>
      </c>
      <c r="D275" s="5"/>
      <c r="E275" s="35" t="s">
        <v>1870</v>
      </c>
      <c r="F275" s="6" t="s">
        <v>1819</v>
      </c>
      <c r="G275" s="6" t="s">
        <v>1820</v>
      </c>
      <c r="H275" s="5">
        <v>2015.0</v>
      </c>
      <c r="I275" s="6">
        <v>52.0</v>
      </c>
      <c r="J275" s="6">
        <v>0.0</v>
      </c>
      <c r="K275" s="6">
        <f t="shared" si="7"/>
        <v>52</v>
      </c>
      <c r="L275" s="8"/>
      <c r="M275" s="6" t="s">
        <v>1871</v>
      </c>
      <c r="N275" s="27" t="s">
        <v>1701</v>
      </c>
      <c r="O275" s="10">
        <v>35.0</v>
      </c>
      <c r="P275" s="10">
        <v>17.0</v>
      </c>
      <c r="Q275" s="10" t="str">
        <f t="shared" si="1"/>
        <v>35, 17</v>
      </c>
      <c r="R275" s="10"/>
      <c r="S275" s="5"/>
      <c r="T275" s="6" t="s">
        <v>58</v>
      </c>
      <c r="U275" s="6" t="s">
        <v>254</v>
      </c>
      <c r="V275" s="18" t="s">
        <v>1843</v>
      </c>
    </row>
    <row r="276" ht="12.75" customHeight="1">
      <c r="A276" s="5"/>
      <c r="B276" s="6" t="s">
        <v>49</v>
      </c>
      <c r="C276" s="6" t="s">
        <v>50</v>
      </c>
      <c r="D276" s="5"/>
      <c r="E276" s="35" t="s">
        <v>1877</v>
      </c>
      <c r="F276" s="6" t="s">
        <v>1819</v>
      </c>
      <c r="G276" s="6" t="s">
        <v>1820</v>
      </c>
      <c r="H276" s="5">
        <v>2015.0</v>
      </c>
      <c r="I276" s="6">
        <v>3.0</v>
      </c>
      <c r="J276" s="6">
        <v>0.0</v>
      </c>
      <c r="K276" s="6">
        <f t="shared" si="7"/>
        <v>3</v>
      </c>
      <c r="L276" s="8"/>
      <c r="M276" s="6" t="s">
        <v>1879</v>
      </c>
      <c r="N276" s="27" t="s">
        <v>1694</v>
      </c>
      <c r="O276" s="10">
        <v>40.1</v>
      </c>
      <c r="P276" s="10">
        <v>26.4</v>
      </c>
      <c r="Q276" s="10" t="str">
        <f t="shared" si="1"/>
        <v>40.1, 26.4</v>
      </c>
      <c r="R276" s="10"/>
      <c r="S276" s="5"/>
      <c r="T276" s="6" t="s">
        <v>53</v>
      </c>
      <c r="U276" s="6" t="s">
        <v>1687</v>
      </c>
      <c r="V276" s="18" t="s">
        <v>1880</v>
      </c>
    </row>
    <row r="277" ht="12.75" customHeight="1">
      <c r="A277" s="5"/>
      <c r="B277" s="6" t="s">
        <v>68</v>
      </c>
      <c r="C277" s="6" t="s">
        <v>69</v>
      </c>
      <c r="D277" s="5"/>
      <c r="E277" s="35" t="s">
        <v>1877</v>
      </c>
      <c r="F277" s="6" t="s">
        <v>1819</v>
      </c>
      <c r="G277" s="6" t="s">
        <v>1820</v>
      </c>
      <c r="H277" s="5">
        <v>2015.0</v>
      </c>
      <c r="I277" s="6">
        <v>2.0</v>
      </c>
      <c r="J277" s="6">
        <v>5.0</v>
      </c>
      <c r="K277" s="6">
        <f t="shared" si="7"/>
        <v>7</v>
      </c>
      <c r="L277" s="8"/>
      <c r="M277" s="6" t="s">
        <v>1884</v>
      </c>
      <c r="N277" s="27" t="s">
        <v>1404</v>
      </c>
      <c r="O277" s="10">
        <v>39.1</v>
      </c>
      <c r="P277" s="10">
        <v>26.2</v>
      </c>
      <c r="Q277" s="10" t="str">
        <f t="shared" si="1"/>
        <v>39.1, 26.2</v>
      </c>
      <c r="R277" s="10"/>
      <c r="S277" s="5"/>
      <c r="T277" s="6" t="s">
        <v>53</v>
      </c>
      <c r="U277" s="6" t="s">
        <v>1657</v>
      </c>
      <c r="V277" s="18" t="s">
        <v>1886</v>
      </c>
    </row>
    <row r="278" ht="12.75" customHeight="1">
      <c r="A278" s="5"/>
      <c r="B278" s="6" t="s">
        <v>68</v>
      </c>
      <c r="C278" s="6" t="s">
        <v>69</v>
      </c>
      <c r="D278" s="5"/>
      <c r="E278" s="35" t="s">
        <v>1891</v>
      </c>
      <c r="F278" s="6" t="s">
        <v>1819</v>
      </c>
      <c r="G278" s="6" t="s">
        <v>1820</v>
      </c>
      <c r="H278" s="5">
        <v>2015.0</v>
      </c>
      <c r="I278" s="6">
        <v>1.0</v>
      </c>
      <c r="J278" s="6">
        <v>0.0</v>
      </c>
      <c r="K278" s="6">
        <f t="shared" si="7"/>
        <v>1</v>
      </c>
      <c r="L278" s="8"/>
      <c r="M278" s="6" t="s">
        <v>1893</v>
      </c>
      <c r="N278" s="27" t="s">
        <v>1274</v>
      </c>
      <c r="O278" s="10">
        <v>31.1</v>
      </c>
      <c r="P278" s="10">
        <v>27.1</v>
      </c>
      <c r="Q278" s="10" t="str">
        <f t="shared" si="1"/>
        <v>31.1, 27.1</v>
      </c>
      <c r="R278" s="10"/>
      <c r="S278" s="5"/>
      <c r="T278" s="6" t="s">
        <v>53</v>
      </c>
      <c r="U278" s="6" t="s">
        <v>1894</v>
      </c>
      <c r="V278" s="18" t="s">
        <v>1896</v>
      </c>
    </row>
    <row r="279" ht="12.75" customHeight="1">
      <c r="A279" s="5"/>
      <c r="B279" s="6" t="s">
        <v>68</v>
      </c>
      <c r="C279" s="6" t="s">
        <v>69</v>
      </c>
      <c r="D279" s="5"/>
      <c r="E279" s="35" t="s">
        <v>1900</v>
      </c>
      <c r="F279" s="6" t="s">
        <v>1819</v>
      </c>
      <c r="G279" s="6" t="s">
        <v>1820</v>
      </c>
      <c r="H279" s="5">
        <v>2015.0</v>
      </c>
      <c r="I279" s="6">
        <v>1.0</v>
      </c>
      <c r="J279" s="6">
        <v>0.0</v>
      </c>
      <c r="K279" s="6">
        <f t="shared" si="7"/>
        <v>1</v>
      </c>
      <c r="L279" s="8"/>
      <c r="M279" s="6" t="s">
        <v>1902</v>
      </c>
      <c r="N279" s="27" t="s">
        <v>1734</v>
      </c>
      <c r="O279" s="10">
        <v>37.7</v>
      </c>
      <c r="P279" s="10">
        <v>26.8</v>
      </c>
      <c r="Q279" s="10" t="str">
        <f t="shared" si="1"/>
        <v>37.7, 26.8</v>
      </c>
      <c r="R279" s="10"/>
      <c r="S279" s="5"/>
      <c r="T279" s="6" t="s">
        <v>53</v>
      </c>
      <c r="U279" s="6" t="s">
        <v>1657</v>
      </c>
      <c r="V279" s="18" t="s">
        <v>1904</v>
      </c>
    </row>
    <row r="280" ht="12.75" customHeight="1">
      <c r="A280" s="5"/>
      <c r="B280" s="6" t="s">
        <v>49</v>
      </c>
      <c r="C280" s="6" t="s">
        <v>50</v>
      </c>
      <c r="D280" s="5"/>
      <c r="E280" s="35" t="s">
        <v>1909</v>
      </c>
      <c r="F280" s="6" t="s">
        <v>1819</v>
      </c>
      <c r="G280" s="6" t="s">
        <v>1820</v>
      </c>
      <c r="H280" s="5">
        <v>2015.0</v>
      </c>
      <c r="I280" s="6">
        <v>6.0</v>
      </c>
      <c r="J280" s="6">
        <v>0.0</v>
      </c>
      <c r="K280" s="6">
        <f t="shared" si="7"/>
        <v>6</v>
      </c>
      <c r="L280" s="8"/>
      <c r="M280" s="6" t="s">
        <v>1911</v>
      </c>
      <c r="N280" s="27" t="s">
        <v>1274</v>
      </c>
      <c r="O280" s="10">
        <v>31.1</v>
      </c>
      <c r="P280" s="10">
        <v>27.0</v>
      </c>
      <c r="Q280" s="10" t="str">
        <f t="shared" si="1"/>
        <v>31.1, 27</v>
      </c>
      <c r="R280" s="10"/>
      <c r="S280" s="5"/>
      <c r="T280" s="6" t="s">
        <v>53</v>
      </c>
      <c r="U280" s="6" t="s">
        <v>92</v>
      </c>
      <c r="V280" s="18" t="s">
        <v>1913</v>
      </c>
    </row>
    <row r="281" ht="12.75" customHeight="1">
      <c r="A281" s="5"/>
      <c r="B281" s="6" t="s">
        <v>68</v>
      </c>
      <c r="C281" s="6" t="s">
        <v>69</v>
      </c>
      <c r="D281" s="5"/>
      <c r="E281" s="35" t="s">
        <v>1891</v>
      </c>
      <c r="F281" s="6" t="s">
        <v>1819</v>
      </c>
      <c r="G281" s="6" t="s">
        <v>1820</v>
      </c>
      <c r="H281" s="5">
        <v>2015.0</v>
      </c>
      <c r="I281" s="6">
        <v>1.0</v>
      </c>
      <c r="J281" s="6">
        <v>0.0</v>
      </c>
      <c r="K281" s="6">
        <f t="shared" si="7"/>
        <v>1</v>
      </c>
      <c r="L281" s="8"/>
      <c r="M281" s="6" t="s">
        <v>1918</v>
      </c>
      <c r="N281" s="9" t="s">
        <v>1919</v>
      </c>
      <c r="O281" s="10">
        <v>37.7</v>
      </c>
      <c r="P281" s="10">
        <v>17.2</v>
      </c>
      <c r="Q281" s="10" t="str">
        <f t="shared" si="1"/>
        <v>37.7, 17.2</v>
      </c>
      <c r="R281" s="10"/>
      <c r="S281" s="5"/>
      <c r="T281" s="6" t="s">
        <v>58</v>
      </c>
      <c r="U281" s="6" t="s">
        <v>92</v>
      </c>
      <c r="V281" s="18" t="s">
        <v>1921</v>
      </c>
    </row>
    <row r="282" ht="12.75" customHeight="1">
      <c r="A282" s="5"/>
      <c r="B282" s="6" t="s">
        <v>1076</v>
      </c>
      <c r="C282" s="6" t="s">
        <v>50</v>
      </c>
      <c r="D282" s="5"/>
      <c r="E282" s="35" t="s">
        <v>1925</v>
      </c>
      <c r="F282" s="6" t="s">
        <v>1819</v>
      </c>
      <c r="G282" s="6" t="s">
        <v>1820</v>
      </c>
      <c r="H282" s="5">
        <v>2015.0</v>
      </c>
      <c r="I282" s="6">
        <v>49.0</v>
      </c>
      <c r="J282" s="6">
        <v>0.0</v>
      </c>
      <c r="K282" s="6">
        <f t="shared" si="7"/>
        <v>49</v>
      </c>
      <c r="L282" s="8"/>
      <c r="M282" s="6" t="s">
        <v>1926</v>
      </c>
      <c r="N282" s="9" t="s">
        <v>1927</v>
      </c>
      <c r="O282" s="10">
        <v>37.0</v>
      </c>
      <c r="P282" s="10">
        <v>16.4</v>
      </c>
      <c r="Q282" s="10" t="str">
        <f t="shared" si="1"/>
        <v>37, 16.4</v>
      </c>
      <c r="R282" s="10"/>
      <c r="S282" s="5"/>
      <c r="T282" s="6" t="s">
        <v>58</v>
      </c>
      <c r="U282" s="6" t="s">
        <v>92</v>
      </c>
      <c r="V282" s="18" t="s">
        <v>1929</v>
      </c>
    </row>
    <row r="283" ht="12.75" customHeight="1">
      <c r="A283" s="5"/>
      <c r="B283" s="6" t="s">
        <v>1773</v>
      </c>
      <c r="C283" s="6" t="s">
        <v>42</v>
      </c>
      <c r="D283" s="5"/>
      <c r="E283" s="35" t="s">
        <v>1933</v>
      </c>
      <c r="F283" s="6" t="s">
        <v>1819</v>
      </c>
      <c r="G283" s="6" t="s">
        <v>1820</v>
      </c>
      <c r="H283" s="5">
        <v>2015.0</v>
      </c>
      <c r="I283" s="6">
        <v>1.0</v>
      </c>
      <c r="J283" s="6">
        <v>0.0</v>
      </c>
      <c r="K283" s="6">
        <f t="shared" si="7"/>
        <v>1</v>
      </c>
      <c r="L283" s="8"/>
      <c r="M283" s="6" t="s">
        <v>1934</v>
      </c>
      <c r="N283" s="9" t="s">
        <v>1935</v>
      </c>
      <c r="O283" s="10">
        <v>41.07824</v>
      </c>
      <c r="P283" s="10">
        <v>1.13346</v>
      </c>
      <c r="Q283" s="10" t="str">
        <f t="shared" si="1"/>
        <v>41.07824, 1.13346</v>
      </c>
      <c r="R283" s="10">
        <f t="shared" ref="R283:R314" si="8">SUMIF(Q:Q,Q283,K:K)</f>
        <v>1</v>
      </c>
      <c r="S283" s="5"/>
      <c r="T283" s="6" t="s">
        <v>72</v>
      </c>
      <c r="U283" s="6" t="s">
        <v>1936</v>
      </c>
      <c r="V283" s="18" t="s">
        <v>1937</v>
      </c>
    </row>
    <row r="284" ht="12.75" customHeight="1">
      <c r="A284" s="5"/>
      <c r="B284" s="6" t="s">
        <v>68</v>
      </c>
      <c r="C284" s="6" t="s">
        <v>69</v>
      </c>
      <c r="D284" s="5"/>
      <c r="E284" s="35" t="s">
        <v>1938</v>
      </c>
      <c r="F284" s="6" t="s">
        <v>1819</v>
      </c>
      <c r="G284" s="6" t="s">
        <v>1820</v>
      </c>
      <c r="H284" s="5">
        <v>2015.0</v>
      </c>
      <c r="I284" s="6">
        <v>25.0</v>
      </c>
      <c r="J284" s="6">
        <v>200.0</v>
      </c>
      <c r="K284" s="6">
        <f t="shared" si="7"/>
        <v>225</v>
      </c>
      <c r="L284" s="8"/>
      <c r="M284" s="6" t="s">
        <v>1939</v>
      </c>
      <c r="N284" s="9" t="s">
        <v>1940</v>
      </c>
      <c r="O284" s="10">
        <v>33.52</v>
      </c>
      <c r="P284" s="10">
        <v>12.69</v>
      </c>
      <c r="Q284" s="10" t="str">
        <f t="shared" si="1"/>
        <v>33.52, 12.69</v>
      </c>
      <c r="R284" s="10">
        <f t="shared" si="8"/>
        <v>225</v>
      </c>
      <c r="S284" s="5"/>
      <c r="T284" s="6" t="s">
        <v>58</v>
      </c>
      <c r="U284" s="6" t="s">
        <v>327</v>
      </c>
      <c r="V284" s="18" t="s">
        <v>1941</v>
      </c>
    </row>
    <row r="285" ht="12.75" customHeight="1">
      <c r="A285" s="5"/>
      <c r="B285" s="6" t="s">
        <v>1076</v>
      </c>
      <c r="C285" s="6" t="s">
        <v>50</v>
      </c>
      <c r="D285" s="5"/>
      <c r="E285" s="35" t="s">
        <v>1942</v>
      </c>
      <c r="F285" s="6" t="s">
        <v>1819</v>
      </c>
      <c r="G285" s="6" t="s">
        <v>1820</v>
      </c>
      <c r="H285" s="5">
        <v>2015.0</v>
      </c>
      <c r="I285" s="6">
        <v>1.0</v>
      </c>
      <c r="J285" s="6">
        <v>0.0</v>
      </c>
      <c r="K285" s="6">
        <f t="shared" si="7"/>
        <v>1</v>
      </c>
      <c r="L285" s="8"/>
      <c r="M285" s="6" t="s">
        <v>1943</v>
      </c>
      <c r="N285" s="43" t="s">
        <v>1944</v>
      </c>
      <c r="O285" s="10">
        <v>36.1</v>
      </c>
      <c r="P285" s="10">
        <v>-2.7</v>
      </c>
      <c r="Q285" s="5" t="str">
        <f t="shared" si="1"/>
        <v>36.1, -2.7</v>
      </c>
      <c r="R285" s="10">
        <f t="shared" si="8"/>
        <v>1</v>
      </c>
      <c r="S285" s="5"/>
      <c r="T285" s="6" t="s">
        <v>72</v>
      </c>
      <c r="U285" s="6" t="s">
        <v>327</v>
      </c>
      <c r="V285" s="18" t="s">
        <v>1945</v>
      </c>
    </row>
    <row r="286" ht="12.75" customHeight="1">
      <c r="A286" s="5"/>
      <c r="B286" s="6" t="s">
        <v>68</v>
      </c>
      <c r="C286" s="6" t="s">
        <v>69</v>
      </c>
      <c r="D286" s="5"/>
      <c r="E286" s="35" t="s">
        <v>1946</v>
      </c>
      <c r="F286" s="6" t="s">
        <v>1819</v>
      </c>
      <c r="G286" s="6" t="s">
        <v>1820</v>
      </c>
      <c r="H286" s="5">
        <v>2015.0</v>
      </c>
      <c r="I286" s="6">
        <v>4.0</v>
      </c>
      <c r="J286" s="6">
        <v>0.0</v>
      </c>
      <c r="K286" s="6">
        <f t="shared" si="7"/>
        <v>4</v>
      </c>
      <c r="L286" s="8"/>
      <c r="M286" s="6" t="s">
        <v>1947</v>
      </c>
      <c r="N286" s="9" t="s">
        <v>1948</v>
      </c>
      <c r="O286" s="10">
        <v>35.9</v>
      </c>
      <c r="P286" s="10">
        <v>-5.3</v>
      </c>
      <c r="Q286" s="5" t="str">
        <f t="shared" si="1"/>
        <v>35.9, -5.3</v>
      </c>
      <c r="R286" s="10">
        <f t="shared" si="8"/>
        <v>6</v>
      </c>
      <c r="S286" s="5"/>
      <c r="T286" s="6" t="s">
        <v>72</v>
      </c>
      <c r="U286" s="6" t="s">
        <v>327</v>
      </c>
      <c r="V286" s="18" t="s">
        <v>1945</v>
      </c>
    </row>
    <row r="287" ht="12.75" customHeight="1">
      <c r="A287" s="5"/>
      <c r="B287" s="6" t="s">
        <v>68</v>
      </c>
      <c r="C287" s="6" t="s">
        <v>69</v>
      </c>
      <c r="D287" s="5"/>
      <c r="E287" s="35" t="s">
        <v>1946</v>
      </c>
      <c r="F287" s="6" t="s">
        <v>1819</v>
      </c>
      <c r="G287" s="6" t="s">
        <v>1820</v>
      </c>
      <c r="H287" s="5">
        <v>2015.0</v>
      </c>
      <c r="I287" s="6">
        <v>5.0</v>
      </c>
      <c r="J287" s="6">
        <v>0.0</v>
      </c>
      <c r="K287" s="6">
        <f t="shared" si="7"/>
        <v>5</v>
      </c>
      <c r="L287" s="8"/>
      <c r="M287" s="6" t="s">
        <v>1949</v>
      </c>
      <c r="N287" s="9" t="s">
        <v>746</v>
      </c>
      <c r="O287" s="10">
        <v>36.3</v>
      </c>
      <c r="P287" s="10">
        <v>18.9</v>
      </c>
      <c r="Q287" s="5" t="str">
        <f t="shared" si="1"/>
        <v>36.3, 18.9</v>
      </c>
      <c r="R287" s="10">
        <f t="shared" si="8"/>
        <v>5</v>
      </c>
      <c r="S287" s="5"/>
      <c r="T287" s="6" t="s">
        <v>58</v>
      </c>
      <c r="U287" s="6" t="s">
        <v>1950</v>
      </c>
      <c r="V287" s="18" t="s">
        <v>1951</v>
      </c>
    </row>
    <row r="288" ht="12.75" customHeight="1">
      <c r="A288" s="5"/>
      <c r="B288" s="6" t="s">
        <v>1773</v>
      </c>
      <c r="C288" s="6" t="s">
        <v>124</v>
      </c>
      <c r="D288" s="5"/>
      <c r="E288" s="35" t="s">
        <v>1952</v>
      </c>
      <c r="F288" s="6" t="s">
        <v>1819</v>
      </c>
      <c r="G288" s="6" t="s">
        <v>1953</v>
      </c>
      <c r="H288" s="5">
        <v>2015.0</v>
      </c>
      <c r="I288" s="6">
        <v>1.0</v>
      </c>
      <c r="J288" s="6">
        <v>0.0</v>
      </c>
      <c r="K288" s="6">
        <f t="shared" si="7"/>
        <v>1</v>
      </c>
      <c r="L288" s="8"/>
      <c r="M288" s="6" t="s">
        <v>1954</v>
      </c>
      <c r="N288" s="45" t="s">
        <v>126</v>
      </c>
      <c r="O288" s="46">
        <v>50.954468</v>
      </c>
      <c r="P288" s="46">
        <v>1.862801</v>
      </c>
      <c r="Q288" s="5" t="str">
        <f t="shared" si="1"/>
        <v>50.954468, 1.862801</v>
      </c>
      <c r="R288" s="10">
        <f t="shared" si="8"/>
        <v>4</v>
      </c>
      <c r="S288" s="5"/>
      <c r="T288" s="5"/>
      <c r="U288" s="6" t="s">
        <v>844</v>
      </c>
      <c r="V288" s="18" t="s">
        <v>1955</v>
      </c>
    </row>
    <row r="289" ht="12.75" customHeight="1">
      <c r="A289" s="5"/>
      <c r="B289" s="6" t="s">
        <v>1773</v>
      </c>
      <c r="C289" s="6" t="s">
        <v>124</v>
      </c>
      <c r="D289" s="5"/>
      <c r="E289" s="35" t="s">
        <v>1957</v>
      </c>
      <c r="F289" s="6" t="s">
        <v>1819</v>
      </c>
      <c r="G289" s="6" t="s">
        <v>1953</v>
      </c>
      <c r="H289" s="5">
        <v>2015.0</v>
      </c>
      <c r="I289" s="6">
        <v>1.0</v>
      </c>
      <c r="J289" s="6">
        <v>0.0</v>
      </c>
      <c r="K289" s="6">
        <f t="shared" si="7"/>
        <v>1</v>
      </c>
      <c r="L289" s="8"/>
      <c r="M289" s="6" t="s">
        <v>1959</v>
      </c>
      <c r="N289" s="45" t="s">
        <v>1960</v>
      </c>
      <c r="O289" s="46">
        <v>47.7</v>
      </c>
      <c r="P289" s="46">
        <v>17.6</v>
      </c>
      <c r="Q289" s="5" t="str">
        <f t="shared" si="1"/>
        <v>47.7, 17.6</v>
      </c>
      <c r="R289" s="10">
        <f t="shared" si="8"/>
        <v>1</v>
      </c>
      <c r="S289" s="5"/>
      <c r="T289" s="5"/>
      <c r="U289" s="18" t="s">
        <v>1961</v>
      </c>
      <c r="V289" s="18" t="s">
        <v>1962</v>
      </c>
    </row>
    <row r="290" ht="12.75" customHeight="1">
      <c r="A290" s="5"/>
      <c r="B290" s="6" t="s">
        <v>1744</v>
      </c>
      <c r="C290" s="6" t="s">
        <v>124</v>
      </c>
      <c r="D290" s="5"/>
      <c r="E290" s="35" t="s">
        <v>1966</v>
      </c>
      <c r="F290" s="6" t="s">
        <v>1819</v>
      </c>
      <c r="G290" s="6" t="s">
        <v>1953</v>
      </c>
      <c r="H290" s="5">
        <v>2015.0</v>
      </c>
      <c r="I290" s="6">
        <v>1.0</v>
      </c>
      <c r="J290" s="6">
        <v>0.0</v>
      </c>
      <c r="K290" s="6">
        <f t="shared" si="7"/>
        <v>1</v>
      </c>
      <c r="L290" s="8"/>
      <c r="M290" s="6" t="s">
        <v>1967</v>
      </c>
      <c r="N290" s="45" t="s">
        <v>1968</v>
      </c>
      <c r="O290" s="46">
        <v>46.1861871</v>
      </c>
      <c r="P290" s="46">
        <v>20.031235199</v>
      </c>
      <c r="Q290" s="5" t="str">
        <f t="shared" si="1"/>
        <v>46.1861871, 20.031235199</v>
      </c>
      <c r="R290" s="10">
        <f t="shared" si="8"/>
        <v>1</v>
      </c>
      <c r="S290" s="5"/>
      <c r="T290" s="6" t="s">
        <v>65</v>
      </c>
      <c r="U290" s="18" t="s">
        <v>1961</v>
      </c>
      <c r="V290" s="18" t="s">
        <v>1962</v>
      </c>
    </row>
    <row r="291" ht="12.75" customHeight="1">
      <c r="A291" s="5"/>
      <c r="B291" s="6" t="s">
        <v>61</v>
      </c>
      <c r="C291" s="6" t="s">
        <v>62</v>
      </c>
      <c r="D291" s="5"/>
      <c r="E291" s="35" t="s">
        <v>1969</v>
      </c>
      <c r="F291" s="6" t="s">
        <v>1819</v>
      </c>
      <c r="G291" s="6" t="s">
        <v>1953</v>
      </c>
      <c r="H291" s="5">
        <v>2015.0</v>
      </c>
      <c r="I291" s="6">
        <v>1.0</v>
      </c>
      <c r="J291" s="6">
        <v>0.0</v>
      </c>
      <c r="K291" s="6">
        <f t="shared" si="7"/>
        <v>1</v>
      </c>
      <c r="L291" s="8"/>
      <c r="M291" s="6" t="s">
        <v>1970</v>
      </c>
      <c r="N291" s="45" t="s">
        <v>1971</v>
      </c>
      <c r="O291">
        <v>35.766667</v>
      </c>
      <c r="P291">
        <v>-5.8</v>
      </c>
      <c r="Q291" s="5" t="str">
        <f t="shared" si="1"/>
        <v>35.766667, -5.8</v>
      </c>
      <c r="R291" s="10">
        <f t="shared" si="8"/>
        <v>190</v>
      </c>
      <c r="S291" s="5"/>
      <c r="T291" s="6" t="s">
        <v>72</v>
      </c>
      <c r="U291" s="6" t="s">
        <v>254</v>
      </c>
      <c r="V291" s="18" t="s">
        <v>1972</v>
      </c>
    </row>
    <row r="292" ht="12.75" customHeight="1">
      <c r="A292" s="5"/>
      <c r="B292" s="6" t="s">
        <v>49</v>
      </c>
      <c r="C292" s="52" t="s">
        <v>50</v>
      </c>
      <c r="D292" s="5"/>
      <c r="E292" s="35" t="s">
        <v>1973</v>
      </c>
      <c r="F292" s="6" t="s">
        <v>1819</v>
      </c>
      <c r="G292" s="6" t="s">
        <v>1953</v>
      </c>
      <c r="H292" s="5">
        <v>2015.0</v>
      </c>
      <c r="I292" s="6">
        <v>12.0</v>
      </c>
      <c r="J292" s="6">
        <v>0.0</v>
      </c>
      <c r="K292" s="6">
        <f t="shared" si="7"/>
        <v>12</v>
      </c>
      <c r="L292" s="8"/>
      <c r="M292" s="6" t="s">
        <v>1974</v>
      </c>
      <c r="N292" s="45" t="s">
        <v>359</v>
      </c>
      <c r="O292" s="46">
        <v>35.5059</v>
      </c>
      <c r="P292" s="46">
        <v>12.6073</v>
      </c>
      <c r="Q292" s="5" t="str">
        <f t="shared" si="1"/>
        <v>35.5059, 12.6073</v>
      </c>
      <c r="R292" s="10">
        <f t="shared" si="8"/>
        <v>12</v>
      </c>
      <c r="S292" s="5"/>
      <c r="T292" s="6" t="s">
        <v>58</v>
      </c>
      <c r="U292" s="6" t="s">
        <v>1975</v>
      </c>
      <c r="V292" s="18" t="s">
        <v>1976</v>
      </c>
    </row>
    <row r="293" ht="12.75" customHeight="1">
      <c r="A293" s="5"/>
      <c r="B293" s="6" t="s">
        <v>68</v>
      </c>
      <c r="C293" s="6" t="s">
        <v>69</v>
      </c>
      <c r="D293" s="5"/>
      <c r="E293" s="35" t="s">
        <v>1952</v>
      </c>
      <c r="F293" s="6" t="s">
        <v>1819</v>
      </c>
      <c r="G293" s="6" t="s">
        <v>1953</v>
      </c>
      <c r="H293" s="5">
        <v>2015.0</v>
      </c>
      <c r="I293" s="6">
        <v>1.0</v>
      </c>
      <c r="J293" s="6">
        <v>15.0</v>
      </c>
      <c r="K293" s="6">
        <f t="shared" si="7"/>
        <v>16</v>
      </c>
      <c r="L293" s="8"/>
      <c r="M293" s="6" t="s">
        <v>1977</v>
      </c>
      <c r="N293" s="45" t="s">
        <v>891</v>
      </c>
      <c r="O293" s="46">
        <v>37.291</v>
      </c>
      <c r="P293" s="46">
        <v>27.08</v>
      </c>
      <c r="Q293" s="5" t="str">
        <f t="shared" si="1"/>
        <v>37.291, 27.08</v>
      </c>
      <c r="R293" s="10">
        <f t="shared" si="8"/>
        <v>16</v>
      </c>
      <c r="S293" s="5"/>
      <c r="T293" s="6" t="s">
        <v>53</v>
      </c>
      <c r="U293" s="6" t="s">
        <v>254</v>
      </c>
      <c r="V293" s="18" t="s">
        <v>1978</v>
      </c>
    </row>
    <row r="294" ht="12.75" customHeight="1">
      <c r="A294" s="5"/>
      <c r="B294" s="6" t="s">
        <v>49</v>
      </c>
      <c r="C294" s="52" t="s">
        <v>50</v>
      </c>
      <c r="D294" s="5"/>
      <c r="E294" s="35" t="s">
        <v>1979</v>
      </c>
      <c r="F294" s="6" t="s">
        <v>1819</v>
      </c>
      <c r="G294" s="6" t="s">
        <v>1953</v>
      </c>
      <c r="H294" s="6">
        <v>2015.0</v>
      </c>
      <c r="I294" s="6">
        <v>1.0</v>
      </c>
      <c r="J294" s="6">
        <v>0.0</v>
      </c>
      <c r="K294" s="6">
        <f t="shared" si="7"/>
        <v>1</v>
      </c>
      <c r="L294" s="8"/>
      <c r="M294" s="6" t="s">
        <v>1980</v>
      </c>
      <c r="N294" s="45" t="s">
        <v>126</v>
      </c>
      <c r="O294" s="46">
        <v>50.954468</v>
      </c>
      <c r="P294" s="46">
        <v>1.862801</v>
      </c>
      <c r="Q294" s="5" t="str">
        <f t="shared" si="1"/>
        <v>50.954468, 1.862801</v>
      </c>
      <c r="R294" s="10">
        <f t="shared" si="8"/>
        <v>4</v>
      </c>
      <c r="S294" s="5"/>
      <c r="T294" s="5"/>
      <c r="U294" s="6" t="s">
        <v>1981</v>
      </c>
      <c r="V294" s="18" t="s">
        <v>1982</v>
      </c>
    </row>
    <row r="295" ht="12.75" customHeight="1">
      <c r="A295" s="5"/>
      <c r="B295" s="6" t="s">
        <v>1161</v>
      </c>
      <c r="C295" s="6" t="s">
        <v>124</v>
      </c>
      <c r="D295" s="5"/>
      <c r="E295" s="35" t="s">
        <v>1983</v>
      </c>
      <c r="F295" s="6" t="s">
        <v>1819</v>
      </c>
      <c r="G295" s="6" t="s">
        <v>1953</v>
      </c>
      <c r="H295" s="6">
        <v>2015.0</v>
      </c>
      <c r="I295" s="6">
        <v>1.0</v>
      </c>
      <c r="J295" s="6">
        <v>0.0</v>
      </c>
      <c r="K295" s="6">
        <f t="shared" si="7"/>
        <v>1</v>
      </c>
      <c r="L295" s="8"/>
      <c r="M295" s="6" t="s">
        <v>1984</v>
      </c>
      <c r="N295" s="45" t="s">
        <v>126</v>
      </c>
      <c r="O295" s="46">
        <v>50.954468</v>
      </c>
      <c r="P295" s="46">
        <v>1.862801</v>
      </c>
      <c r="Q295" s="5" t="str">
        <f t="shared" si="1"/>
        <v>50.954468, 1.862801</v>
      </c>
      <c r="R295" s="10">
        <f t="shared" si="8"/>
        <v>4</v>
      </c>
      <c r="S295" s="5"/>
      <c r="T295" s="5"/>
      <c r="U295" s="6" t="s">
        <v>1985</v>
      </c>
      <c r="V295" s="18" t="s">
        <v>1986</v>
      </c>
    </row>
    <row r="296" ht="12.75" customHeight="1">
      <c r="A296" s="5"/>
      <c r="B296" s="6" t="s">
        <v>68</v>
      </c>
      <c r="C296" s="6" t="s">
        <v>69</v>
      </c>
      <c r="D296" s="5"/>
      <c r="E296" s="35" t="s">
        <v>1987</v>
      </c>
      <c r="F296" s="6" t="s">
        <v>1819</v>
      </c>
      <c r="G296" s="6" t="s">
        <v>1953</v>
      </c>
      <c r="H296" s="6">
        <v>2015.0</v>
      </c>
      <c r="I296" s="6">
        <v>1.0</v>
      </c>
      <c r="J296" s="6">
        <v>0.0</v>
      </c>
      <c r="K296" s="6">
        <f t="shared" si="7"/>
        <v>1</v>
      </c>
      <c r="L296" s="8"/>
      <c r="M296" s="6" t="s">
        <v>1988</v>
      </c>
      <c r="N296" s="45" t="s">
        <v>1989</v>
      </c>
      <c r="O296" s="46">
        <v>51.081398</v>
      </c>
      <c r="P296" s="46">
        <v>1.169456</v>
      </c>
      <c r="Q296" s="5" t="str">
        <f t="shared" si="1"/>
        <v>51.081398, 1.169456</v>
      </c>
      <c r="R296" s="10">
        <f t="shared" si="8"/>
        <v>2</v>
      </c>
      <c r="S296" s="5"/>
      <c r="T296" s="5"/>
      <c r="U296" s="6" t="s">
        <v>1990</v>
      </c>
      <c r="V296" s="18" t="s">
        <v>1991</v>
      </c>
    </row>
    <row r="297" ht="12.75" customHeight="1">
      <c r="A297" s="5"/>
      <c r="B297" s="6" t="s">
        <v>68</v>
      </c>
      <c r="C297" s="6" t="s">
        <v>69</v>
      </c>
      <c r="D297" s="5"/>
      <c r="E297" s="35" t="s">
        <v>1979</v>
      </c>
      <c r="F297" s="6" t="s">
        <v>1819</v>
      </c>
      <c r="G297" s="6" t="s">
        <v>1953</v>
      </c>
      <c r="H297" s="6">
        <v>2015.0</v>
      </c>
      <c r="I297" s="6">
        <v>1.0</v>
      </c>
      <c r="J297" s="6">
        <v>0.0</v>
      </c>
      <c r="K297" s="6">
        <f t="shared" si="7"/>
        <v>1</v>
      </c>
      <c r="L297" s="8"/>
      <c r="M297" s="6" t="s">
        <v>1992</v>
      </c>
      <c r="N297" s="45" t="s">
        <v>1989</v>
      </c>
      <c r="O297" s="46">
        <v>51.081398</v>
      </c>
      <c r="P297" s="46">
        <v>1.169456</v>
      </c>
      <c r="Q297" s="5" t="str">
        <f t="shared" si="1"/>
        <v>51.081398, 1.169456</v>
      </c>
      <c r="R297" s="10">
        <f t="shared" si="8"/>
        <v>2</v>
      </c>
      <c r="S297" s="5"/>
      <c r="T297" s="5"/>
      <c r="U297" s="6" t="s">
        <v>1993</v>
      </c>
      <c r="V297" s="18" t="s">
        <v>1994</v>
      </c>
    </row>
    <row r="298" ht="12.75" customHeight="1">
      <c r="A298" s="5"/>
      <c r="B298" s="6" t="s">
        <v>1995</v>
      </c>
      <c r="C298" s="6" t="s">
        <v>62</v>
      </c>
      <c r="D298" s="5"/>
      <c r="E298" s="35" t="s">
        <v>1983</v>
      </c>
      <c r="F298" s="6" t="s">
        <v>1819</v>
      </c>
      <c r="G298" s="6" t="s">
        <v>1953</v>
      </c>
      <c r="H298" s="6">
        <v>2015.0</v>
      </c>
      <c r="I298" s="6">
        <v>1.0</v>
      </c>
      <c r="J298" s="6">
        <v>0.0</v>
      </c>
      <c r="K298" s="6">
        <f t="shared" si="7"/>
        <v>1</v>
      </c>
      <c r="L298" s="8"/>
      <c r="M298" s="6" t="s">
        <v>1996</v>
      </c>
      <c r="N298" s="45" t="s">
        <v>1997</v>
      </c>
      <c r="O298" s="46">
        <v>32.23</v>
      </c>
      <c r="P298" s="46">
        <v>26.64</v>
      </c>
      <c r="Q298" s="5" t="str">
        <f t="shared" si="1"/>
        <v>32.23, 26.64</v>
      </c>
      <c r="R298" s="10">
        <f t="shared" si="8"/>
        <v>1</v>
      </c>
      <c r="S298" s="5"/>
      <c r="T298" s="6" t="s">
        <v>58</v>
      </c>
      <c r="U298" s="6" t="s">
        <v>1990</v>
      </c>
      <c r="V298" s="18" t="s">
        <v>1998</v>
      </c>
    </row>
    <row r="299" ht="12.75" customHeight="1">
      <c r="A299" s="5"/>
      <c r="B299" s="6" t="s">
        <v>68</v>
      </c>
      <c r="C299" s="6" t="s">
        <v>69</v>
      </c>
      <c r="D299" s="5"/>
      <c r="E299" s="35" t="s">
        <v>1952</v>
      </c>
      <c r="F299" s="6" t="s">
        <v>1819</v>
      </c>
      <c r="G299" s="6" t="s">
        <v>1953</v>
      </c>
      <c r="H299" s="5">
        <v>2015.0</v>
      </c>
      <c r="I299" s="6">
        <v>0.0</v>
      </c>
      <c r="J299" s="6">
        <v>30.0</v>
      </c>
      <c r="K299" s="6">
        <f t="shared" si="7"/>
        <v>30</v>
      </c>
      <c r="L299" s="8"/>
      <c r="M299" s="6" t="s">
        <v>1999</v>
      </c>
      <c r="N299" s="45" t="s">
        <v>2000</v>
      </c>
      <c r="O299" s="46">
        <v>34.0</v>
      </c>
      <c r="P299" s="46">
        <v>14.0</v>
      </c>
      <c r="Q299" s="5" t="str">
        <f t="shared" si="1"/>
        <v>34, 14</v>
      </c>
      <c r="R299" s="10">
        <f t="shared" si="8"/>
        <v>86</v>
      </c>
      <c r="S299" s="5"/>
      <c r="T299" s="6" t="s">
        <v>58</v>
      </c>
      <c r="U299" s="6" t="s">
        <v>2001</v>
      </c>
      <c r="V299" s="18" t="s">
        <v>2002</v>
      </c>
    </row>
    <row r="300" ht="12.75" customHeight="1">
      <c r="A300" s="5"/>
      <c r="B300" s="6" t="s">
        <v>68</v>
      </c>
      <c r="C300" s="6" t="s">
        <v>69</v>
      </c>
      <c r="D300" s="5"/>
      <c r="E300" s="35" t="s">
        <v>2003</v>
      </c>
      <c r="F300" s="6" t="s">
        <v>1819</v>
      </c>
      <c r="G300" s="6" t="s">
        <v>1953</v>
      </c>
      <c r="H300" s="5">
        <v>2015.0</v>
      </c>
      <c r="I300" s="6">
        <v>14.0</v>
      </c>
      <c r="J300" s="6">
        <v>0.0</v>
      </c>
      <c r="K300" s="6">
        <v>14.0</v>
      </c>
      <c r="L300" s="8"/>
      <c r="M300" s="5" t="s">
        <v>2004</v>
      </c>
      <c r="N300" s="53" t="s">
        <v>2005</v>
      </c>
      <c r="O300" s="10">
        <v>34.4</v>
      </c>
      <c r="P300" s="10">
        <v>14.1</v>
      </c>
      <c r="Q300" s="5" t="str">
        <f t="shared" si="1"/>
        <v>34.4, 14.1</v>
      </c>
      <c r="R300" s="10">
        <f t="shared" si="8"/>
        <v>14</v>
      </c>
      <c r="S300" s="5"/>
      <c r="T300" s="6" t="s">
        <v>58</v>
      </c>
      <c r="U300" s="6" t="s">
        <v>855</v>
      </c>
      <c r="V300" s="18" t="s">
        <v>2006</v>
      </c>
    </row>
    <row r="301" ht="12.75" customHeight="1">
      <c r="A301" s="5"/>
      <c r="B301" s="6" t="s">
        <v>2007</v>
      </c>
      <c r="C301" s="6" t="s">
        <v>124</v>
      </c>
      <c r="D301" s="5"/>
      <c r="E301" s="35" t="s">
        <v>2008</v>
      </c>
      <c r="F301" s="6" t="s">
        <v>1819</v>
      </c>
      <c r="G301" s="6" t="s">
        <v>1953</v>
      </c>
      <c r="H301" s="5">
        <v>2015.0</v>
      </c>
      <c r="I301" s="6">
        <v>1.0</v>
      </c>
      <c r="J301" s="6">
        <v>0.0</v>
      </c>
      <c r="K301" s="6">
        <v>1.0</v>
      </c>
      <c r="L301" s="8"/>
      <c r="M301" s="6" t="s">
        <v>2009</v>
      </c>
      <c r="N301" s="45" t="s">
        <v>126</v>
      </c>
      <c r="O301" s="46">
        <v>50.954468</v>
      </c>
      <c r="P301" s="46">
        <v>1.862801</v>
      </c>
      <c r="Q301" s="5" t="str">
        <f t="shared" si="1"/>
        <v>50.954468, 1.862801</v>
      </c>
      <c r="R301" s="10">
        <f t="shared" si="8"/>
        <v>4</v>
      </c>
      <c r="S301" s="5"/>
      <c r="T301" s="5"/>
      <c r="U301" s="6" t="s">
        <v>2010</v>
      </c>
      <c r="V301" s="18" t="s">
        <v>2011</v>
      </c>
    </row>
    <row r="302" ht="12.75" customHeight="1">
      <c r="A302" s="5"/>
      <c r="B302" s="6" t="s">
        <v>1105</v>
      </c>
      <c r="C302" s="6" t="s">
        <v>124</v>
      </c>
      <c r="D302" s="5"/>
      <c r="E302" s="35" t="s">
        <v>2008</v>
      </c>
      <c r="F302" s="6" t="s">
        <v>1819</v>
      </c>
      <c r="G302" s="6" t="s">
        <v>1953</v>
      </c>
      <c r="H302" s="5">
        <v>2015.0</v>
      </c>
      <c r="I302" s="6">
        <v>1.0</v>
      </c>
      <c r="J302" s="6">
        <v>0.0</v>
      </c>
      <c r="K302" s="6">
        <v>1.0</v>
      </c>
      <c r="L302" s="8"/>
      <c r="M302" s="6" t="s">
        <v>2012</v>
      </c>
      <c r="N302" s="45" t="s">
        <v>736</v>
      </c>
      <c r="O302" s="46">
        <v>48.858</v>
      </c>
      <c r="P302" s="46">
        <v>2.2946</v>
      </c>
      <c r="Q302" s="5" t="str">
        <f t="shared" si="1"/>
        <v>48.858, 2.2946</v>
      </c>
      <c r="R302" s="10">
        <f t="shared" si="8"/>
        <v>1</v>
      </c>
      <c r="S302" s="5"/>
      <c r="T302" s="5"/>
      <c r="U302" s="6" t="s">
        <v>1975</v>
      </c>
      <c r="V302" s="18" t="s">
        <v>2013</v>
      </c>
    </row>
    <row r="303" ht="12.75" customHeight="1">
      <c r="A303" s="5"/>
      <c r="B303" s="6" t="s">
        <v>68</v>
      </c>
      <c r="C303" s="6" t="s">
        <v>69</v>
      </c>
      <c r="D303" s="5"/>
      <c r="E303" s="35" t="s">
        <v>2014</v>
      </c>
      <c r="F303" s="6" t="s">
        <v>2015</v>
      </c>
      <c r="G303" s="6" t="s">
        <v>2016</v>
      </c>
      <c r="H303" s="5">
        <v>2015.0</v>
      </c>
      <c r="I303" s="6">
        <v>30.0</v>
      </c>
      <c r="J303" s="6">
        <v>0.0</v>
      </c>
      <c r="K303" s="6">
        <f t="shared" ref="K303:K306" si="9">SUM(I303,J303)</f>
        <v>30</v>
      </c>
      <c r="L303" s="8"/>
      <c r="M303" s="6" t="s">
        <v>2017</v>
      </c>
      <c r="N303" s="45" t="s">
        <v>2018</v>
      </c>
      <c r="O303" s="46" t="s">
        <v>2019</v>
      </c>
      <c r="P303" s="46" t="s">
        <v>2020</v>
      </c>
      <c r="Q303" s="5" t="str">
        <f t="shared" si="1"/>
        <v>19.0086, 12.88579</v>
      </c>
      <c r="R303" s="10">
        <f t="shared" si="8"/>
        <v>30</v>
      </c>
      <c r="S303" s="5"/>
      <c r="T303" s="6" t="s">
        <v>58</v>
      </c>
      <c r="U303" s="6" t="s">
        <v>176</v>
      </c>
      <c r="V303" s="18" t="s">
        <v>2021</v>
      </c>
    </row>
    <row r="304" ht="12.75" customHeight="1">
      <c r="A304" s="5"/>
      <c r="B304" s="6" t="s">
        <v>215</v>
      </c>
      <c r="C304" s="6" t="s">
        <v>62</v>
      </c>
      <c r="D304" s="5"/>
      <c r="E304" s="35" t="s">
        <v>2022</v>
      </c>
      <c r="F304" s="6" t="s">
        <v>2015</v>
      </c>
      <c r="G304" s="6" t="s">
        <v>2016</v>
      </c>
      <c r="H304" s="5">
        <v>2015.0</v>
      </c>
      <c r="I304" s="6">
        <v>1.0</v>
      </c>
      <c r="J304" s="6">
        <v>0.0</v>
      </c>
      <c r="K304" s="6">
        <f t="shared" si="9"/>
        <v>1</v>
      </c>
      <c r="L304" s="8"/>
      <c r="M304" s="6" t="s">
        <v>2023</v>
      </c>
      <c r="N304" s="45" t="s">
        <v>1861</v>
      </c>
      <c r="O304" s="46">
        <v>34.0</v>
      </c>
      <c r="P304" s="46">
        <v>14.0</v>
      </c>
      <c r="Q304" s="5" t="str">
        <f t="shared" si="1"/>
        <v>34, 14</v>
      </c>
      <c r="R304" s="10">
        <f t="shared" si="8"/>
        <v>86</v>
      </c>
      <c r="S304" s="5"/>
      <c r="T304" s="6" t="s">
        <v>58</v>
      </c>
      <c r="U304" s="6" t="s">
        <v>1985</v>
      </c>
      <c r="V304" s="18" t="s">
        <v>2024</v>
      </c>
    </row>
    <row r="305" ht="12.75" customHeight="1">
      <c r="A305" s="5"/>
      <c r="B305" s="6" t="s">
        <v>2025</v>
      </c>
      <c r="C305" s="52" t="s">
        <v>50</v>
      </c>
      <c r="D305" s="5"/>
      <c r="E305" s="35" t="s">
        <v>2026</v>
      </c>
      <c r="F305" s="6" t="s">
        <v>2015</v>
      </c>
      <c r="G305" s="6" t="s">
        <v>2016</v>
      </c>
      <c r="H305" s="5">
        <v>2015.0</v>
      </c>
      <c r="I305" s="6">
        <v>18.0</v>
      </c>
      <c r="J305" s="6">
        <v>0.0</v>
      </c>
      <c r="K305" s="6">
        <f t="shared" si="9"/>
        <v>18</v>
      </c>
      <c r="L305" s="8"/>
      <c r="M305" s="6" t="s">
        <v>2027</v>
      </c>
      <c r="N305" s="45" t="s">
        <v>2028</v>
      </c>
      <c r="O305" s="46">
        <v>18.733</v>
      </c>
      <c r="P305" s="46">
        <v>7.383</v>
      </c>
      <c r="Q305" s="5" t="str">
        <f t="shared" si="1"/>
        <v>18.733, 7.383</v>
      </c>
      <c r="R305" s="10">
        <f t="shared" si="8"/>
        <v>18</v>
      </c>
      <c r="S305" s="5"/>
      <c r="T305" s="6" t="s">
        <v>58</v>
      </c>
      <c r="U305" s="6" t="s">
        <v>2029</v>
      </c>
      <c r="V305" s="18" t="s">
        <v>2030</v>
      </c>
    </row>
    <row r="306" ht="12.75" customHeight="1">
      <c r="A306" s="5"/>
      <c r="B306" s="6" t="s">
        <v>1744</v>
      </c>
      <c r="C306" s="6" t="s">
        <v>124</v>
      </c>
      <c r="D306" s="5"/>
      <c r="E306" s="35" t="s">
        <v>2031</v>
      </c>
      <c r="F306" s="6" t="s">
        <v>2015</v>
      </c>
      <c r="G306" s="6" t="s">
        <v>2016</v>
      </c>
      <c r="H306" s="5">
        <v>2015.0</v>
      </c>
      <c r="I306" s="6">
        <v>1.0</v>
      </c>
      <c r="J306" s="6">
        <v>0.0</v>
      </c>
      <c r="K306" s="6">
        <f t="shared" si="9"/>
        <v>1</v>
      </c>
      <c r="L306" s="8"/>
      <c r="M306" s="6" t="s">
        <v>2032</v>
      </c>
      <c r="N306" s="45" t="s">
        <v>2033</v>
      </c>
      <c r="O306" s="46">
        <v>50.95</v>
      </c>
      <c r="P306" s="46">
        <v>1.95</v>
      </c>
      <c r="Q306" s="5" t="str">
        <f t="shared" si="1"/>
        <v>50.95, 1.95</v>
      </c>
      <c r="R306" s="10">
        <f t="shared" si="8"/>
        <v>1</v>
      </c>
      <c r="S306" s="5"/>
      <c r="T306" s="5"/>
      <c r="U306" s="6" t="s">
        <v>2034</v>
      </c>
      <c r="V306" s="18" t="s">
        <v>2035</v>
      </c>
    </row>
    <row r="307" ht="12.75" customHeight="1">
      <c r="A307" s="5"/>
      <c r="B307" s="5" t="s">
        <v>49</v>
      </c>
      <c r="C307" s="52" t="s">
        <v>50</v>
      </c>
      <c r="D307" s="5"/>
      <c r="E307" s="7" t="s">
        <v>2036</v>
      </c>
      <c r="F307" s="5" t="s">
        <v>2015</v>
      </c>
      <c r="G307" s="5" t="s">
        <v>2016</v>
      </c>
      <c r="H307" s="5">
        <v>2015.0</v>
      </c>
      <c r="I307" s="5">
        <v>1.0</v>
      </c>
      <c r="J307" s="5">
        <v>2.0</v>
      </c>
      <c r="K307" s="5">
        <v>3.0</v>
      </c>
      <c r="L307" s="54"/>
      <c r="M307" s="5" t="s">
        <v>2037</v>
      </c>
      <c r="N307" s="53" t="s">
        <v>2038</v>
      </c>
      <c r="O307" s="46">
        <v>34.0</v>
      </c>
      <c r="P307" s="46">
        <v>14.0</v>
      </c>
      <c r="Q307" s="5" t="s">
        <v>568</v>
      </c>
      <c r="R307" s="10">
        <f t="shared" si="8"/>
        <v>86</v>
      </c>
      <c r="S307" s="5"/>
      <c r="T307" s="6" t="s">
        <v>58</v>
      </c>
      <c r="U307" s="5" t="s">
        <v>1863</v>
      </c>
      <c r="V307" s="5" t="s">
        <v>2039</v>
      </c>
    </row>
    <row r="308" ht="12.75" customHeight="1">
      <c r="A308" s="5"/>
      <c r="B308" s="5" t="s">
        <v>2040</v>
      </c>
      <c r="C308" s="52" t="s">
        <v>50</v>
      </c>
      <c r="D308" s="5"/>
      <c r="E308" s="7" t="s">
        <v>2041</v>
      </c>
      <c r="F308" s="5" t="s">
        <v>2015</v>
      </c>
      <c r="G308" s="5" t="s">
        <v>2016</v>
      </c>
      <c r="H308" s="5">
        <v>2015.0</v>
      </c>
      <c r="I308" s="5">
        <v>18.0</v>
      </c>
      <c r="J308" s="5">
        <v>0.0</v>
      </c>
      <c r="K308" s="5">
        <v>18.0</v>
      </c>
      <c r="L308" s="54"/>
      <c r="M308" s="5" t="s">
        <v>2042</v>
      </c>
      <c r="N308" s="53" t="s">
        <v>2043</v>
      </c>
      <c r="O308" s="46">
        <v>19.213588</v>
      </c>
      <c r="P308" s="46">
        <v>6.800537</v>
      </c>
      <c r="Q308" s="5" t="s">
        <v>301</v>
      </c>
      <c r="R308" s="10">
        <f t="shared" si="8"/>
        <v>18</v>
      </c>
      <c r="S308" s="5"/>
      <c r="T308" s="6" t="s">
        <v>58</v>
      </c>
      <c r="U308" s="5" t="s">
        <v>92</v>
      </c>
      <c r="V308" s="5" t="s">
        <v>2044</v>
      </c>
    </row>
    <row r="309" ht="12.75" customHeight="1">
      <c r="A309" s="5"/>
      <c r="B309" s="5" t="s">
        <v>1744</v>
      </c>
      <c r="C309" s="5" t="s">
        <v>124</v>
      </c>
      <c r="D309" s="5"/>
      <c r="E309" s="7" t="s">
        <v>2045</v>
      </c>
      <c r="F309" s="5" t="s">
        <v>2015</v>
      </c>
      <c r="G309" s="5" t="s">
        <v>2016</v>
      </c>
      <c r="H309" s="5">
        <v>2015.0</v>
      </c>
      <c r="I309" s="5">
        <v>1.0</v>
      </c>
      <c r="J309" s="5">
        <v>0.0</v>
      </c>
      <c r="K309" s="5">
        <v>1.0</v>
      </c>
      <c r="L309" s="54"/>
      <c r="M309" s="5" t="s">
        <v>2046</v>
      </c>
      <c r="N309" s="53" t="s">
        <v>1711</v>
      </c>
      <c r="O309">
        <v>50.9247443</v>
      </c>
      <c r="P309">
        <v>1.8000638</v>
      </c>
      <c r="Q309" s="5" t="s">
        <v>1544</v>
      </c>
      <c r="R309" s="10">
        <f t="shared" si="8"/>
        <v>1</v>
      </c>
      <c r="S309" s="5" t="s">
        <v>2047</v>
      </c>
      <c r="T309" s="5"/>
      <c r="U309" s="5" t="s">
        <v>844</v>
      </c>
      <c r="V309" s="5" t="s">
        <v>2048</v>
      </c>
    </row>
    <row r="310" ht="12.75" customHeight="1">
      <c r="A310" s="5"/>
      <c r="B310" s="5" t="s">
        <v>68</v>
      </c>
      <c r="C310" s="5" t="s">
        <v>69</v>
      </c>
      <c r="D310" s="5"/>
      <c r="E310" s="7" t="s">
        <v>2049</v>
      </c>
      <c r="F310" s="5" t="s">
        <v>2015</v>
      </c>
      <c r="G310" s="5" t="s">
        <v>2050</v>
      </c>
      <c r="H310" s="5">
        <v>2015.0</v>
      </c>
      <c r="I310" s="5">
        <v>17.0</v>
      </c>
      <c r="J310" s="5">
        <v>0.0</v>
      </c>
      <c r="K310" s="5">
        <v>17.0</v>
      </c>
      <c r="L310" s="54"/>
      <c r="M310" s="5" t="s">
        <v>2051</v>
      </c>
      <c r="N310" s="53" t="s">
        <v>1701</v>
      </c>
      <c r="O310">
        <v>34.542858</v>
      </c>
      <c r="P310">
        <v>13.704729</v>
      </c>
      <c r="Q310" s="5" t="s">
        <v>580</v>
      </c>
      <c r="R310" s="10">
        <f t="shared" si="8"/>
        <v>17</v>
      </c>
      <c r="S310" s="5" t="s">
        <v>2052</v>
      </c>
      <c r="T310" s="5" t="s">
        <v>58</v>
      </c>
      <c r="U310" s="5" t="s">
        <v>254</v>
      </c>
      <c r="V310" s="5" t="s">
        <v>2053</v>
      </c>
    </row>
    <row r="311" ht="12.75" customHeight="1">
      <c r="A311" s="5"/>
      <c r="B311" s="5" t="s">
        <v>68</v>
      </c>
      <c r="C311" s="5" t="s">
        <v>69</v>
      </c>
      <c r="D311" s="5"/>
      <c r="E311" s="7" t="s">
        <v>2054</v>
      </c>
      <c r="F311" s="5" t="s">
        <v>2015</v>
      </c>
      <c r="G311" s="5" t="s">
        <v>2050</v>
      </c>
      <c r="H311" s="5">
        <v>2015.0</v>
      </c>
      <c r="I311" s="5">
        <v>11.0</v>
      </c>
      <c r="J311" s="5">
        <v>0.0</v>
      </c>
      <c r="K311" s="5">
        <v>11.0</v>
      </c>
      <c r="L311" s="54"/>
      <c r="M311" s="5" t="s">
        <v>2055</v>
      </c>
      <c r="N311" s="53" t="s">
        <v>1701</v>
      </c>
      <c r="O311">
        <v>33.641882</v>
      </c>
      <c r="P311">
        <v>12.847345</v>
      </c>
      <c r="Q311" s="5" t="s">
        <v>548</v>
      </c>
      <c r="R311" s="10">
        <f t="shared" si="8"/>
        <v>11</v>
      </c>
      <c r="S311" s="5" t="s">
        <v>2056</v>
      </c>
      <c r="T311" s="5" t="s">
        <v>58</v>
      </c>
      <c r="U311" s="5" t="s">
        <v>254</v>
      </c>
      <c r="V311" s="5" t="s">
        <v>2057</v>
      </c>
    </row>
    <row r="312" ht="12.75" customHeight="1">
      <c r="A312" s="5"/>
      <c r="B312" s="5" t="s">
        <v>49</v>
      </c>
      <c r="C312" s="52" t="s">
        <v>50</v>
      </c>
      <c r="D312" s="5"/>
      <c r="E312" s="7" t="s">
        <v>2058</v>
      </c>
      <c r="F312" s="5" t="s">
        <v>2015</v>
      </c>
      <c r="G312" s="5" t="s">
        <v>2050</v>
      </c>
      <c r="H312" s="5">
        <v>2015.0</v>
      </c>
      <c r="I312" s="5">
        <v>5.0</v>
      </c>
      <c r="J312" s="5">
        <v>0.0</v>
      </c>
      <c r="K312" s="5">
        <v>5.0</v>
      </c>
      <c r="L312" s="54"/>
      <c r="M312" s="5" t="s">
        <v>2059</v>
      </c>
      <c r="N312" s="53" t="s">
        <v>2060</v>
      </c>
      <c r="O312">
        <v>33.44238</v>
      </c>
      <c r="P312">
        <v>25.610113</v>
      </c>
      <c r="Q312" s="5" t="s">
        <v>537</v>
      </c>
      <c r="R312" s="10">
        <f t="shared" si="8"/>
        <v>5</v>
      </c>
      <c r="S312" s="5" t="s">
        <v>2061</v>
      </c>
      <c r="T312" s="5" t="s">
        <v>58</v>
      </c>
      <c r="U312" s="5" t="s">
        <v>2062</v>
      </c>
      <c r="V312" s="5" t="s">
        <v>2063</v>
      </c>
    </row>
    <row r="313" ht="12.75" customHeight="1">
      <c r="A313" s="5"/>
      <c r="B313" s="5" t="s">
        <v>49</v>
      </c>
      <c r="C313" s="52" t="s">
        <v>50</v>
      </c>
      <c r="D313" s="5"/>
      <c r="E313" s="7" t="s">
        <v>2064</v>
      </c>
      <c r="F313" s="5" t="s">
        <v>2015</v>
      </c>
      <c r="G313" s="5" t="s">
        <v>2050</v>
      </c>
      <c r="H313" s="5">
        <v>2015.0</v>
      </c>
      <c r="I313" s="5">
        <v>5.0</v>
      </c>
      <c r="J313" s="5">
        <v>0.0</v>
      </c>
      <c r="K313" s="5">
        <v>5.0</v>
      </c>
      <c r="L313" s="54"/>
      <c r="M313" s="5" t="s">
        <v>2065</v>
      </c>
      <c r="N313" s="53" t="s">
        <v>2066</v>
      </c>
      <c r="O313">
        <v>35.696508</v>
      </c>
      <c r="P313">
        <v>11.107726</v>
      </c>
      <c r="Q313" s="5" t="s">
        <v>688</v>
      </c>
      <c r="R313" s="10">
        <f t="shared" si="8"/>
        <v>5</v>
      </c>
      <c r="S313" s="5" t="s">
        <v>2067</v>
      </c>
      <c r="T313" s="5" t="s">
        <v>58</v>
      </c>
      <c r="U313" s="5" t="s">
        <v>2062</v>
      </c>
      <c r="V313" s="5" t="s">
        <v>2068</v>
      </c>
    </row>
    <row r="314" ht="12.75" customHeight="1">
      <c r="A314" s="5"/>
      <c r="B314" s="5" t="s">
        <v>1076</v>
      </c>
      <c r="C314" s="52" t="s">
        <v>50</v>
      </c>
      <c r="D314" s="5"/>
      <c r="E314" s="7" t="s">
        <v>2069</v>
      </c>
      <c r="F314" s="5" t="s">
        <v>2015</v>
      </c>
      <c r="G314" s="5" t="s">
        <v>2050</v>
      </c>
      <c r="H314" s="5">
        <v>2015.0</v>
      </c>
      <c r="I314" s="5">
        <v>1.0</v>
      </c>
      <c r="J314" s="5">
        <v>1.0</v>
      </c>
      <c r="K314" s="5">
        <v>1.0</v>
      </c>
      <c r="L314" s="54"/>
      <c r="M314" s="5" t="s">
        <v>2070</v>
      </c>
      <c r="N314" s="53" t="s">
        <v>2071</v>
      </c>
      <c r="O314">
        <v>45.7283752</v>
      </c>
      <c r="P314">
        <v>5.0131031</v>
      </c>
      <c r="Q314" s="6" t="s">
        <v>1337</v>
      </c>
      <c r="R314" s="10">
        <f t="shared" si="8"/>
        <v>1</v>
      </c>
      <c r="S314" s="5" t="s">
        <v>2070</v>
      </c>
      <c r="T314" s="5"/>
      <c r="U314" s="5" t="s">
        <v>2072</v>
      </c>
      <c r="V314" s="5" t="s">
        <v>2073</v>
      </c>
    </row>
    <row r="315" ht="12.75" customHeight="1">
      <c r="A315" s="5"/>
      <c r="B315" s="6" t="s">
        <v>211</v>
      </c>
      <c r="C315" s="52" t="s">
        <v>211</v>
      </c>
      <c r="D315" s="5"/>
      <c r="E315" s="6" t="s">
        <v>2074</v>
      </c>
      <c r="F315" s="5" t="s">
        <v>2015</v>
      </c>
      <c r="G315" s="5" t="s">
        <v>2050</v>
      </c>
      <c r="H315" s="5">
        <v>2015.0</v>
      </c>
      <c r="I315" s="5">
        <v>1.0</v>
      </c>
      <c r="J315" s="6">
        <v>0.0</v>
      </c>
      <c r="K315" s="6">
        <v>1.0</v>
      </c>
      <c r="L315" s="8">
        <v>1.0</v>
      </c>
      <c r="M315" s="6" t="s">
        <v>2075</v>
      </c>
      <c r="N315" s="9" t="s">
        <v>2076</v>
      </c>
      <c r="O315" s="10">
        <v>50.736744</v>
      </c>
      <c r="P315" s="10">
        <v>2.243632</v>
      </c>
      <c r="Q315" s="5" t="str">
        <f>O315&amp;", "&amp;P315</f>
        <v>50.736744, 2.243632</v>
      </c>
      <c r="R315" s="10"/>
      <c r="S315" s="5"/>
      <c r="T315" s="5"/>
      <c r="U315" s="6" t="s">
        <v>2077</v>
      </c>
      <c r="V315" s="18" t="s">
        <v>2078</v>
      </c>
    </row>
    <row r="316" ht="12.75" customHeight="1">
      <c r="A316" s="5">
        <v>81067.0</v>
      </c>
      <c r="B316" s="5" t="s">
        <v>49</v>
      </c>
      <c r="C316" s="52" t="s">
        <v>50</v>
      </c>
      <c r="D316" s="5"/>
      <c r="E316" s="7" t="s">
        <v>2074</v>
      </c>
      <c r="F316" s="5" t="s">
        <v>2015</v>
      </c>
      <c r="G316" s="5" t="s">
        <v>2050</v>
      </c>
      <c r="H316" s="5">
        <v>2015.0</v>
      </c>
      <c r="I316" s="5">
        <v>40.0</v>
      </c>
      <c r="J316" s="5">
        <v>0.0</v>
      </c>
      <c r="K316" s="5">
        <v>40.0</v>
      </c>
      <c r="L316" s="54"/>
      <c r="M316" s="5" t="s">
        <v>2079</v>
      </c>
      <c r="N316" s="53" t="s">
        <v>2080</v>
      </c>
      <c r="O316">
        <v>37.2</v>
      </c>
      <c r="P316">
        <v>11.199903</v>
      </c>
      <c r="Q316" s="5" t="s">
        <v>910</v>
      </c>
      <c r="R316" s="10">
        <f t="shared" ref="R316:R3207" si="10">SUMIF(Q:Q,Q316,K:K)</f>
        <v>40</v>
      </c>
      <c r="S316" s="5" t="s">
        <v>2081</v>
      </c>
      <c r="T316" s="5" t="s">
        <v>58</v>
      </c>
      <c r="U316" s="5" t="s">
        <v>2082</v>
      </c>
      <c r="V316" s="5" t="s">
        <v>2083</v>
      </c>
    </row>
    <row r="317" ht="12.75" customHeight="1">
      <c r="A317" s="5">
        <v>80997.0</v>
      </c>
      <c r="B317" s="5" t="s">
        <v>49</v>
      </c>
      <c r="C317" s="52" t="s">
        <v>50</v>
      </c>
      <c r="D317" s="5"/>
      <c r="E317" s="7" t="s">
        <v>2084</v>
      </c>
      <c r="F317" s="5" t="s">
        <v>2015</v>
      </c>
      <c r="G317" s="5" t="s">
        <v>2050</v>
      </c>
      <c r="H317" s="5">
        <v>2015.0</v>
      </c>
      <c r="I317" s="5">
        <v>10.0</v>
      </c>
      <c r="J317" s="5">
        <v>0.0</v>
      </c>
      <c r="K317" s="5">
        <v>10.0</v>
      </c>
      <c r="L317" s="54"/>
      <c r="M317" s="5" t="s">
        <v>2085</v>
      </c>
      <c r="N317" s="53" t="s">
        <v>1701</v>
      </c>
      <c r="O317">
        <v>33.06503</v>
      </c>
      <c r="P317">
        <v>13.413009</v>
      </c>
      <c r="Q317" s="5" t="s">
        <v>516</v>
      </c>
      <c r="R317" s="10">
        <f t="shared" si="10"/>
        <v>10</v>
      </c>
      <c r="S317" s="5" t="s">
        <v>2086</v>
      </c>
      <c r="T317" s="5" t="s">
        <v>58</v>
      </c>
      <c r="U317" s="5" t="s">
        <v>2087</v>
      </c>
      <c r="V317" s="5" t="s">
        <v>2088</v>
      </c>
    </row>
    <row r="318" ht="12.75" customHeight="1">
      <c r="A318" s="5">
        <v>80995.0</v>
      </c>
      <c r="B318" s="5" t="s">
        <v>49</v>
      </c>
      <c r="C318" s="52" t="s">
        <v>50</v>
      </c>
      <c r="D318" s="5"/>
      <c r="E318" s="7" t="s">
        <v>2089</v>
      </c>
      <c r="F318" s="5" t="s">
        <v>2015</v>
      </c>
      <c r="G318" s="5" t="s">
        <v>2050</v>
      </c>
      <c r="H318" s="5">
        <v>2015.0</v>
      </c>
      <c r="I318" s="5">
        <v>3.0</v>
      </c>
      <c r="J318" s="5">
        <v>0.0</v>
      </c>
      <c r="K318" s="5">
        <v>3.0</v>
      </c>
      <c r="L318" s="54"/>
      <c r="M318" s="5" t="s">
        <v>2090</v>
      </c>
      <c r="N318" s="53" t="s">
        <v>2091</v>
      </c>
      <c r="O318">
        <v>31.510077</v>
      </c>
      <c r="P318">
        <v>30.21185</v>
      </c>
      <c r="Q318" s="5" t="s">
        <v>433</v>
      </c>
      <c r="R318" s="10">
        <f t="shared" si="10"/>
        <v>3</v>
      </c>
      <c r="S318" s="5" t="s">
        <v>2092</v>
      </c>
      <c r="T318" s="5" t="s">
        <v>58</v>
      </c>
      <c r="U318" s="5" t="s">
        <v>2093</v>
      </c>
      <c r="V318" s="5" t="s">
        <v>2094</v>
      </c>
    </row>
    <row r="319" ht="12.75" customHeight="1">
      <c r="A319" s="5">
        <v>80309.0</v>
      </c>
      <c r="B319" s="5" t="s">
        <v>1761</v>
      </c>
      <c r="C319" s="5" t="s">
        <v>124</v>
      </c>
      <c r="D319" s="5"/>
      <c r="E319" s="7" t="s">
        <v>2095</v>
      </c>
      <c r="F319" s="5" t="s">
        <v>2015</v>
      </c>
      <c r="G319" s="5" t="s">
        <v>2096</v>
      </c>
      <c r="H319" s="5">
        <v>2015.0</v>
      </c>
      <c r="I319" s="5">
        <v>14.0</v>
      </c>
      <c r="J319" s="5">
        <v>0.0</v>
      </c>
      <c r="K319" s="10">
        <v>14.0</v>
      </c>
      <c r="L319" s="54"/>
      <c r="M319" s="5" t="s">
        <v>2097</v>
      </c>
      <c r="N319" s="53" t="s">
        <v>2098</v>
      </c>
      <c r="O319">
        <v>41.713846</v>
      </c>
      <c r="P319">
        <v>21.770409</v>
      </c>
      <c r="Q319" s="5" t="s">
        <v>1235</v>
      </c>
      <c r="R319" s="10">
        <f t="shared" si="10"/>
        <v>14</v>
      </c>
      <c r="S319" s="5" t="s">
        <v>2099</v>
      </c>
      <c r="T319" s="6" t="s">
        <v>65</v>
      </c>
      <c r="U319" s="5" t="s">
        <v>92</v>
      </c>
      <c r="V319" s="5" t="s">
        <v>2100</v>
      </c>
    </row>
    <row r="320" ht="12.75" customHeight="1">
      <c r="A320" s="5">
        <v>80323.0</v>
      </c>
      <c r="B320" s="5" t="s">
        <v>2101</v>
      </c>
      <c r="C320" s="5" t="s">
        <v>124</v>
      </c>
      <c r="D320" s="5"/>
      <c r="E320" s="7" t="s">
        <v>2102</v>
      </c>
      <c r="F320" s="5" t="s">
        <v>2015</v>
      </c>
      <c r="G320" s="5" t="s">
        <v>2096</v>
      </c>
      <c r="H320" s="5">
        <v>2015.0</v>
      </c>
      <c r="I320" s="5">
        <v>1.0</v>
      </c>
      <c r="J320" s="5">
        <v>0.0</v>
      </c>
      <c r="K320" s="5">
        <v>1.0</v>
      </c>
      <c r="L320" s="54"/>
      <c r="M320" s="5" t="s">
        <v>2103</v>
      </c>
      <c r="N320" s="53" t="s">
        <v>2104</v>
      </c>
      <c r="O320">
        <v>39.50615</v>
      </c>
      <c r="P320">
        <v>20.265534</v>
      </c>
      <c r="Q320" s="5" t="s">
        <v>1086</v>
      </c>
      <c r="R320" s="10">
        <f t="shared" si="10"/>
        <v>7</v>
      </c>
      <c r="S320" s="5" t="s">
        <v>2105</v>
      </c>
      <c r="T320" s="6" t="s">
        <v>1963</v>
      </c>
      <c r="U320" s="5" t="s">
        <v>2106</v>
      </c>
      <c r="V320" s="5" t="s">
        <v>2107</v>
      </c>
    </row>
    <row r="321" ht="12.75" customHeight="1">
      <c r="A321" s="5">
        <v>79134.0</v>
      </c>
      <c r="B321" s="5" t="s">
        <v>49</v>
      </c>
      <c r="C321" s="52" t="s">
        <v>50</v>
      </c>
      <c r="D321" s="5"/>
      <c r="E321" s="7" t="s">
        <v>2108</v>
      </c>
      <c r="F321" s="5" t="s">
        <v>2015</v>
      </c>
      <c r="G321" s="5" t="s">
        <v>2096</v>
      </c>
      <c r="H321" s="5">
        <v>2015.0</v>
      </c>
      <c r="I321" s="5">
        <v>20.0</v>
      </c>
      <c r="J321" s="5">
        <v>0.0</v>
      </c>
      <c r="K321" s="6">
        <v>400.0</v>
      </c>
      <c r="L321" s="54"/>
      <c r="M321" s="5" t="s">
        <v>2109</v>
      </c>
      <c r="N321" s="53" t="s">
        <v>1701</v>
      </c>
      <c r="O321">
        <v>33.349987</v>
      </c>
      <c r="P321">
        <v>13.58879</v>
      </c>
      <c r="Q321" s="5" t="s">
        <v>529</v>
      </c>
      <c r="R321" s="10">
        <f t="shared" si="10"/>
        <v>401</v>
      </c>
      <c r="S321" s="5" t="s">
        <v>2109</v>
      </c>
      <c r="T321" s="5" t="s">
        <v>58</v>
      </c>
      <c r="U321" s="5" t="s">
        <v>2110</v>
      </c>
      <c r="V321" s="5" t="s">
        <v>2111</v>
      </c>
    </row>
    <row r="322" ht="12.75" customHeight="1">
      <c r="A322" s="5">
        <v>78862.0</v>
      </c>
      <c r="B322" s="5" t="s">
        <v>49</v>
      </c>
      <c r="C322" s="52" t="s">
        <v>50</v>
      </c>
      <c r="D322" s="5"/>
      <c r="E322" s="7" t="s">
        <v>2108</v>
      </c>
      <c r="F322" s="5" t="s">
        <v>2015</v>
      </c>
      <c r="G322" s="5" t="s">
        <v>2096</v>
      </c>
      <c r="H322" s="5">
        <v>2015.0</v>
      </c>
      <c r="I322" s="5">
        <v>3.0</v>
      </c>
      <c r="J322" s="5">
        <v>0.0</v>
      </c>
      <c r="K322" s="5">
        <v>3.0</v>
      </c>
      <c r="L322" s="54"/>
      <c r="M322" s="5" t="s">
        <v>2112</v>
      </c>
      <c r="N322" s="53" t="s">
        <v>2113</v>
      </c>
      <c r="O322">
        <v>36.434963</v>
      </c>
      <c r="P322">
        <v>28.217483</v>
      </c>
      <c r="Q322" s="5" t="s">
        <v>800</v>
      </c>
      <c r="R322" s="10">
        <f t="shared" si="10"/>
        <v>3</v>
      </c>
      <c r="S322" s="5" t="s">
        <v>2114</v>
      </c>
      <c r="T322" s="5" t="s">
        <v>53</v>
      </c>
      <c r="U322" s="5" t="s">
        <v>2115</v>
      </c>
      <c r="V322" s="5" t="s">
        <v>2116</v>
      </c>
    </row>
    <row r="323" ht="12.75" customHeight="1">
      <c r="A323" s="5">
        <v>78860.0</v>
      </c>
      <c r="B323" s="5" t="s">
        <v>49</v>
      </c>
      <c r="C323" s="52" t="s">
        <v>50</v>
      </c>
      <c r="D323" s="5"/>
      <c r="E323" s="7" t="s">
        <v>2117</v>
      </c>
      <c r="F323" s="5" t="s">
        <v>2015</v>
      </c>
      <c r="G323" s="5" t="s">
        <v>2096</v>
      </c>
      <c r="H323" s="5">
        <v>2015.0</v>
      </c>
      <c r="I323" s="5">
        <v>24.0</v>
      </c>
      <c r="J323" s="5">
        <v>739.0</v>
      </c>
      <c r="K323" s="5">
        <v>800.0</v>
      </c>
      <c r="L323" s="54"/>
      <c r="M323" s="5" t="s">
        <v>2118</v>
      </c>
      <c r="N323" s="53" t="s">
        <v>2119</v>
      </c>
      <c r="O323">
        <v>33.867198</v>
      </c>
      <c r="P323">
        <v>12.279102</v>
      </c>
      <c r="Q323" s="5" t="s">
        <v>556</v>
      </c>
      <c r="R323" s="10">
        <f t="shared" si="10"/>
        <v>800</v>
      </c>
      <c r="S323" s="5" t="s">
        <v>2120</v>
      </c>
      <c r="T323" s="6" t="s">
        <v>58</v>
      </c>
      <c r="U323" s="5" t="s">
        <v>1950</v>
      </c>
      <c r="V323" s="5" t="s">
        <v>2121</v>
      </c>
    </row>
    <row r="324" ht="12.75" customHeight="1">
      <c r="A324" s="5">
        <v>78861.0</v>
      </c>
      <c r="B324" s="5" t="s">
        <v>1161</v>
      </c>
      <c r="C324" s="5" t="s">
        <v>124</v>
      </c>
      <c r="D324" s="5"/>
      <c r="E324" s="7" t="s">
        <v>2122</v>
      </c>
      <c r="F324" s="5" t="s">
        <v>2015</v>
      </c>
      <c r="G324" s="5" t="s">
        <v>2096</v>
      </c>
      <c r="H324" s="5">
        <v>2015.0</v>
      </c>
      <c r="I324" s="5">
        <v>1.0</v>
      </c>
      <c r="J324" s="5">
        <v>0.0</v>
      </c>
      <c r="K324" s="5">
        <v>1.0</v>
      </c>
      <c r="L324" s="54"/>
      <c r="M324" s="5" t="s">
        <v>2123</v>
      </c>
      <c r="N324" s="53" t="s">
        <v>2124</v>
      </c>
      <c r="O324">
        <v>33.349987</v>
      </c>
      <c r="P324">
        <v>13.58879</v>
      </c>
      <c r="Q324" s="5" t="s">
        <v>529</v>
      </c>
      <c r="R324" s="10">
        <f t="shared" si="10"/>
        <v>401</v>
      </c>
      <c r="S324" s="5" t="s">
        <v>2125</v>
      </c>
      <c r="T324" s="5" t="s">
        <v>58</v>
      </c>
      <c r="U324" s="5"/>
      <c r="V324" s="5" t="s">
        <v>2126</v>
      </c>
    </row>
    <row r="325" ht="12.75" customHeight="1">
      <c r="A325" s="5">
        <v>78478.0</v>
      </c>
      <c r="B325" s="5" t="s">
        <v>49</v>
      </c>
      <c r="C325" s="52" t="s">
        <v>50</v>
      </c>
      <c r="D325" s="5"/>
      <c r="E325" s="7" t="s">
        <v>2127</v>
      </c>
      <c r="F325" s="5" t="s">
        <v>2015</v>
      </c>
      <c r="G325" s="5" t="s">
        <v>2096</v>
      </c>
      <c r="H325" s="5">
        <v>2015.0</v>
      </c>
      <c r="I325" s="5">
        <v>0.0</v>
      </c>
      <c r="J325" s="5">
        <v>41.0</v>
      </c>
      <c r="K325" s="5">
        <v>41.0</v>
      </c>
      <c r="L325" s="54"/>
      <c r="M325" s="5"/>
      <c r="N325" s="53" t="s">
        <v>2128</v>
      </c>
      <c r="O325">
        <v>36.2</v>
      </c>
      <c r="P325">
        <v>12.5</v>
      </c>
      <c r="Q325" s="5" t="s">
        <v>779</v>
      </c>
      <c r="R325" s="10">
        <f t="shared" si="10"/>
        <v>41</v>
      </c>
      <c r="S325" s="5" t="s">
        <v>2129</v>
      </c>
      <c r="T325" s="5" t="s">
        <v>2130</v>
      </c>
      <c r="U325" s="5" t="s">
        <v>950</v>
      </c>
      <c r="V325" s="5"/>
    </row>
    <row r="326" ht="12.75" customHeight="1">
      <c r="A326" s="5">
        <v>78476.0</v>
      </c>
      <c r="B326" s="5" t="s">
        <v>49</v>
      </c>
      <c r="C326" s="52" t="s">
        <v>50</v>
      </c>
      <c r="D326" s="5"/>
      <c r="E326" s="7" t="s">
        <v>2131</v>
      </c>
      <c r="F326" s="5" t="s">
        <v>2015</v>
      </c>
      <c r="G326" s="5" t="s">
        <v>2096</v>
      </c>
      <c r="H326" s="5">
        <v>2015.0</v>
      </c>
      <c r="I326" s="5">
        <v>0.0</v>
      </c>
      <c r="J326" s="5">
        <v>12.0</v>
      </c>
      <c r="K326" s="5">
        <v>12.0</v>
      </c>
      <c r="L326" s="54"/>
      <c r="M326" s="5"/>
      <c r="N326" s="53" t="s">
        <v>2132</v>
      </c>
      <c r="O326">
        <v>34.7</v>
      </c>
      <c r="P326">
        <v>15.5</v>
      </c>
      <c r="Q326" s="5" t="s">
        <v>593</v>
      </c>
      <c r="R326" s="10">
        <f t="shared" si="10"/>
        <v>12</v>
      </c>
      <c r="S326" s="5" t="s">
        <v>2133</v>
      </c>
      <c r="T326" s="6" t="s">
        <v>58</v>
      </c>
      <c r="U326" s="5" t="s">
        <v>950</v>
      </c>
      <c r="V326" s="5"/>
    </row>
    <row r="327" ht="12.75" customHeight="1">
      <c r="A327" s="5">
        <v>78306.0</v>
      </c>
      <c r="B327" s="5" t="s">
        <v>49</v>
      </c>
      <c r="C327" s="52" t="s">
        <v>50</v>
      </c>
      <c r="D327" s="5"/>
      <c r="E327" s="7" t="s">
        <v>2134</v>
      </c>
      <c r="F327" s="5" t="s">
        <v>2015</v>
      </c>
      <c r="G327" s="5" t="s">
        <v>2096</v>
      </c>
      <c r="H327" s="5">
        <v>2015.0</v>
      </c>
      <c r="I327" s="5">
        <v>9.0</v>
      </c>
      <c r="J327" s="5">
        <v>400.0</v>
      </c>
      <c r="K327" s="5">
        <v>400.0</v>
      </c>
      <c r="L327" s="54"/>
      <c r="M327" s="5" t="s">
        <v>2135</v>
      </c>
      <c r="N327" s="53" t="s">
        <v>2136</v>
      </c>
      <c r="O327">
        <v>35.0</v>
      </c>
      <c r="P327">
        <v>15.1</v>
      </c>
      <c r="Q327" s="5" t="s">
        <v>607</v>
      </c>
      <c r="R327" s="10">
        <f t="shared" si="10"/>
        <v>400</v>
      </c>
      <c r="S327" s="5" t="s">
        <v>2137</v>
      </c>
      <c r="T327" s="5" t="s">
        <v>2130</v>
      </c>
      <c r="U327" s="5" t="s">
        <v>92</v>
      </c>
      <c r="V327" s="5"/>
    </row>
    <row r="328" ht="12.75" customHeight="1">
      <c r="A328" s="5">
        <v>78172.0</v>
      </c>
      <c r="B328" s="5" t="s">
        <v>49</v>
      </c>
      <c r="C328" s="52" t="s">
        <v>50</v>
      </c>
      <c r="D328" s="5"/>
      <c r="E328" s="7" t="s">
        <v>2138</v>
      </c>
      <c r="F328" s="5" t="s">
        <v>2015</v>
      </c>
      <c r="G328" s="5" t="s">
        <v>2096</v>
      </c>
      <c r="H328" s="5">
        <v>2015.0</v>
      </c>
      <c r="I328" s="5">
        <v>9.0</v>
      </c>
      <c r="J328" s="5">
        <v>0.0</v>
      </c>
      <c r="K328" s="5">
        <v>9.0</v>
      </c>
      <c r="L328" s="54"/>
      <c r="M328" s="5"/>
      <c r="N328" s="53" t="s">
        <v>1701</v>
      </c>
      <c r="O328">
        <v>33.4</v>
      </c>
      <c r="P328">
        <v>15.3</v>
      </c>
      <c r="Q328" s="5" t="s">
        <v>536</v>
      </c>
      <c r="R328" s="10">
        <f t="shared" si="10"/>
        <v>9</v>
      </c>
      <c r="S328" s="5" t="s">
        <v>2139</v>
      </c>
      <c r="T328" s="5" t="s">
        <v>2130</v>
      </c>
      <c r="U328" s="5" t="s">
        <v>92</v>
      </c>
      <c r="V328" s="5"/>
    </row>
    <row r="329" ht="12.75" customHeight="1">
      <c r="A329" s="5">
        <v>78114.0</v>
      </c>
      <c r="B329" s="5" t="s">
        <v>68</v>
      </c>
      <c r="C329" s="5" t="s">
        <v>69</v>
      </c>
      <c r="D329" s="5"/>
      <c r="E329" s="7" t="s">
        <v>2140</v>
      </c>
      <c r="F329" s="5" t="s">
        <v>2015</v>
      </c>
      <c r="G329" s="5" t="s">
        <v>2096</v>
      </c>
      <c r="H329" s="5">
        <v>2015.0</v>
      </c>
      <c r="I329" s="5">
        <v>1.0</v>
      </c>
      <c r="J329" s="5">
        <v>0.0</v>
      </c>
      <c r="K329" s="5">
        <v>1.0</v>
      </c>
      <c r="L329" s="54"/>
      <c r="M329" s="5" t="s">
        <v>2141</v>
      </c>
      <c r="N329" s="53"/>
      <c r="O329">
        <v>34.9</v>
      </c>
      <c r="P329">
        <v>15.0</v>
      </c>
      <c r="Q329" s="5" t="s">
        <v>603</v>
      </c>
      <c r="R329" s="10">
        <f t="shared" si="10"/>
        <v>1</v>
      </c>
      <c r="S329" s="5" t="s">
        <v>2142</v>
      </c>
      <c r="T329" s="5" t="s">
        <v>2130</v>
      </c>
      <c r="U329" s="5" t="s">
        <v>2143</v>
      </c>
      <c r="V329" s="5"/>
    </row>
    <row r="330" ht="12.75" customHeight="1">
      <c r="A330" s="5">
        <v>78112.0</v>
      </c>
      <c r="B330" s="5" t="s">
        <v>49</v>
      </c>
      <c r="C330" s="52" t="s">
        <v>50</v>
      </c>
      <c r="D330" s="5"/>
      <c r="E330" s="7" t="s">
        <v>2144</v>
      </c>
      <c r="F330" s="5" t="s">
        <v>2015</v>
      </c>
      <c r="G330" s="5" t="s">
        <v>2096</v>
      </c>
      <c r="H330" s="5">
        <v>2015.0</v>
      </c>
      <c r="I330" s="5">
        <v>1.0</v>
      </c>
      <c r="J330" s="5">
        <v>0.0</v>
      </c>
      <c r="K330" s="5">
        <v>1.0</v>
      </c>
      <c r="L330" s="54"/>
      <c r="M330" s="5" t="s">
        <v>2145</v>
      </c>
      <c r="N330" s="53" t="s">
        <v>2146</v>
      </c>
      <c r="O330">
        <v>32.0</v>
      </c>
      <c r="P330">
        <v>30.6</v>
      </c>
      <c r="Q330" s="5" t="s">
        <v>449</v>
      </c>
      <c r="R330" s="10">
        <f t="shared" si="10"/>
        <v>1</v>
      </c>
      <c r="S330" s="5" t="s">
        <v>2147</v>
      </c>
      <c r="T330" s="5" t="s">
        <v>2130</v>
      </c>
      <c r="U330" s="5" t="s">
        <v>2148</v>
      </c>
      <c r="V330" s="5"/>
    </row>
    <row r="331" ht="12.75" customHeight="1">
      <c r="A331" s="5">
        <v>78096.0</v>
      </c>
      <c r="B331" s="5" t="s">
        <v>49</v>
      </c>
      <c r="C331" s="52" t="s">
        <v>50</v>
      </c>
      <c r="D331" s="5"/>
      <c r="E331" s="7" t="s">
        <v>2149</v>
      </c>
      <c r="F331" s="5" t="s">
        <v>2015</v>
      </c>
      <c r="G331" s="5" t="s">
        <v>2096</v>
      </c>
      <c r="H331" s="5">
        <v>2015.0</v>
      </c>
      <c r="I331" s="5">
        <v>7.0</v>
      </c>
      <c r="J331" s="5">
        <v>4.0</v>
      </c>
      <c r="K331" s="5">
        <v>11.0</v>
      </c>
      <c r="L331" s="54"/>
      <c r="M331" s="5" t="s">
        <v>2150</v>
      </c>
      <c r="N331" s="53" t="s">
        <v>2151</v>
      </c>
      <c r="O331">
        <v>36.6</v>
      </c>
      <c r="P331">
        <v>27.9</v>
      </c>
      <c r="Q331" s="5" t="s">
        <v>805</v>
      </c>
      <c r="R331" s="10">
        <f t="shared" si="10"/>
        <v>11</v>
      </c>
      <c r="S331" s="5" t="s">
        <v>2152</v>
      </c>
      <c r="T331" s="6" t="s">
        <v>53</v>
      </c>
      <c r="U331" s="5" t="s">
        <v>2153</v>
      </c>
      <c r="V331" s="5"/>
    </row>
    <row r="332" ht="12.75" customHeight="1">
      <c r="A332" s="5">
        <v>77230.0</v>
      </c>
      <c r="B332" s="5" t="s">
        <v>49</v>
      </c>
      <c r="C332" s="52" t="s">
        <v>50</v>
      </c>
      <c r="D332" s="5"/>
      <c r="E332" s="7" t="s">
        <v>2154</v>
      </c>
      <c r="F332" s="5" t="s">
        <v>2155</v>
      </c>
      <c r="G332" s="5" t="s">
        <v>2156</v>
      </c>
      <c r="H332" s="5">
        <v>2015.0</v>
      </c>
      <c r="I332" s="5">
        <v>5.0</v>
      </c>
      <c r="J332" s="5">
        <v>0.0</v>
      </c>
      <c r="K332" s="5">
        <v>5.0</v>
      </c>
      <c r="L332" s="54"/>
      <c r="M332" s="5" t="s">
        <v>2157</v>
      </c>
      <c r="N332" s="53" t="s">
        <v>2158</v>
      </c>
      <c r="O332">
        <v>36.9</v>
      </c>
      <c r="P332">
        <v>27.4</v>
      </c>
      <c r="Q332" s="5" t="s">
        <v>878</v>
      </c>
      <c r="R332" s="10">
        <f t="shared" si="10"/>
        <v>5</v>
      </c>
      <c r="S332" s="5" t="s">
        <v>2159</v>
      </c>
      <c r="T332" s="6" t="s">
        <v>53</v>
      </c>
      <c r="U332" s="5" t="s">
        <v>2160</v>
      </c>
      <c r="V332" s="5"/>
    </row>
    <row r="333" ht="12.75" customHeight="1">
      <c r="A333" s="5">
        <v>77186.0</v>
      </c>
      <c r="B333" s="5" t="s">
        <v>49</v>
      </c>
      <c r="C333" s="52" t="s">
        <v>50</v>
      </c>
      <c r="D333" s="5"/>
      <c r="E333" s="7" t="s">
        <v>2161</v>
      </c>
      <c r="F333" s="5" t="s">
        <v>2155</v>
      </c>
      <c r="G333" s="5" t="s">
        <v>2156</v>
      </c>
      <c r="H333" s="5">
        <v>2015.0</v>
      </c>
      <c r="I333" s="5">
        <v>4.0</v>
      </c>
      <c r="J333" s="5">
        <v>8.0</v>
      </c>
      <c r="K333" s="5">
        <v>12.0</v>
      </c>
      <c r="L333" s="54"/>
      <c r="M333" s="5" t="s">
        <v>2162</v>
      </c>
      <c r="N333" s="53" t="s">
        <v>2163</v>
      </c>
      <c r="O333">
        <v>29.01</v>
      </c>
      <c r="P333">
        <v>-12.79</v>
      </c>
      <c r="Q333" s="5" t="s">
        <v>398</v>
      </c>
      <c r="R333" s="10">
        <f t="shared" si="10"/>
        <v>12</v>
      </c>
      <c r="S333" s="5" t="s">
        <v>2164</v>
      </c>
      <c r="T333" s="6" t="s">
        <v>1040</v>
      </c>
      <c r="U333" s="5" t="s">
        <v>2165</v>
      </c>
      <c r="V333" s="5"/>
    </row>
    <row r="334" ht="12.75" customHeight="1">
      <c r="A334" s="5">
        <v>76897.0</v>
      </c>
      <c r="B334" s="5" t="s">
        <v>49</v>
      </c>
      <c r="C334" s="52" t="s">
        <v>50</v>
      </c>
      <c r="D334" s="5"/>
      <c r="E334" s="7" t="s">
        <v>2166</v>
      </c>
      <c r="F334" s="5" t="s">
        <v>2155</v>
      </c>
      <c r="G334" s="5" t="s">
        <v>2156</v>
      </c>
      <c r="H334" s="5">
        <v>2015.0</v>
      </c>
      <c r="I334" s="5">
        <v>10.0</v>
      </c>
      <c r="J334" s="5">
        <v>40.0</v>
      </c>
      <c r="K334" s="5">
        <v>50.0</v>
      </c>
      <c r="L334" s="54"/>
      <c r="M334" s="5" t="s">
        <v>2167</v>
      </c>
      <c r="N334" s="53" t="s">
        <v>2168</v>
      </c>
      <c r="O334">
        <v>36.1</v>
      </c>
      <c r="P334">
        <v>15.2</v>
      </c>
      <c r="Q334" s="5" t="s">
        <v>766</v>
      </c>
      <c r="R334" s="10">
        <f t="shared" si="10"/>
        <v>50</v>
      </c>
      <c r="S334" s="5" t="s">
        <v>2169</v>
      </c>
      <c r="T334" s="5" t="s">
        <v>2130</v>
      </c>
      <c r="U334" s="5" t="s">
        <v>254</v>
      </c>
      <c r="V334" s="5"/>
    </row>
    <row r="335" ht="12.75" customHeight="1">
      <c r="A335" s="5">
        <v>77628.0</v>
      </c>
      <c r="B335" s="5" t="s">
        <v>49</v>
      </c>
      <c r="C335" s="52" t="s">
        <v>50</v>
      </c>
      <c r="D335" s="5"/>
      <c r="E335" s="7" t="s">
        <v>2170</v>
      </c>
      <c r="F335" s="5" t="s">
        <v>2155</v>
      </c>
      <c r="G335" s="5" t="s">
        <v>2171</v>
      </c>
      <c r="H335" s="5">
        <v>2015.0</v>
      </c>
      <c r="I335" s="5">
        <v>2.0</v>
      </c>
      <c r="J335" s="5">
        <v>0.0</v>
      </c>
      <c r="K335" s="5">
        <v>2.0</v>
      </c>
      <c r="L335" s="54"/>
      <c r="M335" s="5" t="s">
        <v>2172</v>
      </c>
      <c r="N335" s="53" t="s">
        <v>2173</v>
      </c>
      <c r="O335">
        <v>51.924</v>
      </c>
      <c r="P335">
        <v>1.44</v>
      </c>
      <c r="Q335" s="5" t="s">
        <v>1695</v>
      </c>
      <c r="R335" s="10">
        <f t="shared" si="10"/>
        <v>2</v>
      </c>
      <c r="S335" s="5" t="s">
        <v>2174</v>
      </c>
      <c r="T335" s="5"/>
      <c r="U335" s="5" t="s">
        <v>2175</v>
      </c>
      <c r="V335" s="5"/>
    </row>
    <row r="336" ht="12.75" customHeight="1">
      <c r="A336" s="5">
        <v>76892.0</v>
      </c>
      <c r="B336" s="5" t="s">
        <v>211</v>
      </c>
      <c r="C336" s="5" t="s">
        <v>211</v>
      </c>
      <c r="D336" s="5"/>
      <c r="E336" s="7" t="s">
        <v>2176</v>
      </c>
      <c r="F336" s="5" t="s">
        <v>2155</v>
      </c>
      <c r="G336" s="5" t="s">
        <v>2171</v>
      </c>
      <c r="H336" s="5">
        <v>2015.0</v>
      </c>
      <c r="I336" s="5">
        <v>1.0</v>
      </c>
      <c r="J336" s="5">
        <v>0.0</v>
      </c>
      <c r="K336" s="5">
        <v>1.0</v>
      </c>
      <c r="L336" s="54"/>
      <c r="M336" s="5" t="s">
        <v>2177</v>
      </c>
      <c r="N336" s="53" t="s">
        <v>2178</v>
      </c>
      <c r="O336">
        <v>40.634676</v>
      </c>
      <c r="P336">
        <v>22.943048</v>
      </c>
      <c r="Q336" s="5" t="s">
        <v>1154</v>
      </c>
      <c r="R336" s="10">
        <f t="shared" si="10"/>
        <v>1</v>
      </c>
      <c r="S336" s="5" t="s">
        <v>2179</v>
      </c>
      <c r="T336" s="5"/>
      <c r="U336" s="5" t="s">
        <v>2180</v>
      </c>
      <c r="V336" s="5"/>
    </row>
    <row r="337" ht="12.75" customHeight="1">
      <c r="A337" s="5">
        <v>76382.0</v>
      </c>
      <c r="B337" s="5" t="s">
        <v>49</v>
      </c>
      <c r="C337" s="52" t="s">
        <v>50</v>
      </c>
      <c r="D337" s="5"/>
      <c r="E337" s="7" t="s">
        <v>2181</v>
      </c>
      <c r="F337" s="5" t="s">
        <v>2155</v>
      </c>
      <c r="G337" s="5" t="s">
        <v>2171</v>
      </c>
      <c r="H337" s="5">
        <v>2015.0</v>
      </c>
      <c r="I337" s="5">
        <v>0.0</v>
      </c>
      <c r="J337" s="5">
        <v>300.0</v>
      </c>
      <c r="K337" s="5">
        <v>300.0</v>
      </c>
      <c r="L337" s="54"/>
      <c r="M337" s="5" t="s">
        <v>2182</v>
      </c>
      <c r="N337" s="53" t="s">
        <v>1701</v>
      </c>
      <c r="O337">
        <v>33.7</v>
      </c>
      <c r="P337">
        <v>13.6</v>
      </c>
      <c r="Q337" s="5" t="s">
        <v>550</v>
      </c>
      <c r="R337" s="10">
        <f t="shared" si="10"/>
        <v>300</v>
      </c>
      <c r="S337" s="5" t="s">
        <v>2183</v>
      </c>
      <c r="T337" s="5" t="s">
        <v>2130</v>
      </c>
      <c r="U337" s="5" t="s">
        <v>2184</v>
      </c>
      <c r="V337" s="5"/>
    </row>
    <row r="338" ht="12.75" customHeight="1">
      <c r="A338" s="5">
        <v>76888.0</v>
      </c>
      <c r="B338" s="5" t="s">
        <v>1995</v>
      </c>
      <c r="C338" s="52" t="s">
        <v>50</v>
      </c>
      <c r="D338" s="5"/>
      <c r="E338" s="7" t="s">
        <v>2181</v>
      </c>
      <c r="F338" s="5" t="s">
        <v>2155</v>
      </c>
      <c r="G338" s="5" t="s">
        <v>2171</v>
      </c>
      <c r="H338" s="5">
        <v>2015.0</v>
      </c>
      <c r="I338" s="5">
        <v>1.0</v>
      </c>
      <c r="J338" s="5">
        <v>0.0</v>
      </c>
      <c r="K338" s="5">
        <v>1.0</v>
      </c>
      <c r="L338" s="54"/>
      <c r="M338" s="5" t="s">
        <v>2185</v>
      </c>
      <c r="N338" s="53"/>
      <c r="O338">
        <v>38.1260386</v>
      </c>
      <c r="P338">
        <v>23.7367192</v>
      </c>
      <c r="Q338" s="5" t="s">
        <v>996</v>
      </c>
      <c r="R338" s="10">
        <f t="shared" si="10"/>
        <v>1</v>
      </c>
      <c r="S338" s="5" t="s">
        <v>2186</v>
      </c>
      <c r="T338" s="5"/>
      <c r="U338" s="5" t="s">
        <v>2180</v>
      </c>
      <c r="V338" s="5"/>
    </row>
    <row r="339" ht="12.75" customHeight="1">
      <c r="A339" s="5">
        <v>76304.0</v>
      </c>
      <c r="B339" s="5" t="s">
        <v>636</v>
      </c>
      <c r="C339" s="52" t="s">
        <v>50</v>
      </c>
      <c r="D339" s="5"/>
      <c r="E339" s="7" t="s">
        <v>2187</v>
      </c>
      <c r="F339" s="5" t="s">
        <v>2155</v>
      </c>
      <c r="G339" s="5" t="s">
        <v>2171</v>
      </c>
      <c r="H339" s="5">
        <v>2015.0</v>
      </c>
      <c r="I339" s="5">
        <v>29.0</v>
      </c>
      <c r="J339" s="5">
        <v>0.0</v>
      </c>
      <c r="K339" s="5">
        <v>29.0</v>
      </c>
      <c r="L339" s="54"/>
      <c r="M339" s="5" t="s">
        <v>2188</v>
      </c>
      <c r="N339" s="53" t="s">
        <v>2189</v>
      </c>
      <c r="O339">
        <v>35.4</v>
      </c>
      <c r="P339">
        <v>12.6</v>
      </c>
      <c r="Q339" s="5" t="s">
        <v>659</v>
      </c>
      <c r="R339" s="10">
        <f t="shared" si="10"/>
        <v>51</v>
      </c>
      <c r="S339" s="5" t="s">
        <v>2190</v>
      </c>
      <c r="T339" s="5" t="s">
        <v>2130</v>
      </c>
      <c r="U339" s="5" t="s">
        <v>2191</v>
      </c>
      <c r="V339" s="5"/>
    </row>
    <row r="340" ht="12.75" customHeight="1">
      <c r="A340" s="5">
        <v>76102.0</v>
      </c>
      <c r="B340" s="5" t="s">
        <v>49</v>
      </c>
      <c r="C340" s="52" t="s">
        <v>50</v>
      </c>
      <c r="D340" s="5"/>
      <c r="E340" s="7" t="s">
        <v>2192</v>
      </c>
      <c r="F340" s="5" t="s">
        <v>2155</v>
      </c>
      <c r="G340" s="5" t="s">
        <v>2193</v>
      </c>
      <c r="H340" s="5">
        <v>2015.0</v>
      </c>
      <c r="I340" s="5">
        <v>8.0</v>
      </c>
      <c r="J340" s="5">
        <v>0.0</v>
      </c>
      <c r="K340" s="5">
        <v>8.0</v>
      </c>
      <c r="L340" s="54"/>
      <c r="M340" s="5" t="s">
        <v>2194</v>
      </c>
      <c r="N340" s="53" t="s">
        <v>2195</v>
      </c>
      <c r="O340">
        <v>35.235482</v>
      </c>
      <c r="P340">
        <v>-2.873268</v>
      </c>
      <c r="Q340" s="5" t="s">
        <v>639</v>
      </c>
      <c r="R340" s="10">
        <f t="shared" si="10"/>
        <v>8</v>
      </c>
      <c r="S340" s="5" t="s">
        <v>2196</v>
      </c>
      <c r="T340" s="5" t="s">
        <v>2197</v>
      </c>
      <c r="U340" s="5" t="s">
        <v>950</v>
      </c>
      <c r="V340" s="5"/>
    </row>
    <row r="341" ht="12.75" customHeight="1">
      <c r="A341" s="5">
        <v>75654.0</v>
      </c>
      <c r="B341" s="5" t="s">
        <v>2198</v>
      </c>
      <c r="C341" s="52" t="s">
        <v>50</v>
      </c>
      <c r="D341" s="5"/>
      <c r="E341" s="7" t="s">
        <v>2199</v>
      </c>
      <c r="F341" s="5" t="s">
        <v>2155</v>
      </c>
      <c r="G341" s="5" t="s">
        <v>2193</v>
      </c>
      <c r="H341" s="5">
        <v>2015.0</v>
      </c>
      <c r="I341" s="5">
        <v>1.0</v>
      </c>
      <c r="J341" s="5">
        <v>20.0</v>
      </c>
      <c r="K341" s="5">
        <v>21.0</v>
      </c>
      <c r="L341" s="54"/>
      <c r="M341" s="5" t="s">
        <v>2200</v>
      </c>
      <c r="N341" s="53" t="s">
        <v>2201</v>
      </c>
      <c r="O341">
        <v>35.4</v>
      </c>
      <c r="P341">
        <v>14.0</v>
      </c>
      <c r="Q341" s="5" t="s">
        <v>661</v>
      </c>
      <c r="R341" s="10">
        <f t="shared" si="10"/>
        <v>21</v>
      </c>
      <c r="S341" s="5" t="s">
        <v>2202</v>
      </c>
      <c r="T341" s="5" t="s">
        <v>2130</v>
      </c>
      <c r="U341" s="5" t="s">
        <v>2143</v>
      </c>
      <c r="V341" s="5"/>
    </row>
    <row r="342" ht="12.75" customHeight="1">
      <c r="A342" s="5">
        <v>75619.0</v>
      </c>
      <c r="B342" s="5" t="s">
        <v>763</v>
      </c>
      <c r="C342" s="5" t="s">
        <v>124</v>
      </c>
      <c r="D342" s="5"/>
      <c r="E342" s="7" t="s">
        <v>2203</v>
      </c>
      <c r="F342" s="5" t="s">
        <v>2155</v>
      </c>
      <c r="G342" s="5" t="s">
        <v>2193</v>
      </c>
      <c r="H342" s="5">
        <v>2015.0</v>
      </c>
      <c r="I342" s="5">
        <v>12.0</v>
      </c>
      <c r="J342" s="5">
        <v>0.0</v>
      </c>
      <c r="K342" s="5">
        <v>12.0</v>
      </c>
      <c r="L342" s="54"/>
      <c r="M342" s="5" t="s">
        <v>2204</v>
      </c>
      <c r="N342" s="53" t="s">
        <v>2205</v>
      </c>
      <c r="O342">
        <v>32.5</v>
      </c>
      <c r="P342">
        <v>13.3</v>
      </c>
      <c r="Q342" s="5" t="s">
        <v>474</v>
      </c>
      <c r="R342" s="10">
        <f t="shared" si="10"/>
        <v>12</v>
      </c>
      <c r="S342" s="5" t="s">
        <v>2206</v>
      </c>
      <c r="T342" s="5"/>
      <c r="U342" s="5" t="s">
        <v>2207</v>
      </c>
      <c r="V342" s="5"/>
    </row>
    <row r="343" ht="12.75" customHeight="1">
      <c r="A343" s="5">
        <v>77409.0</v>
      </c>
      <c r="B343" s="5" t="s">
        <v>49</v>
      </c>
      <c r="C343" s="52" t="s">
        <v>50</v>
      </c>
      <c r="D343" s="5"/>
      <c r="E343" s="7" t="s">
        <v>2208</v>
      </c>
      <c r="F343" s="5" t="s">
        <v>2155</v>
      </c>
      <c r="G343" s="5" t="s">
        <v>2193</v>
      </c>
      <c r="H343" s="5">
        <v>2015.0</v>
      </c>
      <c r="I343" s="5">
        <v>6.0</v>
      </c>
      <c r="J343" s="5">
        <v>0.0</v>
      </c>
      <c r="K343" s="5">
        <v>6.0</v>
      </c>
      <c r="L343" s="54"/>
      <c r="M343" s="5" t="s">
        <v>2209</v>
      </c>
      <c r="N343" s="53" t="s">
        <v>2210</v>
      </c>
      <c r="O343">
        <v>36.4</v>
      </c>
      <c r="P343">
        <v>-0.9</v>
      </c>
      <c r="Q343" s="5" t="s">
        <v>792</v>
      </c>
      <c r="R343" s="10">
        <f t="shared" si="10"/>
        <v>6</v>
      </c>
      <c r="S343" s="5" t="s">
        <v>2211</v>
      </c>
      <c r="T343" s="6" t="s">
        <v>72</v>
      </c>
      <c r="U343" s="5" t="s">
        <v>2212</v>
      </c>
      <c r="V343" s="5"/>
    </row>
    <row r="344" ht="12.75" customHeight="1">
      <c r="A344" s="5">
        <v>70800.0</v>
      </c>
      <c r="B344" s="5" t="s">
        <v>1995</v>
      </c>
      <c r="C344" s="52" t="s">
        <v>50</v>
      </c>
      <c r="D344" s="5"/>
      <c r="E344" s="7" t="s">
        <v>2213</v>
      </c>
      <c r="F344" s="5" t="s">
        <v>2214</v>
      </c>
      <c r="G344" s="5" t="s">
        <v>2215</v>
      </c>
      <c r="H344" s="5">
        <v>2014.0</v>
      </c>
      <c r="I344" s="5">
        <v>0.0</v>
      </c>
      <c r="J344" s="5">
        <v>1.0</v>
      </c>
      <c r="K344" s="5">
        <v>1.0</v>
      </c>
      <c r="L344" s="54"/>
      <c r="M344" s="5" t="s">
        <v>2216</v>
      </c>
      <c r="N344" s="53" t="s">
        <v>2217</v>
      </c>
      <c r="O344" s="10">
        <v>33.0</v>
      </c>
      <c r="P344" s="10">
        <v>30.0</v>
      </c>
      <c r="Q344" s="5" t="str">
        <f>O344&amp;", "&amp;P344</f>
        <v>33, 30</v>
      </c>
      <c r="R344" s="10">
        <f t="shared" si="10"/>
        <v>3</v>
      </c>
      <c r="S344" s="5" t="s">
        <v>2218</v>
      </c>
      <c r="T344" s="6" t="s">
        <v>58</v>
      </c>
      <c r="U344" s="5"/>
      <c r="V344" s="5"/>
    </row>
    <row r="345" ht="12.75" customHeight="1">
      <c r="A345" s="5">
        <v>72728.0</v>
      </c>
      <c r="B345" s="5" t="s">
        <v>49</v>
      </c>
      <c r="C345" s="52" t="s">
        <v>50</v>
      </c>
      <c r="D345" s="5" t="s">
        <v>2219</v>
      </c>
      <c r="E345" s="7" t="s">
        <v>2220</v>
      </c>
      <c r="F345" s="5" t="s">
        <v>2214</v>
      </c>
      <c r="G345" s="5" t="s">
        <v>2215</v>
      </c>
      <c r="H345" s="5">
        <v>2014.0</v>
      </c>
      <c r="I345" s="5">
        <v>70.0</v>
      </c>
      <c r="J345" s="5">
        <v>0.0</v>
      </c>
      <c r="K345" s="5">
        <v>70.0</v>
      </c>
      <c r="L345" s="54"/>
      <c r="M345" s="5" t="s">
        <v>2221</v>
      </c>
      <c r="N345" s="53" t="s">
        <v>2222</v>
      </c>
      <c r="O345">
        <v>32.92</v>
      </c>
      <c r="P345">
        <v>13.335</v>
      </c>
      <c r="Q345" s="5" t="s">
        <v>492</v>
      </c>
      <c r="R345" s="10">
        <f t="shared" si="10"/>
        <v>70</v>
      </c>
      <c r="S345" s="5" t="s">
        <v>2223</v>
      </c>
      <c r="T345" s="5" t="s">
        <v>2130</v>
      </c>
      <c r="U345" s="5" t="s">
        <v>950</v>
      </c>
      <c r="V345" s="5"/>
    </row>
    <row r="346" ht="12.75" customHeight="1">
      <c r="A346" s="5">
        <v>57511.0</v>
      </c>
      <c r="B346" s="5" t="s">
        <v>49</v>
      </c>
      <c r="C346" s="52" t="s">
        <v>50</v>
      </c>
      <c r="D346" s="5"/>
      <c r="E346" s="7" t="s">
        <v>2224</v>
      </c>
      <c r="F346" s="5" t="s">
        <v>2214</v>
      </c>
      <c r="G346" s="5" t="s">
        <v>2215</v>
      </c>
      <c r="H346" s="5">
        <v>2014.0</v>
      </c>
      <c r="I346" s="5">
        <v>10.0</v>
      </c>
      <c r="J346" s="5">
        <v>35.0</v>
      </c>
      <c r="K346" s="5">
        <v>45.0</v>
      </c>
      <c r="L346" s="54"/>
      <c r="M346" s="5" t="s">
        <v>2225</v>
      </c>
      <c r="N346" s="53" t="s">
        <v>2226</v>
      </c>
      <c r="O346">
        <v>33.3</v>
      </c>
      <c r="P346">
        <v>13.6</v>
      </c>
      <c r="Q346" s="5" t="s">
        <v>527</v>
      </c>
      <c r="R346" s="10">
        <f t="shared" si="10"/>
        <v>45</v>
      </c>
      <c r="S346" s="5" t="s">
        <v>2227</v>
      </c>
      <c r="T346" s="5" t="s">
        <v>2130</v>
      </c>
      <c r="U346" s="5" t="s">
        <v>254</v>
      </c>
      <c r="V346" s="5"/>
    </row>
    <row r="347" ht="12.75" customHeight="1">
      <c r="A347" s="5">
        <v>57360.0</v>
      </c>
      <c r="B347" s="5" t="s">
        <v>49</v>
      </c>
      <c r="C347" s="52" t="s">
        <v>50</v>
      </c>
      <c r="D347" s="5"/>
      <c r="E347" s="7" t="s">
        <v>2228</v>
      </c>
      <c r="F347" s="5" t="s">
        <v>2214</v>
      </c>
      <c r="G347" s="5" t="s">
        <v>2215</v>
      </c>
      <c r="H347" s="5">
        <v>2014.0</v>
      </c>
      <c r="I347" s="5">
        <v>3.0</v>
      </c>
      <c r="J347" s="5">
        <v>3.0</v>
      </c>
      <c r="K347" s="5">
        <v>6.0</v>
      </c>
      <c r="L347" s="54"/>
      <c r="M347" s="5" t="s">
        <v>2229</v>
      </c>
      <c r="N347" s="53" t="s">
        <v>2230</v>
      </c>
      <c r="O347">
        <v>33.0</v>
      </c>
      <c r="P347">
        <v>13.4</v>
      </c>
      <c r="Q347" s="5" t="s">
        <v>505</v>
      </c>
      <c r="R347" s="10">
        <f t="shared" si="10"/>
        <v>6</v>
      </c>
      <c r="S347" s="5" t="s">
        <v>2231</v>
      </c>
      <c r="T347" s="6" t="s">
        <v>58</v>
      </c>
      <c r="U347" s="5" t="s">
        <v>254</v>
      </c>
      <c r="V347" s="5"/>
    </row>
    <row r="348" ht="12.75" customHeight="1">
      <c r="A348" s="5">
        <v>57331.0</v>
      </c>
      <c r="B348" s="5" t="s">
        <v>49</v>
      </c>
      <c r="C348" s="52" t="s">
        <v>50</v>
      </c>
      <c r="D348" s="5"/>
      <c r="E348" s="7" t="s">
        <v>2232</v>
      </c>
      <c r="F348" s="5" t="s">
        <v>2214</v>
      </c>
      <c r="G348" s="5" t="s">
        <v>2215</v>
      </c>
      <c r="H348" s="5">
        <v>2014.0</v>
      </c>
      <c r="I348" s="5">
        <v>0.0</v>
      </c>
      <c r="J348" s="5">
        <v>225.0</v>
      </c>
      <c r="K348" s="5">
        <v>225.0</v>
      </c>
      <c r="L348" s="54"/>
      <c r="M348" s="5" t="s">
        <v>2233</v>
      </c>
      <c r="N348" s="53" t="s">
        <v>2234</v>
      </c>
      <c r="O348">
        <v>33.4</v>
      </c>
      <c r="P348">
        <v>13.3</v>
      </c>
      <c r="Q348" s="5" t="s">
        <v>532</v>
      </c>
      <c r="R348" s="10">
        <f t="shared" si="10"/>
        <v>225</v>
      </c>
      <c r="S348" s="5" t="s">
        <v>2235</v>
      </c>
      <c r="T348" s="5" t="s">
        <v>2130</v>
      </c>
      <c r="U348" s="5" t="s">
        <v>2236</v>
      </c>
      <c r="V348" s="5"/>
    </row>
    <row r="349" ht="12.75" customHeight="1">
      <c r="A349" s="5">
        <v>57302.0</v>
      </c>
      <c r="B349" s="5" t="s">
        <v>49</v>
      </c>
      <c r="C349" s="52" t="s">
        <v>50</v>
      </c>
      <c r="D349" s="5"/>
      <c r="E349" s="7" t="s">
        <v>2237</v>
      </c>
      <c r="F349" s="5" t="s">
        <v>2214</v>
      </c>
      <c r="G349" s="5" t="s">
        <v>2215</v>
      </c>
      <c r="H349" s="5">
        <v>2014.0</v>
      </c>
      <c r="I349" s="5">
        <v>15.0</v>
      </c>
      <c r="J349" s="5">
        <v>0.0</v>
      </c>
      <c r="K349" s="5">
        <v>15.0</v>
      </c>
      <c r="L349" s="54"/>
      <c r="M349" s="5" t="s">
        <v>2238</v>
      </c>
      <c r="N349" s="53" t="s">
        <v>2239</v>
      </c>
      <c r="O349">
        <v>32.3</v>
      </c>
      <c r="P349">
        <v>29.7</v>
      </c>
      <c r="Q349" s="5" t="s">
        <v>462</v>
      </c>
      <c r="R349" s="10">
        <f t="shared" si="10"/>
        <v>15</v>
      </c>
      <c r="S349" s="5" t="s">
        <v>2240</v>
      </c>
      <c r="T349" s="5" t="s">
        <v>2130</v>
      </c>
      <c r="U349" s="5" t="s">
        <v>2241</v>
      </c>
      <c r="V349" s="5"/>
    </row>
    <row r="350" ht="12.75" customHeight="1">
      <c r="A350" s="5">
        <v>57234.0</v>
      </c>
      <c r="B350" s="5" t="s">
        <v>49</v>
      </c>
      <c r="C350" s="52" t="s">
        <v>50</v>
      </c>
      <c r="D350" s="5"/>
      <c r="E350" s="7" t="s">
        <v>2242</v>
      </c>
      <c r="F350" s="5" t="s">
        <v>2214</v>
      </c>
      <c r="G350" s="5" t="s">
        <v>2215</v>
      </c>
      <c r="H350" s="5">
        <v>2014.0</v>
      </c>
      <c r="I350" s="5">
        <v>7.0</v>
      </c>
      <c r="J350" s="5">
        <v>0.0</v>
      </c>
      <c r="K350" s="5">
        <v>500.0</v>
      </c>
      <c r="L350" s="54"/>
      <c r="M350" s="5" t="s">
        <v>2243</v>
      </c>
      <c r="N350" s="53" t="s">
        <v>2244</v>
      </c>
      <c r="O350">
        <v>34.1</v>
      </c>
      <c r="P350">
        <v>15.7</v>
      </c>
      <c r="Q350" s="5" t="s">
        <v>577</v>
      </c>
      <c r="R350" s="10">
        <f t="shared" si="10"/>
        <v>500</v>
      </c>
      <c r="S350" s="5" t="s">
        <v>2245</v>
      </c>
      <c r="T350" s="5" t="s">
        <v>2130</v>
      </c>
      <c r="U350" s="5" t="s">
        <v>2246</v>
      </c>
      <c r="V350" s="5"/>
    </row>
    <row r="351" ht="12.75" customHeight="1">
      <c r="A351" s="5">
        <v>72730.0</v>
      </c>
      <c r="B351" s="5" t="s">
        <v>49</v>
      </c>
      <c r="C351" s="52" t="s">
        <v>50</v>
      </c>
      <c r="D351" s="5" t="s">
        <v>2219</v>
      </c>
      <c r="E351" s="7" t="s">
        <v>2242</v>
      </c>
      <c r="F351" s="5" t="s">
        <v>2214</v>
      </c>
      <c r="G351" s="5" t="s">
        <v>2215</v>
      </c>
      <c r="H351" s="5">
        <v>2014.0</v>
      </c>
      <c r="I351" s="5">
        <v>2.0</v>
      </c>
      <c r="J351" s="5">
        <v>0.0</v>
      </c>
      <c r="K351" s="5">
        <v>2.0</v>
      </c>
      <c r="L351" s="54"/>
      <c r="M351" s="5" t="s">
        <v>2247</v>
      </c>
      <c r="N351" s="53" t="s">
        <v>2201</v>
      </c>
      <c r="O351">
        <v>35.0</v>
      </c>
      <c r="P351">
        <v>16.0</v>
      </c>
      <c r="Q351" s="5" t="s">
        <v>613</v>
      </c>
      <c r="R351" s="10">
        <f t="shared" si="10"/>
        <v>2</v>
      </c>
      <c r="S351" s="5" t="s">
        <v>2248</v>
      </c>
      <c r="T351" s="5" t="s">
        <v>2130</v>
      </c>
      <c r="U351" s="5" t="s">
        <v>254</v>
      </c>
      <c r="V351" s="5"/>
    </row>
    <row r="352" ht="12.75" customHeight="1">
      <c r="A352" s="5">
        <v>72732.0</v>
      </c>
      <c r="B352" s="5" t="s">
        <v>49</v>
      </c>
      <c r="C352" s="52" t="s">
        <v>50</v>
      </c>
      <c r="D352" s="5" t="s">
        <v>2219</v>
      </c>
      <c r="E352" s="7" t="s">
        <v>2249</v>
      </c>
      <c r="F352" s="5" t="s">
        <v>2214</v>
      </c>
      <c r="G352" s="5" t="s">
        <v>2215</v>
      </c>
      <c r="H352" s="5">
        <v>2014.0</v>
      </c>
      <c r="I352" s="5">
        <v>160.0</v>
      </c>
      <c r="J352" s="5">
        <v>0.0</v>
      </c>
      <c r="K352" s="5">
        <v>160.0</v>
      </c>
      <c r="L352" s="54"/>
      <c r="M352" s="5" t="s">
        <v>2250</v>
      </c>
      <c r="N352" s="53" t="s">
        <v>1701</v>
      </c>
      <c r="O352">
        <v>33.1</v>
      </c>
      <c r="P352">
        <v>13.3</v>
      </c>
      <c r="Q352" s="5" t="s">
        <v>517</v>
      </c>
      <c r="R352" s="10">
        <f t="shared" si="10"/>
        <v>160</v>
      </c>
      <c r="S352" s="5" t="s">
        <v>2251</v>
      </c>
      <c r="T352" s="5" t="s">
        <v>2130</v>
      </c>
      <c r="U352" s="5" t="s">
        <v>66</v>
      </c>
      <c r="V352" s="5"/>
    </row>
    <row r="353" ht="12.75" customHeight="1">
      <c r="A353" s="5">
        <v>72734.0</v>
      </c>
      <c r="B353" s="5" t="s">
        <v>49</v>
      </c>
      <c r="C353" s="52" t="s">
        <v>50</v>
      </c>
      <c r="D353" s="5" t="s">
        <v>2219</v>
      </c>
      <c r="E353" s="7" t="s">
        <v>2252</v>
      </c>
      <c r="F353" s="5" t="s">
        <v>2214</v>
      </c>
      <c r="G353" s="5" t="s">
        <v>2253</v>
      </c>
      <c r="H353" s="5">
        <v>2014.0</v>
      </c>
      <c r="I353" s="5">
        <v>15.0</v>
      </c>
      <c r="J353" s="5">
        <v>0.0</v>
      </c>
      <c r="K353" s="5">
        <v>15.0</v>
      </c>
      <c r="L353" s="54"/>
      <c r="M353" s="5" t="s">
        <v>2254</v>
      </c>
      <c r="N353" s="53" t="s">
        <v>2222</v>
      </c>
      <c r="O353">
        <v>33.0</v>
      </c>
      <c r="P353">
        <v>14.0</v>
      </c>
      <c r="Q353" s="5" t="s">
        <v>509</v>
      </c>
      <c r="R353" s="10">
        <f t="shared" si="10"/>
        <v>115</v>
      </c>
      <c r="S353" s="5" t="s">
        <v>2255</v>
      </c>
      <c r="T353" s="5" t="s">
        <v>2130</v>
      </c>
      <c r="U353" s="5" t="s">
        <v>254</v>
      </c>
      <c r="V353" s="5"/>
    </row>
    <row r="354" ht="12.75" customHeight="1">
      <c r="A354" s="5">
        <v>56657.0</v>
      </c>
      <c r="B354" s="5" t="s">
        <v>49</v>
      </c>
      <c r="C354" s="52" t="s">
        <v>50</v>
      </c>
      <c r="D354" s="5"/>
      <c r="E354" s="7" t="s">
        <v>2252</v>
      </c>
      <c r="F354" s="5" t="s">
        <v>2214</v>
      </c>
      <c r="G354" s="5" t="s">
        <v>2253</v>
      </c>
      <c r="H354" s="5">
        <v>2014.0</v>
      </c>
      <c r="I354" s="5">
        <v>0.0</v>
      </c>
      <c r="J354" s="5">
        <v>100.0</v>
      </c>
      <c r="K354" s="5">
        <v>100.0</v>
      </c>
      <c r="L354" s="54"/>
      <c r="M354" s="5" t="s">
        <v>2256</v>
      </c>
      <c r="N354" s="53" t="s">
        <v>2257</v>
      </c>
      <c r="O354">
        <v>33.0</v>
      </c>
      <c r="P354">
        <v>14.0</v>
      </c>
      <c r="Q354" s="5" t="s">
        <v>509</v>
      </c>
      <c r="R354" s="10">
        <f t="shared" si="10"/>
        <v>115</v>
      </c>
      <c r="S354" s="5" t="s">
        <v>2258</v>
      </c>
      <c r="T354" s="5" t="s">
        <v>2130</v>
      </c>
      <c r="U354" s="5" t="s">
        <v>950</v>
      </c>
      <c r="V354" s="5"/>
    </row>
    <row r="355" ht="12.75" customHeight="1">
      <c r="A355" s="5">
        <v>72736.0</v>
      </c>
      <c r="B355" s="5" t="s">
        <v>49</v>
      </c>
      <c r="C355" s="52" t="s">
        <v>50</v>
      </c>
      <c r="D355" s="5" t="s">
        <v>2219</v>
      </c>
      <c r="E355" s="7" t="s">
        <v>2259</v>
      </c>
      <c r="F355" s="5" t="s">
        <v>2214</v>
      </c>
      <c r="G355" s="5" t="s">
        <v>2253</v>
      </c>
      <c r="H355" s="5">
        <v>2014.0</v>
      </c>
      <c r="I355" s="5">
        <v>36.0</v>
      </c>
      <c r="J355" s="5">
        <v>0.0</v>
      </c>
      <c r="K355" s="5">
        <v>36.0</v>
      </c>
      <c r="L355" s="54"/>
      <c r="M355" s="5" t="s">
        <v>2260</v>
      </c>
      <c r="N355" s="53" t="s">
        <v>2261</v>
      </c>
      <c r="O355">
        <v>34.1</v>
      </c>
      <c r="P355">
        <v>12.3</v>
      </c>
      <c r="Q355" s="5" t="s">
        <v>573</v>
      </c>
      <c r="R355" s="10">
        <f t="shared" si="10"/>
        <v>36</v>
      </c>
      <c r="S355" s="5" t="s">
        <v>2262</v>
      </c>
      <c r="T355" s="5" t="s">
        <v>2130</v>
      </c>
      <c r="U355" s="5" t="s">
        <v>92</v>
      </c>
      <c r="V355" s="5"/>
    </row>
    <row r="356" ht="12.75" customHeight="1">
      <c r="A356" s="5">
        <v>56633.0</v>
      </c>
      <c r="B356" s="5" t="s">
        <v>49</v>
      </c>
      <c r="C356" s="52" t="s">
        <v>50</v>
      </c>
      <c r="D356" s="5"/>
      <c r="E356" s="7" t="s">
        <v>2263</v>
      </c>
      <c r="F356" s="5" t="s">
        <v>2214</v>
      </c>
      <c r="G356" s="5" t="s">
        <v>2253</v>
      </c>
      <c r="H356" s="5">
        <v>2014.0</v>
      </c>
      <c r="I356" s="5">
        <v>41.0</v>
      </c>
      <c r="J356" s="5">
        <v>0.0</v>
      </c>
      <c r="K356" s="5">
        <v>41.0</v>
      </c>
      <c r="L356" s="54"/>
      <c r="M356" s="5" t="s">
        <v>2264</v>
      </c>
      <c r="N356" s="53" t="s">
        <v>2265</v>
      </c>
      <c r="O356">
        <v>33.0</v>
      </c>
      <c r="P356">
        <v>12.1</v>
      </c>
      <c r="Q356" s="5" t="s">
        <v>499</v>
      </c>
      <c r="R356" s="10">
        <f t="shared" si="10"/>
        <v>41</v>
      </c>
      <c r="S356" s="5" t="s">
        <v>2266</v>
      </c>
      <c r="T356" s="5" t="s">
        <v>2130</v>
      </c>
      <c r="U356" s="5" t="s">
        <v>254</v>
      </c>
      <c r="V356" s="5"/>
    </row>
    <row r="357" ht="12.75" customHeight="1">
      <c r="A357" s="5">
        <v>63119.0</v>
      </c>
      <c r="B357" s="5" t="s">
        <v>68</v>
      </c>
      <c r="C357" s="5" t="s">
        <v>69</v>
      </c>
      <c r="D357" s="5"/>
      <c r="E357" s="7" t="s">
        <v>2267</v>
      </c>
      <c r="F357" s="5" t="s">
        <v>2214</v>
      </c>
      <c r="G357" s="5" t="s">
        <v>2253</v>
      </c>
      <c r="H357" s="5">
        <v>2014.0</v>
      </c>
      <c r="I357" s="5">
        <v>1.0</v>
      </c>
      <c r="J357" s="5">
        <v>0.0</v>
      </c>
      <c r="K357" s="5">
        <v>1.0</v>
      </c>
      <c r="L357" s="54"/>
      <c r="M357" s="5"/>
      <c r="N357" s="53" t="s">
        <v>2268</v>
      </c>
      <c r="O357">
        <v>52.314079</v>
      </c>
      <c r="P357">
        <v>4.975107</v>
      </c>
      <c r="Q357" s="5" t="s">
        <v>1743</v>
      </c>
      <c r="R357" s="10">
        <f t="shared" si="10"/>
        <v>1</v>
      </c>
      <c r="S357" s="5" t="s">
        <v>2269</v>
      </c>
      <c r="T357" s="5"/>
      <c r="U357" s="5" t="s">
        <v>2270</v>
      </c>
      <c r="V357" s="5"/>
    </row>
    <row r="358" ht="12.75" customHeight="1">
      <c r="A358" s="5">
        <v>56549.0</v>
      </c>
      <c r="B358" s="5" t="s">
        <v>49</v>
      </c>
      <c r="C358" s="52" t="s">
        <v>50</v>
      </c>
      <c r="D358" s="5"/>
      <c r="E358" s="7" t="s">
        <v>2271</v>
      </c>
      <c r="F358" s="5" t="s">
        <v>2214</v>
      </c>
      <c r="G358" s="5" t="s">
        <v>2253</v>
      </c>
      <c r="H358" s="5">
        <v>2014.0</v>
      </c>
      <c r="I358" s="5">
        <v>24.0</v>
      </c>
      <c r="J358" s="5">
        <v>0.0</v>
      </c>
      <c r="K358" s="5">
        <v>24.0</v>
      </c>
      <c r="L358" s="54"/>
      <c r="M358" s="5" t="s">
        <v>2272</v>
      </c>
      <c r="N358" s="53" t="s">
        <v>2273</v>
      </c>
      <c r="O358">
        <v>33.0</v>
      </c>
      <c r="P358">
        <v>13.1</v>
      </c>
      <c r="Q358" s="5" t="s">
        <v>504</v>
      </c>
      <c r="R358" s="10">
        <f t="shared" si="10"/>
        <v>24</v>
      </c>
      <c r="S358" s="5" t="s">
        <v>2274</v>
      </c>
      <c r="T358" s="5" t="s">
        <v>2130</v>
      </c>
      <c r="U358" s="5" t="s">
        <v>88</v>
      </c>
      <c r="V358" s="5"/>
    </row>
    <row r="359" ht="12.75" customHeight="1">
      <c r="A359" s="5">
        <v>72738.0</v>
      </c>
      <c r="B359" s="5" t="s">
        <v>68</v>
      </c>
      <c r="C359" s="5" t="s">
        <v>69</v>
      </c>
      <c r="D359" s="5" t="s">
        <v>2219</v>
      </c>
      <c r="E359" s="7" t="s">
        <v>2271</v>
      </c>
      <c r="F359" s="5" t="s">
        <v>2214</v>
      </c>
      <c r="G359" s="5" t="s">
        <v>2253</v>
      </c>
      <c r="H359" s="5">
        <v>2014.0</v>
      </c>
      <c r="I359" s="5">
        <v>18.0</v>
      </c>
      <c r="J359" s="5">
        <v>0.0</v>
      </c>
      <c r="K359" s="5">
        <v>18.0</v>
      </c>
      <c r="L359" s="54"/>
      <c r="M359" s="5" t="s">
        <v>2275</v>
      </c>
      <c r="N359" s="53" t="s">
        <v>2189</v>
      </c>
      <c r="O359">
        <v>35.4</v>
      </c>
      <c r="P359">
        <v>12.6</v>
      </c>
      <c r="Q359" s="5" t="s">
        <v>659</v>
      </c>
      <c r="R359" s="10">
        <f t="shared" si="10"/>
        <v>51</v>
      </c>
      <c r="S359" s="5" t="s">
        <v>2276</v>
      </c>
      <c r="T359" s="5" t="s">
        <v>2130</v>
      </c>
      <c r="U359" s="5" t="s">
        <v>254</v>
      </c>
      <c r="V359" s="5"/>
    </row>
    <row r="360" ht="12.75" customHeight="1">
      <c r="A360" s="5">
        <v>56520.0</v>
      </c>
      <c r="B360" s="5" t="s">
        <v>68</v>
      </c>
      <c r="C360" s="5" t="s">
        <v>69</v>
      </c>
      <c r="D360" s="5"/>
      <c r="E360" s="7" t="s">
        <v>2277</v>
      </c>
      <c r="F360" s="5" t="s">
        <v>2214</v>
      </c>
      <c r="G360" s="5" t="s">
        <v>2253</v>
      </c>
      <c r="H360" s="5">
        <v>2014.0</v>
      </c>
      <c r="I360" s="5">
        <v>18.0</v>
      </c>
      <c r="J360" s="5">
        <v>0.0</v>
      </c>
      <c r="K360" s="5">
        <v>18.0</v>
      </c>
      <c r="L360" s="54"/>
      <c r="M360" s="5" t="s">
        <v>2278</v>
      </c>
      <c r="N360" s="53" t="s">
        <v>2279</v>
      </c>
      <c r="O360">
        <v>33.7</v>
      </c>
      <c r="P360">
        <v>14.05</v>
      </c>
      <c r="Q360" s="5" t="s">
        <v>551</v>
      </c>
      <c r="R360" s="10">
        <f t="shared" si="10"/>
        <v>18</v>
      </c>
      <c r="S360" s="5" t="s">
        <v>2280</v>
      </c>
      <c r="T360" s="5" t="s">
        <v>2130</v>
      </c>
      <c r="U360" s="5" t="s">
        <v>2281</v>
      </c>
      <c r="V360" s="5"/>
    </row>
    <row r="361" ht="12.75" customHeight="1">
      <c r="A361" s="5">
        <v>56524.0</v>
      </c>
      <c r="B361" s="5" t="s">
        <v>68</v>
      </c>
      <c r="C361" s="5" t="s">
        <v>69</v>
      </c>
      <c r="D361" s="5"/>
      <c r="E361" s="7" t="s">
        <v>2282</v>
      </c>
      <c r="F361" s="5" t="s">
        <v>2214</v>
      </c>
      <c r="G361" s="5" t="s">
        <v>2253</v>
      </c>
      <c r="H361" s="5">
        <v>2014.0</v>
      </c>
      <c r="I361" s="5">
        <v>0.0</v>
      </c>
      <c r="J361" s="5">
        <v>250.0</v>
      </c>
      <c r="K361" s="5">
        <v>270.0</v>
      </c>
      <c r="L361" s="54"/>
      <c r="M361" s="5" t="s">
        <v>2283</v>
      </c>
      <c r="N361" s="53" t="s">
        <v>2284</v>
      </c>
      <c r="O361">
        <v>32.9</v>
      </c>
      <c r="P361">
        <v>13.5</v>
      </c>
      <c r="Q361" s="5" t="s">
        <v>490</v>
      </c>
      <c r="R361" s="10">
        <f t="shared" si="10"/>
        <v>270</v>
      </c>
      <c r="S361" s="5" t="s">
        <v>2285</v>
      </c>
      <c r="T361" s="5" t="s">
        <v>2130</v>
      </c>
      <c r="U361" s="5" t="s">
        <v>2286</v>
      </c>
      <c r="V361" s="5"/>
    </row>
    <row r="362" ht="12.75" customHeight="1">
      <c r="A362" s="5">
        <v>72740.0</v>
      </c>
      <c r="B362" s="5" t="s">
        <v>1161</v>
      </c>
      <c r="C362" s="5" t="s">
        <v>124</v>
      </c>
      <c r="D362" s="5" t="s">
        <v>2219</v>
      </c>
      <c r="E362" s="7" t="s">
        <v>2282</v>
      </c>
      <c r="F362" s="5" t="s">
        <v>2214</v>
      </c>
      <c r="G362" s="5" t="s">
        <v>2253</v>
      </c>
      <c r="H362" s="5">
        <v>2014.0</v>
      </c>
      <c r="I362" s="5">
        <v>1.0</v>
      </c>
      <c r="J362" s="5">
        <v>0.0</v>
      </c>
      <c r="K362" s="5">
        <v>1.0</v>
      </c>
      <c r="L362" s="54"/>
      <c r="M362" s="5" t="s">
        <v>2287</v>
      </c>
      <c r="N362" s="53" t="s">
        <v>2288</v>
      </c>
      <c r="O362">
        <v>36.0</v>
      </c>
      <c r="P362">
        <v>27.0</v>
      </c>
      <c r="Q362" s="5" t="s">
        <v>756</v>
      </c>
      <c r="R362" s="10">
        <f t="shared" si="10"/>
        <v>5</v>
      </c>
      <c r="S362" s="5" t="s">
        <v>2289</v>
      </c>
      <c r="T362" s="6" t="s">
        <v>53</v>
      </c>
      <c r="U362" s="5" t="s">
        <v>254</v>
      </c>
      <c r="V362" s="5"/>
    </row>
    <row r="363" ht="12.75" customHeight="1">
      <c r="A363" s="5">
        <v>56597.0</v>
      </c>
      <c r="B363" s="5" t="s">
        <v>1076</v>
      </c>
      <c r="C363" s="52" t="s">
        <v>42</v>
      </c>
      <c r="D363" s="5"/>
      <c r="E363" s="7" t="s">
        <v>2290</v>
      </c>
      <c r="F363" s="5" t="s">
        <v>2214</v>
      </c>
      <c r="G363" s="5" t="s">
        <v>2253</v>
      </c>
      <c r="H363" s="5">
        <v>2014.0</v>
      </c>
      <c r="I363" s="5">
        <v>1.0</v>
      </c>
      <c r="J363" s="5">
        <v>0.0</v>
      </c>
      <c r="K363" s="5">
        <v>1.0</v>
      </c>
      <c r="L363" s="54"/>
      <c r="M363" s="5" t="s">
        <v>2291</v>
      </c>
      <c r="N363" s="53" t="s">
        <v>2292</v>
      </c>
      <c r="O363">
        <v>48.9</v>
      </c>
      <c r="P363">
        <v>2.4</v>
      </c>
      <c r="Q363" s="5" t="s">
        <v>1449</v>
      </c>
      <c r="R363" s="10">
        <f t="shared" si="10"/>
        <v>1</v>
      </c>
      <c r="S363" s="5" t="s">
        <v>2293</v>
      </c>
      <c r="T363" s="5"/>
      <c r="U363" s="5" t="s">
        <v>2294</v>
      </c>
      <c r="V363" s="5"/>
    </row>
    <row r="364" ht="12.75" customHeight="1">
      <c r="A364" s="5">
        <v>56101.0</v>
      </c>
      <c r="B364" s="5" t="s">
        <v>68</v>
      </c>
      <c r="C364" s="5" t="s">
        <v>69</v>
      </c>
      <c r="D364" s="5"/>
      <c r="E364" s="7" t="s">
        <v>2295</v>
      </c>
      <c r="F364" s="5" t="s">
        <v>2214</v>
      </c>
      <c r="G364" s="5" t="s">
        <v>2253</v>
      </c>
      <c r="H364" s="5">
        <v>2014.0</v>
      </c>
      <c r="I364" s="5">
        <v>1.0</v>
      </c>
      <c r="J364" s="5">
        <v>0.0</v>
      </c>
      <c r="K364" s="5">
        <v>1.0</v>
      </c>
      <c r="L364" s="54"/>
      <c r="M364" s="5" t="s">
        <v>2296</v>
      </c>
      <c r="N364" s="53" t="s">
        <v>2297</v>
      </c>
      <c r="O364">
        <v>51.46046</v>
      </c>
      <c r="P364">
        <v>0.344943</v>
      </c>
      <c r="Q364" s="5" t="s">
        <v>1634</v>
      </c>
      <c r="R364" s="10">
        <f t="shared" si="10"/>
        <v>1</v>
      </c>
      <c r="S364" s="5" t="s">
        <v>2298</v>
      </c>
      <c r="T364" s="5"/>
      <c r="U364" s="5" t="s">
        <v>2299</v>
      </c>
      <c r="V364" s="5"/>
    </row>
    <row r="365" ht="12.75" customHeight="1">
      <c r="A365" s="5">
        <v>55859.0</v>
      </c>
      <c r="B365" s="5" t="s">
        <v>68</v>
      </c>
      <c r="C365" s="5" t="s">
        <v>69</v>
      </c>
      <c r="D365" s="5"/>
      <c r="E365" s="7" t="s">
        <v>2300</v>
      </c>
      <c r="F365" s="5" t="s">
        <v>2214</v>
      </c>
      <c r="G365" s="5" t="s">
        <v>2253</v>
      </c>
      <c r="H365" s="5">
        <v>2014.0</v>
      </c>
      <c r="I365" s="5">
        <v>2.0</v>
      </c>
      <c r="J365" s="5">
        <v>0.0</v>
      </c>
      <c r="K365" s="5">
        <v>2.0</v>
      </c>
      <c r="L365" s="54"/>
      <c r="M365" s="5" t="s">
        <v>2301</v>
      </c>
      <c r="N365" s="53" t="s">
        <v>2302</v>
      </c>
      <c r="O365" s="10">
        <v>33.0</v>
      </c>
      <c r="P365" s="10">
        <v>30.0</v>
      </c>
      <c r="Q365" s="5" t="str">
        <f>O365&amp;", "&amp;P365</f>
        <v>33, 30</v>
      </c>
      <c r="R365" s="10">
        <f t="shared" si="10"/>
        <v>3</v>
      </c>
      <c r="S365" s="5" t="s">
        <v>2303</v>
      </c>
      <c r="T365" s="5" t="s">
        <v>58</v>
      </c>
      <c r="U365" s="5" t="s">
        <v>2281</v>
      </c>
      <c r="V365" s="5"/>
    </row>
    <row r="366" ht="12.75" customHeight="1">
      <c r="A366" s="5">
        <v>72742.0</v>
      </c>
      <c r="B366" s="5" t="s">
        <v>49</v>
      </c>
      <c r="C366" s="52" t="s">
        <v>50</v>
      </c>
      <c r="D366" s="5" t="s">
        <v>2219</v>
      </c>
      <c r="E366" s="7" t="s">
        <v>2304</v>
      </c>
      <c r="F366" s="5" t="s">
        <v>2214</v>
      </c>
      <c r="G366" s="5" t="s">
        <v>2305</v>
      </c>
      <c r="H366" s="5">
        <v>2014.0</v>
      </c>
      <c r="I366" s="5">
        <v>150.0</v>
      </c>
      <c r="J366" s="5">
        <v>0.0</v>
      </c>
      <c r="K366" s="5">
        <v>150.0</v>
      </c>
      <c r="L366" s="54"/>
      <c r="M366" s="5" t="s">
        <v>2306</v>
      </c>
      <c r="N366" s="53" t="s">
        <v>1701</v>
      </c>
      <c r="O366">
        <v>32.857</v>
      </c>
      <c r="P366">
        <v>14.306</v>
      </c>
      <c r="Q366" s="5" t="s">
        <v>478</v>
      </c>
      <c r="R366" s="10">
        <f t="shared" si="10"/>
        <v>150</v>
      </c>
      <c r="S366" s="5" t="s">
        <v>2307</v>
      </c>
      <c r="T366" s="5" t="s">
        <v>2130</v>
      </c>
      <c r="U366" s="5" t="s">
        <v>2308</v>
      </c>
      <c r="V366" s="5"/>
    </row>
    <row r="367" ht="12.75" customHeight="1">
      <c r="A367" s="5">
        <v>55669.0</v>
      </c>
      <c r="B367" s="5" t="s">
        <v>49</v>
      </c>
      <c r="C367" s="52" t="s">
        <v>50</v>
      </c>
      <c r="D367" s="5"/>
      <c r="E367" s="7" t="s">
        <v>2309</v>
      </c>
      <c r="F367" s="5" t="s">
        <v>2214</v>
      </c>
      <c r="G367" s="5" t="s">
        <v>2305</v>
      </c>
      <c r="H367" s="5">
        <v>2014.0</v>
      </c>
      <c r="I367" s="5">
        <v>20.0</v>
      </c>
      <c r="J367" s="5">
        <v>108.0</v>
      </c>
      <c r="K367" s="5">
        <v>128.0</v>
      </c>
      <c r="L367" s="54"/>
      <c r="M367" s="5" t="s">
        <v>2310</v>
      </c>
      <c r="N367" s="53" t="s">
        <v>2311</v>
      </c>
      <c r="O367">
        <v>33.04</v>
      </c>
      <c r="P367">
        <v>12.23</v>
      </c>
      <c r="Q367" s="5" t="s">
        <v>511</v>
      </c>
      <c r="R367" s="10">
        <f t="shared" si="10"/>
        <v>128</v>
      </c>
      <c r="S367" s="5" t="s">
        <v>2312</v>
      </c>
      <c r="T367" s="6" t="s">
        <v>58</v>
      </c>
      <c r="U367" s="5" t="s">
        <v>254</v>
      </c>
      <c r="V367" s="5"/>
    </row>
    <row r="368" ht="12.75" customHeight="1">
      <c r="A368" s="5">
        <v>55995.0</v>
      </c>
      <c r="B368" s="5" t="s">
        <v>2101</v>
      </c>
      <c r="C368" s="5" t="s">
        <v>124</v>
      </c>
      <c r="D368" s="5"/>
      <c r="E368" s="7" t="s">
        <v>2313</v>
      </c>
      <c r="F368" s="5" t="s">
        <v>2214</v>
      </c>
      <c r="G368" s="5" t="s">
        <v>2305</v>
      </c>
      <c r="H368" s="5">
        <v>2014.0</v>
      </c>
      <c r="I368" s="5">
        <v>1.0</v>
      </c>
      <c r="J368" s="5">
        <v>0.0</v>
      </c>
      <c r="K368" s="5">
        <v>1.0</v>
      </c>
      <c r="L368" s="54"/>
      <c r="M368" s="5" t="s">
        <v>2314</v>
      </c>
      <c r="N368" s="53"/>
      <c r="O368" s="10">
        <v>51.0</v>
      </c>
      <c r="P368" s="10">
        <v>1.0</v>
      </c>
      <c r="Q368" s="5" t="str">
        <f>O368&amp;", "&amp;P368</f>
        <v>51, 1</v>
      </c>
      <c r="R368" s="10">
        <f t="shared" si="10"/>
        <v>1</v>
      </c>
      <c r="S368" s="5" t="s">
        <v>2315</v>
      </c>
      <c r="T368" s="5"/>
      <c r="U368" s="5" t="s">
        <v>2316</v>
      </c>
      <c r="V368" s="5" t="s">
        <v>2317</v>
      </c>
    </row>
    <row r="369" ht="12.75" customHeight="1">
      <c r="A369" s="5">
        <v>55520.0</v>
      </c>
      <c r="B369" s="5" t="s">
        <v>98</v>
      </c>
      <c r="C369" s="5" t="s">
        <v>62</v>
      </c>
      <c r="D369" s="5"/>
      <c r="E369" s="7" t="s">
        <v>2318</v>
      </c>
      <c r="F369" s="5" t="s">
        <v>2214</v>
      </c>
      <c r="G369" s="5" t="s">
        <v>2305</v>
      </c>
      <c r="H369" s="5">
        <v>2014.0</v>
      </c>
      <c r="I369" s="5">
        <v>29.0</v>
      </c>
      <c r="J369" s="5">
        <v>100.0</v>
      </c>
      <c r="K369" s="5">
        <v>129.0</v>
      </c>
      <c r="L369" s="54"/>
      <c r="M369" s="5" t="s">
        <v>2319</v>
      </c>
      <c r="N369" s="53"/>
      <c r="O369">
        <v>36.4</v>
      </c>
      <c r="P369">
        <v>13.1</v>
      </c>
      <c r="Q369" s="5" t="s">
        <v>794</v>
      </c>
      <c r="R369" s="10">
        <f t="shared" si="10"/>
        <v>129</v>
      </c>
      <c r="S369" s="5" t="s">
        <v>2320</v>
      </c>
      <c r="T369" s="5" t="s">
        <v>2130</v>
      </c>
      <c r="U369" s="5" t="s">
        <v>2321</v>
      </c>
      <c r="V369" s="5"/>
    </row>
    <row r="370" ht="12.75" customHeight="1">
      <c r="A370" s="5">
        <v>72744.0</v>
      </c>
      <c r="B370" s="5" t="s">
        <v>49</v>
      </c>
      <c r="C370" s="52" t="s">
        <v>50</v>
      </c>
      <c r="D370" s="5" t="s">
        <v>2219</v>
      </c>
      <c r="E370" s="7" t="s">
        <v>2322</v>
      </c>
      <c r="F370" s="5" t="s">
        <v>2214</v>
      </c>
      <c r="G370" s="5" t="s">
        <v>2305</v>
      </c>
      <c r="H370" s="5">
        <v>2014.0</v>
      </c>
      <c r="I370" s="5">
        <v>52.0</v>
      </c>
      <c r="J370" s="5">
        <v>0.0</v>
      </c>
      <c r="K370" s="5">
        <v>52.0</v>
      </c>
      <c r="L370" s="54"/>
      <c r="M370" s="5" t="s">
        <v>2323</v>
      </c>
      <c r="N370" s="53" t="s">
        <v>2324</v>
      </c>
      <c r="O370">
        <v>34.0</v>
      </c>
      <c r="P370">
        <v>14.0</v>
      </c>
      <c r="Q370" s="5" t="s">
        <v>568</v>
      </c>
      <c r="R370" s="10">
        <f t="shared" si="10"/>
        <v>86</v>
      </c>
      <c r="S370" s="5" t="s">
        <v>2325</v>
      </c>
      <c r="T370" s="5" t="s">
        <v>2130</v>
      </c>
      <c r="U370" s="5" t="s">
        <v>2326</v>
      </c>
      <c r="V370" s="5"/>
    </row>
    <row r="371" ht="12.75" customHeight="1">
      <c r="A371" s="5">
        <v>55439.0</v>
      </c>
      <c r="B371" s="5" t="s">
        <v>1076</v>
      </c>
      <c r="C371" s="52" t="s">
        <v>50</v>
      </c>
      <c r="D371" s="5"/>
      <c r="E371" s="7" t="s">
        <v>2327</v>
      </c>
      <c r="F371" s="5" t="s">
        <v>2214</v>
      </c>
      <c r="G371" s="5" t="s">
        <v>2305</v>
      </c>
      <c r="H371" s="5">
        <v>2014.0</v>
      </c>
      <c r="I371" s="5">
        <v>19.0</v>
      </c>
      <c r="J371" s="5">
        <v>0.0</v>
      </c>
      <c r="K371" s="5">
        <v>19.0</v>
      </c>
      <c r="L371" s="54"/>
      <c r="M371" s="5" t="s">
        <v>2328</v>
      </c>
      <c r="N371" s="53" t="s">
        <v>2329</v>
      </c>
      <c r="O371">
        <v>35.9</v>
      </c>
      <c r="P371">
        <v>12.37</v>
      </c>
      <c r="Q371" s="5" t="s">
        <v>731</v>
      </c>
      <c r="R371" s="10">
        <f t="shared" si="10"/>
        <v>19</v>
      </c>
      <c r="S371" s="5" t="s">
        <v>2330</v>
      </c>
      <c r="T371" s="5" t="s">
        <v>2331</v>
      </c>
      <c r="U371" s="5" t="s">
        <v>2332</v>
      </c>
      <c r="V371" s="5"/>
    </row>
    <row r="372" ht="12.75" customHeight="1">
      <c r="A372" s="5">
        <v>55429.0</v>
      </c>
      <c r="B372" s="5" t="s">
        <v>2333</v>
      </c>
      <c r="C372" s="5" t="s">
        <v>124</v>
      </c>
      <c r="D372" s="5"/>
      <c r="E372" s="7" t="s">
        <v>2334</v>
      </c>
      <c r="F372" s="5" t="s">
        <v>2214</v>
      </c>
      <c r="G372" s="5" t="s">
        <v>2305</v>
      </c>
      <c r="H372" s="5">
        <v>2014.0</v>
      </c>
      <c r="I372" s="5">
        <v>10.0</v>
      </c>
      <c r="J372" s="5">
        <v>0.0</v>
      </c>
      <c r="K372" s="5">
        <v>10.0</v>
      </c>
      <c r="L372" s="54"/>
      <c r="M372" s="5" t="s">
        <v>2335</v>
      </c>
      <c r="N372" s="53" t="s">
        <v>2201</v>
      </c>
      <c r="O372">
        <v>35.3</v>
      </c>
      <c r="P372">
        <v>14.3</v>
      </c>
      <c r="Q372" s="5" t="s">
        <v>651</v>
      </c>
      <c r="R372" s="10">
        <f t="shared" si="10"/>
        <v>10</v>
      </c>
      <c r="S372" s="5" t="s">
        <v>2336</v>
      </c>
      <c r="T372" s="5" t="s">
        <v>2130</v>
      </c>
      <c r="U372" s="5" t="s">
        <v>2143</v>
      </c>
      <c r="V372" s="5"/>
    </row>
    <row r="373" ht="12.75" customHeight="1">
      <c r="A373" s="5">
        <v>55421.0</v>
      </c>
      <c r="B373" s="5" t="s">
        <v>49</v>
      </c>
      <c r="C373" s="52" t="s">
        <v>50</v>
      </c>
      <c r="D373" s="5"/>
      <c r="E373" s="7" t="s">
        <v>2337</v>
      </c>
      <c r="F373" s="5" t="s">
        <v>2214</v>
      </c>
      <c r="G373" s="5" t="s">
        <v>2305</v>
      </c>
      <c r="H373" s="5">
        <v>2014.0</v>
      </c>
      <c r="I373" s="5">
        <v>3.0</v>
      </c>
      <c r="J373" s="5">
        <v>0.0</v>
      </c>
      <c r="K373" s="5">
        <v>3.0</v>
      </c>
      <c r="L373" s="54"/>
      <c r="M373" s="5" t="s">
        <v>2338</v>
      </c>
      <c r="N373" s="53"/>
      <c r="O373">
        <v>33.17</v>
      </c>
      <c r="P373">
        <v>13.88</v>
      </c>
      <c r="Q373" s="5" t="s">
        <v>518</v>
      </c>
      <c r="R373" s="10">
        <f t="shared" si="10"/>
        <v>3</v>
      </c>
      <c r="S373" s="5" t="s">
        <v>2339</v>
      </c>
      <c r="T373" s="5" t="s">
        <v>2130</v>
      </c>
      <c r="U373" s="5" t="s">
        <v>254</v>
      </c>
      <c r="V373" s="5"/>
    </row>
    <row r="374" ht="12.75" customHeight="1">
      <c r="A374" s="5">
        <v>55447.0</v>
      </c>
      <c r="B374" s="5" t="s">
        <v>49</v>
      </c>
      <c r="C374" s="52" t="s">
        <v>50</v>
      </c>
      <c r="D374" s="5"/>
      <c r="E374" s="7" t="s">
        <v>2337</v>
      </c>
      <c r="F374" s="5" t="s">
        <v>2214</v>
      </c>
      <c r="G374" s="5" t="s">
        <v>2305</v>
      </c>
      <c r="H374" s="5">
        <v>2014.0</v>
      </c>
      <c r="I374" s="5">
        <v>0.0</v>
      </c>
      <c r="J374" s="5">
        <v>41.0</v>
      </c>
      <c r="K374" s="5">
        <v>41.0</v>
      </c>
      <c r="L374" s="54"/>
      <c r="M374" s="5" t="s">
        <v>2340</v>
      </c>
      <c r="N374" s="53" t="s">
        <v>2341</v>
      </c>
      <c r="O374">
        <v>33.47</v>
      </c>
      <c r="P374">
        <v>13.15</v>
      </c>
      <c r="Q374" s="5" t="s">
        <v>538</v>
      </c>
      <c r="R374" s="10">
        <f t="shared" si="10"/>
        <v>41</v>
      </c>
      <c r="S374" s="5" t="s">
        <v>2342</v>
      </c>
      <c r="T374" s="5" t="s">
        <v>2130</v>
      </c>
      <c r="U374" s="5" t="s">
        <v>2343</v>
      </c>
      <c r="V374" s="5"/>
    </row>
    <row r="375" ht="12.75" customHeight="1">
      <c r="A375" s="5">
        <v>72746.0</v>
      </c>
      <c r="B375" s="5" t="s">
        <v>1076</v>
      </c>
      <c r="C375" s="52" t="s">
        <v>50</v>
      </c>
      <c r="D375" s="5" t="s">
        <v>2219</v>
      </c>
      <c r="E375" s="7" t="s">
        <v>2344</v>
      </c>
      <c r="F375" s="5" t="s">
        <v>2214</v>
      </c>
      <c r="G375" s="5" t="s">
        <v>2305</v>
      </c>
      <c r="H375" s="5">
        <v>2014.0</v>
      </c>
      <c r="I375" s="5">
        <v>3.0</v>
      </c>
      <c r="J375" s="5">
        <v>0.0</v>
      </c>
      <c r="K375" s="5">
        <v>3.0</v>
      </c>
      <c r="L375" s="54"/>
      <c r="M375" s="5" t="s">
        <v>2345</v>
      </c>
      <c r="N375" s="53" t="s">
        <v>1701</v>
      </c>
      <c r="O375">
        <v>33.0</v>
      </c>
      <c r="P375">
        <v>13.0</v>
      </c>
      <c r="Q375" s="5" t="s">
        <v>501</v>
      </c>
      <c r="R375" s="10">
        <f t="shared" si="10"/>
        <v>3</v>
      </c>
      <c r="S375" s="5" t="s">
        <v>2346</v>
      </c>
      <c r="T375" s="5" t="s">
        <v>2130</v>
      </c>
      <c r="U375" s="5" t="s">
        <v>254</v>
      </c>
      <c r="V375" s="5"/>
    </row>
    <row r="376" ht="12.75" customHeight="1">
      <c r="A376" s="5">
        <v>55272.0</v>
      </c>
      <c r="B376" s="5" t="s">
        <v>49</v>
      </c>
      <c r="C376" s="52" t="s">
        <v>50</v>
      </c>
      <c r="D376" s="5"/>
      <c r="E376" s="7" t="s">
        <v>2347</v>
      </c>
      <c r="F376" s="5" t="s">
        <v>2214</v>
      </c>
      <c r="G376" s="5" t="s">
        <v>2305</v>
      </c>
      <c r="H376" s="5">
        <v>2014.0</v>
      </c>
      <c r="I376" s="5">
        <v>2.0</v>
      </c>
      <c r="J376" s="5">
        <v>0.0</v>
      </c>
      <c r="K376" s="5">
        <v>2.0</v>
      </c>
      <c r="L376" s="54"/>
      <c r="M376" s="5" t="s">
        <v>2348</v>
      </c>
      <c r="N376" s="53" t="s">
        <v>182</v>
      </c>
      <c r="O376">
        <v>37.754786</v>
      </c>
      <c r="P376">
        <v>26.97777</v>
      </c>
      <c r="Q376" s="5" t="s">
        <v>959</v>
      </c>
      <c r="R376" s="10">
        <f t="shared" si="10"/>
        <v>2</v>
      </c>
      <c r="S376" s="5" t="s">
        <v>2349</v>
      </c>
      <c r="T376" s="5"/>
      <c r="U376" s="5"/>
      <c r="V376" s="5" t="s">
        <v>2350</v>
      </c>
    </row>
    <row r="377" ht="12.75" customHeight="1">
      <c r="A377" s="5">
        <v>55194.0</v>
      </c>
      <c r="B377" s="5" t="s">
        <v>49</v>
      </c>
      <c r="C377" s="52" t="s">
        <v>50</v>
      </c>
      <c r="D377" s="5"/>
      <c r="E377" s="7" t="s">
        <v>2351</v>
      </c>
      <c r="F377" s="5" t="s">
        <v>2214</v>
      </c>
      <c r="G377" s="5" t="s">
        <v>2305</v>
      </c>
      <c r="H377" s="5">
        <v>2014.0</v>
      </c>
      <c r="I377" s="5">
        <v>12.0</v>
      </c>
      <c r="J377" s="5">
        <v>200.0</v>
      </c>
      <c r="K377" s="5">
        <v>212.0</v>
      </c>
      <c r="L377" s="54"/>
      <c r="M377" s="5" t="s">
        <v>2352</v>
      </c>
      <c r="N377" s="53" t="s">
        <v>2353</v>
      </c>
      <c r="O377">
        <v>33.9</v>
      </c>
      <c r="P377">
        <v>13.44</v>
      </c>
      <c r="Q377" s="5" t="s">
        <v>560</v>
      </c>
      <c r="R377" s="10">
        <f t="shared" si="10"/>
        <v>212</v>
      </c>
      <c r="S377" s="5" t="s">
        <v>2354</v>
      </c>
      <c r="T377" s="5" t="s">
        <v>2130</v>
      </c>
      <c r="U377" s="5" t="s">
        <v>2355</v>
      </c>
      <c r="V377" s="5" t="s">
        <v>2356</v>
      </c>
    </row>
    <row r="378" ht="12.75" customHeight="1">
      <c r="A378" s="5">
        <v>72748.0</v>
      </c>
      <c r="B378" s="5" t="s">
        <v>1076</v>
      </c>
      <c r="C378" s="52" t="s">
        <v>50</v>
      </c>
      <c r="D378" s="5" t="s">
        <v>2219</v>
      </c>
      <c r="E378" s="7" t="s">
        <v>2357</v>
      </c>
      <c r="F378" s="5" t="s">
        <v>2214</v>
      </c>
      <c r="G378" s="5" t="s">
        <v>2305</v>
      </c>
      <c r="H378" s="5">
        <v>2014.0</v>
      </c>
      <c r="I378" s="5">
        <v>45.0</v>
      </c>
      <c r="J378" s="5">
        <v>0.0</v>
      </c>
      <c r="K378" s="5">
        <v>45.0</v>
      </c>
      <c r="L378" s="54"/>
      <c r="M378" s="5" t="s">
        <v>2358</v>
      </c>
      <c r="N378" s="53" t="s">
        <v>2359</v>
      </c>
      <c r="O378">
        <v>36.72986</v>
      </c>
      <c r="P378">
        <v>14.84911</v>
      </c>
      <c r="Q378" s="5" t="s">
        <v>827</v>
      </c>
      <c r="R378" s="10">
        <f t="shared" si="10"/>
        <v>45</v>
      </c>
      <c r="S378" s="5" t="s">
        <v>2360</v>
      </c>
      <c r="T378" s="5" t="s">
        <v>2130</v>
      </c>
      <c r="U378" s="5" t="s">
        <v>2361</v>
      </c>
      <c r="V378" s="5"/>
    </row>
    <row r="379" ht="12.75" customHeight="1">
      <c r="A379" s="5">
        <v>55002.0</v>
      </c>
      <c r="B379" s="5" t="s">
        <v>49</v>
      </c>
      <c r="C379" s="52" t="s">
        <v>50</v>
      </c>
      <c r="D379" s="5"/>
      <c r="E379" s="7" t="s">
        <v>2362</v>
      </c>
      <c r="F379" s="5" t="s">
        <v>2214</v>
      </c>
      <c r="G379" s="5" t="s">
        <v>2305</v>
      </c>
      <c r="H379" s="5">
        <v>2014.0</v>
      </c>
      <c r="I379" s="5">
        <v>0.0</v>
      </c>
      <c r="J379" s="5">
        <v>75.0</v>
      </c>
      <c r="K379" s="5">
        <v>75.0</v>
      </c>
      <c r="L379" s="54"/>
      <c r="M379" s="5" t="s">
        <v>2363</v>
      </c>
      <c r="N379" s="53" t="s">
        <v>2364</v>
      </c>
      <c r="O379">
        <v>35.0</v>
      </c>
      <c r="P379">
        <v>15.7</v>
      </c>
      <c r="Q379" s="5" t="s">
        <v>610</v>
      </c>
      <c r="R379" s="10">
        <f t="shared" si="10"/>
        <v>75</v>
      </c>
      <c r="S379" s="5" t="s">
        <v>2365</v>
      </c>
      <c r="T379" s="5" t="s">
        <v>2130</v>
      </c>
      <c r="U379" s="5" t="s">
        <v>254</v>
      </c>
      <c r="V379" s="5"/>
    </row>
    <row r="380" ht="12.75" customHeight="1">
      <c r="A380" s="5"/>
      <c r="B380" s="6" t="s">
        <v>68</v>
      </c>
      <c r="C380" s="6" t="s">
        <v>69</v>
      </c>
      <c r="D380" s="5"/>
      <c r="E380" s="35" t="s">
        <v>2366</v>
      </c>
      <c r="F380" s="6" t="s">
        <v>2214</v>
      </c>
      <c r="G380" s="6" t="s">
        <v>2367</v>
      </c>
      <c r="H380" s="6">
        <v>2014.0</v>
      </c>
      <c r="I380" s="6">
        <v>2.0</v>
      </c>
      <c r="J380" s="6">
        <v>9.0</v>
      </c>
      <c r="K380" s="6">
        <f t="shared" ref="K380:K381" si="11">SUM(I380,J380)</f>
        <v>11</v>
      </c>
      <c r="L380" s="8"/>
      <c r="M380" s="6" t="s">
        <v>2368</v>
      </c>
      <c r="N380" s="45" t="s">
        <v>1971</v>
      </c>
      <c r="O380">
        <v>35.766667</v>
      </c>
      <c r="P380">
        <v>-5.8</v>
      </c>
      <c r="Q380" s="5" t="str">
        <f t="shared" ref="Q380:Q381" si="12">O380&amp;", "&amp;P380</f>
        <v>35.766667, -5.8</v>
      </c>
      <c r="R380" s="10">
        <f t="shared" si="10"/>
        <v>190</v>
      </c>
      <c r="S380" s="5"/>
      <c r="T380" s="6" t="s">
        <v>72</v>
      </c>
      <c r="U380" s="6" t="s">
        <v>2369</v>
      </c>
      <c r="V380" s="18" t="s">
        <v>2370</v>
      </c>
    </row>
    <row r="381" ht="12.75" customHeight="1">
      <c r="A381" s="5"/>
      <c r="B381" s="6" t="s">
        <v>49</v>
      </c>
      <c r="C381" s="52" t="s">
        <v>50</v>
      </c>
      <c r="D381" s="5"/>
      <c r="E381" s="35" t="s">
        <v>2371</v>
      </c>
      <c r="F381" s="6" t="s">
        <v>2214</v>
      </c>
      <c r="G381" s="6" t="s">
        <v>2367</v>
      </c>
      <c r="H381" s="6">
        <v>2014.0</v>
      </c>
      <c r="I381" s="6">
        <v>6.0</v>
      </c>
      <c r="J381" s="6">
        <v>0.0</v>
      </c>
      <c r="K381" s="6">
        <f t="shared" si="11"/>
        <v>6</v>
      </c>
      <c r="L381" s="8"/>
      <c r="M381" s="6" t="s">
        <v>2372</v>
      </c>
      <c r="N381" s="45" t="s">
        <v>2373</v>
      </c>
      <c r="O381" s="10">
        <v>37.0</v>
      </c>
      <c r="P381" s="10">
        <v>28.0</v>
      </c>
      <c r="Q381" s="5" t="str">
        <f t="shared" si="12"/>
        <v>37, 28</v>
      </c>
      <c r="R381" s="10">
        <f t="shared" si="10"/>
        <v>6</v>
      </c>
      <c r="S381" s="5"/>
      <c r="T381" s="6" t="s">
        <v>53</v>
      </c>
      <c r="U381" s="6" t="s">
        <v>2374</v>
      </c>
      <c r="V381" s="18" t="s">
        <v>2375</v>
      </c>
    </row>
    <row r="382" ht="12.75" customHeight="1">
      <c r="A382" s="5">
        <v>55402.0</v>
      </c>
      <c r="B382" s="5" t="s">
        <v>636</v>
      </c>
      <c r="C382" s="52" t="s">
        <v>50</v>
      </c>
      <c r="D382" s="5"/>
      <c r="E382" s="7" t="s">
        <v>2376</v>
      </c>
      <c r="F382" s="5" t="s">
        <v>2377</v>
      </c>
      <c r="G382" s="5" t="s">
        <v>2367</v>
      </c>
      <c r="H382" s="5">
        <v>2014.0</v>
      </c>
      <c r="I382" s="5">
        <v>13.0</v>
      </c>
      <c r="J382" s="5">
        <v>0.0</v>
      </c>
      <c r="K382" s="5">
        <v>13.0</v>
      </c>
      <c r="L382" s="54"/>
      <c r="M382" s="5" t="s">
        <v>2378</v>
      </c>
      <c r="N382" s="53" t="s">
        <v>131</v>
      </c>
      <c r="O382">
        <v>32.8</v>
      </c>
      <c r="P382">
        <v>13.1</v>
      </c>
      <c r="Q382" s="5" t="s">
        <v>477</v>
      </c>
      <c r="R382" s="10">
        <f t="shared" si="10"/>
        <v>13</v>
      </c>
      <c r="S382" s="5" t="s">
        <v>2379</v>
      </c>
      <c r="T382" s="5"/>
      <c r="U382" s="5" t="s">
        <v>2380</v>
      </c>
      <c r="V382" s="5"/>
    </row>
    <row r="383" ht="12.75" customHeight="1">
      <c r="A383" s="5">
        <v>55000.0</v>
      </c>
      <c r="B383" s="5" t="s">
        <v>2381</v>
      </c>
      <c r="C383" s="52" t="s">
        <v>50</v>
      </c>
      <c r="D383" s="5"/>
      <c r="E383" s="7" t="s">
        <v>2382</v>
      </c>
      <c r="F383" s="5" t="s">
        <v>2377</v>
      </c>
      <c r="G383" s="5" t="s">
        <v>2367</v>
      </c>
      <c r="H383" s="5">
        <v>2014.0</v>
      </c>
      <c r="I383" s="5">
        <v>45.0</v>
      </c>
      <c r="J383" s="5">
        <v>0.0</v>
      </c>
      <c r="K383" s="5">
        <v>45.0</v>
      </c>
      <c r="L383" s="54"/>
      <c r="M383" s="5" t="s">
        <v>2383</v>
      </c>
      <c r="N383" s="53" t="s">
        <v>2384</v>
      </c>
      <c r="O383">
        <v>36.1</v>
      </c>
      <c r="P383">
        <v>15.3</v>
      </c>
      <c r="Q383" s="5" t="s">
        <v>768</v>
      </c>
      <c r="R383" s="10">
        <f t="shared" si="10"/>
        <v>45</v>
      </c>
      <c r="S383" s="5" t="s">
        <v>2385</v>
      </c>
      <c r="T383" s="5" t="s">
        <v>2130</v>
      </c>
      <c r="U383" s="5" t="s">
        <v>950</v>
      </c>
      <c r="V383" s="5" t="s">
        <v>2386</v>
      </c>
    </row>
    <row r="384" ht="12.75" customHeight="1">
      <c r="A384" s="5">
        <v>63083.0</v>
      </c>
      <c r="B384" s="5" t="s">
        <v>1555</v>
      </c>
      <c r="C384" s="5" t="s">
        <v>42</v>
      </c>
      <c r="D384" s="5"/>
      <c r="E384" s="7" t="s">
        <v>2387</v>
      </c>
      <c r="F384" s="5" t="s">
        <v>2377</v>
      </c>
      <c r="G384" s="5" t="s">
        <v>2367</v>
      </c>
      <c r="H384" s="5">
        <v>2014.0</v>
      </c>
      <c r="I384" s="5">
        <v>1.0</v>
      </c>
      <c r="J384" s="5">
        <v>0.0</v>
      </c>
      <c r="K384" s="5">
        <v>1.0</v>
      </c>
      <c r="L384" s="54"/>
      <c r="M384" s="5" t="s">
        <v>2388</v>
      </c>
      <c r="N384" s="53" t="s">
        <v>2389</v>
      </c>
      <c r="O384">
        <v>38.494167</v>
      </c>
      <c r="P384">
        <v>43.38</v>
      </c>
      <c r="Q384" s="5" t="s">
        <v>1024</v>
      </c>
      <c r="R384" s="10">
        <f t="shared" si="10"/>
        <v>1</v>
      </c>
      <c r="S384" s="5" t="s">
        <v>2390</v>
      </c>
      <c r="T384" s="5"/>
      <c r="U384" s="5" t="s">
        <v>2160</v>
      </c>
      <c r="V384" s="5"/>
    </row>
    <row r="385" ht="12.75" customHeight="1">
      <c r="A385" s="5">
        <v>54845.0</v>
      </c>
      <c r="B385" s="5" t="s">
        <v>68</v>
      </c>
      <c r="C385" s="5" t="s">
        <v>69</v>
      </c>
      <c r="D385" s="5"/>
      <c r="E385" s="7" t="s">
        <v>2391</v>
      </c>
      <c r="F385" s="5" t="s">
        <v>2377</v>
      </c>
      <c r="G385" s="5" t="s">
        <v>2367</v>
      </c>
      <c r="H385" s="5">
        <v>2014.0</v>
      </c>
      <c r="I385" s="5">
        <v>1.0</v>
      </c>
      <c r="J385" s="5">
        <v>0.0</v>
      </c>
      <c r="K385" s="5">
        <v>1.0</v>
      </c>
      <c r="L385" s="54"/>
      <c r="M385" s="5" t="s">
        <v>2392</v>
      </c>
      <c r="N385" s="53" t="s">
        <v>572</v>
      </c>
      <c r="O385">
        <v>37.2</v>
      </c>
      <c r="P385">
        <v>16.0</v>
      </c>
      <c r="Q385" s="5" t="s">
        <v>911</v>
      </c>
      <c r="R385" s="10">
        <f t="shared" si="10"/>
        <v>1</v>
      </c>
      <c r="S385" s="5" t="s">
        <v>2393</v>
      </c>
      <c r="T385" s="5" t="s">
        <v>2130</v>
      </c>
      <c r="U385" s="5" t="s">
        <v>176</v>
      </c>
      <c r="V385" s="5"/>
    </row>
    <row r="386" ht="12.75" customHeight="1">
      <c r="A386" s="5">
        <v>72750.0</v>
      </c>
      <c r="B386" s="5" t="s">
        <v>1076</v>
      </c>
      <c r="C386" s="52" t="s">
        <v>50</v>
      </c>
      <c r="D386" s="5" t="s">
        <v>2219</v>
      </c>
      <c r="E386" s="7" t="s">
        <v>2394</v>
      </c>
      <c r="F386" s="5" t="s">
        <v>2377</v>
      </c>
      <c r="G386" s="5" t="s">
        <v>2367</v>
      </c>
      <c r="H386" s="5">
        <v>2014.0</v>
      </c>
      <c r="I386" s="5">
        <v>30.0</v>
      </c>
      <c r="J386" s="5">
        <v>0.0</v>
      </c>
      <c r="K386" s="5">
        <v>30.0</v>
      </c>
      <c r="L386" s="54"/>
      <c r="M386" s="5" t="s">
        <v>2395</v>
      </c>
      <c r="N386" s="53" t="s">
        <v>2359</v>
      </c>
      <c r="O386">
        <v>36.0</v>
      </c>
      <c r="P386">
        <v>15.0</v>
      </c>
      <c r="Q386" s="5" t="s">
        <v>755</v>
      </c>
      <c r="R386" s="10">
        <f t="shared" si="10"/>
        <v>30</v>
      </c>
      <c r="S386" s="5" t="s">
        <v>2396</v>
      </c>
      <c r="T386" s="5" t="s">
        <v>2130</v>
      </c>
      <c r="U386" s="5" t="s">
        <v>281</v>
      </c>
      <c r="V386" s="5"/>
    </row>
    <row r="387" ht="12.75" customHeight="1">
      <c r="A387" s="5">
        <v>54570.0</v>
      </c>
      <c r="B387" s="5" t="s">
        <v>49</v>
      </c>
      <c r="C387" s="52" t="s">
        <v>50</v>
      </c>
      <c r="D387" s="5"/>
      <c r="E387" s="7" t="s">
        <v>2397</v>
      </c>
      <c r="F387" s="5" t="s">
        <v>2377</v>
      </c>
      <c r="G387" s="5" t="s">
        <v>2367</v>
      </c>
      <c r="H387" s="5">
        <v>2014.0</v>
      </c>
      <c r="I387" s="5">
        <v>10.0</v>
      </c>
      <c r="J387" s="5">
        <v>85.0</v>
      </c>
      <c r="K387" s="5">
        <v>95.0</v>
      </c>
      <c r="L387" s="54"/>
      <c r="M387" s="5" t="s">
        <v>2398</v>
      </c>
      <c r="N387" s="53" t="s">
        <v>2189</v>
      </c>
      <c r="O387">
        <v>35.5</v>
      </c>
      <c r="P387">
        <v>12.6</v>
      </c>
      <c r="Q387" s="5" t="s">
        <v>666</v>
      </c>
      <c r="R387" s="10">
        <f t="shared" si="10"/>
        <v>112</v>
      </c>
      <c r="S387" s="5" t="s">
        <v>2399</v>
      </c>
      <c r="T387" s="5" t="s">
        <v>2130</v>
      </c>
      <c r="U387" s="5" t="s">
        <v>254</v>
      </c>
      <c r="V387" s="5"/>
    </row>
    <row r="388" ht="12.75" customHeight="1">
      <c r="A388" s="5">
        <v>72752.0</v>
      </c>
      <c r="B388" s="5" t="s">
        <v>49</v>
      </c>
      <c r="C388" s="52" t="s">
        <v>50</v>
      </c>
      <c r="D388" s="5" t="s">
        <v>2219</v>
      </c>
      <c r="E388" s="7" t="s">
        <v>2400</v>
      </c>
      <c r="F388" s="5" t="s">
        <v>2377</v>
      </c>
      <c r="G388" s="5" t="s">
        <v>2367</v>
      </c>
      <c r="H388" s="5">
        <v>2014.0</v>
      </c>
      <c r="I388" s="5">
        <v>0.0</v>
      </c>
      <c r="J388" s="5">
        <v>4.0</v>
      </c>
      <c r="K388" s="5">
        <v>4.0</v>
      </c>
      <c r="L388" s="54"/>
      <c r="M388" s="5" t="s">
        <v>2401</v>
      </c>
      <c r="N388" s="53" t="s">
        <v>2402</v>
      </c>
      <c r="O388">
        <v>35.0</v>
      </c>
      <c r="P388">
        <v>15.0</v>
      </c>
      <c r="Q388" s="5" t="s">
        <v>606</v>
      </c>
      <c r="R388" s="10">
        <f t="shared" si="10"/>
        <v>4</v>
      </c>
      <c r="S388" s="5" t="s">
        <v>2403</v>
      </c>
      <c r="T388" s="5" t="s">
        <v>2130</v>
      </c>
      <c r="U388" s="5" t="s">
        <v>281</v>
      </c>
      <c r="V388" s="5"/>
    </row>
    <row r="389" ht="12.75" customHeight="1">
      <c r="A389" s="5">
        <v>54563.0</v>
      </c>
      <c r="B389" s="5" t="s">
        <v>49</v>
      </c>
      <c r="C389" s="52" t="s">
        <v>50</v>
      </c>
      <c r="D389" s="5"/>
      <c r="E389" s="7" t="s">
        <v>2404</v>
      </c>
      <c r="F389" s="5" t="s">
        <v>2377</v>
      </c>
      <c r="G389" s="5" t="s">
        <v>2367</v>
      </c>
      <c r="H389" s="5">
        <v>2014.0</v>
      </c>
      <c r="I389" s="5">
        <v>3.0</v>
      </c>
      <c r="J389" s="5">
        <v>2.0</v>
      </c>
      <c r="K389" s="5">
        <v>5.0</v>
      </c>
      <c r="L389" s="54"/>
      <c r="M389" s="5" t="s">
        <v>2405</v>
      </c>
      <c r="N389" s="53" t="s">
        <v>2201</v>
      </c>
      <c r="O389">
        <v>35.11</v>
      </c>
      <c r="P389">
        <v>14.41</v>
      </c>
      <c r="Q389" s="5" t="s">
        <v>621</v>
      </c>
      <c r="R389" s="10">
        <f t="shared" si="10"/>
        <v>5</v>
      </c>
      <c r="S389" s="5" t="s">
        <v>2406</v>
      </c>
      <c r="T389" s="5" t="s">
        <v>2130</v>
      </c>
      <c r="U389" s="5" t="s">
        <v>2407</v>
      </c>
      <c r="V389" s="5"/>
    </row>
    <row r="390" ht="12.75" customHeight="1">
      <c r="A390" s="5">
        <v>54536.0</v>
      </c>
      <c r="B390" s="5" t="s">
        <v>49</v>
      </c>
      <c r="C390" s="52" t="s">
        <v>50</v>
      </c>
      <c r="D390" s="5"/>
      <c r="E390" s="7" t="s">
        <v>2408</v>
      </c>
      <c r="F390" s="5" t="s">
        <v>2377</v>
      </c>
      <c r="G390" s="5" t="s">
        <v>2367</v>
      </c>
      <c r="H390" s="5">
        <v>2014.0</v>
      </c>
      <c r="I390" s="5">
        <v>1.0</v>
      </c>
      <c r="J390" s="5">
        <v>0.0</v>
      </c>
      <c r="K390" s="5">
        <v>1.0</v>
      </c>
      <c r="L390" s="54"/>
      <c r="M390" s="5" t="s">
        <v>2409</v>
      </c>
      <c r="N390" s="53" t="s">
        <v>2410</v>
      </c>
      <c r="O390">
        <v>39.26451</v>
      </c>
      <c r="P390">
        <v>26.277707</v>
      </c>
      <c r="Q390" s="5" t="s">
        <v>1074</v>
      </c>
      <c r="R390" s="10">
        <f t="shared" si="10"/>
        <v>10</v>
      </c>
      <c r="S390" s="5" t="s">
        <v>2411</v>
      </c>
      <c r="T390" s="6" t="s">
        <v>53</v>
      </c>
      <c r="U390" s="5" t="s">
        <v>2412</v>
      </c>
      <c r="V390" s="5" t="s">
        <v>2413</v>
      </c>
    </row>
    <row r="391" ht="12.75" customHeight="1">
      <c r="A391" s="5">
        <v>54514.0</v>
      </c>
      <c r="B391" s="5" t="s">
        <v>1076</v>
      </c>
      <c r="C391" s="52" t="s">
        <v>50</v>
      </c>
      <c r="D391" s="5"/>
      <c r="E391" s="7" t="s">
        <v>2414</v>
      </c>
      <c r="F391" s="5" t="s">
        <v>2377</v>
      </c>
      <c r="G391" s="5" t="s">
        <v>2415</v>
      </c>
      <c r="H391" s="5">
        <v>2014.0</v>
      </c>
      <c r="I391" s="5">
        <v>1.0</v>
      </c>
      <c r="J391" s="5">
        <v>0.0</v>
      </c>
      <c r="K391" s="5">
        <v>1.0</v>
      </c>
      <c r="L391" s="54"/>
      <c r="M391" s="5" t="s">
        <v>2416</v>
      </c>
      <c r="N391" s="53" t="s">
        <v>2417</v>
      </c>
      <c r="O391">
        <v>39.50615</v>
      </c>
      <c r="P391">
        <v>20.265534</v>
      </c>
      <c r="Q391" s="5" t="s">
        <v>1086</v>
      </c>
      <c r="R391" s="10">
        <f t="shared" si="10"/>
        <v>7</v>
      </c>
      <c r="S391" s="5" t="s">
        <v>2418</v>
      </c>
      <c r="T391" s="5"/>
      <c r="U391" s="5" t="s">
        <v>2419</v>
      </c>
      <c r="V391" s="5" t="s">
        <v>2420</v>
      </c>
    </row>
    <row r="392" ht="12.75" customHeight="1">
      <c r="A392" s="5">
        <v>54491.0</v>
      </c>
      <c r="B392" s="5" t="s">
        <v>2421</v>
      </c>
      <c r="C392" s="5" t="s">
        <v>124</v>
      </c>
      <c r="D392" s="5"/>
      <c r="E392" s="7" t="s">
        <v>2414</v>
      </c>
      <c r="F392" s="5" t="s">
        <v>2377</v>
      </c>
      <c r="G392" s="5" t="s">
        <v>2415</v>
      </c>
      <c r="H392" s="5">
        <v>2014.0</v>
      </c>
      <c r="I392" s="5">
        <v>1.0</v>
      </c>
      <c r="J392" s="5">
        <v>0.0</v>
      </c>
      <c r="K392" s="5">
        <v>1.0</v>
      </c>
      <c r="L392" s="54"/>
      <c r="M392" s="5" t="s">
        <v>2422</v>
      </c>
      <c r="N392" s="53" t="s">
        <v>2423</v>
      </c>
      <c r="O392">
        <v>50.81451</v>
      </c>
      <c r="P392">
        <v>1.704929</v>
      </c>
      <c r="Q392" s="5" t="s">
        <v>1521</v>
      </c>
      <c r="R392" s="10">
        <f t="shared" si="10"/>
        <v>1</v>
      </c>
      <c r="S392" s="5" t="s">
        <v>2424</v>
      </c>
      <c r="T392" s="5"/>
      <c r="U392" s="5" t="s">
        <v>254</v>
      </c>
      <c r="V392" s="5" t="s">
        <v>2425</v>
      </c>
    </row>
    <row r="393" ht="12.75" customHeight="1">
      <c r="A393" s="5">
        <v>54501.0</v>
      </c>
      <c r="B393" s="5" t="s">
        <v>2101</v>
      </c>
      <c r="C393" s="5" t="s">
        <v>124</v>
      </c>
      <c r="D393" s="5"/>
      <c r="E393" s="7" t="s">
        <v>2414</v>
      </c>
      <c r="F393" s="5" t="s">
        <v>2377</v>
      </c>
      <c r="G393" s="5" t="s">
        <v>2415</v>
      </c>
      <c r="H393" s="5">
        <v>2014.0</v>
      </c>
      <c r="I393" s="5">
        <v>1.0</v>
      </c>
      <c r="J393" s="5">
        <v>0.0</v>
      </c>
      <c r="K393" s="5">
        <v>1.0</v>
      </c>
      <c r="L393" s="54"/>
      <c r="M393" s="5" t="s">
        <v>2426</v>
      </c>
      <c r="N393" s="53" t="s">
        <v>2427</v>
      </c>
      <c r="O393">
        <v>50.95129</v>
      </c>
      <c r="P393">
        <v>1.858686</v>
      </c>
      <c r="Q393" s="5" t="s">
        <v>1551</v>
      </c>
      <c r="R393" s="10">
        <f t="shared" si="10"/>
        <v>30</v>
      </c>
      <c r="S393" s="5" t="s">
        <v>2428</v>
      </c>
      <c r="T393" s="5"/>
      <c r="U393" s="5" t="s">
        <v>514</v>
      </c>
      <c r="V393" s="5" t="s">
        <v>2429</v>
      </c>
    </row>
    <row r="394" ht="12.75" customHeight="1">
      <c r="A394" s="5">
        <v>54498.0</v>
      </c>
      <c r="B394" s="5" t="s">
        <v>68</v>
      </c>
      <c r="C394" s="5" t="s">
        <v>69</v>
      </c>
      <c r="D394" s="5"/>
      <c r="E394" s="7" t="s">
        <v>2414</v>
      </c>
      <c r="F394" s="5" t="s">
        <v>2377</v>
      </c>
      <c r="G394" s="5" t="s">
        <v>2415</v>
      </c>
      <c r="H394" s="5">
        <v>2014.0</v>
      </c>
      <c r="I394" s="5">
        <v>1.0</v>
      </c>
      <c r="J394" s="5">
        <v>0.0</v>
      </c>
      <c r="K394" s="5">
        <v>1.0</v>
      </c>
      <c r="L394" s="54"/>
      <c r="M394" s="5"/>
      <c r="N394" s="53" t="s">
        <v>2427</v>
      </c>
      <c r="O394">
        <v>50.95129</v>
      </c>
      <c r="P394">
        <v>1.858686</v>
      </c>
      <c r="Q394" s="5" t="s">
        <v>1551</v>
      </c>
      <c r="R394" s="10">
        <f t="shared" si="10"/>
        <v>30</v>
      </c>
      <c r="S394" s="5" t="s">
        <v>2430</v>
      </c>
      <c r="T394" s="5"/>
      <c r="U394" s="5" t="s">
        <v>514</v>
      </c>
      <c r="V394" s="5" t="s">
        <v>2431</v>
      </c>
    </row>
    <row r="395" ht="12.75" customHeight="1">
      <c r="A395" s="5">
        <v>54496.0</v>
      </c>
      <c r="B395" s="5" t="s">
        <v>68</v>
      </c>
      <c r="C395" s="5" t="s">
        <v>69</v>
      </c>
      <c r="D395" s="5"/>
      <c r="E395" s="7" t="s">
        <v>2414</v>
      </c>
      <c r="F395" s="5" t="s">
        <v>2377</v>
      </c>
      <c r="G395" s="5" t="s">
        <v>2415</v>
      </c>
      <c r="H395" s="5">
        <v>2014.0</v>
      </c>
      <c r="I395" s="5">
        <v>1.0</v>
      </c>
      <c r="J395" s="5">
        <v>0.0</v>
      </c>
      <c r="K395" s="5">
        <v>1.0</v>
      </c>
      <c r="L395" s="54"/>
      <c r="M395" s="5" t="s">
        <v>2432</v>
      </c>
      <c r="N395" s="53" t="s">
        <v>2427</v>
      </c>
      <c r="O395">
        <v>50.95129</v>
      </c>
      <c r="P395">
        <v>1.858686</v>
      </c>
      <c r="Q395" s="5" t="s">
        <v>1551</v>
      </c>
      <c r="R395" s="10">
        <f t="shared" si="10"/>
        <v>30</v>
      </c>
      <c r="S395" s="5" t="s">
        <v>2433</v>
      </c>
      <c r="T395" s="5"/>
      <c r="U395" s="5" t="s">
        <v>514</v>
      </c>
      <c r="V395" s="5" t="s">
        <v>2431</v>
      </c>
    </row>
    <row r="396" ht="12.75" customHeight="1">
      <c r="A396" s="5">
        <v>54493.0</v>
      </c>
      <c r="B396" s="5" t="s">
        <v>2007</v>
      </c>
      <c r="C396" s="5" t="s">
        <v>124</v>
      </c>
      <c r="D396" s="5"/>
      <c r="E396" s="7" t="s">
        <v>2414</v>
      </c>
      <c r="F396" s="5" t="s">
        <v>2377</v>
      </c>
      <c r="G396" s="5" t="s">
        <v>2415</v>
      </c>
      <c r="H396" s="5">
        <v>2014.0</v>
      </c>
      <c r="I396" s="5">
        <v>1.0</v>
      </c>
      <c r="J396" s="5">
        <v>0.0</v>
      </c>
      <c r="K396" s="5">
        <v>1.0</v>
      </c>
      <c r="L396" s="54"/>
      <c r="M396" s="5" t="s">
        <v>2434</v>
      </c>
      <c r="N396" s="53" t="s">
        <v>2427</v>
      </c>
      <c r="O396">
        <v>50.95129</v>
      </c>
      <c r="P396">
        <v>1.858686</v>
      </c>
      <c r="Q396" s="5" t="s">
        <v>1551</v>
      </c>
      <c r="R396" s="10">
        <f t="shared" si="10"/>
        <v>30</v>
      </c>
      <c r="S396" s="5" t="s">
        <v>2435</v>
      </c>
      <c r="T396" s="5"/>
      <c r="U396" s="5" t="s">
        <v>514</v>
      </c>
      <c r="V396" s="5" t="s">
        <v>2431</v>
      </c>
    </row>
    <row r="397" ht="12.75" customHeight="1">
      <c r="A397" s="5">
        <v>55164.0</v>
      </c>
      <c r="B397" s="5" t="s">
        <v>49</v>
      </c>
      <c r="C397" s="52" t="s">
        <v>50</v>
      </c>
      <c r="D397" s="5"/>
      <c r="E397" s="7" t="s">
        <v>2436</v>
      </c>
      <c r="F397" s="5" t="s">
        <v>2377</v>
      </c>
      <c r="G397" s="5" t="s">
        <v>2415</v>
      </c>
      <c r="H397" s="5">
        <v>2014.0</v>
      </c>
      <c r="I397" s="5">
        <v>2.0</v>
      </c>
      <c r="J397" s="5">
        <v>1.0</v>
      </c>
      <c r="K397" s="5">
        <v>3.0</v>
      </c>
      <c r="L397" s="54"/>
      <c r="M397" s="5" t="s">
        <v>2437</v>
      </c>
      <c r="N397" s="53"/>
      <c r="O397" s="10">
        <v>38.0</v>
      </c>
      <c r="P397" s="10">
        <v>0.5</v>
      </c>
      <c r="Q397" s="5" t="str">
        <f>O397&amp;", "&amp;P397</f>
        <v>38, 0.5</v>
      </c>
      <c r="R397" s="10">
        <f t="shared" si="10"/>
        <v>13</v>
      </c>
      <c r="S397" s="5" t="s">
        <v>2438</v>
      </c>
      <c r="T397" s="6" t="s">
        <v>72</v>
      </c>
      <c r="U397" s="5" t="s">
        <v>2439</v>
      </c>
      <c r="V397" s="5" t="s">
        <v>2440</v>
      </c>
    </row>
    <row r="398" ht="12.75" customHeight="1">
      <c r="A398" s="5">
        <v>72754.0</v>
      </c>
      <c r="B398" s="5" t="s">
        <v>49</v>
      </c>
      <c r="C398" s="52" t="s">
        <v>50</v>
      </c>
      <c r="D398" s="5" t="s">
        <v>2219</v>
      </c>
      <c r="E398" s="7" t="s">
        <v>2441</v>
      </c>
      <c r="F398" s="5" t="s">
        <v>2377</v>
      </c>
      <c r="G398" s="5" t="s">
        <v>2415</v>
      </c>
      <c r="H398" s="5">
        <v>2014.0</v>
      </c>
      <c r="I398" s="5">
        <v>17.0</v>
      </c>
      <c r="J398" s="5">
        <v>200.0</v>
      </c>
      <c r="K398" s="5">
        <v>217.0</v>
      </c>
      <c r="L398" s="54"/>
      <c r="M398" s="5" t="s">
        <v>2442</v>
      </c>
      <c r="N398" s="53" t="s">
        <v>2189</v>
      </c>
      <c r="O398">
        <v>34.574</v>
      </c>
      <c r="P398">
        <v>12.605</v>
      </c>
      <c r="Q398" s="5" t="s">
        <v>584</v>
      </c>
      <c r="R398" s="10">
        <f t="shared" si="10"/>
        <v>217</v>
      </c>
      <c r="S398" s="5" t="s">
        <v>2443</v>
      </c>
      <c r="T398" s="5" t="s">
        <v>2130</v>
      </c>
      <c r="U398" s="5" t="s">
        <v>2444</v>
      </c>
      <c r="V398" s="5"/>
    </row>
    <row r="399" ht="12.75" customHeight="1">
      <c r="A399" s="5">
        <v>72756.0</v>
      </c>
      <c r="B399" s="5" t="s">
        <v>49</v>
      </c>
      <c r="C399" s="52" t="s">
        <v>50</v>
      </c>
      <c r="D399" s="5" t="s">
        <v>2219</v>
      </c>
      <c r="E399" s="7" t="s">
        <v>2445</v>
      </c>
      <c r="F399" s="5" t="s">
        <v>2377</v>
      </c>
      <c r="G399" s="5" t="s">
        <v>2415</v>
      </c>
      <c r="H399" s="5">
        <v>2014.0</v>
      </c>
      <c r="I399" s="5">
        <v>40.0</v>
      </c>
      <c r="J399" s="5">
        <v>0.0</v>
      </c>
      <c r="K399" s="5">
        <v>40.0</v>
      </c>
      <c r="L399" s="54"/>
      <c r="M399" s="5" t="s">
        <v>2446</v>
      </c>
      <c r="N399" s="53" t="s">
        <v>1701</v>
      </c>
      <c r="O399">
        <v>33.04</v>
      </c>
      <c r="P399">
        <v>13.64</v>
      </c>
      <c r="Q399" s="5" t="s">
        <v>512</v>
      </c>
      <c r="R399" s="10">
        <f t="shared" si="10"/>
        <v>40</v>
      </c>
      <c r="S399" s="5" t="s">
        <v>2447</v>
      </c>
      <c r="T399" s="5" t="s">
        <v>2130</v>
      </c>
      <c r="U399" s="5" t="s">
        <v>2448</v>
      </c>
      <c r="V399" s="5"/>
    </row>
    <row r="400" ht="12.75" customHeight="1">
      <c r="A400" s="5">
        <v>54510.0</v>
      </c>
      <c r="B400" s="5" t="s">
        <v>2449</v>
      </c>
      <c r="C400" s="52" t="s">
        <v>50</v>
      </c>
      <c r="D400" s="5"/>
      <c r="E400" s="7" t="s">
        <v>2450</v>
      </c>
      <c r="F400" s="5" t="s">
        <v>2377</v>
      </c>
      <c r="G400" s="5" t="s">
        <v>2415</v>
      </c>
      <c r="H400" s="5">
        <v>2014.0</v>
      </c>
      <c r="I400" s="5">
        <v>13.0</v>
      </c>
      <c r="J400" s="5">
        <v>33.0</v>
      </c>
      <c r="K400" s="5">
        <v>46.0</v>
      </c>
      <c r="L400" s="54"/>
      <c r="M400" s="5" t="s">
        <v>2451</v>
      </c>
      <c r="N400" s="53" t="s">
        <v>2452</v>
      </c>
      <c r="O400">
        <v>21.8</v>
      </c>
      <c r="P400">
        <v>8.56</v>
      </c>
      <c r="Q400" s="5" t="s">
        <v>314</v>
      </c>
      <c r="R400" s="10">
        <f t="shared" si="10"/>
        <v>46</v>
      </c>
      <c r="S400" s="5" t="s">
        <v>2453</v>
      </c>
      <c r="T400" s="5"/>
      <c r="U400" s="5" t="s">
        <v>2454</v>
      </c>
      <c r="V400" s="5" t="s">
        <v>2455</v>
      </c>
    </row>
    <row r="401" ht="12.75" customHeight="1">
      <c r="A401" s="5">
        <v>54511.0</v>
      </c>
      <c r="B401" s="5" t="s">
        <v>2333</v>
      </c>
      <c r="C401" s="5" t="s">
        <v>124</v>
      </c>
      <c r="D401" s="5"/>
      <c r="E401" s="7" t="s">
        <v>2450</v>
      </c>
      <c r="F401" s="5" t="s">
        <v>2377</v>
      </c>
      <c r="G401" s="5" t="s">
        <v>2415</v>
      </c>
      <c r="H401" s="5">
        <v>2014.0</v>
      </c>
      <c r="I401" s="5">
        <v>0.0</v>
      </c>
      <c r="J401" s="5">
        <v>0.0</v>
      </c>
      <c r="K401" s="5">
        <v>1.0</v>
      </c>
      <c r="L401" s="54"/>
      <c r="M401" s="5" t="s">
        <v>2456</v>
      </c>
      <c r="N401" s="53" t="s">
        <v>2457</v>
      </c>
      <c r="O401">
        <v>36.926927</v>
      </c>
      <c r="P401">
        <v>14.725513</v>
      </c>
      <c r="Q401" s="5" t="s">
        <v>887</v>
      </c>
      <c r="R401" s="10">
        <f t="shared" si="10"/>
        <v>58</v>
      </c>
      <c r="S401" s="5" t="s">
        <v>2458</v>
      </c>
      <c r="T401" s="5" t="s">
        <v>2130</v>
      </c>
      <c r="U401" s="5" t="s">
        <v>2459</v>
      </c>
      <c r="V401" s="5" t="s">
        <v>2460</v>
      </c>
    </row>
    <row r="402" ht="12.75" customHeight="1">
      <c r="A402" s="5">
        <v>72758.0</v>
      </c>
      <c r="B402" s="5" t="s">
        <v>49</v>
      </c>
      <c r="C402" s="52" t="s">
        <v>50</v>
      </c>
      <c r="D402" s="5" t="s">
        <v>2219</v>
      </c>
      <c r="E402" s="7" t="s">
        <v>2461</v>
      </c>
      <c r="F402" s="5" t="s">
        <v>2377</v>
      </c>
      <c r="G402" s="5" t="s">
        <v>2415</v>
      </c>
      <c r="H402" s="5">
        <v>2014.0</v>
      </c>
      <c r="I402" s="5">
        <v>36.0</v>
      </c>
      <c r="J402" s="5">
        <v>54.0</v>
      </c>
      <c r="K402" s="5">
        <v>90.0</v>
      </c>
      <c r="L402" s="54"/>
      <c r="M402" s="5" t="s">
        <v>2462</v>
      </c>
      <c r="N402" s="53" t="s">
        <v>1701</v>
      </c>
      <c r="O402">
        <v>32.982</v>
      </c>
      <c r="P402">
        <v>13.563</v>
      </c>
      <c r="Q402" s="5" t="s">
        <v>498</v>
      </c>
      <c r="R402" s="10">
        <f t="shared" si="10"/>
        <v>90</v>
      </c>
      <c r="S402" s="5" t="s">
        <v>2251</v>
      </c>
      <c r="T402" s="5" t="s">
        <v>2130</v>
      </c>
      <c r="U402" s="5" t="s">
        <v>176</v>
      </c>
      <c r="V402" s="5"/>
    </row>
    <row r="403" ht="12.75" customHeight="1">
      <c r="A403" s="5">
        <v>54513.0</v>
      </c>
      <c r="B403" s="5" t="s">
        <v>49</v>
      </c>
      <c r="C403" s="52" t="s">
        <v>50</v>
      </c>
      <c r="D403" s="5"/>
      <c r="E403" s="7" t="s">
        <v>2463</v>
      </c>
      <c r="F403" s="5" t="s">
        <v>2377</v>
      </c>
      <c r="G403" s="5" t="s">
        <v>2415</v>
      </c>
      <c r="H403" s="5">
        <v>2014.0</v>
      </c>
      <c r="I403" s="5">
        <v>22.0</v>
      </c>
      <c r="J403" s="5">
        <v>0.0</v>
      </c>
      <c r="K403" s="5">
        <v>22.0</v>
      </c>
      <c r="L403" s="54"/>
      <c r="M403" s="5" t="s">
        <v>2464</v>
      </c>
      <c r="N403" s="53" t="s">
        <v>1734</v>
      </c>
      <c r="O403">
        <v>37.743215</v>
      </c>
      <c r="P403">
        <v>26.820351</v>
      </c>
      <c r="Q403" s="5" t="s">
        <v>956</v>
      </c>
      <c r="R403" s="10">
        <f t="shared" si="10"/>
        <v>218</v>
      </c>
      <c r="S403" s="5" t="s">
        <v>2465</v>
      </c>
      <c r="T403" s="6" t="s">
        <v>53</v>
      </c>
      <c r="U403" s="5" t="s">
        <v>1950</v>
      </c>
      <c r="V403" s="5" t="s">
        <v>2466</v>
      </c>
    </row>
    <row r="404" ht="12.75" customHeight="1">
      <c r="A404" s="5">
        <v>54503.0</v>
      </c>
      <c r="B404" s="5" t="s">
        <v>49</v>
      </c>
      <c r="C404" s="52" t="s">
        <v>50</v>
      </c>
      <c r="D404" s="5"/>
      <c r="E404" s="7" t="s">
        <v>2467</v>
      </c>
      <c r="F404" s="5" t="s">
        <v>2377</v>
      </c>
      <c r="G404" s="5" t="s">
        <v>2415</v>
      </c>
      <c r="H404" s="5">
        <v>2014.0</v>
      </c>
      <c r="I404" s="5">
        <v>36.0</v>
      </c>
      <c r="J404" s="5">
        <v>42.0</v>
      </c>
      <c r="K404" s="5">
        <v>78.0</v>
      </c>
      <c r="L404" s="54"/>
      <c r="M404" s="5" t="s">
        <v>2468</v>
      </c>
      <c r="N404" s="53" t="s">
        <v>2469</v>
      </c>
      <c r="O404">
        <v>33.89</v>
      </c>
      <c r="P404">
        <v>12.61</v>
      </c>
      <c r="Q404" s="5" t="s">
        <v>559</v>
      </c>
      <c r="R404" s="10">
        <f t="shared" si="10"/>
        <v>122</v>
      </c>
      <c r="S404" s="5" t="s">
        <v>2470</v>
      </c>
      <c r="T404" s="5" t="s">
        <v>2130</v>
      </c>
      <c r="U404" s="5" t="s">
        <v>281</v>
      </c>
      <c r="V404" s="5" t="s">
        <v>2471</v>
      </c>
    </row>
    <row r="405" ht="12.75" customHeight="1">
      <c r="A405" s="5">
        <v>54505.0</v>
      </c>
      <c r="B405" s="5" t="s">
        <v>68</v>
      </c>
      <c r="C405" s="5" t="s">
        <v>69</v>
      </c>
      <c r="D405" s="5"/>
      <c r="E405" s="7" t="s">
        <v>2472</v>
      </c>
      <c r="F405" s="5" t="s">
        <v>2377</v>
      </c>
      <c r="G405" s="5" t="s">
        <v>2415</v>
      </c>
      <c r="H405" s="5">
        <v>2014.0</v>
      </c>
      <c r="I405" s="5">
        <v>4.0</v>
      </c>
      <c r="J405" s="5">
        <v>0.0</v>
      </c>
      <c r="K405" s="5">
        <v>4.0</v>
      </c>
      <c r="L405" s="54"/>
      <c r="M405" s="5" t="s">
        <v>2473</v>
      </c>
      <c r="N405" s="53" t="s">
        <v>2469</v>
      </c>
      <c r="O405">
        <v>33.89</v>
      </c>
      <c r="P405">
        <v>12.61</v>
      </c>
      <c r="Q405" s="5" t="s">
        <v>559</v>
      </c>
      <c r="R405" s="10">
        <f t="shared" si="10"/>
        <v>122</v>
      </c>
      <c r="S405" s="5" t="s">
        <v>2474</v>
      </c>
      <c r="T405" s="6" t="s">
        <v>58</v>
      </c>
      <c r="U405" s="5" t="s">
        <v>281</v>
      </c>
      <c r="V405" s="5" t="s">
        <v>2471</v>
      </c>
    </row>
    <row r="406" ht="12.75" customHeight="1">
      <c r="A406" s="5">
        <v>54508.0</v>
      </c>
      <c r="B406" s="5" t="s">
        <v>2025</v>
      </c>
      <c r="C406" s="52" t="s">
        <v>50</v>
      </c>
      <c r="D406" s="5"/>
      <c r="E406" s="7" t="s">
        <v>2475</v>
      </c>
      <c r="F406" s="5" t="s">
        <v>2377</v>
      </c>
      <c r="G406" s="5" t="s">
        <v>2476</v>
      </c>
      <c r="H406" s="5">
        <v>2014.0</v>
      </c>
      <c r="I406" s="5">
        <v>10.0</v>
      </c>
      <c r="J406" s="5">
        <v>0.0</v>
      </c>
      <c r="K406" s="5">
        <v>10.0</v>
      </c>
      <c r="L406" s="54"/>
      <c r="M406" s="5" t="s">
        <v>2477</v>
      </c>
      <c r="N406" s="53" t="s">
        <v>2478</v>
      </c>
      <c r="O406">
        <v>20.23</v>
      </c>
      <c r="P406">
        <v>25.0</v>
      </c>
      <c r="Q406" s="5" t="s">
        <v>308</v>
      </c>
      <c r="R406" s="10">
        <f t="shared" si="10"/>
        <v>10</v>
      </c>
      <c r="S406" s="5" t="s">
        <v>2479</v>
      </c>
      <c r="T406" s="5"/>
      <c r="U406" s="5" t="s">
        <v>2480</v>
      </c>
      <c r="V406" s="5" t="s">
        <v>2481</v>
      </c>
    </row>
    <row r="407" ht="12.75" customHeight="1">
      <c r="A407" s="5">
        <v>54504.0</v>
      </c>
      <c r="B407" s="5" t="s">
        <v>49</v>
      </c>
      <c r="C407" s="52" t="s">
        <v>50</v>
      </c>
      <c r="D407" s="5"/>
      <c r="E407" s="7" t="s">
        <v>2475</v>
      </c>
      <c r="F407" s="5" t="s">
        <v>2377</v>
      </c>
      <c r="G407" s="5" t="s">
        <v>2476</v>
      </c>
      <c r="H407" s="5">
        <v>2014.0</v>
      </c>
      <c r="I407" s="5">
        <v>0.0</v>
      </c>
      <c r="J407" s="5">
        <v>40.0</v>
      </c>
      <c r="K407" s="5">
        <v>40.0</v>
      </c>
      <c r="L407" s="54"/>
      <c r="M407" s="5" t="s">
        <v>2482</v>
      </c>
      <c r="N407" s="53" t="s">
        <v>2469</v>
      </c>
      <c r="O407">
        <v>33.89</v>
      </c>
      <c r="P407">
        <v>12.61</v>
      </c>
      <c r="Q407" s="5" t="s">
        <v>559</v>
      </c>
      <c r="R407" s="10">
        <f t="shared" si="10"/>
        <v>122</v>
      </c>
      <c r="S407" s="5" t="s">
        <v>2483</v>
      </c>
      <c r="T407" s="5" t="s">
        <v>2130</v>
      </c>
      <c r="U407" s="5" t="s">
        <v>281</v>
      </c>
      <c r="V407" s="5" t="s">
        <v>2471</v>
      </c>
    </row>
    <row r="408" ht="12.75" customHeight="1">
      <c r="A408" s="5">
        <v>54057.0</v>
      </c>
      <c r="B408" s="5" t="s">
        <v>68</v>
      </c>
      <c r="C408" s="5" t="s">
        <v>69</v>
      </c>
      <c r="D408" s="5"/>
      <c r="E408" s="7" t="s">
        <v>2484</v>
      </c>
      <c r="F408" s="5" t="s">
        <v>2377</v>
      </c>
      <c r="G408" s="5" t="s">
        <v>2476</v>
      </c>
      <c r="H408" s="5">
        <v>2014.0</v>
      </c>
      <c r="I408" s="5">
        <v>1.0</v>
      </c>
      <c r="J408" s="5">
        <v>0.0</v>
      </c>
      <c r="K408" s="5">
        <v>1.0</v>
      </c>
      <c r="L408" s="54"/>
      <c r="M408" s="5" t="s">
        <v>2485</v>
      </c>
      <c r="N408" s="53"/>
      <c r="O408" s="10">
        <v>36.0</v>
      </c>
      <c r="P408" s="10">
        <v>12.0</v>
      </c>
      <c r="Q408" s="5" t="str">
        <f>O408&amp;", "&amp;P408</f>
        <v>36, 12</v>
      </c>
      <c r="R408" s="10">
        <f t="shared" si="10"/>
        <v>1</v>
      </c>
      <c r="S408" s="5" t="s">
        <v>2486</v>
      </c>
      <c r="T408" s="5" t="s">
        <v>2130</v>
      </c>
      <c r="U408" s="5" t="s">
        <v>2487</v>
      </c>
      <c r="V408" s="5" t="s">
        <v>2488</v>
      </c>
    </row>
    <row r="409" ht="12.75" customHeight="1">
      <c r="A409" s="5">
        <v>54054.0</v>
      </c>
      <c r="B409" s="5" t="s">
        <v>1995</v>
      </c>
      <c r="C409" s="52" t="s">
        <v>50</v>
      </c>
      <c r="D409" s="5"/>
      <c r="E409" s="7" t="s">
        <v>2489</v>
      </c>
      <c r="F409" s="5" t="s">
        <v>2490</v>
      </c>
      <c r="G409" s="5" t="s">
        <v>2491</v>
      </c>
      <c r="H409" s="5">
        <v>2014.0</v>
      </c>
      <c r="I409" s="5">
        <v>1.0</v>
      </c>
      <c r="J409" s="5">
        <v>0.0</v>
      </c>
      <c r="K409" s="5">
        <v>1.0</v>
      </c>
      <c r="L409" s="54"/>
      <c r="M409" s="5" t="s">
        <v>2492</v>
      </c>
      <c r="N409" s="53" t="s">
        <v>2493</v>
      </c>
      <c r="O409">
        <v>52.169628</v>
      </c>
      <c r="P409">
        <v>-0.503644</v>
      </c>
      <c r="Q409" s="5" t="s">
        <v>1722</v>
      </c>
      <c r="R409" s="10">
        <f t="shared" si="10"/>
        <v>1</v>
      </c>
      <c r="S409" s="5" t="s">
        <v>2494</v>
      </c>
      <c r="T409" s="5"/>
      <c r="U409" s="5" t="s">
        <v>176</v>
      </c>
      <c r="V409" s="5" t="s">
        <v>2495</v>
      </c>
    </row>
    <row r="410" ht="12.75" customHeight="1">
      <c r="A410" s="5">
        <v>72760.0</v>
      </c>
      <c r="B410" s="5" t="s">
        <v>49</v>
      </c>
      <c r="C410" s="52" t="s">
        <v>50</v>
      </c>
      <c r="D410" s="5" t="s">
        <v>2219</v>
      </c>
      <c r="E410" s="7" t="s">
        <v>2496</v>
      </c>
      <c r="F410" s="5" t="s">
        <v>2490</v>
      </c>
      <c r="G410" s="5" t="s">
        <v>2491</v>
      </c>
      <c r="H410" s="5">
        <v>2014.0</v>
      </c>
      <c r="I410" s="5">
        <v>4.0</v>
      </c>
      <c r="J410" s="5">
        <v>0.0</v>
      </c>
      <c r="K410" s="5">
        <v>4.0</v>
      </c>
      <c r="L410" s="54"/>
      <c r="M410" s="5" t="s">
        <v>2497</v>
      </c>
      <c r="N410" s="53" t="s">
        <v>2498</v>
      </c>
      <c r="O410">
        <v>36.0</v>
      </c>
      <c r="P410">
        <v>27.0</v>
      </c>
      <c r="Q410" s="5" t="s">
        <v>756</v>
      </c>
      <c r="R410" s="10">
        <f t="shared" si="10"/>
        <v>5</v>
      </c>
      <c r="S410" s="5" t="s">
        <v>2499</v>
      </c>
      <c r="T410" s="6" t="s">
        <v>53</v>
      </c>
      <c r="U410" s="5" t="s">
        <v>855</v>
      </c>
      <c r="V410" s="5"/>
    </row>
    <row r="411" ht="12.75" customHeight="1">
      <c r="A411" s="5">
        <v>72764.0</v>
      </c>
      <c r="B411" s="5" t="s">
        <v>49</v>
      </c>
      <c r="C411" s="52" t="s">
        <v>50</v>
      </c>
      <c r="D411" s="5" t="s">
        <v>2219</v>
      </c>
      <c r="E411" s="7" t="s">
        <v>2496</v>
      </c>
      <c r="F411" s="5" t="s">
        <v>2490</v>
      </c>
      <c r="G411" s="5" t="s">
        <v>2491</v>
      </c>
      <c r="H411" s="5">
        <v>2014.0</v>
      </c>
      <c r="I411" s="5">
        <v>6.0</v>
      </c>
      <c r="J411" s="5">
        <v>0.0</v>
      </c>
      <c r="K411" s="5">
        <v>6.0</v>
      </c>
      <c r="L411" s="54"/>
      <c r="M411" s="5" t="s">
        <v>2500</v>
      </c>
      <c r="N411" s="53" t="s">
        <v>2501</v>
      </c>
      <c r="O411">
        <v>39.0</v>
      </c>
      <c r="P411">
        <v>26.0</v>
      </c>
      <c r="Q411" s="5" t="s">
        <v>1055</v>
      </c>
      <c r="R411" s="10">
        <f t="shared" si="10"/>
        <v>10</v>
      </c>
      <c r="S411" s="5" t="s">
        <v>2499</v>
      </c>
      <c r="T411" s="5"/>
      <c r="U411" s="5" t="s">
        <v>2502</v>
      </c>
      <c r="V411" s="5"/>
    </row>
    <row r="412" ht="12.75" customHeight="1">
      <c r="A412" s="5">
        <v>54019.0</v>
      </c>
      <c r="B412" s="5" t="s">
        <v>49</v>
      </c>
      <c r="C412" s="52" t="s">
        <v>50</v>
      </c>
      <c r="D412" s="5"/>
      <c r="E412" s="7" t="s">
        <v>2496</v>
      </c>
      <c r="F412" s="5" t="s">
        <v>2490</v>
      </c>
      <c r="G412" s="5" t="s">
        <v>2491</v>
      </c>
      <c r="H412" s="5">
        <v>2014.0</v>
      </c>
      <c r="I412" s="5">
        <v>7.0</v>
      </c>
      <c r="J412" s="5">
        <v>2.0</v>
      </c>
      <c r="K412" s="5">
        <v>9.0</v>
      </c>
      <c r="L412" s="54"/>
      <c r="M412" s="5" t="s">
        <v>2503</v>
      </c>
      <c r="N412" s="53" t="s">
        <v>2504</v>
      </c>
      <c r="O412">
        <v>39.26451</v>
      </c>
      <c r="P412">
        <v>26.277707</v>
      </c>
      <c r="Q412" s="5" t="s">
        <v>1074</v>
      </c>
      <c r="R412" s="10">
        <f t="shared" si="10"/>
        <v>10</v>
      </c>
      <c r="S412" s="5" t="s">
        <v>2505</v>
      </c>
      <c r="T412" s="6" t="s">
        <v>53</v>
      </c>
      <c r="U412" s="5" t="s">
        <v>2506</v>
      </c>
      <c r="V412" s="5" t="s">
        <v>2507</v>
      </c>
    </row>
    <row r="413" ht="12.75" customHeight="1">
      <c r="A413" s="5">
        <v>62892.0</v>
      </c>
      <c r="B413" s="5" t="s">
        <v>49</v>
      </c>
      <c r="C413" s="52" t="s">
        <v>50</v>
      </c>
      <c r="D413" s="5"/>
      <c r="E413" s="7" t="s">
        <v>2508</v>
      </c>
      <c r="F413" s="5" t="s">
        <v>2490</v>
      </c>
      <c r="G413" s="5" t="s">
        <v>2491</v>
      </c>
      <c r="H413" s="5">
        <v>2014.0</v>
      </c>
      <c r="I413" s="5">
        <v>1.0</v>
      </c>
      <c r="J413" s="5">
        <v>0.0</v>
      </c>
      <c r="K413" s="5">
        <v>1.0</v>
      </c>
      <c r="L413" s="54"/>
      <c r="M413" s="5" t="s">
        <v>2509</v>
      </c>
      <c r="N413" s="53" t="s">
        <v>2510</v>
      </c>
      <c r="O413">
        <v>41.1</v>
      </c>
      <c r="P413">
        <v>26.3</v>
      </c>
      <c r="Q413" s="5" t="s">
        <v>1187</v>
      </c>
      <c r="R413" s="10">
        <f t="shared" si="10"/>
        <v>1</v>
      </c>
      <c r="S413" s="5" t="s">
        <v>2511</v>
      </c>
      <c r="T413" s="6" t="s">
        <v>53</v>
      </c>
      <c r="U413" s="5" t="s">
        <v>2343</v>
      </c>
      <c r="V413" s="5"/>
    </row>
    <row r="414" ht="12.75" customHeight="1">
      <c r="A414" s="5">
        <v>53772.0</v>
      </c>
      <c r="B414" s="5" t="s">
        <v>215</v>
      </c>
      <c r="C414" s="5" t="s">
        <v>62</v>
      </c>
      <c r="D414" s="5"/>
      <c r="E414" s="7" t="s">
        <v>2512</v>
      </c>
      <c r="F414" s="5" t="s">
        <v>2490</v>
      </c>
      <c r="G414" s="5" t="s">
        <v>2513</v>
      </c>
      <c r="H414" s="5">
        <v>2014.0</v>
      </c>
      <c r="I414" s="5">
        <v>1.0</v>
      </c>
      <c r="J414" s="5">
        <v>0.0</v>
      </c>
      <c r="K414" s="5">
        <v>1.0</v>
      </c>
      <c r="L414" s="54"/>
      <c r="M414" s="5" t="s">
        <v>2514</v>
      </c>
      <c r="N414" s="53" t="s">
        <v>2515</v>
      </c>
      <c r="O414">
        <v>48.856614</v>
      </c>
      <c r="P414">
        <v>2.352</v>
      </c>
      <c r="Q414" s="5" t="s">
        <v>1437</v>
      </c>
      <c r="R414" s="10">
        <f t="shared" si="10"/>
        <v>1</v>
      </c>
      <c r="S414" s="5" t="s">
        <v>2516</v>
      </c>
      <c r="T414" s="5"/>
      <c r="U414" s="5" t="s">
        <v>2294</v>
      </c>
      <c r="V414" s="5" t="s">
        <v>2517</v>
      </c>
    </row>
    <row r="415" ht="12.75" customHeight="1">
      <c r="A415" s="5">
        <v>53707.0</v>
      </c>
      <c r="B415" s="5" t="s">
        <v>1555</v>
      </c>
      <c r="C415" s="5" t="s">
        <v>42</v>
      </c>
      <c r="D415" s="5"/>
      <c r="E415" s="7" t="s">
        <v>2518</v>
      </c>
      <c r="F415" s="5" t="s">
        <v>2490</v>
      </c>
      <c r="G415" s="5" t="s">
        <v>2513</v>
      </c>
      <c r="H415" s="5">
        <v>2014.0</v>
      </c>
      <c r="I415" s="5">
        <v>13.0</v>
      </c>
      <c r="J415" s="5">
        <v>0.0</v>
      </c>
      <c r="K415" s="5">
        <v>13.0</v>
      </c>
      <c r="L415" s="54"/>
      <c r="M415" s="5" t="s">
        <v>2519</v>
      </c>
      <c r="N415" s="53" t="s">
        <v>163</v>
      </c>
      <c r="O415">
        <v>35.888384</v>
      </c>
      <c r="P415">
        <v>-5.324636</v>
      </c>
      <c r="Q415" s="5" t="s">
        <v>717</v>
      </c>
      <c r="R415" s="10">
        <f t="shared" si="10"/>
        <v>213</v>
      </c>
      <c r="S415" s="5" t="s">
        <v>2520</v>
      </c>
      <c r="T415" s="5" t="s">
        <v>72</v>
      </c>
      <c r="U415" s="5" t="s">
        <v>2521</v>
      </c>
      <c r="V415" s="5" t="s">
        <v>2522</v>
      </c>
    </row>
    <row r="416" ht="12.75" customHeight="1">
      <c r="A416" s="5">
        <v>54542.0</v>
      </c>
      <c r="B416" s="5" t="s">
        <v>215</v>
      </c>
      <c r="C416" s="5" t="s">
        <v>62</v>
      </c>
      <c r="D416" s="5"/>
      <c r="E416" s="7" t="s">
        <v>2523</v>
      </c>
      <c r="F416" s="5" t="s">
        <v>2490</v>
      </c>
      <c r="G416" s="5" t="s">
        <v>2513</v>
      </c>
      <c r="H416" s="5">
        <v>2014.0</v>
      </c>
      <c r="I416" s="5">
        <v>1.0</v>
      </c>
      <c r="J416" s="5">
        <v>0.0</v>
      </c>
      <c r="K416" s="5">
        <v>1.0</v>
      </c>
      <c r="L416" s="54"/>
      <c r="M416" s="5" t="s">
        <v>2524</v>
      </c>
      <c r="N416" s="53" t="s">
        <v>2427</v>
      </c>
      <c r="O416">
        <v>50.95129</v>
      </c>
      <c r="P416">
        <v>1.858686</v>
      </c>
      <c r="Q416" s="5" t="s">
        <v>1551</v>
      </c>
      <c r="R416" s="10">
        <f t="shared" si="10"/>
        <v>30</v>
      </c>
      <c r="S416" s="5" t="s">
        <v>2525</v>
      </c>
      <c r="T416" s="5"/>
      <c r="U416" s="5" t="s">
        <v>2526</v>
      </c>
      <c r="V416" s="5"/>
    </row>
    <row r="417" ht="12.75" customHeight="1">
      <c r="A417" s="5">
        <v>74815.0</v>
      </c>
      <c r="B417" s="5" t="s">
        <v>68</v>
      </c>
      <c r="C417" s="5" t="s">
        <v>69</v>
      </c>
      <c r="D417" s="5"/>
      <c r="E417" s="7" t="s">
        <v>2527</v>
      </c>
      <c r="F417" s="5" t="s">
        <v>2528</v>
      </c>
      <c r="G417" s="5" t="s">
        <v>2529</v>
      </c>
      <c r="H417" s="5">
        <v>2014.0</v>
      </c>
      <c r="I417" s="5">
        <v>4.0</v>
      </c>
      <c r="J417" s="5">
        <v>0.0</v>
      </c>
      <c r="K417" s="5">
        <v>4.0</v>
      </c>
      <c r="L417" s="54"/>
      <c r="M417" s="5" t="s">
        <v>2530</v>
      </c>
      <c r="N417" s="53" t="s">
        <v>2531</v>
      </c>
      <c r="O417">
        <v>39.2</v>
      </c>
      <c r="P417">
        <v>19.7</v>
      </c>
      <c r="Q417" s="5" t="s">
        <v>1070</v>
      </c>
      <c r="R417" s="10">
        <f t="shared" si="10"/>
        <v>4</v>
      </c>
      <c r="S417" s="5" t="s">
        <v>2532</v>
      </c>
      <c r="T417" s="6" t="s">
        <v>53</v>
      </c>
      <c r="U417" s="5" t="s">
        <v>92</v>
      </c>
      <c r="V417" s="5"/>
    </row>
    <row r="418" ht="12.75" customHeight="1">
      <c r="A418" s="5">
        <v>74032.0</v>
      </c>
      <c r="B418" s="5" t="s">
        <v>49</v>
      </c>
      <c r="C418" s="52" t="s">
        <v>50</v>
      </c>
      <c r="D418" s="5"/>
      <c r="E418" s="7" t="s">
        <v>2533</v>
      </c>
      <c r="F418" s="5" t="s">
        <v>2528</v>
      </c>
      <c r="G418" s="5" t="s">
        <v>2529</v>
      </c>
      <c r="H418" s="5">
        <v>2014.0</v>
      </c>
      <c r="I418" s="5">
        <v>4.0</v>
      </c>
      <c r="J418" s="5">
        <v>0.0</v>
      </c>
      <c r="K418" s="5">
        <v>4.0</v>
      </c>
      <c r="L418" s="54"/>
      <c r="M418" s="5" t="s">
        <v>2534</v>
      </c>
      <c r="N418" s="53" t="s">
        <v>2535</v>
      </c>
      <c r="O418">
        <v>35.4</v>
      </c>
      <c r="P418">
        <v>12.6</v>
      </c>
      <c r="Q418" s="5" t="s">
        <v>659</v>
      </c>
      <c r="R418" s="10">
        <f t="shared" si="10"/>
        <v>51</v>
      </c>
      <c r="S418" s="5" t="s">
        <v>2536</v>
      </c>
      <c r="T418" s="6" t="s">
        <v>58</v>
      </c>
      <c r="U418" s="5" t="s">
        <v>2537</v>
      </c>
      <c r="V418" s="5"/>
    </row>
    <row r="419" ht="12.75" customHeight="1">
      <c r="A419" s="5">
        <v>73828.0</v>
      </c>
      <c r="B419" s="5" t="s">
        <v>49</v>
      </c>
      <c r="C419" s="52" t="s">
        <v>50</v>
      </c>
      <c r="D419" s="5"/>
      <c r="E419" s="7" t="s">
        <v>2538</v>
      </c>
      <c r="F419" s="5" t="s">
        <v>2528</v>
      </c>
      <c r="G419" s="5" t="s">
        <v>2529</v>
      </c>
      <c r="H419" s="5">
        <v>2014.0</v>
      </c>
      <c r="I419" s="5">
        <v>9.0</v>
      </c>
      <c r="J419" s="5">
        <v>0.0</v>
      </c>
      <c r="K419" s="5">
        <v>9.0</v>
      </c>
      <c r="L419" s="54"/>
      <c r="M419" s="5" t="s">
        <v>2539</v>
      </c>
      <c r="N419" s="53" t="s">
        <v>2540</v>
      </c>
      <c r="O419">
        <v>35.97</v>
      </c>
      <c r="P419">
        <v>-5.84</v>
      </c>
      <c r="Q419" s="5" t="s">
        <v>749</v>
      </c>
      <c r="R419" s="10">
        <f t="shared" si="10"/>
        <v>9</v>
      </c>
      <c r="S419" s="5" t="s">
        <v>2541</v>
      </c>
      <c r="T419" s="5" t="s">
        <v>2197</v>
      </c>
      <c r="U419" s="5" t="s">
        <v>102</v>
      </c>
      <c r="V419" s="5"/>
    </row>
    <row r="420" ht="12.75" customHeight="1">
      <c r="A420" s="5">
        <v>72866.0</v>
      </c>
      <c r="B420" s="5" t="s">
        <v>2007</v>
      </c>
      <c r="C420" s="5" t="s">
        <v>124</v>
      </c>
      <c r="D420" s="5"/>
      <c r="E420" s="7" t="s">
        <v>2542</v>
      </c>
      <c r="F420" s="5" t="s">
        <v>2528</v>
      </c>
      <c r="G420" s="5" t="s">
        <v>2529</v>
      </c>
      <c r="H420" s="5">
        <v>2014.0</v>
      </c>
      <c r="I420" s="5">
        <v>1.0</v>
      </c>
      <c r="J420" s="5">
        <v>0.0</v>
      </c>
      <c r="K420" s="5">
        <v>1.0</v>
      </c>
      <c r="L420" s="54"/>
      <c r="M420" s="5" t="s">
        <v>2543</v>
      </c>
      <c r="N420" s="53" t="s">
        <v>2544</v>
      </c>
      <c r="O420">
        <v>51.7</v>
      </c>
      <c r="P420">
        <v>-0.15</v>
      </c>
      <c r="Q420" s="5" t="s">
        <v>1679</v>
      </c>
      <c r="R420" s="10">
        <f t="shared" si="10"/>
        <v>1</v>
      </c>
      <c r="S420" s="5" t="s">
        <v>2545</v>
      </c>
      <c r="T420" s="5"/>
      <c r="U420" s="5" t="s">
        <v>2546</v>
      </c>
      <c r="V420" s="5"/>
    </row>
    <row r="421" ht="12.75" customHeight="1">
      <c r="A421" s="5">
        <v>72766.0</v>
      </c>
      <c r="B421" s="5" t="s">
        <v>49</v>
      </c>
      <c r="C421" s="52" t="s">
        <v>50</v>
      </c>
      <c r="D421" s="5"/>
      <c r="E421" s="7" t="s">
        <v>2547</v>
      </c>
      <c r="F421" s="5" t="s">
        <v>2528</v>
      </c>
      <c r="G421" s="5" t="s">
        <v>2529</v>
      </c>
      <c r="H421" s="5">
        <v>2014.0</v>
      </c>
      <c r="I421" s="5">
        <v>0.0</v>
      </c>
      <c r="J421" s="5">
        <v>20.0</v>
      </c>
      <c r="K421" s="5">
        <v>20.0</v>
      </c>
      <c r="L421" s="54"/>
      <c r="M421" s="5" t="s">
        <v>2548</v>
      </c>
      <c r="N421" s="53" t="s">
        <v>2549</v>
      </c>
      <c r="O421">
        <v>36.3</v>
      </c>
      <c r="P421">
        <v>-2.5</v>
      </c>
      <c r="Q421" s="5" t="s">
        <v>790</v>
      </c>
      <c r="R421" s="10">
        <f t="shared" si="10"/>
        <v>20</v>
      </c>
      <c r="S421" s="5" t="s">
        <v>2550</v>
      </c>
      <c r="T421" s="5" t="s">
        <v>2197</v>
      </c>
      <c r="U421" s="5" t="s">
        <v>2551</v>
      </c>
      <c r="V421" s="5"/>
    </row>
    <row r="422" ht="12.75" customHeight="1">
      <c r="A422" s="5">
        <v>72703.0</v>
      </c>
      <c r="B422" s="5" t="s">
        <v>2552</v>
      </c>
      <c r="C422" s="52" t="s">
        <v>50</v>
      </c>
      <c r="D422" s="5"/>
      <c r="E422" s="7" t="s">
        <v>2553</v>
      </c>
      <c r="F422" s="5" t="s">
        <v>2528</v>
      </c>
      <c r="G422" s="5" t="s">
        <v>2529</v>
      </c>
      <c r="H422" s="5">
        <v>2014.0</v>
      </c>
      <c r="I422" s="5">
        <v>17.0</v>
      </c>
      <c r="J422" s="5">
        <v>0.0</v>
      </c>
      <c r="K422" s="5">
        <v>17.0</v>
      </c>
      <c r="L422" s="54"/>
      <c r="M422" s="5" t="s">
        <v>2554</v>
      </c>
      <c r="N422" s="53" t="s">
        <v>2189</v>
      </c>
      <c r="O422">
        <v>35.5</v>
      </c>
      <c r="P422">
        <v>12.6</v>
      </c>
      <c r="Q422" s="5" t="s">
        <v>666</v>
      </c>
      <c r="R422" s="10">
        <f t="shared" si="10"/>
        <v>112</v>
      </c>
      <c r="S422" s="5" t="s">
        <v>2555</v>
      </c>
      <c r="T422" s="5" t="s">
        <v>2130</v>
      </c>
      <c r="U422" s="5" t="s">
        <v>92</v>
      </c>
      <c r="V422" s="5"/>
    </row>
    <row r="423" ht="12.75" customHeight="1">
      <c r="A423" s="5">
        <v>75444.0</v>
      </c>
      <c r="B423" s="5" t="s">
        <v>49</v>
      </c>
      <c r="C423" s="52" t="s">
        <v>50</v>
      </c>
      <c r="D423" s="5"/>
      <c r="E423" s="7" t="s">
        <v>2556</v>
      </c>
      <c r="F423" s="5" t="s">
        <v>2528</v>
      </c>
      <c r="G423" s="5" t="s">
        <v>2529</v>
      </c>
      <c r="H423" s="5">
        <v>2014.0</v>
      </c>
      <c r="I423" s="5">
        <v>0.0</v>
      </c>
      <c r="J423" s="5">
        <v>10.0</v>
      </c>
      <c r="K423" s="5">
        <v>10.0</v>
      </c>
      <c r="L423" s="54"/>
      <c r="M423" s="5" t="s">
        <v>2557</v>
      </c>
      <c r="N423" s="53"/>
      <c r="O423" s="10">
        <v>38.0</v>
      </c>
      <c r="P423" s="10">
        <v>0.5</v>
      </c>
      <c r="Q423" s="5" t="str">
        <f t="shared" ref="Q423:Q424" si="13">O423&amp;", "&amp;P423</f>
        <v>38, 0.5</v>
      </c>
      <c r="R423" s="10">
        <f t="shared" si="10"/>
        <v>13</v>
      </c>
      <c r="S423" s="5" t="s">
        <v>2558</v>
      </c>
      <c r="T423" s="5" t="s">
        <v>2197</v>
      </c>
      <c r="U423" s="5" t="s">
        <v>2559</v>
      </c>
      <c r="V423" s="5"/>
    </row>
    <row r="424" ht="12.75" customHeight="1">
      <c r="A424" s="5">
        <v>72654.0</v>
      </c>
      <c r="B424" s="5" t="s">
        <v>68</v>
      </c>
      <c r="C424" s="5" t="s">
        <v>69</v>
      </c>
      <c r="D424" s="5"/>
      <c r="E424" s="7" t="s">
        <v>2560</v>
      </c>
      <c r="F424" s="5" t="s">
        <v>2528</v>
      </c>
      <c r="G424" s="5" t="s">
        <v>2561</v>
      </c>
      <c r="H424" s="5">
        <v>2014.0</v>
      </c>
      <c r="I424" s="5">
        <v>0.0</v>
      </c>
      <c r="J424" s="5">
        <v>18.0</v>
      </c>
      <c r="K424" s="5">
        <v>18.0</v>
      </c>
      <c r="L424" s="54"/>
      <c r="M424" s="5" t="s">
        <v>2562</v>
      </c>
      <c r="N424" s="53"/>
      <c r="Q424" s="5" t="str">
        <f t="shared" si="13"/>
        <v>, </v>
      </c>
      <c r="R424" s="10">
        <f t="shared" si="10"/>
        <v>60</v>
      </c>
      <c r="S424" s="5" t="s">
        <v>2563</v>
      </c>
      <c r="T424" s="5"/>
      <c r="U424" s="5" t="s">
        <v>254</v>
      </c>
      <c r="V424" s="5"/>
    </row>
    <row r="425" ht="12.75" customHeight="1">
      <c r="A425" s="5">
        <v>72657.0</v>
      </c>
      <c r="B425" s="5" t="s">
        <v>1161</v>
      </c>
      <c r="C425" s="5" t="s">
        <v>124</v>
      </c>
      <c r="D425" s="5"/>
      <c r="E425" s="7" t="s">
        <v>2564</v>
      </c>
      <c r="F425" s="5" t="s">
        <v>2528</v>
      </c>
      <c r="G425" s="5" t="s">
        <v>2561</v>
      </c>
      <c r="H425" s="5">
        <v>2014.0</v>
      </c>
      <c r="I425" s="5">
        <v>2.0</v>
      </c>
      <c r="J425" s="5">
        <v>0.0</v>
      </c>
      <c r="K425" s="5">
        <v>2.0</v>
      </c>
      <c r="L425" s="54"/>
      <c r="M425" s="5" t="s">
        <v>2565</v>
      </c>
      <c r="N425" s="53" t="s">
        <v>2566</v>
      </c>
      <c r="O425">
        <v>51.03</v>
      </c>
      <c r="P425">
        <v>2.38</v>
      </c>
      <c r="Q425" s="5" t="s">
        <v>1571</v>
      </c>
      <c r="R425" s="10">
        <f t="shared" si="10"/>
        <v>2</v>
      </c>
      <c r="S425" s="5" t="s">
        <v>2567</v>
      </c>
      <c r="T425" s="5"/>
      <c r="U425" s="5" t="s">
        <v>514</v>
      </c>
      <c r="V425" s="5"/>
    </row>
    <row r="426" ht="12.75" customHeight="1">
      <c r="A426" s="5">
        <v>72567.0</v>
      </c>
      <c r="B426" s="5" t="s">
        <v>1995</v>
      </c>
      <c r="C426" s="52" t="s">
        <v>50</v>
      </c>
      <c r="D426" s="5"/>
      <c r="E426" s="7" t="s">
        <v>2568</v>
      </c>
      <c r="F426" s="5" t="s">
        <v>2528</v>
      </c>
      <c r="G426" s="5" t="s">
        <v>2561</v>
      </c>
      <c r="H426" s="5">
        <v>2014.0</v>
      </c>
      <c r="I426" s="5">
        <v>1.0</v>
      </c>
      <c r="J426" s="5">
        <v>0.0</v>
      </c>
      <c r="K426" s="5">
        <v>1.0</v>
      </c>
      <c r="L426" s="54"/>
      <c r="M426" s="5" t="s">
        <v>2569</v>
      </c>
      <c r="N426" s="53" t="s">
        <v>2570</v>
      </c>
      <c r="O426">
        <v>38.1262665</v>
      </c>
      <c r="P426">
        <v>23.7379745</v>
      </c>
      <c r="Q426" s="5" t="s">
        <v>1000</v>
      </c>
      <c r="R426" s="10">
        <f t="shared" si="10"/>
        <v>1</v>
      </c>
      <c r="S426" s="5" t="s">
        <v>2571</v>
      </c>
      <c r="T426" s="5"/>
      <c r="U426" s="5" t="s">
        <v>254</v>
      </c>
      <c r="V426" s="5"/>
    </row>
    <row r="427" ht="12.75" customHeight="1">
      <c r="A427" s="5">
        <v>70812.0</v>
      </c>
      <c r="B427" s="5" t="s">
        <v>49</v>
      </c>
      <c r="C427" s="52" t="s">
        <v>50</v>
      </c>
      <c r="D427" s="5"/>
      <c r="E427" s="7" t="s">
        <v>2572</v>
      </c>
      <c r="F427" s="5" t="s">
        <v>2528</v>
      </c>
      <c r="G427" s="5" t="s">
        <v>2561</v>
      </c>
      <c r="H427" s="5">
        <v>2014.0</v>
      </c>
      <c r="I427" s="5">
        <v>10.0</v>
      </c>
      <c r="J427" s="5">
        <v>20.0</v>
      </c>
      <c r="K427" s="5">
        <v>30.0</v>
      </c>
      <c r="L427" s="54"/>
      <c r="M427" s="5" t="s">
        <v>2573</v>
      </c>
      <c r="N427" s="53" t="s">
        <v>2574</v>
      </c>
      <c r="O427">
        <v>41.24</v>
      </c>
      <c r="P427">
        <v>29.12</v>
      </c>
      <c r="Q427" s="5" t="s">
        <v>1210</v>
      </c>
      <c r="R427" s="10">
        <f t="shared" si="10"/>
        <v>30</v>
      </c>
      <c r="S427" s="5" t="s">
        <v>2575</v>
      </c>
      <c r="T427" s="6" t="s">
        <v>53</v>
      </c>
      <c r="U427" s="5" t="s">
        <v>2160</v>
      </c>
      <c r="V427" s="5"/>
    </row>
    <row r="428" ht="12.75" customHeight="1">
      <c r="A428" s="5">
        <v>76208.0</v>
      </c>
      <c r="B428" s="5" t="s">
        <v>49</v>
      </c>
      <c r="C428" s="52" t="s">
        <v>50</v>
      </c>
      <c r="D428" s="5"/>
      <c r="E428" s="7" t="s">
        <v>2576</v>
      </c>
      <c r="F428" s="5" t="s">
        <v>2528</v>
      </c>
      <c r="G428" s="5" t="s">
        <v>2561</v>
      </c>
      <c r="H428" s="5">
        <v>2014.0</v>
      </c>
      <c r="I428" s="5">
        <v>2.0</v>
      </c>
      <c r="J428" s="5">
        <v>0.0</v>
      </c>
      <c r="K428" s="5">
        <v>2.0</v>
      </c>
      <c r="L428" s="54"/>
      <c r="M428" s="5" t="s">
        <v>2577</v>
      </c>
      <c r="N428" s="53" t="s">
        <v>2549</v>
      </c>
      <c r="O428">
        <v>36.4</v>
      </c>
      <c r="P428">
        <v>-2.3</v>
      </c>
      <c r="Q428" s="5" t="s">
        <v>793</v>
      </c>
      <c r="R428" s="10">
        <f t="shared" si="10"/>
        <v>2</v>
      </c>
      <c r="S428" s="5" t="s">
        <v>2578</v>
      </c>
      <c r="T428" s="5" t="s">
        <v>2197</v>
      </c>
      <c r="U428" s="5" t="s">
        <v>2579</v>
      </c>
      <c r="V428" s="5"/>
    </row>
    <row r="429" ht="12.75" customHeight="1">
      <c r="A429" s="5">
        <v>64794.0</v>
      </c>
      <c r="B429" s="5" t="s">
        <v>1744</v>
      </c>
      <c r="C429" s="5" t="s">
        <v>124</v>
      </c>
      <c r="D429" s="5"/>
      <c r="E429" s="7" t="s">
        <v>2580</v>
      </c>
      <c r="F429" s="5" t="s">
        <v>2528</v>
      </c>
      <c r="G429" s="5" t="s">
        <v>2581</v>
      </c>
      <c r="H429" s="5">
        <v>2014.0</v>
      </c>
      <c r="I429" s="5">
        <v>3.0</v>
      </c>
      <c r="J429" s="5">
        <v>0.0</v>
      </c>
      <c r="K429" s="5">
        <v>3.0</v>
      </c>
      <c r="L429" s="54"/>
      <c r="M429" s="5" t="s">
        <v>2582</v>
      </c>
      <c r="N429" s="53" t="s">
        <v>2427</v>
      </c>
      <c r="O429">
        <v>50.9</v>
      </c>
      <c r="P429">
        <v>1.86</v>
      </c>
      <c r="Q429" s="5" t="s">
        <v>1533</v>
      </c>
      <c r="R429" s="10">
        <f t="shared" si="10"/>
        <v>3</v>
      </c>
      <c r="S429" s="5" t="s">
        <v>2583</v>
      </c>
      <c r="T429" s="5"/>
      <c r="U429" s="5" t="s">
        <v>66</v>
      </c>
      <c r="V429" s="5"/>
    </row>
    <row r="430" ht="12.75" customHeight="1">
      <c r="A430" s="5">
        <v>72722.0</v>
      </c>
      <c r="B430" s="5" t="s">
        <v>49</v>
      </c>
      <c r="C430" s="52" t="s">
        <v>50</v>
      </c>
      <c r="D430" s="5" t="s">
        <v>2219</v>
      </c>
      <c r="E430" s="7" t="s">
        <v>2584</v>
      </c>
      <c r="F430" s="5" t="s">
        <v>2528</v>
      </c>
      <c r="G430" s="5" t="s">
        <v>2581</v>
      </c>
      <c r="H430" s="5">
        <v>2014.0</v>
      </c>
      <c r="I430" s="5">
        <v>18.0</v>
      </c>
      <c r="J430" s="5">
        <v>20.0</v>
      </c>
      <c r="K430" s="5">
        <v>38.0</v>
      </c>
      <c r="L430" s="54"/>
      <c r="M430" s="5" t="s">
        <v>2585</v>
      </c>
      <c r="N430" s="53" t="s">
        <v>2586</v>
      </c>
      <c r="O430">
        <v>9.224</v>
      </c>
      <c r="P430">
        <v>-13.538</v>
      </c>
      <c r="Q430" s="5" t="s">
        <v>1932</v>
      </c>
      <c r="R430" s="10">
        <f t="shared" si="10"/>
        <v>38</v>
      </c>
      <c r="S430" s="5" t="s">
        <v>2587</v>
      </c>
      <c r="T430" s="6" t="s">
        <v>1040</v>
      </c>
      <c r="U430" s="5" t="s">
        <v>254</v>
      </c>
      <c r="V430" s="5"/>
    </row>
    <row r="431" ht="12.75" customHeight="1">
      <c r="A431" s="5">
        <v>72724.0</v>
      </c>
      <c r="B431" s="5" t="s">
        <v>49</v>
      </c>
      <c r="C431" s="52" t="s">
        <v>50</v>
      </c>
      <c r="D431" s="5" t="s">
        <v>2219</v>
      </c>
      <c r="E431" s="7" t="s">
        <v>2588</v>
      </c>
      <c r="F431" s="5" t="s">
        <v>2528</v>
      </c>
      <c r="G431" s="5" t="s">
        <v>2581</v>
      </c>
      <c r="H431" s="5">
        <v>2014.0</v>
      </c>
      <c r="I431" s="5">
        <v>0.0</v>
      </c>
      <c r="J431" s="5">
        <v>40.0</v>
      </c>
      <c r="K431" s="5">
        <v>40.0</v>
      </c>
      <c r="L431" s="54"/>
      <c r="M431" s="5" t="s">
        <v>2589</v>
      </c>
      <c r="N431" s="53" t="s">
        <v>1701</v>
      </c>
      <c r="O431">
        <v>33.51</v>
      </c>
      <c r="P431">
        <v>12.8</v>
      </c>
      <c r="Q431" s="5" t="s">
        <v>542</v>
      </c>
      <c r="R431" s="10">
        <f t="shared" si="10"/>
        <v>40</v>
      </c>
      <c r="S431" s="5" t="s">
        <v>2590</v>
      </c>
      <c r="T431" s="5" t="s">
        <v>2130</v>
      </c>
      <c r="U431" s="5" t="s">
        <v>2591</v>
      </c>
      <c r="V431" s="5"/>
    </row>
    <row r="432" ht="12.75" customHeight="1">
      <c r="A432" s="5">
        <v>58376.0</v>
      </c>
      <c r="B432" s="5" t="s">
        <v>49</v>
      </c>
      <c r="C432" s="52" t="s">
        <v>50</v>
      </c>
      <c r="D432" s="5"/>
      <c r="E432" s="7" t="s">
        <v>2592</v>
      </c>
      <c r="F432" s="5" t="s">
        <v>2528</v>
      </c>
      <c r="G432" s="5" t="s">
        <v>2581</v>
      </c>
      <c r="H432" s="5">
        <v>2014.0</v>
      </c>
      <c r="I432" s="5">
        <v>10.0</v>
      </c>
      <c r="J432" s="5">
        <v>80.0</v>
      </c>
      <c r="K432" s="5">
        <v>90.0</v>
      </c>
      <c r="L432" s="54"/>
      <c r="M432" s="5" t="s">
        <v>2593</v>
      </c>
      <c r="N432" s="53" t="s">
        <v>2594</v>
      </c>
      <c r="O432">
        <v>33.6</v>
      </c>
      <c r="P432">
        <v>13.3</v>
      </c>
      <c r="Q432" s="5" t="s">
        <v>546</v>
      </c>
      <c r="R432" s="10">
        <f t="shared" si="10"/>
        <v>90</v>
      </c>
      <c r="S432" s="5" t="s">
        <v>2595</v>
      </c>
      <c r="T432" s="6" t="s">
        <v>58</v>
      </c>
      <c r="U432" s="5" t="s">
        <v>254</v>
      </c>
      <c r="V432" s="5"/>
    </row>
    <row r="433" ht="12.75" customHeight="1">
      <c r="A433" s="5">
        <v>72726.0</v>
      </c>
      <c r="B433" s="5" t="s">
        <v>49</v>
      </c>
      <c r="C433" s="52" t="s">
        <v>50</v>
      </c>
      <c r="D433" s="5" t="s">
        <v>2219</v>
      </c>
      <c r="E433" s="7" t="s">
        <v>2596</v>
      </c>
      <c r="F433" s="5" t="s">
        <v>2528</v>
      </c>
      <c r="G433" s="5" t="s">
        <v>2581</v>
      </c>
      <c r="H433" s="5">
        <v>2014.0</v>
      </c>
      <c r="I433" s="5">
        <v>2.0</v>
      </c>
      <c r="J433" s="5">
        <v>6.0</v>
      </c>
      <c r="K433" s="5">
        <v>8.0</v>
      </c>
      <c r="L433" s="54"/>
      <c r="M433" s="5" t="s">
        <v>2597</v>
      </c>
      <c r="N433" s="53" t="s">
        <v>2598</v>
      </c>
      <c r="O433">
        <v>35.94</v>
      </c>
      <c r="P433">
        <v>-5.38</v>
      </c>
      <c r="Q433" s="5" t="s">
        <v>742</v>
      </c>
      <c r="R433" s="10">
        <f t="shared" si="10"/>
        <v>8</v>
      </c>
      <c r="S433" s="5" t="s">
        <v>2599</v>
      </c>
      <c r="T433" s="5" t="s">
        <v>2130</v>
      </c>
      <c r="U433" s="5" t="s">
        <v>254</v>
      </c>
      <c r="V433" s="5"/>
    </row>
    <row r="434" ht="12.75" customHeight="1">
      <c r="A434" s="5">
        <v>51989.0</v>
      </c>
      <c r="B434" s="5" t="s">
        <v>49</v>
      </c>
      <c r="C434" s="52" t="s">
        <v>50</v>
      </c>
      <c r="D434" s="5"/>
      <c r="E434" s="7" t="s">
        <v>2600</v>
      </c>
      <c r="F434" s="5" t="s">
        <v>2490</v>
      </c>
      <c r="G434" s="5" t="s">
        <v>2601</v>
      </c>
      <c r="H434" s="5">
        <v>2014.0</v>
      </c>
      <c r="I434" s="5">
        <v>4.0</v>
      </c>
      <c r="J434" s="5">
        <v>5.0</v>
      </c>
      <c r="K434" s="5">
        <v>12.0</v>
      </c>
      <c r="L434" s="54"/>
      <c r="M434" s="5" t="s">
        <v>2602</v>
      </c>
      <c r="N434" s="53" t="s">
        <v>2603</v>
      </c>
      <c r="O434">
        <v>37.282956</v>
      </c>
      <c r="P434">
        <v>27.088338</v>
      </c>
      <c r="Q434" s="5" t="s">
        <v>921</v>
      </c>
      <c r="R434" s="10">
        <f t="shared" si="10"/>
        <v>15</v>
      </c>
      <c r="S434" s="5" t="s">
        <v>2604</v>
      </c>
      <c r="T434" s="6" t="s">
        <v>53</v>
      </c>
      <c r="U434" s="5" t="s">
        <v>2219</v>
      </c>
      <c r="V434" s="5" t="s">
        <v>2605</v>
      </c>
    </row>
    <row r="435" ht="12.75" customHeight="1">
      <c r="A435" s="5">
        <v>54047.0</v>
      </c>
      <c r="B435" s="5" t="s">
        <v>49</v>
      </c>
      <c r="C435" s="52" t="s">
        <v>50</v>
      </c>
      <c r="D435" s="5"/>
      <c r="E435" s="7" t="s">
        <v>2606</v>
      </c>
      <c r="F435" s="5" t="s">
        <v>2607</v>
      </c>
      <c r="G435" s="5" t="s">
        <v>2608</v>
      </c>
      <c r="H435" s="5">
        <v>2013.0</v>
      </c>
      <c r="I435" s="5">
        <v>0.0</v>
      </c>
      <c r="J435" s="5">
        <v>0.0</v>
      </c>
      <c r="K435" s="5">
        <v>10.0</v>
      </c>
      <c r="L435" s="54"/>
      <c r="M435" s="5" t="s">
        <v>2609</v>
      </c>
      <c r="N435" s="53" t="s">
        <v>2610</v>
      </c>
      <c r="O435">
        <v>36.793212</v>
      </c>
      <c r="P435">
        <v>14.706973</v>
      </c>
      <c r="Q435" s="5" t="s">
        <v>847</v>
      </c>
      <c r="R435" s="10">
        <f t="shared" si="10"/>
        <v>12</v>
      </c>
      <c r="S435" s="5" t="s">
        <v>2611</v>
      </c>
      <c r="T435" s="5" t="s">
        <v>2130</v>
      </c>
      <c r="U435" s="5" t="s">
        <v>2612</v>
      </c>
      <c r="V435" s="5" t="s">
        <v>2613</v>
      </c>
    </row>
    <row r="436" ht="12.75" customHeight="1">
      <c r="A436" s="5">
        <v>33791.0</v>
      </c>
      <c r="B436" s="5" t="s">
        <v>49</v>
      </c>
      <c r="C436" s="52" t="s">
        <v>50</v>
      </c>
      <c r="D436" s="5" t="s">
        <v>2614</v>
      </c>
      <c r="E436" s="7" t="s">
        <v>2615</v>
      </c>
      <c r="F436" s="5" t="s">
        <v>2607</v>
      </c>
      <c r="G436" s="5" t="s">
        <v>2608</v>
      </c>
      <c r="H436" s="5">
        <v>2013.0</v>
      </c>
      <c r="I436" s="5">
        <v>0.0</v>
      </c>
      <c r="J436" s="5">
        <v>0.0</v>
      </c>
      <c r="K436" s="5">
        <v>13.0</v>
      </c>
      <c r="L436" s="54"/>
      <c r="M436" s="5" t="s">
        <v>2616</v>
      </c>
      <c r="N436" s="53" t="s">
        <v>2617</v>
      </c>
      <c r="O436">
        <v>37.508039</v>
      </c>
      <c r="P436">
        <v>15.082851</v>
      </c>
      <c r="Q436" s="5" t="s">
        <v>943</v>
      </c>
      <c r="R436" s="10">
        <f t="shared" si="10"/>
        <v>20</v>
      </c>
      <c r="S436" s="5" t="s">
        <v>2618</v>
      </c>
      <c r="T436" s="6" t="s">
        <v>58</v>
      </c>
      <c r="U436" s="5" t="s">
        <v>2619</v>
      </c>
      <c r="V436" s="5" t="s">
        <v>2620</v>
      </c>
    </row>
    <row r="437" ht="12.75" customHeight="1">
      <c r="A437" s="5">
        <v>69744.0</v>
      </c>
      <c r="B437" s="5" t="s">
        <v>1555</v>
      </c>
      <c r="C437" s="5" t="s">
        <v>42</v>
      </c>
      <c r="D437" s="5"/>
      <c r="E437" s="7" t="s">
        <v>2621</v>
      </c>
      <c r="F437" s="5" t="s">
        <v>2607</v>
      </c>
      <c r="G437" s="5" t="s">
        <v>2608</v>
      </c>
      <c r="H437" s="5">
        <v>2013.0</v>
      </c>
      <c r="I437" s="5">
        <v>1.0</v>
      </c>
      <c r="J437" s="5">
        <v>0.0</v>
      </c>
      <c r="K437" s="5">
        <v>1.0</v>
      </c>
      <c r="L437" s="54"/>
      <c r="M437" s="5" t="s">
        <v>2622</v>
      </c>
      <c r="N437" s="53" t="s">
        <v>2623</v>
      </c>
      <c r="O437">
        <v>45.649502</v>
      </c>
      <c r="P437">
        <v>0.12473</v>
      </c>
      <c r="Q437" s="5" t="s">
        <v>1334</v>
      </c>
      <c r="R437" s="10">
        <f t="shared" si="10"/>
        <v>1</v>
      </c>
      <c r="S437" s="5" t="s">
        <v>2624</v>
      </c>
      <c r="T437" s="5"/>
      <c r="U437" s="5" t="s">
        <v>2625</v>
      </c>
      <c r="V437" s="5"/>
    </row>
    <row r="438" ht="12.75" customHeight="1">
      <c r="A438" s="5">
        <v>33792.0</v>
      </c>
      <c r="B438" s="5" t="s">
        <v>41</v>
      </c>
      <c r="C438" s="5" t="s">
        <v>42</v>
      </c>
      <c r="D438" s="5" t="s">
        <v>2614</v>
      </c>
      <c r="E438" s="7" t="s">
        <v>2626</v>
      </c>
      <c r="F438" s="5" t="s">
        <v>2607</v>
      </c>
      <c r="G438" s="5" t="s">
        <v>2608</v>
      </c>
      <c r="H438" s="5">
        <v>2013.0</v>
      </c>
      <c r="I438" s="5">
        <v>0.0</v>
      </c>
      <c r="J438" s="5">
        <v>0.0</v>
      </c>
      <c r="K438" s="5">
        <v>2.0</v>
      </c>
      <c r="L438" s="54"/>
      <c r="M438" s="5" t="s">
        <v>2627</v>
      </c>
      <c r="N438" s="53" t="s">
        <v>2628</v>
      </c>
      <c r="O438">
        <v>26.820553</v>
      </c>
      <c r="P438">
        <v>30.802498</v>
      </c>
      <c r="Q438" s="5" t="s">
        <v>344</v>
      </c>
      <c r="R438" s="10">
        <f t="shared" si="10"/>
        <v>427</v>
      </c>
      <c r="S438" s="5" t="s">
        <v>2629</v>
      </c>
      <c r="T438" s="6" t="s">
        <v>53</v>
      </c>
      <c r="U438" s="5" t="s">
        <v>2619</v>
      </c>
      <c r="V438" s="5" t="s">
        <v>2630</v>
      </c>
    </row>
    <row r="439" ht="12.75" customHeight="1">
      <c r="A439" s="5">
        <v>33794.0</v>
      </c>
      <c r="B439" s="5" t="s">
        <v>49</v>
      </c>
      <c r="C439" s="52" t="s">
        <v>50</v>
      </c>
      <c r="D439" s="5" t="s">
        <v>2614</v>
      </c>
      <c r="E439" s="7" t="s">
        <v>2631</v>
      </c>
      <c r="F439" s="5" t="s">
        <v>2607</v>
      </c>
      <c r="G439" s="5" t="s">
        <v>2608</v>
      </c>
      <c r="H439" s="5">
        <v>2013.0</v>
      </c>
      <c r="I439" s="5">
        <v>0.0</v>
      </c>
      <c r="J439" s="5">
        <v>0.0</v>
      </c>
      <c r="K439" s="5">
        <v>1.0</v>
      </c>
      <c r="L439" s="54"/>
      <c r="M439" s="5" t="s">
        <v>2632</v>
      </c>
      <c r="N439" s="53" t="s">
        <v>2633</v>
      </c>
      <c r="O439">
        <v>28.569022</v>
      </c>
      <c r="P439">
        <v>-16.324539</v>
      </c>
      <c r="Q439" s="5" t="s">
        <v>396</v>
      </c>
      <c r="R439" s="10">
        <f t="shared" si="10"/>
        <v>53</v>
      </c>
      <c r="S439" s="5" t="s">
        <v>2634</v>
      </c>
      <c r="T439" s="5" t="s">
        <v>1040</v>
      </c>
      <c r="U439" s="5" t="s">
        <v>2635</v>
      </c>
      <c r="V439" s="5" t="s">
        <v>2636</v>
      </c>
    </row>
    <row r="440" ht="12.75" customHeight="1">
      <c r="A440" s="5">
        <v>33793.0</v>
      </c>
      <c r="B440" s="5" t="s">
        <v>49</v>
      </c>
      <c r="C440" s="52" t="s">
        <v>50</v>
      </c>
      <c r="D440" s="5" t="s">
        <v>2614</v>
      </c>
      <c r="E440" s="7" t="s">
        <v>2631</v>
      </c>
      <c r="F440" s="5" t="s">
        <v>2607</v>
      </c>
      <c r="G440" s="5" t="s">
        <v>2608</v>
      </c>
      <c r="H440" s="5">
        <v>2013.0</v>
      </c>
      <c r="I440" s="5">
        <v>0.0</v>
      </c>
      <c r="J440" s="5">
        <v>0.0</v>
      </c>
      <c r="K440" s="5">
        <v>12.0</v>
      </c>
      <c r="L440" s="54"/>
      <c r="M440" s="5" t="s">
        <v>2637</v>
      </c>
      <c r="N440" s="53" t="s">
        <v>2638</v>
      </c>
      <c r="O440">
        <v>35.888384</v>
      </c>
      <c r="P440">
        <v>-5.324636</v>
      </c>
      <c r="Q440" s="5" t="s">
        <v>717</v>
      </c>
      <c r="R440" s="10">
        <f t="shared" si="10"/>
        <v>213</v>
      </c>
      <c r="S440" s="5" t="s">
        <v>2639</v>
      </c>
      <c r="T440" s="6" t="s">
        <v>72</v>
      </c>
      <c r="U440" s="5" t="s">
        <v>2640</v>
      </c>
      <c r="V440" s="5" t="s">
        <v>2641</v>
      </c>
    </row>
    <row r="441" ht="12.75" customHeight="1">
      <c r="A441" s="5">
        <v>53703.0</v>
      </c>
      <c r="B441" s="5" t="s">
        <v>2025</v>
      </c>
      <c r="C441" s="52" t="s">
        <v>50</v>
      </c>
      <c r="D441" s="5" t="s">
        <v>2642</v>
      </c>
      <c r="E441" s="7" t="s">
        <v>2643</v>
      </c>
      <c r="F441" s="5" t="s">
        <v>2607</v>
      </c>
      <c r="G441" s="5" t="s">
        <v>2608</v>
      </c>
      <c r="H441" s="5">
        <v>2013.0</v>
      </c>
      <c r="I441" s="5">
        <v>0.0</v>
      </c>
      <c r="J441" s="5">
        <v>0.0</v>
      </c>
      <c r="K441" s="5">
        <v>60.0</v>
      </c>
      <c r="L441" s="54"/>
      <c r="M441" s="5" t="s">
        <v>2644</v>
      </c>
      <c r="N441" s="53" t="s">
        <v>2645</v>
      </c>
      <c r="O441">
        <v>30.755556</v>
      </c>
      <c r="P441">
        <v>20.225278</v>
      </c>
      <c r="Q441" s="5" t="s">
        <v>419</v>
      </c>
      <c r="R441" s="10">
        <f t="shared" si="10"/>
        <v>60</v>
      </c>
      <c r="S441" s="5" t="s">
        <v>2646</v>
      </c>
      <c r="T441" s="6" t="s">
        <v>58</v>
      </c>
      <c r="U441" s="5" t="s">
        <v>2326</v>
      </c>
      <c r="V441" s="5" t="s">
        <v>2647</v>
      </c>
    </row>
    <row r="442" ht="12.75" customHeight="1">
      <c r="A442" s="5">
        <v>53702.0</v>
      </c>
      <c r="B442" s="5" t="s">
        <v>1161</v>
      </c>
      <c r="C442" s="5" t="s">
        <v>124</v>
      </c>
      <c r="D442" s="5" t="s">
        <v>2642</v>
      </c>
      <c r="E442" s="7" t="s">
        <v>2643</v>
      </c>
      <c r="F442" s="5" t="s">
        <v>2607</v>
      </c>
      <c r="G442" s="5" t="s">
        <v>2608</v>
      </c>
      <c r="H442" s="5">
        <v>2013.0</v>
      </c>
      <c r="I442" s="5">
        <v>0.0</v>
      </c>
      <c r="J442" s="5">
        <v>0.0</v>
      </c>
      <c r="K442" s="5">
        <v>3.0</v>
      </c>
      <c r="L442" s="54"/>
      <c r="M442" s="5" t="s">
        <v>2648</v>
      </c>
      <c r="N442" s="53" t="s">
        <v>2649</v>
      </c>
      <c r="O442">
        <v>37.743215</v>
      </c>
      <c r="P442">
        <v>26.820351</v>
      </c>
      <c r="Q442" s="5" t="s">
        <v>956</v>
      </c>
      <c r="R442" s="10">
        <f t="shared" si="10"/>
        <v>218</v>
      </c>
      <c r="S442" s="5" t="s">
        <v>2650</v>
      </c>
      <c r="T442" s="6" t="s">
        <v>53</v>
      </c>
      <c r="U442" s="5" t="s">
        <v>2651</v>
      </c>
      <c r="V442" s="5" t="s">
        <v>2652</v>
      </c>
    </row>
    <row r="443" ht="12.75" customHeight="1">
      <c r="A443" s="5">
        <v>53701.0</v>
      </c>
      <c r="B443" s="5" t="s">
        <v>49</v>
      </c>
      <c r="C443" s="52" t="s">
        <v>50</v>
      </c>
      <c r="D443" s="5" t="s">
        <v>2642</v>
      </c>
      <c r="E443" s="7" t="s">
        <v>2653</v>
      </c>
      <c r="F443" s="5" t="s">
        <v>2607</v>
      </c>
      <c r="G443" s="5" t="s">
        <v>2608</v>
      </c>
      <c r="H443" s="5">
        <v>2013.0</v>
      </c>
      <c r="I443" s="5">
        <v>0.0</v>
      </c>
      <c r="J443" s="5">
        <v>0.0</v>
      </c>
      <c r="K443" s="5">
        <v>1.0</v>
      </c>
      <c r="L443" s="54"/>
      <c r="M443" s="5" t="s">
        <v>2654</v>
      </c>
      <c r="N443" s="53" t="s">
        <v>572</v>
      </c>
      <c r="O443">
        <v>37.599994</v>
      </c>
      <c r="P443">
        <v>14.015356</v>
      </c>
      <c r="Q443" s="5" t="s">
        <v>949</v>
      </c>
      <c r="R443" s="10">
        <f t="shared" si="10"/>
        <v>363</v>
      </c>
      <c r="S443" s="5" t="s">
        <v>2655</v>
      </c>
      <c r="T443" s="6" t="s">
        <v>58</v>
      </c>
      <c r="U443" s="5" t="s">
        <v>2656</v>
      </c>
      <c r="V443" s="5" t="s">
        <v>2657</v>
      </c>
    </row>
    <row r="444" ht="12.75" customHeight="1">
      <c r="A444" s="5">
        <v>63112.0</v>
      </c>
      <c r="B444" s="5" t="s">
        <v>68</v>
      </c>
      <c r="C444" s="5" t="s">
        <v>69</v>
      </c>
      <c r="D444" s="5"/>
      <c r="E444" s="7" t="s">
        <v>2658</v>
      </c>
      <c r="F444" s="5" t="s">
        <v>2607</v>
      </c>
      <c r="G444" s="5" t="s">
        <v>2608</v>
      </c>
      <c r="H444" s="5">
        <v>2013.0</v>
      </c>
      <c r="I444" s="5">
        <v>1.0</v>
      </c>
      <c r="J444" s="5">
        <v>0.0</v>
      </c>
      <c r="K444" s="5">
        <v>1.0</v>
      </c>
      <c r="L444" s="54"/>
      <c r="M444" s="5"/>
      <c r="N444" s="53" t="s">
        <v>2659</v>
      </c>
      <c r="O444">
        <v>52.311057</v>
      </c>
      <c r="P444">
        <v>4.952201</v>
      </c>
      <c r="Q444" s="5" t="s">
        <v>1739</v>
      </c>
      <c r="R444" s="10">
        <f t="shared" si="10"/>
        <v>1</v>
      </c>
      <c r="S444" s="5" t="s">
        <v>2660</v>
      </c>
      <c r="T444" s="5"/>
      <c r="U444" s="5" t="s">
        <v>2661</v>
      </c>
      <c r="V444" s="5"/>
    </row>
    <row r="445" ht="12.75" customHeight="1">
      <c r="A445" s="5">
        <v>33795.0</v>
      </c>
      <c r="B445" s="5" t="s">
        <v>49</v>
      </c>
      <c r="C445" s="52" t="s">
        <v>50</v>
      </c>
      <c r="D445" s="5" t="s">
        <v>2614</v>
      </c>
      <c r="E445" s="7" t="s">
        <v>2662</v>
      </c>
      <c r="F445" s="5" t="s">
        <v>2607</v>
      </c>
      <c r="G445" s="5" t="s">
        <v>2663</v>
      </c>
      <c r="H445" s="5">
        <v>2013.0</v>
      </c>
      <c r="I445" s="5">
        <v>0.0</v>
      </c>
      <c r="J445" s="5">
        <v>0.0</v>
      </c>
      <c r="K445" s="5">
        <v>6.0</v>
      </c>
      <c r="L445" s="54"/>
      <c r="M445" s="5" t="s">
        <v>2664</v>
      </c>
      <c r="N445" s="53" t="s">
        <v>2617</v>
      </c>
      <c r="O445">
        <v>37.508039</v>
      </c>
      <c r="P445">
        <v>15.082851</v>
      </c>
      <c r="Q445" s="5" t="s">
        <v>943</v>
      </c>
      <c r="R445" s="10">
        <f t="shared" si="10"/>
        <v>20</v>
      </c>
      <c r="S445" s="5" t="s">
        <v>2665</v>
      </c>
      <c r="T445" s="6" t="s">
        <v>58</v>
      </c>
      <c r="U445" s="5" t="s">
        <v>2619</v>
      </c>
      <c r="V445" s="5" t="s">
        <v>2666</v>
      </c>
    </row>
    <row r="446" ht="12.75" customHeight="1">
      <c r="A446" s="5">
        <v>33796.0</v>
      </c>
      <c r="B446" s="5" t="s">
        <v>153</v>
      </c>
      <c r="C446" s="52" t="s">
        <v>50</v>
      </c>
      <c r="D446" s="5" t="s">
        <v>2614</v>
      </c>
      <c r="E446" s="7" t="s">
        <v>2667</v>
      </c>
      <c r="F446" s="5" t="s">
        <v>2607</v>
      </c>
      <c r="G446" s="5" t="s">
        <v>2663</v>
      </c>
      <c r="H446" s="5">
        <v>2013.0</v>
      </c>
      <c r="I446" s="5">
        <v>0.0</v>
      </c>
      <c r="J446" s="5">
        <v>0.0</v>
      </c>
      <c r="K446" s="5">
        <v>1.0</v>
      </c>
      <c r="L446" s="54"/>
      <c r="M446" s="5" t="s">
        <v>2668</v>
      </c>
      <c r="N446" s="53" t="s">
        <v>2669</v>
      </c>
      <c r="O446">
        <v>39.080793</v>
      </c>
      <c r="P446">
        <v>17.12711</v>
      </c>
      <c r="Q446" s="5" t="s">
        <v>1066</v>
      </c>
      <c r="R446" s="10">
        <f t="shared" si="10"/>
        <v>2</v>
      </c>
      <c r="S446" s="5" t="s">
        <v>2670</v>
      </c>
      <c r="T446" s="6" t="s">
        <v>1963</v>
      </c>
      <c r="U446" s="5" t="s">
        <v>2619</v>
      </c>
      <c r="V446" s="5" t="s">
        <v>2671</v>
      </c>
    </row>
    <row r="447" ht="12.75" customHeight="1">
      <c r="A447" s="5">
        <v>53700.0</v>
      </c>
      <c r="B447" s="5" t="s">
        <v>49</v>
      </c>
      <c r="C447" s="52" t="s">
        <v>50</v>
      </c>
      <c r="D447" s="5" t="s">
        <v>2642</v>
      </c>
      <c r="E447" s="7" t="s">
        <v>2672</v>
      </c>
      <c r="F447" s="5" t="s">
        <v>2607</v>
      </c>
      <c r="G447" s="5" t="s">
        <v>2663</v>
      </c>
      <c r="H447" s="5">
        <v>2013.0</v>
      </c>
      <c r="I447" s="5">
        <v>0.0</v>
      </c>
      <c r="J447" s="5">
        <v>0.0</v>
      </c>
      <c r="K447" s="5">
        <v>3.0</v>
      </c>
      <c r="L447" s="54"/>
      <c r="M447" s="5" t="s">
        <v>2673</v>
      </c>
      <c r="N447" s="53" t="s">
        <v>359</v>
      </c>
      <c r="O447">
        <v>35.508622</v>
      </c>
      <c r="P447">
        <v>12.59292</v>
      </c>
      <c r="Q447" s="5" t="s">
        <v>669</v>
      </c>
      <c r="R447" s="10">
        <f t="shared" si="10"/>
        <v>3843</v>
      </c>
      <c r="S447" s="5" t="s">
        <v>2674</v>
      </c>
      <c r="T447" s="6" t="s">
        <v>58</v>
      </c>
      <c r="U447" s="5" t="s">
        <v>2675</v>
      </c>
      <c r="V447" s="5" t="s">
        <v>2676</v>
      </c>
    </row>
    <row r="448" ht="12.75" customHeight="1">
      <c r="A448" s="5">
        <v>33797.0</v>
      </c>
      <c r="B448" s="5" t="s">
        <v>68</v>
      </c>
      <c r="C448" s="5" t="s">
        <v>69</v>
      </c>
      <c r="D448" s="5" t="s">
        <v>2614</v>
      </c>
      <c r="E448" s="7" t="s">
        <v>2677</v>
      </c>
      <c r="F448" s="5" t="s">
        <v>2607</v>
      </c>
      <c r="G448" s="5" t="s">
        <v>2678</v>
      </c>
      <c r="H448" s="5">
        <v>2013.0</v>
      </c>
      <c r="I448" s="5">
        <v>0.0</v>
      </c>
      <c r="J448" s="5">
        <v>0.0</v>
      </c>
      <c r="K448" s="5">
        <v>1.0</v>
      </c>
      <c r="L448" s="54"/>
      <c r="M448" s="5" t="s">
        <v>2679</v>
      </c>
      <c r="N448" s="53" t="s">
        <v>2680</v>
      </c>
      <c r="O448">
        <v>36.018776</v>
      </c>
      <c r="P448">
        <v>-5.600819</v>
      </c>
      <c r="Q448" s="5" t="s">
        <v>761</v>
      </c>
      <c r="R448" s="10">
        <f t="shared" si="10"/>
        <v>492</v>
      </c>
      <c r="S448" s="5" t="s">
        <v>2681</v>
      </c>
      <c r="T448" s="6" t="s">
        <v>72</v>
      </c>
      <c r="U448" s="5" t="s">
        <v>2635</v>
      </c>
      <c r="V448" s="5" t="s">
        <v>2682</v>
      </c>
    </row>
    <row r="449" ht="12.75" customHeight="1">
      <c r="A449" s="5">
        <v>53697.0</v>
      </c>
      <c r="B449" s="5" t="s">
        <v>49</v>
      </c>
      <c r="C449" s="52" t="s">
        <v>50</v>
      </c>
      <c r="D449" s="5" t="s">
        <v>2642</v>
      </c>
      <c r="E449" s="7" t="s">
        <v>2677</v>
      </c>
      <c r="F449" s="5" t="s">
        <v>2607</v>
      </c>
      <c r="G449" s="5" t="s">
        <v>2678</v>
      </c>
      <c r="H449" s="5">
        <v>2013.0</v>
      </c>
      <c r="I449" s="5">
        <v>0.0</v>
      </c>
      <c r="J449" s="5">
        <v>0.0</v>
      </c>
      <c r="K449" s="5">
        <v>24.0</v>
      </c>
      <c r="L449" s="54"/>
      <c r="M449" s="5" t="s">
        <v>2683</v>
      </c>
      <c r="N449" s="53" t="s">
        <v>2684</v>
      </c>
      <c r="O449">
        <v>39.671689</v>
      </c>
      <c r="P449">
        <v>26.196498</v>
      </c>
      <c r="Q449" s="5" t="s">
        <v>1104</v>
      </c>
      <c r="R449" s="10">
        <f t="shared" si="10"/>
        <v>24</v>
      </c>
      <c r="S449" s="5" t="s">
        <v>2685</v>
      </c>
      <c r="T449" s="6" t="s">
        <v>53</v>
      </c>
      <c r="U449" s="5" t="s">
        <v>2160</v>
      </c>
      <c r="V449" s="5" t="s">
        <v>2686</v>
      </c>
    </row>
    <row r="450" ht="12.75" customHeight="1">
      <c r="A450" s="5">
        <v>53698.0</v>
      </c>
      <c r="B450" s="5" t="s">
        <v>49</v>
      </c>
      <c r="C450" s="52" t="s">
        <v>50</v>
      </c>
      <c r="D450" s="5" t="s">
        <v>2642</v>
      </c>
      <c r="E450" s="7" t="s">
        <v>2687</v>
      </c>
      <c r="F450" s="5" t="s">
        <v>2607</v>
      </c>
      <c r="G450" s="5" t="s">
        <v>2678</v>
      </c>
      <c r="H450" s="5">
        <v>2013.0</v>
      </c>
      <c r="I450" s="5">
        <v>0.0</v>
      </c>
      <c r="J450" s="5">
        <v>0.0</v>
      </c>
      <c r="K450" s="5">
        <v>31.0</v>
      </c>
      <c r="L450" s="54"/>
      <c r="M450" s="5" t="s">
        <v>2688</v>
      </c>
      <c r="N450" s="53" t="s">
        <v>2689</v>
      </c>
      <c r="O450">
        <v>35.937496</v>
      </c>
      <c r="P450">
        <v>14.375416</v>
      </c>
      <c r="Q450" s="5" t="s">
        <v>740</v>
      </c>
      <c r="R450" s="10">
        <f t="shared" si="10"/>
        <v>655</v>
      </c>
      <c r="S450" s="5" t="s">
        <v>2690</v>
      </c>
      <c r="T450" s="6" t="s">
        <v>58</v>
      </c>
      <c r="U450" s="5" t="s">
        <v>2691</v>
      </c>
      <c r="V450" s="5" t="s">
        <v>2692</v>
      </c>
    </row>
    <row r="451" ht="12.75" customHeight="1">
      <c r="A451" s="5">
        <v>53699.0</v>
      </c>
      <c r="B451" s="5" t="s">
        <v>2693</v>
      </c>
      <c r="C451" s="5" t="s">
        <v>62</v>
      </c>
      <c r="D451" s="5" t="s">
        <v>2642</v>
      </c>
      <c r="E451" s="7" t="s">
        <v>2687</v>
      </c>
      <c r="F451" s="5" t="s">
        <v>2607</v>
      </c>
      <c r="G451" s="5" t="s">
        <v>2678</v>
      </c>
      <c r="H451" s="5">
        <v>2013.0</v>
      </c>
      <c r="I451" s="5">
        <v>0.0</v>
      </c>
      <c r="J451" s="5">
        <v>0.0</v>
      </c>
      <c r="K451" s="5">
        <v>1.0</v>
      </c>
      <c r="L451" s="54"/>
      <c r="M451" s="5" t="s">
        <v>2694</v>
      </c>
      <c r="N451" s="53" t="s">
        <v>2570</v>
      </c>
      <c r="O451">
        <v>37.983716</v>
      </c>
      <c r="P451">
        <v>23.72931</v>
      </c>
      <c r="Q451" s="5" t="s">
        <v>974</v>
      </c>
      <c r="R451" s="10">
        <f t="shared" si="10"/>
        <v>13</v>
      </c>
      <c r="S451" s="5" t="s">
        <v>2695</v>
      </c>
      <c r="T451" s="5"/>
      <c r="U451" s="5" t="s">
        <v>2696</v>
      </c>
      <c r="V451" s="5" t="s">
        <v>2697</v>
      </c>
    </row>
    <row r="452" ht="12.75" customHeight="1">
      <c r="A452" s="5">
        <v>33798.0</v>
      </c>
      <c r="B452" s="5" t="s">
        <v>49</v>
      </c>
      <c r="C452" s="52" t="s">
        <v>50</v>
      </c>
      <c r="D452" s="5" t="s">
        <v>2614</v>
      </c>
      <c r="E452" s="7" t="s">
        <v>2698</v>
      </c>
      <c r="F452" s="5" t="s">
        <v>2607</v>
      </c>
      <c r="G452" s="5" t="s">
        <v>2678</v>
      </c>
      <c r="H452" s="5">
        <v>2013.0</v>
      </c>
      <c r="I452" s="5">
        <v>0.0</v>
      </c>
      <c r="J452" s="5">
        <v>0.0</v>
      </c>
      <c r="K452" s="5">
        <v>31.0</v>
      </c>
      <c r="L452" s="54"/>
      <c r="M452" s="5" t="s">
        <v>2699</v>
      </c>
      <c r="N452" s="53" t="s">
        <v>2700</v>
      </c>
      <c r="O452">
        <v>35.508622</v>
      </c>
      <c r="P452">
        <v>12.59292</v>
      </c>
      <c r="Q452" s="5" t="s">
        <v>669</v>
      </c>
      <c r="R452" s="10">
        <f t="shared" si="10"/>
        <v>3843</v>
      </c>
      <c r="S452" s="5" t="s">
        <v>2701</v>
      </c>
      <c r="T452" s="6" t="s">
        <v>58</v>
      </c>
      <c r="U452" s="5" t="s">
        <v>2619</v>
      </c>
      <c r="V452" s="5" t="s">
        <v>2702</v>
      </c>
    </row>
    <row r="453" ht="12.75" customHeight="1">
      <c r="A453" s="5">
        <v>33799.0</v>
      </c>
      <c r="B453" s="5" t="s">
        <v>49</v>
      </c>
      <c r="C453" s="52" t="s">
        <v>50</v>
      </c>
      <c r="D453" s="5" t="s">
        <v>2614</v>
      </c>
      <c r="E453" s="7" t="s">
        <v>2703</v>
      </c>
      <c r="F453" s="5" t="s">
        <v>2607</v>
      </c>
      <c r="G453" s="5" t="s">
        <v>2678</v>
      </c>
      <c r="H453" s="5">
        <v>2013.0</v>
      </c>
      <c r="I453" s="5">
        <v>0.0</v>
      </c>
      <c r="J453" s="5">
        <v>0.0</v>
      </c>
      <c r="K453" s="5">
        <v>2.0</v>
      </c>
      <c r="L453" s="54"/>
      <c r="M453" s="5" t="s">
        <v>2704</v>
      </c>
      <c r="N453" s="53" t="s">
        <v>2705</v>
      </c>
      <c r="O453">
        <v>36.799851</v>
      </c>
      <c r="P453">
        <v>27.102943</v>
      </c>
      <c r="Q453" s="5" t="s">
        <v>848</v>
      </c>
      <c r="R453" s="10">
        <f t="shared" si="10"/>
        <v>119</v>
      </c>
      <c r="S453" s="5" t="s">
        <v>2706</v>
      </c>
      <c r="T453" s="6" t="s">
        <v>53</v>
      </c>
      <c r="U453" s="5" t="s">
        <v>712</v>
      </c>
      <c r="V453" s="5" t="s">
        <v>2707</v>
      </c>
    </row>
    <row r="454" ht="12.75" customHeight="1">
      <c r="A454" s="5">
        <v>69694.0</v>
      </c>
      <c r="B454" s="5" t="s">
        <v>1857</v>
      </c>
      <c r="C454" s="52" t="s">
        <v>50</v>
      </c>
      <c r="D454" s="5"/>
      <c r="E454" s="7" t="s">
        <v>2703</v>
      </c>
      <c r="F454" s="5" t="s">
        <v>2607</v>
      </c>
      <c r="G454" s="5" t="s">
        <v>2678</v>
      </c>
      <c r="H454" s="5">
        <v>2013.0</v>
      </c>
      <c r="I454" s="5">
        <v>1.0</v>
      </c>
      <c r="J454" s="5">
        <v>0.0</v>
      </c>
      <c r="K454" s="5">
        <v>1.0</v>
      </c>
      <c r="L454" s="54"/>
      <c r="M454" s="5" t="s">
        <v>2708</v>
      </c>
      <c r="N454" s="53" t="s">
        <v>2709</v>
      </c>
      <c r="O454">
        <v>53.366786</v>
      </c>
      <c r="P454">
        <v>-2.279768</v>
      </c>
      <c r="Q454" s="5" t="s">
        <v>1824</v>
      </c>
      <c r="R454" s="10">
        <f t="shared" si="10"/>
        <v>1</v>
      </c>
      <c r="S454" s="5" t="s">
        <v>2710</v>
      </c>
      <c r="T454" s="5"/>
      <c r="U454" s="5" t="s">
        <v>2711</v>
      </c>
      <c r="V454" s="5"/>
    </row>
    <row r="455" ht="12.75" customHeight="1">
      <c r="A455" s="5">
        <v>33800.0</v>
      </c>
      <c r="B455" s="5" t="s">
        <v>49</v>
      </c>
      <c r="C455" s="52" t="s">
        <v>50</v>
      </c>
      <c r="D455" s="5" t="s">
        <v>2614</v>
      </c>
      <c r="E455" s="7" t="s">
        <v>2712</v>
      </c>
      <c r="F455" s="5" t="s">
        <v>2607</v>
      </c>
      <c r="G455" s="5" t="s">
        <v>2678</v>
      </c>
      <c r="H455" s="5">
        <v>2013.0</v>
      </c>
      <c r="I455" s="5">
        <v>0.0</v>
      </c>
      <c r="J455" s="5">
        <v>0.0</v>
      </c>
      <c r="K455" s="5">
        <v>10.0</v>
      </c>
      <c r="L455" s="54"/>
      <c r="M455" s="5" t="s">
        <v>2713</v>
      </c>
      <c r="N455" s="53" t="s">
        <v>2705</v>
      </c>
      <c r="O455">
        <v>36.799851</v>
      </c>
      <c r="P455">
        <v>27.102943</v>
      </c>
      <c r="Q455" s="5" t="s">
        <v>848</v>
      </c>
      <c r="R455" s="10">
        <f t="shared" si="10"/>
        <v>119</v>
      </c>
      <c r="S455" s="5" t="s">
        <v>2714</v>
      </c>
      <c r="T455" s="6" t="s">
        <v>53</v>
      </c>
      <c r="U455" s="5" t="s">
        <v>712</v>
      </c>
      <c r="V455" s="5" t="s">
        <v>2715</v>
      </c>
    </row>
    <row r="456" ht="12.75" customHeight="1">
      <c r="A456" s="5">
        <v>33802.0</v>
      </c>
      <c r="B456" s="5" t="s">
        <v>1857</v>
      </c>
      <c r="C456" s="52" t="s">
        <v>50</v>
      </c>
      <c r="D456" s="5" t="s">
        <v>2614</v>
      </c>
      <c r="E456" s="7" t="s">
        <v>2716</v>
      </c>
      <c r="F456" s="5" t="s">
        <v>2607</v>
      </c>
      <c r="G456" s="5" t="s">
        <v>2678</v>
      </c>
      <c r="H456" s="5">
        <v>2013.0</v>
      </c>
      <c r="I456" s="5">
        <v>0.0</v>
      </c>
      <c r="J456" s="5">
        <v>0.0</v>
      </c>
      <c r="K456" s="5">
        <v>1.0</v>
      </c>
      <c r="L456" s="54"/>
      <c r="M456" s="5" t="s">
        <v>2717</v>
      </c>
      <c r="N456" s="53" t="s">
        <v>2718</v>
      </c>
      <c r="O456">
        <v>35.292278</v>
      </c>
      <c r="P456">
        <v>-2.938097</v>
      </c>
      <c r="Q456" s="5" t="s">
        <v>649</v>
      </c>
      <c r="R456" s="10">
        <f t="shared" si="10"/>
        <v>79</v>
      </c>
      <c r="S456" s="5" t="s">
        <v>2719</v>
      </c>
      <c r="T456" s="6" t="s">
        <v>72</v>
      </c>
      <c r="U456" s="5" t="s">
        <v>2635</v>
      </c>
      <c r="V456" s="5" t="s">
        <v>2720</v>
      </c>
    </row>
    <row r="457" ht="12.75" customHeight="1">
      <c r="A457" s="5">
        <v>33801.0</v>
      </c>
      <c r="B457" s="5" t="s">
        <v>49</v>
      </c>
      <c r="C457" s="52" t="s">
        <v>50</v>
      </c>
      <c r="D457" s="5" t="s">
        <v>2614</v>
      </c>
      <c r="E457" s="7" t="s">
        <v>2716</v>
      </c>
      <c r="F457" s="5" t="s">
        <v>2607</v>
      </c>
      <c r="G457" s="5" t="s">
        <v>2678</v>
      </c>
      <c r="H457" s="5">
        <v>2013.0</v>
      </c>
      <c r="I457" s="5">
        <v>0.0</v>
      </c>
      <c r="J457" s="5">
        <v>0.0</v>
      </c>
      <c r="K457" s="5">
        <v>1.0</v>
      </c>
      <c r="L457" s="54"/>
      <c r="M457" s="5" t="s">
        <v>2721</v>
      </c>
      <c r="N457" s="53" t="s">
        <v>2722</v>
      </c>
      <c r="O457">
        <v>38.515435</v>
      </c>
      <c r="P457">
        <v>26.220492</v>
      </c>
      <c r="Q457" s="5" t="s">
        <v>1028</v>
      </c>
      <c r="R457" s="10">
        <f t="shared" si="10"/>
        <v>1</v>
      </c>
      <c r="S457" s="5" t="s">
        <v>2723</v>
      </c>
      <c r="T457" s="6" t="s">
        <v>53</v>
      </c>
      <c r="U457" s="5" t="s">
        <v>712</v>
      </c>
      <c r="V457" s="5" t="s">
        <v>2724</v>
      </c>
    </row>
    <row r="458" ht="12.75" customHeight="1">
      <c r="A458" s="5">
        <v>69733.0</v>
      </c>
      <c r="B458" s="5" t="s">
        <v>211</v>
      </c>
      <c r="C458" s="5" t="s">
        <v>211</v>
      </c>
      <c r="D458" s="5"/>
      <c r="E458" s="7" t="s">
        <v>2725</v>
      </c>
      <c r="F458" s="5" t="s">
        <v>926</v>
      </c>
      <c r="G458" s="5" t="s">
        <v>927</v>
      </c>
      <c r="H458" s="5">
        <v>2013.0</v>
      </c>
      <c r="I458" s="5">
        <v>1.0</v>
      </c>
      <c r="J458" s="5">
        <v>0.0</v>
      </c>
      <c r="K458" s="5">
        <v>1.0</v>
      </c>
      <c r="L458" s="54"/>
      <c r="M458" s="5" t="s">
        <v>2726</v>
      </c>
      <c r="N458" s="53" t="s">
        <v>2727</v>
      </c>
      <c r="O458">
        <v>50.9</v>
      </c>
      <c r="P458">
        <v>4.38</v>
      </c>
      <c r="Q458" s="5" t="s">
        <v>1534</v>
      </c>
      <c r="R458" s="10">
        <f t="shared" si="10"/>
        <v>1</v>
      </c>
      <c r="S458" s="5" t="s">
        <v>2728</v>
      </c>
      <c r="T458" s="5"/>
      <c r="U458" s="5" t="s">
        <v>2729</v>
      </c>
      <c r="V458" s="5"/>
    </row>
    <row r="459" ht="12.75" customHeight="1">
      <c r="A459" s="5">
        <v>33803.0</v>
      </c>
      <c r="B459" s="5" t="s">
        <v>2730</v>
      </c>
      <c r="C459" s="52" t="s">
        <v>50</v>
      </c>
      <c r="D459" s="5" t="s">
        <v>2614</v>
      </c>
      <c r="E459" s="7" t="s">
        <v>2731</v>
      </c>
      <c r="F459" s="5" t="s">
        <v>926</v>
      </c>
      <c r="G459" s="5" t="s">
        <v>927</v>
      </c>
      <c r="H459" s="5">
        <v>2013.0</v>
      </c>
      <c r="I459" s="5">
        <v>0.0</v>
      </c>
      <c r="J459" s="5">
        <v>0.0</v>
      </c>
      <c r="K459" s="5">
        <v>2.0</v>
      </c>
      <c r="L459" s="54"/>
      <c r="M459" s="5" t="s">
        <v>2732</v>
      </c>
      <c r="N459" s="53" t="s">
        <v>2733</v>
      </c>
      <c r="O459">
        <v>39.308771</v>
      </c>
      <c r="P459">
        <v>16.346379</v>
      </c>
      <c r="Q459" s="5" t="s">
        <v>1075</v>
      </c>
      <c r="R459" s="10">
        <f t="shared" si="10"/>
        <v>57</v>
      </c>
      <c r="S459" s="5" t="s">
        <v>2734</v>
      </c>
      <c r="T459" s="6" t="s">
        <v>1963</v>
      </c>
      <c r="U459" s="5" t="s">
        <v>2619</v>
      </c>
      <c r="V459" s="5" t="s">
        <v>2735</v>
      </c>
    </row>
    <row r="460" ht="12.75" customHeight="1">
      <c r="A460" s="5">
        <v>54509.0</v>
      </c>
      <c r="B460" s="5" t="s">
        <v>41</v>
      </c>
      <c r="C460" s="5" t="s">
        <v>42</v>
      </c>
      <c r="D460" s="5"/>
      <c r="E460" s="7" t="s">
        <v>2736</v>
      </c>
      <c r="F460" s="5" t="s">
        <v>926</v>
      </c>
      <c r="G460" s="5" t="s">
        <v>2737</v>
      </c>
      <c r="H460" s="5">
        <v>2013.0</v>
      </c>
      <c r="I460" s="5">
        <v>12.0</v>
      </c>
      <c r="J460" s="5">
        <v>0.0</v>
      </c>
      <c r="K460" s="5">
        <v>12.0</v>
      </c>
      <c r="L460" s="54"/>
      <c r="M460" s="5" t="s">
        <v>2738</v>
      </c>
      <c r="N460" s="53" t="s">
        <v>2739</v>
      </c>
      <c r="O460">
        <v>20.0</v>
      </c>
      <c r="P460">
        <v>25.0</v>
      </c>
      <c r="Q460" s="5" t="s">
        <v>305</v>
      </c>
      <c r="R460" s="10">
        <f t="shared" si="10"/>
        <v>12</v>
      </c>
      <c r="S460" s="5" t="s">
        <v>2740</v>
      </c>
      <c r="T460" s="5"/>
      <c r="U460" s="5" t="s">
        <v>2480</v>
      </c>
      <c r="V460" s="5" t="s">
        <v>2481</v>
      </c>
    </row>
    <row r="461" ht="12.75" customHeight="1">
      <c r="A461" s="5">
        <v>53696.0</v>
      </c>
      <c r="B461" s="5" t="s">
        <v>2025</v>
      </c>
      <c r="C461" s="52" t="s">
        <v>50</v>
      </c>
      <c r="D461" s="5" t="s">
        <v>2642</v>
      </c>
      <c r="E461" s="7" t="s">
        <v>2741</v>
      </c>
      <c r="F461" s="5" t="s">
        <v>926</v>
      </c>
      <c r="G461" s="5" t="s">
        <v>2737</v>
      </c>
      <c r="H461" s="5">
        <v>2013.0</v>
      </c>
      <c r="I461" s="5">
        <v>0.0</v>
      </c>
      <c r="J461" s="5">
        <v>0.0</v>
      </c>
      <c r="K461" s="5">
        <v>2.0</v>
      </c>
      <c r="L461" s="54"/>
      <c r="M461" s="5" t="s">
        <v>2742</v>
      </c>
      <c r="N461" s="53" t="s">
        <v>131</v>
      </c>
      <c r="O461">
        <v>26.3351</v>
      </c>
      <c r="P461">
        <v>17.228331</v>
      </c>
      <c r="Q461" s="5" t="s">
        <v>337</v>
      </c>
      <c r="R461" s="10">
        <f t="shared" si="10"/>
        <v>1371</v>
      </c>
      <c r="S461" s="5" t="s">
        <v>2743</v>
      </c>
      <c r="T461" s="6" t="s">
        <v>58</v>
      </c>
      <c r="U461" s="5" t="s">
        <v>2744</v>
      </c>
      <c r="V461" s="5" t="s">
        <v>2745</v>
      </c>
    </row>
    <row r="462" ht="12.75" customHeight="1">
      <c r="A462" s="5">
        <v>53769.0</v>
      </c>
      <c r="B462" s="5" t="s">
        <v>211</v>
      </c>
      <c r="C462" s="5" t="s">
        <v>211</v>
      </c>
      <c r="D462" s="5"/>
      <c r="E462" s="7" t="s">
        <v>2746</v>
      </c>
      <c r="F462" s="5" t="s">
        <v>926</v>
      </c>
      <c r="G462" s="5" t="s">
        <v>2737</v>
      </c>
      <c r="H462" s="5">
        <v>2013.0</v>
      </c>
      <c r="I462" s="5">
        <v>1.0</v>
      </c>
      <c r="J462" s="5">
        <v>0.0</v>
      </c>
      <c r="K462" s="5">
        <v>1.0</v>
      </c>
      <c r="L462" s="54"/>
      <c r="M462" s="5" t="s">
        <v>2747</v>
      </c>
      <c r="N462" s="53" t="s">
        <v>2748</v>
      </c>
      <c r="O462">
        <v>52.143662</v>
      </c>
      <c r="P462">
        <v>14.641902</v>
      </c>
      <c r="Q462" s="5" t="s">
        <v>1721</v>
      </c>
      <c r="R462" s="10">
        <f t="shared" si="10"/>
        <v>1</v>
      </c>
      <c r="S462" s="5" t="s">
        <v>2749</v>
      </c>
      <c r="T462" s="5"/>
      <c r="U462" s="5" t="s">
        <v>2750</v>
      </c>
      <c r="V462" s="5" t="s">
        <v>2751</v>
      </c>
    </row>
    <row r="463" ht="12.75" customHeight="1">
      <c r="A463" s="5">
        <v>33804.0</v>
      </c>
      <c r="B463" s="5" t="s">
        <v>49</v>
      </c>
      <c r="C463" s="52" t="s">
        <v>50</v>
      </c>
      <c r="D463" s="5" t="s">
        <v>2614</v>
      </c>
      <c r="E463" s="7" t="s">
        <v>2752</v>
      </c>
      <c r="F463" s="5" t="s">
        <v>926</v>
      </c>
      <c r="G463" s="5" t="s">
        <v>2737</v>
      </c>
      <c r="H463" s="5">
        <v>2013.0</v>
      </c>
      <c r="I463" s="5">
        <v>0.0</v>
      </c>
      <c r="J463" s="5">
        <v>0.0</v>
      </c>
      <c r="K463" s="5">
        <v>1.0</v>
      </c>
      <c r="L463" s="54"/>
      <c r="M463" s="5" t="s">
        <v>2753</v>
      </c>
      <c r="N463" s="53" t="s">
        <v>2754</v>
      </c>
      <c r="O463">
        <v>37.282956</v>
      </c>
      <c r="P463">
        <v>27.088338</v>
      </c>
      <c r="Q463" s="5" t="s">
        <v>921</v>
      </c>
      <c r="R463" s="10">
        <f t="shared" si="10"/>
        <v>15</v>
      </c>
      <c r="S463" s="5" t="s">
        <v>2755</v>
      </c>
      <c r="T463" s="6" t="s">
        <v>53</v>
      </c>
      <c r="U463" s="5" t="s">
        <v>712</v>
      </c>
      <c r="V463" s="5" t="s">
        <v>2756</v>
      </c>
    </row>
    <row r="464" ht="12.75" customHeight="1">
      <c r="A464" s="5">
        <v>54053.0</v>
      </c>
      <c r="B464" s="5" t="s">
        <v>211</v>
      </c>
      <c r="C464" s="5" t="s">
        <v>211</v>
      </c>
      <c r="D464" s="5"/>
      <c r="E464" s="7" t="s">
        <v>2757</v>
      </c>
      <c r="F464" s="5" t="s">
        <v>926</v>
      </c>
      <c r="G464" s="5" t="s">
        <v>2737</v>
      </c>
      <c r="H464" s="5">
        <v>2013.0</v>
      </c>
      <c r="I464" s="5">
        <v>1.0</v>
      </c>
      <c r="J464" s="5">
        <v>0.0</v>
      </c>
      <c r="K464" s="5">
        <v>1.0</v>
      </c>
      <c r="L464" s="54"/>
      <c r="M464" s="5" t="s">
        <v>2758</v>
      </c>
      <c r="N464" s="53" t="s">
        <v>2759</v>
      </c>
      <c r="O464">
        <v>47.36865</v>
      </c>
      <c r="P464">
        <v>8.539183</v>
      </c>
      <c r="Q464" s="5" t="s">
        <v>1377</v>
      </c>
      <c r="R464" s="10">
        <f t="shared" si="10"/>
        <v>9</v>
      </c>
      <c r="S464" s="5" t="s">
        <v>2760</v>
      </c>
      <c r="T464" s="5"/>
      <c r="U464" s="5" t="s">
        <v>2761</v>
      </c>
      <c r="V464" s="5" t="s">
        <v>2762</v>
      </c>
    </row>
    <row r="465" ht="12.75" customHeight="1">
      <c r="A465" s="5">
        <v>33806.0</v>
      </c>
      <c r="B465" s="5" t="s">
        <v>49</v>
      </c>
      <c r="C465" s="52" t="s">
        <v>50</v>
      </c>
      <c r="D465" s="5" t="s">
        <v>2614</v>
      </c>
      <c r="E465" s="7" t="s">
        <v>2763</v>
      </c>
      <c r="F465" s="5" t="s">
        <v>926</v>
      </c>
      <c r="G465" s="5" t="s">
        <v>2764</v>
      </c>
      <c r="H465" s="5">
        <v>2013.0</v>
      </c>
      <c r="I465" s="5">
        <v>0.0</v>
      </c>
      <c r="J465" s="5">
        <v>0.0</v>
      </c>
      <c r="K465" s="5">
        <v>10.0</v>
      </c>
      <c r="L465" s="54"/>
      <c r="M465" s="5" t="s">
        <v>2765</v>
      </c>
      <c r="N465" s="53" t="s">
        <v>2766</v>
      </c>
      <c r="O465">
        <v>35.249299</v>
      </c>
      <c r="P465">
        <v>-3.937112</v>
      </c>
      <c r="Q465" s="5" t="s">
        <v>642</v>
      </c>
      <c r="R465" s="10">
        <f t="shared" si="10"/>
        <v>149</v>
      </c>
      <c r="S465" s="5" t="s">
        <v>2767</v>
      </c>
      <c r="T465" s="6" t="s">
        <v>72</v>
      </c>
      <c r="U465" s="5" t="s">
        <v>2640</v>
      </c>
      <c r="V465" s="5" t="s">
        <v>2768</v>
      </c>
    </row>
    <row r="466" ht="12.75" customHeight="1">
      <c r="A466" s="5">
        <v>33805.0</v>
      </c>
      <c r="B466" s="5" t="s">
        <v>49</v>
      </c>
      <c r="C466" s="52" t="s">
        <v>50</v>
      </c>
      <c r="D466" s="5" t="s">
        <v>2614</v>
      </c>
      <c r="E466" s="7" t="s">
        <v>2763</v>
      </c>
      <c r="F466" s="5" t="s">
        <v>926</v>
      </c>
      <c r="G466" s="5" t="s">
        <v>2764</v>
      </c>
      <c r="H466" s="5">
        <v>2013.0</v>
      </c>
      <c r="I466" s="5">
        <v>0.0</v>
      </c>
      <c r="J466" s="5">
        <v>0.0</v>
      </c>
      <c r="K466" s="5">
        <v>1.0</v>
      </c>
      <c r="L466" s="54"/>
      <c r="M466" s="5" t="s">
        <v>2769</v>
      </c>
      <c r="N466" s="53" t="s">
        <v>2680</v>
      </c>
      <c r="O466">
        <v>36.018776</v>
      </c>
      <c r="P466">
        <v>-5.600819</v>
      </c>
      <c r="Q466" s="5" t="s">
        <v>761</v>
      </c>
      <c r="R466" s="10">
        <f t="shared" si="10"/>
        <v>492</v>
      </c>
      <c r="S466" s="5" t="s">
        <v>2770</v>
      </c>
      <c r="T466" s="6" t="s">
        <v>72</v>
      </c>
      <c r="U466" s="5" t="s">
        <v>2640</v>
      </c>
      <c r="V466" s="5" t="s">
        <v>2768</v>
      </c>
    </row>
    <row r="467" ht="12.75" customHeight="1">
      <c r="A467" s="5">
        <v>69705.0</v>
      </c>
      <c r="B467" s="5" t="s">
        <v>1857</v>
      </c>
      <c r="C467" s="52" t="s">
        <v>50</v>
      </c>
      <c r="D467" s="5"/>
      <c r="E467" s="7" t="s">
        <v>2771</v>
      </c>
      <c r="F467" s="5" t="s">
        <v>2772</v>
      </c>
      <c r="G467" s="5" t="s">
        <v>2773</v>
      </c>
      <c r="H467" s="5">
        <v>2013.0</v>
      </c>
      <c r="I467" s="5">
        <v>1.0</v>
      </c>
      <c r="J467" s="5">
        <v>0.0</v>
      </c>
      <c r="K467" s="5">
        <v>1.0</v>
      </c>
      <c r="L467" s="54"/>
      <c r="M467" s="5" t="s">
        <v>2774</v>
      </c>
      <c r="N467" s="53" t="s">
        <v>2775</v>
      </c>
      <c r="O467">
        <v>52.8</v>
      </c>
      <c r="P467">
        <v>-2.0</v>
      </c>
      <c r="Q467" s="5" t="s">
        <v>1795</v>
      </c>
      <c r="R467" s="10">
        <f t="shared" si="10"/>
        <v>1</v>
      </c>
      <c r="S467" s="5" t="s">
        <v>2776</v>
      </c>
      <c r="T467" s="5"/>
      <c r="U467" s="5" t="s">
        <v>281</v>
      </c>
      <c r="V467" s="5"/>
    </row>
    <row r="468" ht="12.75" customHeight="1">
      <c r="A468" s="5">
        <v>53695.0</v>
      </c>
      <c r="B468" s="5" t="s">
        <v>2025</v>
      </c>
      <c r="C468" s="52" t="s">
        <v>50</v>
      </c>
      <c r="D468" s="5" t="s">
        <v>2642</v>
      </c>
      <c r="E468" s="7" t="s">
        <v>2777</v>
      </c>
      <c r="F468" s="5" t="s">
        <v>2772</v>
      </c>
      <c r="G468" s="5" t="s">
        <v>2773</v>
      </c>
      <c r="H468" s="5">
        <v>2013.0</v>
      </c>
      <c r="I468" s="5">
        <v>0.0</v>
      </c>
      <c r="J468" s="5">
        <v>0.0</v>
      </c>
      <c r="K468" s="5">
        <v>1.0</v>
      </c>
      <c r="L468" s="54"/>
      <c r="M468" s="5" t="s">
        <v>2778</v>
      </c>
      <c r="N468" s="53" t="s">
        <v>2779</v>
      </c>
      <c r="O468">
        <v>17.916944</v>
      </c>
      <c r="P468">
        <v>19.116667</v>
      </c>
      <c r="Q468" s="5" t="s">
        <v>288</v>
      </c>
      <c r="R468" s="10">
        <f t="shared" si="10"/>
        <v>1</v>
      </c>
      <c r="S468" s="5" t="s">
        <v>2780</v>
      </c>
      <c r="T468" s="6" t="s">
        <v>2130</v>
      </c>
      <c r="U468" s="5" t="s">
        <v>73</v>
      </c>
      <c r="V468" s="5" t="s">
        <v>2781</v>
      </c>
    </row>
    <row r="469" ht="12.75" customHeight="1">
      <c r="A469" s="5">
        <v>33807.0</v>
      </c>
      <c r="B469" s="5" t="s">
        <v>49</v>
      </c>
      <c r="C469" s="52" t="s">
        <v>50</v>
      </c>
      <c r="D469" s="5" t="s">
        <v>2614</v>
      </c>
      <c r="E469" s="7" t="s">
        <v>2782</v>
      </c>
      <c r="F469" s="5" t="s">
        <v>2772</v>
      </c>
      <c r="G469" s="5" t="s">
        <v>2773</v>
      </c>
      <c r="H469" s="5">
        <v>2013.0</v>
      </c>
      <c r="I469" s="5">
        <v>0.0</v>
      </c>
      <c r="J469" s="5">
        <v>0.0</v>
      </c>
      <c r="K469" s="5">
        <v>2.0</v>
      </c>
      <c r="L469" s="54"/>
      <c r="M469" s="5" t="s">
        <v>2783</v>
      </c>
      <c r="N469" s="53" t="s">
        <v>2680</v>
      </c>
      <c r="O469">
        <v>36.018776</v>
      </c>
      <c r="P469">
        <v>-5.600819</v>
      </c>
      <c r="Q469" s="5" t="s">
        <v>761</v>
      </c>
      <c r="R469" s="10">
        <f t="shared" si="10"/>
        <v>492</v>
      </c>
      <c r="S469" s="5" t="s">
        <v>2784</v>
      </c>
      <c r="T469" s="6" t="s">
        <v>72</v>
      </c>
      <c r="U469" s="5" t="s">
        <v>2785</v>
      </c>
      <c r="V469" s="5" t="s">
        <v>2786</v>
      </c>
    </row>
    <row r="470" ht="12.75" customHeight="1">
      <c r="A470" s="5">
        <v>33808.0</v>
      </c>
      <c r="B470" s="5" t="s">
        <v>49</v>
      </c>
      <c r="C470" s="52" t="s">
        <v>50</v>
      </c>
      <c r="D470" s="5" t="s">
        <v>2614</v>
      </c>
      <c r="E470" s="7" t="s">
        <v>2787</v>
      </c>
      <c r="F470" s="5" t="s">
        <v>2772</v>
      </c>
      <c r="G470" s="5" t="s">
        <v>2773</v>
      </c>
      <c r="H470" s="5">
        <v>2013.0</v>
      </c>
      <c r="I470" s="5">
        <v>0.0</v>
      </c>
      <c r="J470" s="5">
        <v>0.0</v>
      </c>
      <c r="K470" s="5">
        <v>4.0</v>
      </c>
      <c r="L470" s="54"/>
      <c r="M470" s="5" t="s">
        <v>2788</v>
      </c>
      <c r="N470" s="53" t="s">
        <v>2680</v>
      </c>
      <c r="O470">
        <v>36.018776</v>
      </c>
      <c r="P470">
        <v>-5.600819</v>
      </c>
      <c r="Q470" s="5" t="s">
        <v>761</v>
      </c>
      <c r="R470" s="10">
        <f t="shared" si="10"/>
        <v>492</v>
      </c>
      <c r="S470" s="5" t="s">
        <v>2789</v>
      </c>
      <c r="T470" s="6" t="s">
        <v>72</v>
      </c>
      <c r="U470" s="5" t="s">
        <v>2785</v>
      </c>
      <c r="V470" s="5" t="s">
        <v>2790</v>
      </c>
    </row>
    <row r="471" ht="12.75" customHeight="1">
      <c r="A471" s="5">
        <v>69757.0</v>
      </c>
      <c r="B471" s="5" t="s">
        <v>98</v>
      </c>
      <c r="C471" s="5" t="s">
        <v>62</v>
      </c>
      <c r="D471" s="5"/>
      <c r="E471" s="7" t="s">
        <v>2791</v>
      </c>
      <c r="F471" s="5" t="s">
        <v>2792</v>
      </c>
      <c r="G471" s="5" t="s">
        <v>2793</v>
      </c>
      <c r="H471" s="5">
        <v>2013.0</v>
      </c>
      <c r="I471" s="5">
        <v>1.0</v>
      </c>
      <c r="J471" s="5">
        <v>0.0</v>
      </c>
      <c r="K471" s="5">
        <v>1.0</v>
      </c>
      <c r="L471" s="54"/>
      <c r="M471" s="5" t="s">
        <v>2794</v>
      </c>
      <c r="N471" s="53" t="s">
        <v>2795</v>
      </c>
      <c r="O471">
        <v>50.409626</v>
      </c>
      <c r="P471">
        <v>4.446211</v>
      </c>
      <c r="Q471" s="5" t="s">
        <v>1491</v>
      </c>
      <c r="R471" s="10">
        <f t="shared" si="10"/>
        <v>1</v>
      </c>
      <c r="S471" s="5" t="s">
        <v>2796</v>
      </c>
      <c r="T471" s="5"/>
      <c r="U471" s="5" t="s">
        <v>78</v>
      </c>
      <c r="V471" s="5"/>
    </row>
    <row r="472" ht="12.75" customHeight="1">
      <c r="A472" s="5">
        <v>53706.0</v>
      </c>
      <c r="B472" s="5" t="s">
        <v>1773</v>
      </c>
      <c r="C472" s="5" t="s">
        <v>124</v>
      </c>
      <c r="D472" s="5" t="s">
        <v>2642</v>
      </c>
      <c r="E472" s="7" t="s">
        <v>2797</v>
      </c>
      <c r="F472" s="5" t="s">
        <v>2792</v>
      </c>
      <c r="G472" s="5" t="s">
        <v>2793</v>
      </c>
      <c r="H472" s="5">
        <v>2013.0</v>
      </c>
      <c r="I472" s="5">
        <v>0.0</v>
      </c>
      <c r="J472" s="5">
        <v>0.0</v>
      </c>
      <c r="K472" s="5">
        <v>1.0</v>
      </c>
      <c r="L472" s="54"/>
      <c r="M472" s="5" t="s">
        <v>2798</v>
      </c>
      <c r="N472" s="53" t="s">
        <v>2799</v>
      </c>
      <c r="O472">
        <v>35.766667</v>
      </c>
      <c r="P472">
        <v>-5.8</v>
      </c>
      <c r="Q472" s="5" t="s">
        <v>695</v>
      </c>
      <c r="R472" s="10">
        <f t="shared" si="10"/>
        <v>190</v>
      </c>
      <c r="S472" s="5" t="s">
        <v>2800</v>
      </c>
      <c r="T472" s="6" t="s">
        <v>72</v>
      </c>
      <c r="U472" s="5" t="s">
        <v>2801</v>
      </c>
      <c r="V472" s="5" t="s">
        <v>2802</v>
      </c>
    </row>
    <row r="473" ht="12.75" customHeight="1">
      <c r="A473" s="5">
        <v>53704.0</v>
      </c>
      <c r="B473" s="5" t="s">
        <v>49</v>
      </c>
      <c r="C473" s="52" t="s">
        <v>50</v>
      </c>
      <c r="D473" s="5" t="s">
        <v>2642</v>
      </c>
      <c r="E473" s="7" t="s">
        <v>2803</v>
      </c>
      <c r="F473" s="5" t="s">
        <v>2792</v>
      </c>
      <c r="G473" s="5" t="s">
        <v>2804</v>
      </c>
      <c r="H473" s="5">
        <v>2013.0</v>
      </c>
      <c r="I473" s="5">
        <v>0.0</v>
      </c>
      <c r="J473" s="5">
        <v>0.0</v>
      </c>
      <c r="K473" s="5">
        <v>12.0</v>
      </c>
      <c r="L473" s="54"/>
      <c r="M473" s="5" t="s">
        <v>2805</v>
      </c>
      <c r="N473" s="53" t="s">
        <v>2806</v>
      </c>
      <c r="O473">
        <v>38.833366</v>
      </c>
      <c r="P473">
        <v>20.706911</v>
      </c>
      <c r="Q473" s="5" t="s">
        <v>1039</v>
      </c>
      <c r="R473" s="10">
        <f t="shared" si="10"/>
        <v>12</v>
      </c>
      <c r="S473" s="5" t="s">
        <v>2807</v>
      </c>
      <c r="T473" s="6" t="s">
        <v>53</v>
      </c>
      <c r="U473" s="5" t="s">
        <v>712</v>
      </c>
      <c r="V473" s="5" t="s">
        <v>2808</v>
      </c>
    </row>
    <row r="474" ht="12.75" customHeight="1">
      <c r="A474" s="5">
        <v>53705.0</v>
      </c>
      <c r="B474" s="5" t="s">
        <v>2025</v>
      </c>
      <c r="C474" s="52" t="s">
        <v>50</v>
      </c>
      <c r="D474" s="5" t="s">
        <v>2642</v>
      </c>
      <c r="E474" s="7" t="s">
        <v>2809</v>
      </c>
      <c r="F474" s="5" t="s">
        <v>2792</v>
      </c>
      <c r="G474" s="5" t="s">
        <v>2804</v>
      </c>
      <c r="H474" s="5">
        <v>2013.0</v>
      </c>
      <c r="I474" s="5">
        <v>0.0</v>
      </c>
      <c r="J474" s="5">
        <v>0.0</v>
      </c>
      <c r="K474" s="5">
        <v>87.0</v>
      </c>
      <c r="L474" s="54"/>
      <c r="M474" s="5" t="s">
        <v>2810</v>
      </c>
      <c r="N474" s="53" t="s">
        <v>2811</v>
      </c>
      <c r="O474">
        <v>28.033886</v>
      </c>
      <c r="P474">
        <v>1.659626</v>
      </c>
      <c r="Q474" s="5" t="s">
        <v>369</v>
      </c>
      <c r="R474" s="10">
        <f t="shared" si="10"/>
        <v>127</v>
      </c>
      <c r="S474" s="5" t="s">
        <v>2812</v>
      </c>
      <c r="T474" s="6" t="s">
        <v>2130</v>
      </c>
      <c r="U474" s="5" t="s">
        <v>254</v>
      </c>
      <c r="V474" s="5" t="s">
        <v>2813</v>
      </c>
    </row>
    <row r="475" ht="12.75" customHeight="1">
      <c r="A475" s="5">
        <v>72762.0</v>
      </c>
      <c r="B475" s="5" t="s">
        <v>49</v>
      </c>
      <c r="C475" s="52" t="s">
        <v>50</v>
      </c>
      <c r="D475" s="5" t="s">
        <v>2219</v>
      </c>
      <c r="E475" s="7" t="s">
        <v>2814</v>
      </c>
      <c r="F475" s="5" t="s">
        <v>2792</v>
      </c>
      <c r="G475" s="5" t="s">
        <v>2815</v>
      </c>
      <c r="H475" s="5">
        <v>2013.0</v>
      </c>
      <c r="I475" s="5">
        <v>27.0</v>
      </c>
      <c r="J475" s="5">
        <v>0.0</v>
      </c>
      <c r="K475" s="5">
        <v>27.0</v>
      </c>
      <c r="L475" s="54"/>
      <c r="M475" s="5" t="s">
        <v>2816</v>
      </c>
      <c r="N475" s="53" t="s">
        <v>2189</v>
      </c>
      <c r="O475">
        <v>34.7</v>
      </c>
      <c r="P475">
        <v>12.7</v>
      </c>
      <c r="Q475" s="5" t="s">
        <v>592</v>
      </c>
      <c r="R475" s="10">
        <f t="shared" si="10"/>
        <v>27</v>
      </c>
      <c r="S475" s="5" t="s">
        <v>2817</v>
      </c>
      <c r="T475" s="5" t="s">
        <v>2130</v>
      </c>
      <c r="U475" s="5" t="s">
        <v>176</v>
      </c>
      <c r="V475" s="5"/>
    </row>
    <row r="476" ht="12.75" customHeight="1">
      <c r="A476" s="5">
        <v>33789.0</v>
      </c>
      <c r="B476" s="5" t="s">
        <v>49</v>
      </c>
      <c r="C476" s="52" t="s">
        <v>50</v>
      </c>
      <c r="D476" s="5" t="s">
        <v>2614</v>
      </c>
      <c r="E476" s="7" t="s">
        <v>2818</v>
      </c>
      <c r="F476" s="5" t="s">
        <v>2792</v>
      </c>
      <c r="G476" s="5" t="s">
        <v>2815</v>
      </c>
      <c r="H476" s="5">
        <v>2013.0</v>
      </c>
      <c r="I476" s="5">
        <v>0.0</v>
      </c>
      <c r="J476" s="5">
        <v>0.0</v>
      </c>
      <c r="K476" s="5">
        <v>34.0</v>
      </c>
      <c r="L476" s="54"/>
      <c r="M476" s="5" t="s">
        <v>2819</v>
      </c>
      <c r="N476" s="53" t="s">
        <v>2820</v>
      </c>
      <c r="O476">
        <v>31.200092</v>
      </c>
      <c r="P476">
        <v>29.918739</v>
      </c>
      <c r="Q476" s="5" t="s">
        <v>427</v>
      </c>
      <c r="R476" s="10">
        <f t="shared" si="10"/>
        <v>133</v>
      </c>
      <c r="S476" s="5" t="s">
        <v>2821</v>
      </c>
      <c r="T476" s="6" t="s">
        <v>2130</v>
      </c>
      <c r="U476" s="5" t="s">
        <v>2619</v>
      </c>
      <c r="V476" s="5" t="s">
        <v>2822</v>
      </c>
    </row>
    <row r="477" ht="12.75" customHeight="1">
      <c r="A477" s="5">
        <v>33790.0</v>
      </c>
      <c r="B477" s="5" t="s">
        <v>49</v>
      </c>
      <c r="C477" s="52" t="s">
        <v>50</v>
      </c>
      <c r="D477" s="5" t="s">
        <v>2614</v>
      </c>
      <c r="E477" s="7" t="s">
        <v>2823</v>
      </c>
      <c r="F477" s="5" t="s">
        <v>2792</v>
      </c>
      <c r="G477" s="5" t="s">
        <v>2815</v>
      </c>
      <c r="H477" s="5">
        <v>2013.0</v>
      </c>
      <c r="I477" s="5">
        <v>0.0</v>
      </c>
      <c r="J477" s="5">
        <v>0.0</v>
      </c>
      <c r="K477" s="5">
        <v>325.0</v>
      </c>
      <c r="L477" s="54"/>
      <c r="M477" s="5" t="s">
        <v>2824</v>
      </c>
      <c r="N477" s="53" t="s">
        <v>2700</v>
      </c>
      <c r="O477">
        <v>35.508622</v>
      </c>
      <c r="P477">
        <v>12.59292</v>
      </c>
      <c r="Q477" s="5" t="s">
        <v>669</v>
      </c>
      <c r="R477" s="10">
        <f t="shared" si="10"/>
        <v>3843</v>
      </c>
      <c r="S477" s="5" t="s">
        <v>2825</v>
      </c>
      <c r="T477" s="6" t="s">
        <v>2130</v>
      </c>
      <c r="U477" s="5" t="s">
        <v>2619</v>
      </c>
      <c r="V477" s="5" t="s">
        <v>2826</v>
      </c>
    </row>
    <row r="478" ht="12.75" customHeight="1">
      <c r="A478" s="5">
        <v>69715.0</v>
      </c>
      <c r="B478" s="5" t="s">
        <v>1857</v>
      </c>
      <c r="C478" s="52" t="s">
        <v>50</v>
      </c>
      <c r="D478" s="5"/>
      <c r="E478" s="7" t="s">
        <v>2827</v>
      </c>
      <c r="F478" s="5" t="s">
        <v>2772</v>
      </c>
      <c r="G478" s="5" t="s">
        <v>2828</v>
      </c>
      <c r="H478" s="5">
        <v>2013.0</v>
      </c>
      <c r="I478" s="5">
        <v>1.0</v>
      </c>
      <c r="J478" s="5">
        <v>0.0</v>
      </c>
      <c r="K478" s="5">
        <v>1.0</v>
      </c>
      <c r="L478" s="54"/>
      <c r="M478" s="5" t="s">
        <v>2829</v>
      </c>
      <c r="N478" s="53" t="s">
        <v>2830</v>
      </c>
      <c r="O478">
        <v>51.48309</v>
      </c>
      <c r="P478">
        <v>-0.483529</v>
      </c>
      <c r="Q478" s="5" t="s">
        <v>1648</v>
      </c>
      <c r="R478" s="10">
        <f t="shared" si="10"/>
        <v>2</v>
      </c>
      <c r="S478" s="5" t="s">
        <v>2831</v>
      </c>
      <c r="T478" s="5"/>
      <c r="U478" s="5" t="s">
        <v>281</v>
      </c>
      <c r="V478" s="5"/>
    </row>
    <row r="479" ht="12.75" customHeight="1">
      <c r="A479" s="5">
        <v>33809.0</v>
      </c>
      <c r="B479" s="5" t="s">
        <v>49</v>
      </c>
      <c r="C479" s="52" t="s">
        <v>50</v>
      </c>
      <c r="D479" s="5" t="s">
        <v>2614</v>
      </c>
      <c r="E479" s="7" t="s">
        <v>2832</v>
      </c>
      <c r="F479" s="5" t="s">
        <v>2772</v>
      </c>
      <c r="G479" s="5" t="s">
        <v>2828</v>
      </c>
      <c r="H479" s="5">
        <v>2013.0</v>
      </c>
      <c r="I479" s="5">
        <v>0.0</v>
      </c>
      <c r="J479" s="5">
        <v>0.0</v>
      </c>
      <c r="K479" s="5">
        <v>1.0</v>
      </c>
      <c r="L479" s="54"/>
      <c r="M479" s="5" t="s">
        <v>2833</v>
      </c>
      <c r="N479" s="53" t="s">
        <v>2834</v>
      </c>
      <c r="O479">
        <v>41.244376</v>
      </c>
      <c r="P479">
        <v>26.135943</v>
      </c>
      <c r="Q479" s="5" t="s">
        <v>1214</v>
      </c>
      <c r="R479" s="10">
        <f t="shared" si="10"/>
        <v>188</v>
      </c>
      <c r="S479" s="5" t="s">
        <v>2835</v>
      </c>
      <c r="T479" s="6" t="s">
        <v>53</v>
      </c>
      <c r="U479" s="5" t="s">
        <v>712</v>
      </c>
      <c r="V479" s="5" t="s">
        <v>2836</v>
      </c>
    </row>
    <row r="480" ht="12.75" customHeight="1">
      <c r="A480" s="5">
        <v>53690.0</v>
      </c>
      <c r="B480" s="5" t="s">
        <v>211</v>
      </c>
      <c r="C480" s="5" t="s">
        <v>211</v>
      </c>
      <c r="D480" s="5" t="s">
        <v>2642</v>
      </c>
      <c r="E480" s="7" t="s">
        <v>2837</v>
      </c>
      <c r="F480" s="5" t="s">
        <v>2772</v>
      </c>
      <c r="G480" s="5" t="s">
        <v>2828</v>
      </c>
      <c r="H480" s="5">
        <v>2013.0</v>
      </c>
      <c r="I480" s="5">
        <v>1.0</v>
      </c>
      <c r="J480" s="5">
        <v>0.0</v>
      </c>
      <c r="K480" s="5">
        <v>1.0</v>
      </c>
      <c r="L480" s="54"/>
      <c r="M480" s="5" t="s">
        <v>2838</v>
      </c>
      <c r="N480" s="53" t="s">
        <v>2839</v>
      </c>
      <c r="O480">
        <v>51.942889</v>
      </c>
      <c r="P480">
        <v>4.447575</v>
      </c>
      <c r="Q480" s="5" t="s">
        <v>1698</v>
      </c>
      <c r="R480" s="10">
        <f t="shared" si="10"/>
        <v>1</v>
      </c>
      <c r="S480" s="5" t="s">
        <v>2840</v>
      </c>
      <c r="T480" s="5"/>
      <c r="U480" s="5" t="s">
        <v>176</v>
      </c>
      <c r="V480" s="5" t="s">
        <v>2841</v>
      </c>
    </row>
    <row r="481" ht="12.75" customHeight="1">
      <c r="A481" s="5">
        <v>33810.0</v>
      </c>
      <c r="B481" s="5" t="s">
        <v>49</v>
      </c>
      <c r="C481" s="52" t="s">
        <v>50</v>
      </c>
      <c r="D481" s="5" t="s">
        <v>2614</v>
      </c>
      <c r="E481" s="7" t="s">
        <v>2842</v>
      </c>
      <c r="F481" s="5" t="s">
        <v>2772</v>
      </c>
      <c r="G481" s="5" t="s">
        <v>2828</v>
      </c>
      <c r="H481" s="5">
        <v>2013.0</v>
      </c>
      <c r="I481" s="5">
        <v>0.0</v>
      </c>
      <c r="J481" s="5">
        <v>0.0</v>
      </c>
      <c r="K481" s="5">
        <v>3.0</v>
      </c>
      <c r="L481" s="54"/>
      <c r="M481" s="5" t="s">
        <v>2843</v>
      </c>
      <c r="N481" s="53" t="s">
        <v>2844</v>
      </c>
      <c r="O481">
        <v>38.370981</v>
      </c>
      <c r="P481">
        <v>26.136346</v>
      </c>
      <c r="Q481" s="5" t="s">
        <v>1020</v>
      </c>
      <c r="R481" s="10">
        <f t="shared" si="10"/>
        <v>31</v>
      </c>
      <c r="S481" s="5" t="s">
        <v>2845</v>
      </c>
      <c r="T481" s="6" t="s">
        <v>53</v>
      </c>
      <c r="U481" s="5" t="s">
        <v>712</v>
      </c>
      <c r="V481" s="5" t="s">
        <v>2846</v>
      </c>
    </row>
    <row r="482" ht="12.75" customHeight="1">
      <c r="A482" s="5">
        <v>54052.0</v>
      </c>
      <c r="B482" s="5" t="s">
        <v>211</v>
      </c>
      <c r="C482" s="5" t="s">
        <v>211</v>
      </c>
      <c r="D482" s="5"/>
      <c r="E482" s="7" t="s">
        <v>2847</v>
      </c>
      <c r="F482" s="5" t="s">
        <v>2772</v>
      </c>
      <c r="G482" s="5" t="s">
        <v>2828</v>
      </c>
      <c r="H482" s="5">
        <v>2013.0</v>
      </c>
      <c r="I482" s="5">
        <v>1.0</v>
      </c>
      <c r="J482" s="5">
        <v>0.0</v>
      </c>
      <c r="K482" s="5">
        <v>1.0</v>
      </c>
      <c r="L482" s="54"/>
      <c r="M482" s="5" t="s">
        <v>2848</v>
      </c>
      <c r="N482" s="53" t="s">
        <v>2759</v>
      </c>
      <c r="O482">
        <v>47.36865</v>
      </c>
      <c r="P482">
        <v>8.539183</v>
      </c>
      <c r="Q482" s="5" t="s">
        <v>1377</v>
      </c>
      <c r="R482" s="10">
        <f t="shared" si="10"/>
        <v>9</v>
      </c>
      <c r="S482" s="5" t="s">
        <v>2849</v>
      </c>
      <c r="T482" s="5"/>
      <c r="U482" s="5" t="s">
        <v>2761</v>
      </c>
      <c r="V482" s="5" t="s">
        <v>2850</v>
      </c>
    </row>
    <row r="483" ht="12.75" customHeight="1">
      <c r="A483" s="5">
        <v>54051.0</v>
      </c>
      <c r="B483" s="5" t="s">
        <v>211</v>
      </c>
      <c r="C483" s="5" t="s">
        <v>211</v>
      </c>
      <c r="D483" s="5"/>
      <c r="E483" s="7" t="s">
        <v>2847</v>
      </c>
      <c r="F483" s="5" t="s">
        <v>2772</v>
      </c>
      <c r="G483" s="5" t="s">
        <v>2828</v>
      </c>
      <c r="H483" s="5">
        <v>2013.0</v>
      </c>
      <c r="I483" s="5">
        <v>1.0</v>
      </c>
      <c r="J483" s="5">
        <v>0.0</v>
      </c>
      <c r="K483" s="5">
        <v>1.0</v>
      </c>
      <c r="L483" s="54"/>
      <c r="M483" s="5" t="s">
        <v>2851</v>
      </c>
      <c r="N483" s="53" t="s">
        <v>2759</v>
      </c>
      <c r="O483">
        <v>47.36865</v>
      </c>
      <c r="P483">
        <v>8.539183</v>
      </c>
      <c r="Q483" s="5" t="s">
        <v>1377</v>
      </c>
      <c r="R483" s="10">
        <f t="shared" si="10"/>
        <v>9</v>
      </c>
      <c r="S483" s="5" t="s">
        <v>2849</v>
      </c>
      <c r="T483" s="5"/>
      <c r="U483" s="5" t="s">
        <v>2761</v>
      </c>
      <c r="V483" s="5"/>
    </row>
    <row r="484" ht="12.75" customHeight="1">
      <c r="A484" s="5">
        <v>33830.0</v>
      </c>
      <c r="B484" s="5" t="s">
        <v>49</v>
      </c>
      <c r="C484" s="52" t="s">
        <v>50</v>
      </c>
      <c r="D484" s="5" t="s">
        <v>2852</v>
      </c>
      <c r="E484" s="7" t="s">
        <v>2853</v>
      </c>
      <c r="F484" s="5" t="s">
        <v>2854</v>
      </c>
      <c r="G484" s="5" t="s">
        <v>2855</v>
      </c>
      <c r="H484" s="5">
        <v>2012.0</v>
      </c>
      <c r="I484" s="5">
        <v>0.0</v>
      </c>
      <c r="J484" s="5">
        <v>0.0</v>
      </c>
      <c r="K484" s="5">
        <v>1.0</v>
      </c>
      <c r="L484" s="54"/>
      <c r="M484" s="5" t="s">
        <v>2856</v>
      </c>
      <c r="N484" s="53" t="s">
        <v>2857</v>
      </c>
      <c r="O484">
        <v>36.527061</v>
      </c>
      <c r="P484">
        <v>-6.288596</v>
      </c>
      <c r="Q484" s="5" t="s">
        <v>802</v>
      </c>
      <c r="R484" s="10">
        <f t="shared" si="10"/>
        <v>185</v>
      </c>
      <c r="S484" s="5" t="s">
        <v>2858</v>
      </c>
      <c r="T484" s="6" t="s">
        <v>72</v>
      </c>
      <c r="U484" s="5" t="s">
        <v>2859</v>
      </c>
      <c r="V484" s="5" t="s">
        <v>2860</v>
      </c>
    </row>
    <row r="485" ht="12.75" customHeight="1">
      <c r="A485" s="5">
        <v>33831.0</v>
      </c>
      <c r="B485" s="5" t="s">
        <v>49</v>
      </c>
      <c r="C485" s="52" t="s">
        <v>50</v>
      </c>
      <c r="D485" s="5" t="s">
        <v>2614</v>
      </c>
      <c r="E485" s="7" t="s">
        <v>2861</v>
      </c>
      <c r="F485" s="5" t="s">
        <v>2854</v>
      </c>
      <c r="G485" s="5" t="s">
        <v>2855</v>
      </c>
      <c r="H485" s="5">
        <v>2012.0</v>
      </c>
      <c r="I485" s="5">
        <v>0.0</v>
      </c>
      <c r="J485" s="5">
        <v>0.0</v>
      </c>
      <c r="K485" s="5">
        <v>1.0</v>
      </c>
      <c r="L485" s="54"/>
      <c r="M485" s="5" t="s">
        <v>2862</v>
      </c>
      <c r="N485" s="53" t="s">
        <v>2638</v>
      </c>
      <c r="O485">
        <v>35.888384</v>
      </c>
      <c r="P485">
        <v>-5.324636</v>
      </c>
      <c r="Q485" s="5" t="s">
        <v>717</v>
      </c>
      <c r="R485" s="10">
        <f t="shared" si="10"/>
        <v>213</v>
      </c>
      <c r="S485" s="5" t="s">
        <v>2863</v>
      </c>
      <c r="T485" s="6" t="s">
        <v>72</v>
      </c>
      <c r="U485" s="5" t="s">
        <v>2635</v>
      </c>
      <c r="V485" s="5" t="s">
        <v>2864</v>
      </c>
    </row>
    <row r="486" ht="12.75" customHeight="1">
      <c r="A486" s="5">
        <v>33832.0</v>
      </c>
      <c r="B486" s="5" t="s">
        <v>49</v>
      </c>
      <c r="C486" s="52" t="s">
        <v>50</v>
      </c>
      <c r="D486" s="5" t="s">
        <v>2852</v>
      </c>
      <c r="E486" s="7" t="s">
        <v>2865</v>
      </c>
      <c r="F486" s="5" t="s">
        <v>2854</v>
      </c>
      <c r="G486" s="5" t="s">
        <v>2855</v>
      </c>
      <c r="H486" s="5">
        <v>2012.0</v>
      </c>
      <c r="I486" s="5">
        <v>0.0</v>
      </c>
      <c r="J486" s="5">
        <v>0.0</v>
      </c>
      <c r="K486" s="5">
        <v>1.0</v>
      </c>
      <c r="L486" s="54"/>
      <c r="M486" s="5" t="s">
        <v>2866</v>
      </c>
      <c r="N486" s="53" t="s">
        <v>2867</v>
      </c>
      <c r="O486">
        <v>35.939838</v>
      </c>
      <c r="P486">
        <v>0.089767</v>
      </c>
      <c r="Q486" s="5" t="s">
        <v>741</v>
      </c>
      <c r="R486" s="10">
        <f t="shared" si="10"/>
        <v>38</v>
      </c>
      <c r="S486" s="5" t="s">
        <v>2868</v>
      </c>
      <c r="T486" s="6" t="s">
        <v>72</v>
      </c>
      <c r="U486" s="5" t="s">
        <v>2869</v>
      </c>
      <c r="V486" s="5" t="s">
        <v>2870</v>
      </c>
    </row>
    <row r="487" ht="12.75" customHeight="1">
      <c r="A487" s="5">
        <v>33833.0</v>
      </c>
      <c r="B487" s="5" t="s">
        <v>763</v>
      </c>
      <c r="C487" s="5" t="s">
        <v>124</v>
      </c>
      <c r="D487" s="5" t="s">
        <v>2852</v>
      </c>
      <c r="E487" s="7" t="s">
        <v>2871</v>
      </c>
      <c r="F487" s="5" t="s">
        <v>2854</v>
      </c>
      <c r="G487" s="5" t="s">
        <v>2855</v>
      </c>
      <c r="H487" s="5">
        <v>2012.0</v>
      </c>
      <c r="I487" s="5">
        <v>0.0</v>
      </c>
      <c r="J487" s="5">
        <v>0.0</v>
      </c>
      <c r="K487" s="5">
        <v>1.0</v>
      </c>
      <c r="L487" s="54"/>
      <c r="M487" s="5" t="s">
        <v>2872</v>
      </c>
      <c r="N487" s="53" t="s">
        <v>2873</v>
      </c>
      <c r="O487">
        <v>40.845719</v>
      </c>
      <c r="P487">
        <v>25.873962</v>
      </c>
      <c r="Q487" s="5" t="s">
        <v>1167</v>
      </c>
      <c r="R487" s="10">
        <f t="shared" si="10"/>
        <v>63</v>
      </c>
      <c r="S487" s="5" t="s">
        <v>2874</v>
      </c>
      <c r="T487" s="5"/>
      <c r="U487" s="5" t="s">
        <v>2875</v>
      </c>
      <c r="V487" s="5"/>
    </row>
    <row r="488" ht="12.75" customHeight="1">
      <c r="A488" s="5">
        <v>33834.0</v>
      </c>
      <c r="B488" s="5" t="s">
        <v>49</v>
      </c>
      <c r="C488" s="52" t="s">
        <v>50</v>
      </c>
      <c r="D488" s="5" t="s">
        <v>2614</v>
      </c>
      <c r="E488" s="7" t="s">
        <v>2876</v>
      </c>
      <c r="F488" s="5" t="s">
        <v>2854</v>
      </c>
      <c r="G488" s="5" t="s">
        <v>2855</v>
      </c>
      <c r="H488" s="5">
        <v>2012.0</v>
      </c>
      <c r="I488" s="5">
        <v>0.0</v>
      </c>
      <c r="J488" s="5">
        <v>0.0</v>
      </c>
      <c r="K488" s="5">
        <v>1.0</v>
      </c>
      <c r="L488" s="54"/>
      <c r="M488" s="5" t="s">
        <v>2877</v>
      </c>
      <c r="N488" s="53" t="s">
        <v>2878</v>
      </c>
      <c r="O488">
        <v>35.866074</v>
      </c>
      <c r="P488">
        <v>12.868741</v>
      </c>
      <c r="Q488" s="5" t="s">
        <v>714</v>
      </c>
      <c r="R488" s="10">
        <f t="shared" si="10"/>
        <v>5</v>
      </c>
      <c r="S488" s="5" t="s">
        <v>2879</v>
      </c>
      <c r="T488" s="6" t="s">
        <v>2130</v>
      </c>
      <c r="U488" s="5" t="s">
        <v>2880</v>
      </c>
      <c r="V488" s="5" t="s">
        <v>2881</v>
      </c>
    </row>
    <row r="489" ht="12.75" customHeight="1">
      <c r="A489" s="5">
        <v>33835.0</v>
      </c>
      <c r="B489" s="5" t="s">
        <v>49</v>
      </c>
      <c r="C489" s="52" t="s">
        <v>50</v>
      </c>
      <c r="D489" s="5" t="s">
        <v>2852</v>
      </c>
      <c r="E489" s="7" t="s">
        <v>2882</v>
      </c>
      <c r="F489" s="5" t="s">
        <v>2854</v>
      </c>
      <c r="G489" s="5" t="s">
        <v>2855</v>
      </c>
      <c r="H489" s="5">
        <v>2012.0</v>
      </c>
      <c r="I489" s="5">
        <v>0.0</v>
      </c>
      <c r="J489" s="5">
        <v>0.0</v>
      </c>
      <c r="K489" s="5">
        <v>2.0</v>
      </c>
      <c r="L489" s="54"/>
      <c r="M489" s="5" t="s">
        <v>2883</v>
      </c>
      <c r="N489" s="53" t="s">
        <v>2718</v>
      </c>
      <c r="O489">
        <v>35.292278</v>
      </c>
      <c r="P489">
        <v>-2.938097</v>
      </c>
      <c r="Q489" s="5" t="s">
        <v>649</v>
      </c>
      <c r="R489" s="10">
        <f t="shared" si="10"/>
        <v>79</v>
      </c>
      <c r="S489" s="5" t="s">
        <v>2884</v>
      </c>
      <c r="T489" s="6" t="s">
        <v>72</v>
      </c>
      <c r="U489" s="5" t="s">
        <v>2885</v>
      </c>
      <c r="V489" s="5"/>
    </row>
    <row r="490" ht="12.75" customHeight="1">
      <c r="A490" s="5">
        <v>33836.0</v>
      </c>
      <c r="B490" s="5" t="s">
        <v>41</v>
      </c>
      <c r="C490" s="5" t="s">
        <v>42</v>
      </c>
      <c r="D490" s="5" t="s">
        <v>2614</v>
      </c>
      <c r="E490" s="7" t="s">
        <v>2886</v>
      </c>
      <c r="F490" s="5" t="s">
        <v>2854</v>
      </c>
      <c r="G490" s="5" t="s">
        <v>2855</v>
      </c>
      <c r="H490" s="5">
        <v>2012.0</v>
      </c>
      <c r="I490" s="5">
        <v>0.0</v>
      </c>
      <c r="J490" s="5">
        <v>0.0</v>
      </c>
      <c r="K490" s="5">
        <v>1.0</v>
      </c>
      <c r="L490" s="54"/>
      <c r="M490" s="5" t="s">
        <v>2887</v>
      </c>
      <c r="N490" s="53" t="s">
        <v>2888</v>
      </c>
      <c r="O490">
        <v>24.088938</v>
      </c>
      <c r="P490">
        <v>32.899829</v>
      </c>
      <c r="Q490" s="5" t="s">
        <v>329</v>
      </c>
      <c r="R490" s="10">
        <f t="shared" si="10"/>
        <v>129</v>
      </c>
      <c r="S490" s="5" t="s">
        <v>2889</v>
      </c>
      <c r="T490" s="5"/>
      <c r="U490" s="5" t="s">
        <v>2890</v>
      </c>
      <c r="V490" s="5" t="s">
        <v>2891</v>
      </c>
    </row>
    <row r="491" ht="12.75" customHeight="1">
      <c r="A491" s="5">
        <v>33837.0</v>
      </c>
      <c r="B491" s="5" t="s">
        <v>68</v>
      </c>
      <c r="C491" s="5" t="s">
        <v>69</v>
      </c>
      <c r="D491" s="5" t="s">
        <v>2852</v>
      </c>
      <c r="E491" s="7" t="s">
        <v>2886</v>
      </c>
      <c r="F491" s="5" t="s">
        <v>2854</v>
      </c>
      <c r="G491" s="5" t="s">
        <v>2855</v>
      </c>
      <c r="H491" s="5">
        <v>2012.0</v>
      </c>
      <c r="I491" s="5">
        <v>0.0</v>
      </c>
      <c r="J491" s="5">
        <v>0.0</v>
      </c>
      <c r="K491" s="5">
        <v>1.0</v>
      </c>
      <c r="L491" s="54"/>
      <c r="M491" s="5" t="s">
        <v>2892</v>
      </c>
      <c r="N491" s="53" t="s">
        <v>2893</v>
      </c>
      <c r="O491">
        <v>51.47238</v>
      </c>
      <c r="P491">
        <v>-0.45094</v>
      </c>
      <c r="Q491" s="5" t="s">
        <v>1635</v>
      </c>
      <c r="R491" s="10">
        <f t="shared" si="10"/>
        <v>13</v>
      </c>
      <c r="S491" s="5" t="s">
        <v>2894</v>
      </c>
      <c r="T491" s="5"/>
      <c r="U491" s="5" t="s">
        <v>2895</v>
      </c>
      <c r="V491" s="5"/>
    </row>
    <row r="492" ht="12.75" customHeight="1">
      <c r="A492" s="5">
        <v>33838.0</v>
      </c>
      <c r="B492" s="5" t="s">
        <v>2896</v>
      </c>
      <c r="C492" s="5" t="s">
        <v>211</v>
      </c>
      <c r="D492" s="5" t="s">
        <v>2852</v>
      </c>
      <c r="E492" s="7" t="s">
        <v>2897</v>
      </c>
      <c r="F492" s="5" t="s">
        <v>2854</v>
      </c>
      <c r="G492" s="5" t="s">
        <v>2855</v>
      </c>
      <c r="H492" s="5">
        <v>2012.0</v>
      </c>
      <c r="I492" s="5">
        <v>0.0</v>
      </c>
      <c r="J492" s="5">
        <v>0.0</v>
      </c>
      <c r="K492" s="5">
        <v>1.0</v>
      </c>
      <c r="L492" s="54"/>
      <c r="M492" s="5" t="s">
        <v>2898</v>
      </c>
      <c r="N492" s="53" t="s">
        <v>2899</v>
      </c>
      <c r="O492">
        <v>51.488623</v>
      </c>
      <c r="P492">
        <v>0.461426</v>
      </c>
      <c r="Q492" s="5" t="s">
        <v>1659</v>
      </c>
      <c r="R492" s="10">
        <f t="shared" si="10"/>
        <v>2</v>
      </c>
      <c r="S492" s="5" t="s">
        <v>2900</v>
      </c>
      <c r="T492" s="5"/>
      <c r="U492" s="5" t="s">
        <v>2901</v>
      </c>
      <c r="V492" s="5"/>
    </row>
    <row r="493" ht="12.75" customHeight="1">
      <c r="A493" s="5">
        <v>33876.0</v>
      </c>
      <c r="B493" s="5" t="s">
        <v>2902</v>
      </c>
      <c r="C493" s="5" t="s">
        <v>211</v>
      </c>
      <c r="D493" s="5" t="s">
        <v>2852</v>
      </c>
      <c r="E493" s="7" t="s">
        <v>2903</v>
      </c>
      <c r="F493" s="5" t="s">
        <v>2854</v>
      </c>
      <c r="G493" s="5" t="s">
        <v>2855</v>
      </c>
      <c r="H493" s="5">
        <v>2012.0</v>
      </c>
      <c r="I493" s="5">
        <v>0.0</v>
      </c>
      <c r="J493" s="5">
        <v>0.0</v>
      </c>
      <c r="K493" s="5">
        <v>1.0</v>
      </c>
      <c r="L493" s="54"/>
      <c r="M493" s="5" t="s">
        <v>2904</v>
      </c>
      <c r="N493" s="53" t="s">
        <v>2905</v>
      </c>
      <c r="O493">
        <v>50.832793</v>
      </c>
      <c r="P493">
        <v>9.572866</v>
      </c>
      <c r="Q493" s="5" t="s">
        <v>1524</v>
      </c>
      <c r="R493" s="10">
        <f t="shared" si="10"/>
        <v>2</v>
      </c>
      <c r="S493" s="5" t="s">
        <v>2906</v>
      </c>
      <c r="T493" s="5"/>
      <c r="U493" s="5" t="s">
        <v>2907</v>
      </c>
      <c r="V493" s="5"/>
    </row>
    <row r="494" ht="12.75" customHeight="1">
      <c r="A494" s="5">
        <v>33839.0</v>
      </c>
      <c r="B494" s="5" t="s">
        <v>49</v>
      </c>
      <c r="C494" s="52" t="s">
        <v>50</v>
      </c>
      <c r="D494" s="5" t="s">
        <v>2852</v>
      </c>
      <c r="E494" s="7" t="s">
        <v>2908</v>
      </c>
      <c r="F494" s="5" t="s">
        <v>2854</v>
      </c>
      <c r="G494" s="5" t="s">
        <v>2909</v>
      </c>
      <c r="H494" s="5">
        <v>2012.0</v>
      </c>
      <c r="I494" s="5">
        <v>0.0</v>
      </c>
      <c r="J494" s="5">
        <v>0.0</v>
      </c>
      <c r="K494" s="5">
        <v>7.0</v>
      </c>
      <c r="L494" s="54"/>
      <c r="M494" s="5" t="s">
        <v>2910</v>
      </c>
      <c r="N494" s="53" t="s">
        <v>2911</v>
      </c>
      <c r="O494">
        <v>35.52145</v>
      </c>
      <c r="P494">
        <v>35.7924</v>
      </c>
      <c r="Q494" s="5" t="s">
        <v>672</v>
      </c>
      <c r="R494" s="10">
        <f t="shared" si="10"/>
        <v>35</v>
      </c>
      <c r="S494" s="5" t="s">
        <v>2912</v>
      </c>
      <c r="T494" s="6" t="s">
        <v>53</v>
      </c>
      <c r="U494" s="5" t="s">
        <v>2913</v>
      </c>
      <c r="V494" s="5" t="s">
        <v>2914</v>
      </c>
    </row>
    <row r="495" ht="12.75" customHeight="1">
      <c r="A495" s="5">
        <v>33840.0</v>
      </c>
      <c r="B495" s="5" t="s">
        <v>49</v>
      </c>
      <c r="C495" s="52" t="s">
        <v>50</v>
      </c>
      <c r="D495" s="5" t="s">
        <v>2852</v>
      </c>
      <c r="E495" s="7" t="s">
        <v>2915</v>
      </c>
      <c r="F495" s="5" t="s">
        <v>2854</v>
      </c>
      <c r="G495" s="5" t="s">
        <v>2909</v>
      </c>
      <c r="H495" s="5">
        <v>2012.0</v>
      </c>
      <c r="I495" s="5">
        <v>0.0</v>
      </c>
      <c r="J495" s="5">
        <v>0.0</v>
      </c>
      <c r="K495" s="5">
        <v>40.0</v>
      </c>
      <c r="L495" s="54"/>
      <c r="M495" s="5" t="s">
        <v>2916</v>
      </c>
      <c r="N495" s="53" t="s">
        <v>2917</v>
      </c>
      <c r="O495">
        <v>32.876174</v>
      </c>
      <c r="P495">
        <v>13.187507</v>
      </c>
      <c r="Q495" s="5" t="s">
        <v>481</v>
      </c>
      <c r="R495" s="10">
        <f t="shared" si="10"/>
        <v>1281</v>
      </c>
      <c r="S495" s="5" t="s">
        <v>2918</v>
      </c>
      <c r="T495" s="6" t="s">
        <v>2130</v>
      </c>
      <c r="U495" s="5" t="s">
        <v>2919</v>
      </c>
      <c r="V495" s="5" t="s">
        <v>2920</v>
      </c>
    </row>
    <row r="496" ht="12.75" customHeight="1">
      <c r="A496" s="5">
        <v>33841.0</v>
      </c>
      <c r="B496" s="5" t="s">
        <v>2921</v>
      </c>
      <c r="C496" s="5" t="s">
        <v>124</v>
      </c>
      <c r="D496" s="5" t="s">
        <v>2852</v>
      </c>
      <c r="E496" s="7" t="s">
        <v>2922</v>
      </c>
      <c r="F496" s="5" t="s">
        <v>2854</v>
      </c>
      <c r="G496" s="5" t="s">
        <v>2909</v>
      </c>
      <c r="H496" s="5">
        <v>2012.0</v>
      </c>
      <c r="I496" s="5">
        <v>0.0</v>
      </c>
      <c r="J496" s="5">
        <v>0.0</v>
      </c>
      <c r="K496" s="5">
        <v>1.0</v>
      </c>
      <c r="L496" s="54"/>
      <c r="M496" s="5" t="s">
        <v>2923</v>
      </c>
      <c r="N496" s="53" t="s">
        <v>2893</v>
      </c>
      <c r="O496">
        <v>51.47238</v>
      </c>
      <c r="P496">
        <v>-0.45094</v>
      </c>
      <c r="Q496" s="5" t="s">
        <v>1635</v>
      </c>
      <c r="R496" s="10">
        <f t="shared" si="10"/>
        <v>13</v>
      </c>
      <c r="S496" s="5" t="s">
        <v>2924</v>
      </c>
      <c r="T496" s="5"/>
      <c r="U496" s="5" t="s">
        <v>2925</v>
      </c>
      <c r="V496" s="5"/>
    </row>
    <row r="497" ht="12.75" customHeight="1">
      <c r="A497" s="5">
        <v>33842.0</v>
      </c>
      <c r="B497" s="5" t="s">
        <v>49</v>
      </c>
      <c r="C497" s="52" t="s">
        <v>50</v>
      </c>
      <c r="D497" s="5" t="s">
        <v>2852</v>
      </c>
      <c r="E497" s="7" t="s">
        <v>2926</v>
      </c>
      <c r="F497" s="5" t="s">
        <v>2854</v>
      </c>
      <c r="G497" s="5" t="s">
        <v>2909</v>
      </c>
      <c r="H497" s="5">
        <v>2012.0</v>
      </c>
      <c r="I497" s="5">
        <v>0.0</v>
      </c>
      <c r="J497" s="5">
        <v>0.0</v>
      </c>
      <c r="K497" s="5">
        <v>39.0</v>
      </c>
      <c r="L497" s="54"/>
      <c r="M497" s="5" t="s">
        <v>2927</v>
      </c>
      <c r="N497" s="53" t="s">
        <v>2928</v>
      </c>
      <c r="O497">
        <v>26.3351</v>
      </c>
      <c r="P497">
        <v>17.228331</v>
      </c>
      <c r="Q497" s="5" t="s">
        <v>337</v>
      </c>
      <c r="R497" s="10">
        <f t="shared" si="10"/>
        <v>1371</v>
      </c>
      <c r="S497" s="5" t="s">
        <v>2929</v>
      </c>
      <c r="T497" s="6" t="s">
        <v>2130</v>
      </c>
      <c r="U497" s="5" t="s">
        <v>2930</v>
      </c>
      <c r="V497" s="5"/>
    </row>
    <row r="498" ht="12.75" customHeight="1">
      <c r="A498" s="5">
        <v>33843.0</v>
      </c>
      <c r="B498" s="5" t="s">
        <v>49</v>
      </c>
      <c r="C498" s="52" t="s">
        <v>50</v>
      </c>
      <c r="D498" s="5" t="s">
        <v>2852</v>
      </c>
      <c r="E498" s="7" t="s">
        <v>2931</v>
      </c>
      <c r="F498" s="5" t="s">
        <v>2854</v>
      </c>
      <c r="G498" s="5" t="s">
        <v>2909</v>
      </c>
      <c r="H498" s="5">
        <v>2012.0</v>
      </c>
      <c r="I498" s="5">
        <v>0.0</v>
      </c>
      <c r="J498" s="5">
        <v>0.0</v>
      </c>
      <c r="K498" s="5">
        <v>1.0</v>
      </c>
      <c r="L498" s="54"/>
      <c r="M498" s="5" t="s">
        <v>2932</v>
      </c>
      <c r="N498" s="53" t="s">
        <v>2834</v>
      </c>
      <c r="O498">
        <v>41.244376</v>
      </c>
      <c r="P498">
        <v>26.135943</v>
      </c>
      <c r="Q498" s="5" t="s">
        <v>1214</v>
      </c>
      <c r="R498" s="10">
        <f t="shared" si="10"/>
        <v>188</v>
      </c>
      <c r="S498" s="5" t="s">
        <v>2933</v>
      </c>
      <c r="T498" s="6" t="s">
        <v>53</v>
      </c>
      <c r="U498" s="5" t="s">
        <v>2934</v>
      </c>
      <c r="V498" s="5" t="s">
        <v>2935</v>
      </c>
    </row>
    <row r="499" ht="12.75" customHeight="1">
      <c r="A499" s="5">
        <v>33844.0</v>
      </c>
      <c r="B499" s="5" t="s">
        <v>49</v>
      </c>
      <c r="C499" s="52" t="s">
        <v>50</v>
      </c>
      <c r="D499" s="5" t="s">
        <v>2852</v>
      </c>
      <c r="E499" s="7" t="s">
        <v>2936</v>
      </c>
      <c r="F499" s="5" t="s">
        <v>2854</v>
      </c>
      <c r="G499" s="5" t="s">
        <v>2909</v>
      </c>
      <c r="H499" s="5">
        <v>2012.0</v>
      </c>
      <c r="I499" s="5">
        <v>0.0</v>
      </c>
      <c r="J499" s="5">
        <v>0.0</v>
      </c>
      <c r="K499" s="5">
        <v>2.0</v>
      </c>
      <c r="L499" s="54"/>
      <c r="M499" s="5" t="s">
        <v>2937</v>
      </c>
      <c r="N499" s="53" t="s">
        <v>2938</v>
      </c>
      <c r="O499">
        <v>35.937496</v>
      </c>
      <c r="P499">
        <v>14.375416</v>
      </c>
      <c r="Q499" s="5" t="s">
        <v>740</v>
      </c>
      <c r="R499" s="10">
        <f t="shared" si="10"/>
        <v>655</v>
      </c>
      <c r="S499" s="5" t="s">
        <v>2939</v>
      </c>
      <c r="T499" s="6" t="s">
        <v>2130</v>
      </c>
      <c r="U499" s="5" t="s">
        <v>2940</v>
      </c>
      <c r="V499" s="5" t="s">
        <v>2941</v>
      </c>
    </row>
    <row r="500" ht="12.75" customHeight="1">
      <c r="A500" s="5">
        <v>33847.0</v>
      </c>
      <c r="B500" s="5" t="s">
        <v>68</v>
      </c>
      <c r="C500" s="5" t="s">
        <v>69</v>
      </c>
      <c r="D500" s="5" t="s">
        <v>2852</v>
      </c>
      <c r="E500" s="7" t="s">
        <v>2942</v>
      </c>
      <c r="F500" s="5" t="s">
        <v>2854</v>
      </c>
      <c r="G500" s="5" t="s">
        <v>2909</v>
      </c>
      <c r="H500" s="5">
        <v>2012.0</v>
      </c>
      <c r="I500" s="5">
        <v>0.0</v>
      </c>
      <c r="J500" s="5">
        <v>0.0</v>
      </c>
      <c r="K500" s="5">
        <v>10.0</v>
      </c>
      <c r="L500" s="54"/>
      <c r="M500" s="5" t="s">
        <v>2943</v>
      </c>
      <c r="N500" s="53" t="s">
        <v>2944</v>
      </c>
      <c r="O500">
        <v>-12.8275</v>
      </c>
      <c r="P500">
        <v>45.166244</v>
      </c>
      <c r="Q500" s="5" t="s">
        <v>228</v>
      </c>
      <c r="R500" s="10">
        <f t="shared" si="10"/>
        <v>757</v>
      </c>
      <c r="S500" s="5" t="s">
        <v>2945</v>
      </c>
      <c r="T500" s="5"/>
      <c r="U500" s="5" t="s">
        <v>2946</v>
      </c>
      <c r="V500" s="5"/>
    </row>
    <row r="501" ht="12.75" customHeight="1">
      <c r="A501" s="5">
        <v>33845.0</v>
      </c>
      <c r="B501" s="5" t="s">
        <v>49</v>
      </c>
      <c r="C501" s="52" t="s">
        <v>50</v>
      </c>
      <c r="D501" s="5" t="s">
        <v>2852</v>
      </c>
      <c r="E501" s="7" t="s">
        <v>2942</v>
      </c>
      <c r="F501" s="5" t="s">
        <v>2854</v>
      </c>
      <c r="G501" s="5" t="s">
        <v>2909</v>
      </c>
      <c r="H501" s="5">
        <v>2012.0</v>
      </c>
      <c r="I501" s="5">
        <v>0.0</v>
      </c>
      <c r="J501" s="5">
        <v>0.0</v>
      </c>
      <c r="K501" s="5">
        <v>6.0</v>
      </c>
      <c r="L501" s="54"/>
      <c r="M501" s="5" t="s">
        <v>2947</v>
      </c>
      <c r="N501" s="53" t="s">
        <v>2944</v>
      </c>
      <c r="O501">
        <v>-12.8275</v>
      </c>
      <c r="P501">
        <v>45.166244</v>
      </c>
      <c r="Q501" s="5" t="s">
        <v>228</v>
      </c>
      <c r="R501" s="10">
        <f t="shared" si="10"/>
        <v>757</v>
      </c>
      <c r="S501" s="5" t="s">
        <v>2945</v>
      </c>
      <c r="T501" s="5"/>
      <c r="U501" s="5" t="s">
        <v>2946</v>
      </c>
      <c r="V501" s="5"/>
    </row>
    <row r="502" ht="12.75" customHeight="1">
      <c r="A502" s="5">
        <v>33846.0</v>
      </c>
      <c r="B502" s="5" t="s">
        <v>49</v>
      </c>
      <c r="C502" s="52" t="s">
        <v>50</v>
      </c>
      <c r="D502" s="5" t="s">
        <v>2852</v>
      </c>
      <c r="E502" s="7" t="s">
        <v>2942</v>
      </c>
      <c r="F502" s="5" t="s">
        <v>2854</v>
      </c>
      <c r="G502" s="5" t="s">
        <v>2909</v>
      </c>
      <c r="H502" s="5">
        <v>2012.0</v>
      </c>
      <c r="I502" s="5">
        <v>0.0</v>
      </c>
      <c r="J502" s="5">
        <v>0.0</v>
      </c>
      <c r="K502" s="5">
        <v>1.0</v>
      </c>
      <c r="L502" s="54"/>
      <c r="M502" s="5" t="s">
        <v>2948</v>
      </c>
      <c r="N502" s="53" t="s">
        <v>2718</v>
      </c>
      <c r="O502">
        <v>35.292278</v>
      </c>
      <c r="P502">
        <v>-2.938097</v>
      </c>
      <c r="Q502" s="5" t="s">
        <v>649</v>
      </c>
      <c r="R502" s="10">
        <f t="shared" si="10"/>
        <v>79</v>
      </c>
      <c r="S502" s="5" t="s">
        <v>2949</v>
      </c>
      <c r="T502" s="6" t="s">
        <v>72</v>
      </c>
      <c r="U502" s="5" t="s">
        <v>2950</v>
      </c>
      <c r="V502" s="5"/>
    </row>
    <row r="503" ht="12.75" customHeight="1">
      <c r="A503" s="5">
        <v>33849.0</v>
      </c>
      <c r="B503" s="5" t="s">
        <v>68</v>
      </c>
      <c r="C503" s="5" t="s">
        <v>69</v>
      </c>
      <c r="D503" s="5" t="s">
        <v>2852</v>
      </c>
      <c r="E503" s="7" t="s">
        <v>2951</v>
      </c>
      <c r="F503" s="5" t="s">
        <v>2854</v>
      </c>
      <c r="G503" s="5" t="s">
        <v>2909</v>
      </c>
      <c r="H503" s="5">
        <v>2012.0</v>
      </c>
      <c r="I503" s="5">
        <v>0.0</v>
      </c>
      <c r="J503" s="5">
        <v>0.0</v>
      </c>
      <c r="K503" s="5">
        <v>27.0</v>
      </c>
      <c r="L503" s="54"/>
      <c r="M503" s="5" t="s">
        <v>2952</v>
      </c>
      <c r="N503" s="53" t="s">
        <v>2944</v>
      </c>
      <c r="O503">
        <v>-12.8275</v>
      </c>
      <c r="P503">
        <v>45.166244</v>
      </c>
      <c r="Q503" s="5" t="s">
        <v>228</v>
      </c>
      <c r="R503" s="10">
        <f t="shared" si="10"/>
        <v>757</v>
      </c>
      <c r="S503" s="5" t="s">
        <v>2953</v>
      </c>
      <c r="T503" s="5"/>
      <c r="U503" s="5" t="s">
        <v>2954</v>
      </c>
      <c r="V503" s="5"/>
    </row>
    <row r="504" ht="12.75" customHeight="1">
      <c r="A504" s="5">
        <v>33848.0</v>
      </c>
      <c r="B504" s="5" t="s">
        <v>49</v>
      </c>
      <c r="C504" s="52" t="s">
        <v>50</v>
      </c>
      <c r="D504" s="5" t="s">
        <v>2852</v>
      </c>
      <c r="E504" s="7" t="s">
        <v>2951</v>
      </c>
      <c r="F504" s="5" t="s">
        <v>2854</v>
      </c>
      <c r="G504" s="5" t="s">
        <v>2909</v>
      </c>
      <c r="H504" s="5">
        <v>2012.0</v>
      </c>
      <c r="I504" s="5">
        <v>0.0</v>
      </c>
      <c r="J504" s="5">
        <v>0.0</v>
      </c>
      <c r="K504" s="5">
        <v>6.0</v>
      </c>
      <c r="L504" s="54"/>
      <c r="M504" s="5" t="s">
        <v>2955</v>
      </c>
      <c r="N504" s="53" t="s">
        <v>2944</v>
      </c>
      <c r="O504">
        <v>-12.8275</v>
      </c>
      <c r="P504">
        <v>45.166244</v>
      </c>
      <c r="Q504" s="5" t="s">
        <v>228</v>
      </c>
      <c r="R504" s="10">
        <f t="shared" si="10"/>
        <v>757</v>
      </c>
      <c r="S504" s="5" t="s">
        <v>2953</v>
      </c>
      <c r="T504" s="5"/>
      <c r="U504" s="5" t="s">
        <v>2956</v>
      </c>
      <c r="V504" s="5"/>
    </row>
    <row r="505" ht="12.75" customHeight="1">
      <c r="A505" s="5">
        <v>33850.0</v>
      </c>
      <c r="B505" s="5" t="s">
        <v>49</v>
      </c>
      <c r="C505" s="52" t="s">
        <v>50</v>
      </c>
      <c r="D505" s="5" t="s">
        <v>2852</v>
      </c>
      <c r="E505" s="7" t="s">
        <v>2957</v>
      </c>
      <c r="F505" s="5" t="s">
        <v>2854</v>
      </c>
      <c r="G505" s="5" t="s">
        <v>2958</v>
      </c>
      <c r="H505" s="5">
        <v>2012.0</v>
      </c>
      <c r="I505" s="5">
        <v>0.0</v>
      </c>
      <c r="J505" s="5">
        <v>0.0</v>
      </c>
      <c r="K505" s="5">
        <v>1.0</v>
      </c>
      <c r="L505" s="54"/>
      <c r="M505" s="5" t="s">
        <v>2959</v>
      </c>
      <c r="N505" s="53" t="s">
        <v>2718</v>
      </c>
      <c r="O505">
        <v>35.292278</v>
      </c>
      <c r="P505">
        <v>-2.938097</v>
      </c>
      <c r="Q505" s="5" t="s">
        <v>649</v>
      </c>
      <c r="R505" s="10">
        <f t="shared" si="10"/>
        <v>79</v>
      </c>
      <c r="S505" s="5" t="s">
        <v>2960</v>
      </c>
      <c r="T505" s="6" t="s">
        <v>72</v>
      </c>
      <c r="U505" s="5" t="s">
        <v>2961</v>
      </c>
      <c r="V505" s="5"/>
    </row>
    <row r="506" ht="12.75" customHeight="1">
      <c r="A506" s="5">
        <v>33851.0</v>
      </c>
      <c r="B506" s="5" t="s">
        <v>2962</v>
      </c>
      <c r="C506" s="5" t="s">
        <v>211</v>
      </c>
      <c r="D506" s="5" t="s">
        <v>2852</v>
      </c>
      <c r="E506" s="7" t="s">
        <v>2963</v>
      </c>
      <c r="F506" s="5" t="s">
        <v>2854</v>
      </c>
      <c r="G506" s="5" t="s">
        <v>2958</v>
      </c>
      <c r="H506" s="5">
        <v>2012.0</v>
      </c>
      <c r="I506" s="5">
        <v>0.0</v>
      </c>
      <c r="J506" s="5">
        <v>0.0</v>
      </c>
      <c r="K506" s="5">
        <v>1.0</v>
      </c>
      <c r="L506" s="54"/>
      <c r="M506" s="5" t="s">
        <v>2964</v>
      </c>
      <c r="N506" s="53" t="s">
        <v>2965</v>
      </c>
      <c r="O506">
        <v>53.449038</v>
      </c>
      <c r="P506">
        <v>-1.2996</v>
      </c>
      <c r="Q506" s="5" t="s">
        <v>1835</v>
      </c>
      <c r="R506" s="10">
        <f t="shared" si="10"/>
        <v>1</v>
      </c>
      <c r="S506" s="5" t="s">
        <v>2966</v>
      </c>
      <c r="T506" s="5"/>
      <c r="U506" s="5" t="s">
        <v>2967</v>
      </c>
      <c r="V506" s="5"/>
    </row>
    <row r="507" ht="12.75" customHeight="1">
      <c r="A507" s="5">
        <v>33852.0</v>
      </c>
      <c r="B507" s="5" t="s">
        <v>49</v>
      </c>
      <c r="C507" s="52" t="s">
        <v>50</v>
      </c>
      <c r="D507" s="5" t="s">
        <v>2852</v>
      </c>
      <c r="E507" s="7" t="s">
        <v>2968</v>
      </c>
      <c r="F507" s="5" t="s">
        <v>2854</v>
      </c>
      <c r="G507" s="5" t="s">
        <v>2958</v>
      </c>
      <c r="H507" s="5">
        <v>2012.0</v>
      </c>
      <c r="I507" s="5">
        <v>0.0</v>
      </c>
      <c r="J507" s="5">
        <v>0.0</v>
      </c>
      <c r="K507" s="5">
        <v>79.0</v>
      </c>
      <c r="L507" s="54"/>
      <c r="M507" s="5" t="s">
        <v>2969</v>
      </c>
      <c r="N507" s="53" t="s">
        <v>2700</v>
      </c>
      <c r="O507">
        <v>35.508622</v>
      </c>
      <c r="P507">
        <v>12.59292</v>
      </c>
      <c r="Q507" s="5" t="s">
        <v>669</v>
      </c>
      <c r="R507" s="10">
        <f t="shared" si="10"/>
        <v>3843</v>
      </c>
      <c r="S507" s="5" t="s">
        <v>2970</v>
      </c>
      <c r="T507" s="6" t="s">
        <v>2130</v>
      </c>
      <c r="U507" s="5" t="s">
        <v>2971</v>
      </c>
      <c r="V507" s="5" t="s">
        <v>2972</v>
      </c>
    </row>
    <row r="508" ht="12.75" customHeight="1">
      <c r="A508" s="5">
        <v>33853.0</v>
      </c>
      <c r="B508" s="5" t="s">
        <v>2921</v>
      </c>
      <c r="C508" s="52" t="s">
        <v>50</v>
      </c>
      <c r="D508" s="5" t="s">
        <v>2852</v>
      </c>
      <c r="E508" s="7" t="s">
        <v>2973</v>
      </c>
      <c r="F508" s="5" t="s">
        <v>2854</v>
      </c>
      <c r="G508" s="5" t="s">
        <v>2958</v>
      </c>
      <c r="H508" s="5">
        <v>2012.0</v>
      </c>
      <c r="I508" s="5">
        <v>0.0</v>
      </c>
      <c r="J508" s="5">
        <v>0.0</v>
      </c>
      <c r="K508" s="5">
        <v>1.0</v>
      </c>
      <c r="L508" s="54"/>
      <c r="M508" s="5" t="s">
        <v>2974</v>
      </c>
      <c r="N508" s="53" t="s">
        <v>2834</v>
      </c>
      <c r="O508">
        <v>41.244376</v>
      </c>
      <c r="P508">
        <v>26.135943</v>
      </c>
      <c r="Q508" s="5" t="s">
        <v>1214</v>
      </c>
      <c r="R508" s="10">
        <f t="shared" si="10"/>
        <v>188</v>
      </c>
      <c r="S508" s="5" t="s">
        <v>2975</v>
      </c>
      <c r="T508" s="6" t="s">
        <v>53</v>
      </c>
      <c r="U508" s="5" t="s">
        <v>2976</v>
      </c>
      <c r="V508" s="5"/>
    </row>
    <row r="509" ht="12.75" customHeight="1">
      <c r="A509" s="5">
        <v>77194.0</v>
      </c>
      <c r="B509" s="5" t="s">
        <v>1555</v>
      </c>
      <c r="C509" s="5" t="s">
        <v>42</v>
      </c>
      <c r="D509" s="5"/>
      <c r="E509" s="7" t="s">
        <v>2977</v>
      </c>
      <c r="F509" s="5" t="s">
        <v>2978</v>
      </c>
      <c r="G509" s="5" t="s">
        <v>2979</v>
      </c>
      <c r="H509" s="5">
        <v>2012.0</v>
      </c>
      <c r="I509" s="5">
        <v>1.0</v>
      </c>
      <c r="J509" s="5">
        <v>0.0</v>
      </c>
      <c r="K509" s="5">
        <v>1.0</v>
      </c>
      <c r="L509" s="54"/>
      <c r="M509" s="5" t="s">
        <v>2980</v>
      </c>
      <c r="N509" s="53"/>
      <c r="O509">
        <v>14.4903</v>
      </c>
      <c r="P509">
        <v>35.8334</v>
      </c>
      <c r="Q509" s="5" t="s">
        <v>257</v>
      </c>
      <c r="R509" s="10">
        <f t="shared" si="10"/>
        <v>1</v>
      </c>
      <c r="S509" s="5" t="s">
        <v>2981</v>
      </c>
      <c r="T509" s="5"/>
      <c r="U509" s="5" t="s">
        <v>2407</v>
      </c>
      <c r="V509" s="5"/>
    </row>
    <row r="510" ht="12.75" customHeight="1">
      <c r="A510" s="5">
        <v>33854.0</v>
      </c>
      <c r="B510" s="5" t="s">
        <v>1555</v>
      </c>
      <c r="C510" s="5" t="s">
        <v>42</v>
      </c>
      <c r="D510" s="5" t="s">
        <v>2852</v>
      </c>
      <c r="E510" s="7" t="s">
        <v>2977</v>
      </c>
      <c r="F510" s="5" t="s">
        <v>2978</v>
      </c>
      <c r="G510" s="5" t="s">
        <v>2979</v>
      </c>
      <c r="H510" s="5">
        <v>2012.0</v>
      </c>
      <c r="I510" s="5">
        <v>0.0</v>
      </c>
      <c r="J510" s="5">
        <v>0.0</v>
      </c>
      <c r="K510" s="5">
        <v>1.0</v>
      </c>
      <c r="L510" s="54"/>
      <c r="M510" s="5" t="s">
        <v>2982</v>
      </c>
      <c r="N510" s="53" t="s">
        <v>2983</v>
      </c>
      <c r="O510">
        <v>32.310059</v>
      </c>
      <c r="P510">
        <v>-9.236617</v>
      </c>
      <c r="Q510" s="5" t="s">
        <v>465</v>
      </c>
      <c r="R510" s="10">
        <f t="shared" si="10"/>
        <v>10</v>
      </c>
      <c r="S510" s="5" t="s">
        <v>2984</v>
      </c>
      <c r="T510" s="5"/>
      <c r="U510" s="5" t="s">
        <v>2985</v>
      </c>
      <c r="V510" s="5"/>
    </row>
    <row r="511" ht="12.75" customHeight="1">
      <c r="A511" s="5">
        <v>33855.0</v>
      </c>
      <c r="B511" s="5" t="s">
        <v>2693</v>
      </c>
      <c r="C511" s="5" t="s">
        <v>62</v>
      </c>
      <c r="D511" s="5" t="s">
        <v>2852</v>
      </c>
      <c r="E511" s="7" t="s">
        <v>2986</v>
      </c>
      <c r="F511" s="5" t="s">
        <v>2978</v>
      </c>
      <c r="G511" s="5" t="s">
        <v>2979</v>
      </c>
      <c r="H511" s="5">
        <v>2012.0</v>
      </c>
      <c r="I511" s="5">
        <v>0.0</v>
      </c>
      <c r="J511" s="5">
        <v>0.0</v>
      </c>
      <c r="K511" s="5">
        <v>1.0</v>
      </c>
      <c r="L511" s="54"/>
      <c r="M511" s="5" t="s">
        <v>2987</v>
      </c>
      <c r="N511" s="53" t="s">
        <v>2938</v>
      </c>
      <c r="O511">
        <v>35.937496</v>
      </c>
      <c r="P511">
        <v>14.375416</v>
      </c>
      <c r="Q511" s="5" t="s">
        <v>740</v>
      </c>
      <c r="R511" s="10">
        <f t="shared" si="10"/>
        <v>655</v>
      </c>
      <c r="S511" s="5" t="s">
        <v>2988</v>
      </c>
      <c r="T511" s="6" t="s">
        <v>2130</v>
      </c>
      <c r="U511" s="5" t="s">
        <v>2989</v>
      </c>
      <c r="V511" s="5"/>
    </row>
    <row r="512" ht="12.75" customHeight="1">
      <c r="A512" s="5">
        <v>33856.0</v>
      </c>
      <c r="B512" s="5" t="s">
        <v>49</v>
      </c>
      <c r="C512" s="52" t="s">
        <v>50</v>
      </c>
      <c r="D512" s="5" t="s">
        <v>2852</v>
      </c>
      <c r="E512" s="7" t="s">
        <v>2986</v>
      </c>
      <c r="F512" s="5" t="s">
        <v>2978</v>
      </c>
      <c r="G512" s="5" t="s">
        <v>2979</v>
      </c>
      <c r="H512" s="5">
        <v>2012.0</v>
      </c>
      <c r="I512" s="5">
        <v>0.0</v>
      </c>
      <c r="J512" s="5">
        <v>0.0</v>
      </c>
      <c r="K512" s="5">
        <v>1.0</v>
      </c>
      <c r="L512" s="54"/>
      <c r="M512" s="5" t="s">
        <v>2990</v>
      </c>
      <c r="N512" s="53" t="s">
        <v>2991</v>
      </c>
      <c r="O512">
        <v>39.801</v>
      </c>
      <c r="P512">
        <v>18.356944</v>
      </c>
      <c r="Q512" s="5" t="s">
        <v>1110</v>
      </c>
      <c r="R512" s="10">
        <f t="shared" si="10"/>
        <v>88</v>
      </c>
      <c r="S512" s="5" t="s">
        <v>2992</v>
      </c>
      <c r="T512" s="6" t="s">
        <v>1963</v>
      </c>
      <c r="U512" s="5" t="s">
        <v>2993</v>
      </c>
      <c r="V512" s="5"/>
    </row>
    <row r="513" ht="12.75" customHeight="1">
      <c r="A513" s="5">
        <v>33857.0</v>
      </c>
      <c r="B513" s="5" t="s">
        <v>1076</v>
      </c>
      <c r="C513" s="52" t="s">
        <v>50</v>
      </c>
      <c r="D513" s="5" t="s">
        <v>2852</v>
      </c>
      <c r="E513" s="7" t="s">
        <v>2994</v>
      </c>
      <c r="F513" s="5" t="s">
        <v>2978</v>
      </c>
      <c r="G513" s="5" t="s">
        <v>2979</v>
      </c>
      <c r="H513" s="5">
        <v>2012.0</v>
      </c>
      <c r="I513" s="5">
        <v>0.0</v>
      </c>
      <c r="J513" s="5">
        <v>0.0</v>
      </c>
      <c r="K513" s="5">
        <v>2.0</v>
      </c>
      <c r="L513" s="54"/>
      <c r="M513" s="5" t="s">
        <v>2995</v>
      </c>
      <c r="N513" s="53" t="s">
        <v>2996</v>
      </c>
      <c r="O513">
        <v>43.61583</v>
      </c>
      <c r="P513">
        <v>13.518915</v>
      </c>
      <c r="Q513" s="5" t="s">
        <v>1284</v>
      </c>
      <c r="R513" s="10">
        <f t="shared" si="10"/>
        <v>16</v>
      </c>
      <c r="S513" s="5" t="s">
        <v>2997</v>
      </c>
      <c r="T513" s="5"/>
      <c r="U513" s="5" t="s">
        <v>2998</v>
      </c>
      <c r="V513" s="5"/>
    </row>
    <row r="514" ht="12.75" customHeight="1">
      <c r="A514" s="5">
        <v>33858.0</v>
      </c>
      <c r="B514" s="5" t="s">
        <v>49</v>
      </c>
      <c r="C514" s="52" t="s">
        <v>50</v>
      </c>
      <c r="D514" s="5" t="s">
        <v>2852</v>
      </c>
      <c r="E514" s="7" t="s">
        <v>2999</v>
      </c>
      <c r="F514" s="5" t="s">
        <v>2978</v>
      </c>
      <c r="G514" s="5" t="s">
        <v>2979</v>
      </c>
      <c r="H514" s="5">
        <v>2012.0</v>
      </c>
      <c r="I514" s="5">
        <v>0.0</v>
      </c>
      <c r="J514" s="5">
        <v>0.0</v>
      </c>
      <c r="K514" s="5">
        <v>6.0</v>
      </c>
      <c r="L514" s="54"/>
      <c r="M514" s="5" t="s">
        <v>3000</v>
      </c>
      <c r="N514" s="53" t="s">
        <v>2991</v>
      </c>
      <c r="O514">
        <v>39.801</v>
      </c>
      <c r="P514">
        <v>18.356944</v>
      </c>
      <c r="Q514" s="5" t="s">
        <v>1110</v>
      </c>
      <c r="R514" s="10">
        <f t="shared" si="10"/>
        <v>88</v>
      </c>
      <c r="S514" s="5" t="s">
        <v>3001</v>
      </c>
      <c r="T514" s="6" t="s">
        <v>1963</v>
      </c>
      <c r="U514" s="5" t="s">
        <v>3002</v>
      </c>
      <c r="V514" s="5"/>
    </row>
    <row r="515" ht="12.75" customHeight="1">
      <c r="A515" s="5">
        <v>33859.0</v>
      </c>
      <c r="B515" s="5" t="s">
        <v>2040</v>
      </c>
      <c r="C515" s="52" t="s">
        <v>50</v>
      </c>
      <c r="D515" s="5" t="s">
        <v>2852</v>
      </c>
      <c r="E515" s="7" t="s">
        <v>3003</v>
      </c>
      <c r="F515" s="5" t="s">
        <v>2978</v>
      </c>
      <c r="G515" s="5" t="s">
        <v>2979</v>
      </c>
      <c r="H515" s="5">
        <v>2012.0</v>
      </c>
      <c r="I515" s="5">
        <v>0.0</v>
      </c>
      <c r="J515" s="5">
        <v>0.0</v>
      </c>
      <c r="K515" s="5">
        <v>2.0</v>
      </c>
      <c r="L515" s="54"/>
      <c r="M515" s="5" t="s">
        <v>3004</v>
      </c>
      <c r="N515" s="53" t="s">
        <v>3005</v>
      </c>
      <c r="O515">
        <v>31.791702</v>
      </c>
      <c r="P515">
        <v>-7.09262</v>
      </c>
      <c r="Q515" s="5" t="s">
        <v>439</v>
      </c>
      <c r="R515" s="10">
        <f t="shared" si="10"/>
        <v>77</v>
      </c>
      <c r="S515" s="5" t="s">
        <v>3006</v>
      </c>
      <c r="T515" s="6" t="s">
        <v>2130</v>
      </c>
      <c r="U515" s="5" t="s">
        <v>2934</v>
      </c>
      <c r="V515" s="5"/>
    </row>
    <row r="516" ht="12.75" customHeight="1">
      <c r="A516" s="5">
        <v>33862.0</v>
      </c>
      <c r="B516" s="5" t="s">
        <v>49</v>
      </c>
      <c r="C516" s="52" t="s">
        <v>50</v>
      </c>
      <c r="D516" s="5" t="s">
        <v>2852</v>
      </c>
      <c r="E516" s="7" t="s">
        <v>3007</v>
      </c>
      <c r="F516" s="5" t="s">
        <v>2978</v>
      </c>
      <c r="G516" s="5" t="s">
        <v>2979</v>
      </c>
      <c r="H516" s="5">
        <v>2012.0</v>
      </c>
      <c r="I516" s="5">
        <v>0.0</v>
      </c>
      <c r="J516" s="5">
        <v>0.0</v>
      </c>
      <c r="K516" s="5">
        <v>31.0</v>
      </c>
      <c r="L516" s="54"/>
      <c r="M516" s="5" t="s">
        <v>3008</v>
      </c>
      <c r="N516" s="53" t="s">
        <v>3009</v>
      </c>
      <c r="O516">
        <v>37.99462</v>
      </c>
      <c r="P516">
        <v>27.188235</v>
      </c>
      <c r="Q516" s="5" t="s">
        <v>983</v>
      </c>
      <c r="R516" s="10">
        <f t="shared" si="10"/>
        <v>61</v>
      </c>
      <c r="S516" s="5" t="s">
        <v>3010</v>
      </c>
      <c r="T516" s="6" t="s">
        <v>53</v>
      </c>
      <c r="U516" s="5" t="s">
        <v>3011</v>
      </c>
      <c r="V516" s="5"/>
    </row>
    <row r="517" ht="12.75" customHeight="1">
      <c r="A517" s="5">
        <v>33861.0</v>
      </c>
      <c r="B517" s="5" t="s">
        <v>49</v>
      </c>
      <c r="C517" s="52" t="s">
        <v>50</v>
      </c>
      <c r="D517" s="5" t="s">
        <v>2852</v>
      </c>
      <c r="E517" s="7" t="s">
        <v>3007</v>
      </c>
      <c r="F517" s="5" t="s">
        <v>2978</v>
      </c>
      <c r="G517" s="5" t="s">
        <v>2979</v>
      </c>
      <c r="H517" s="5">
        <v>2012.0</v>
      </c>
      <c r="I517" s="5">
        <v>0.0</v>
      </c>
      <c r="J517" s="5">
        <v>0.0</v>
      </c>
      <c r="K517" s="5">
        <v>30.0</v>
      </c>
      <c r="L517" s="54"/>
      <c r="M517" s="5" t="s">
        <v>3012</v>
      </c>
      <c r="N517" s="53" t="s">
        <v>3009</v>
      </c>
      <c r="O517">
        <v>37.99462</v>
      </c>
      <c r="P517">
        <v>27.188235</v>
      </c>
      <c r="Q517" s="5" t="s">
        <v>983</v>
      </c>
      <c r="R517" s="10">
        <f t="shared" si="10"/>
        <v>61</v>
      </c>
      <c r="S517" s="5" t="s">
        <v>3010</v>
      </c>
      <c r="T517" s="6" t="s">
        <v>53</v>
      </c>
      <c r="U517" s="5" t="s">
        <v>3011</v>
      </c>
      <c r="V517" s="5"/>
    </row>
    <row r="518" ht="12.75" customHeight="1">
      <c r="A518" s="5">
        <v>33860.0</v>
      </c>
      <c r="B518" s="5" t="s">
        <v>49</v>
      </c>
      <c r="C518" s="52" t="s">
        <v>50</v>
      </c>
      <c r="D518" s="5" t="s">
        <v>2852</v>
      </c>
      <c r="E518" s="7" t="s">
        <v>3007</v>
      </c>
      <c r="F518" s="5" t="s">
        <v>2978</v>
      </c>
      <c r="G518" s="5" t="s">
        <v>2979</v>
      </c>
      <c r="H518" s="5">
        <v>2012.0</v>
      </c>
      <c r="I518" s="5">
        <v>0.0</v>
      </c>
      <c r="J518" s="5">
        <v>0.0</v>
      </c>
      <c r="K518" s="5">
        <v>64.0</v>
      </c>
      <c r="L518" s="54"/>
      <c r="M518" s="5" t="s">
        <v>3013</v>
      </c>
      <c r="N518" s="53" t="s">
        <v>3014</v>
      </c>
      <c r="O518">
        <v>38.41885</v>
      </c>
      <c r="P518">
        <v>27.12872</v>
      </c>
      <c r="Q518" s="5" t="s">
        <v>1022</v>
      </c>
      <c r="R518" s="10">
        <f t="shared" si="10"/>
        <v>152</v>
      </c>
      <c r="S518" s="5" t="s">
        <v>3015</v>
      </c>
      <c r="T518" s="6" t="s">
        <v>53</v>
      </c>
      <c r="U518" s="5" t="s">
        <v>3016</v>
      </c>
      <c r="V518" s="5" t="s">
        <v>3017</v>
      </c>
    </row>
    <row r="519" ht="12.75" customHeight="1">
      <c r="A519" s="5">
        <v>33863.0</v>
      </c>
      <c r="B519" s="5" t="s">
        <v>1076</v>
      </c>
      <c r="C519" s="52" t="s">
        <v>50</v>
      </c>
      <c r="D519" s="5" t="s">
        <v>2852</v>
      </c>
      <c r="E519" s="7" t="s">
        <v>3018</v>
      </c>
      <c r="F519" s="5" t="s">
        <v>2978</v>
      </c>
      <c r="G519" s="5" t="s">
        <v>2979</v>
      </c>
      <c r="H519" s="5">
        <v>2012.0</v>
      </c>
      <c r="I519" s="5">
        <v>0.0</v>
      </c>
      <c r="J519" s="5">
        <v>0.0</v>
      </c>
      <c r="K519" s="5">
        <v>3.0</v>
      </c>
      <c r="L519" s="54"/>
      <c r="M519" s="5" t="s">
        <v>3019</v>
      </c>
      <c r="N519" s="53" t="s">
        <v>3020</v>
      </c>
      <c r="O519">
        <v>39.50615</v>
      </c>
      <c r="P519">
        <v>20.265534</v>
      </c>
      <c r="Q519" s="5" t="s">
        <v>1086</v>
      </c>
      <c r="R519" s="10">
        <f t="shared" si="10"/>
        <v>7</v>
      </c>
      <c r="S519" s="5" t="s">
        <v>3021</v>
      </c>
      <c r="T519" s="5"/>
      <c r="U519" s="5" t="s">
        <v>3022</v>
      </c>
      <c r="V519" s="5" t="s">
        <v>3023</v>
      </c>
    </row>
    <row r="520" ht="12.75" customHeight="1">
      <c r="A520" s="5">
        <v>33864.0</v>
      </c>
      <c r="B520" s="5" t="s">
        <v>49</v>
      </c>
      <c r="C520" s="52" t="s">
        <v>50</v>
      </c>
      <c r="D520" s="5" t="s">
        <v>2852</v>
      </c>
      <c r="E520" s="7" t="s">
        <v>3024</v>
      </c>
      <c r="F520" s="5" t="s">
        <v>2978</v>
      </c>
      <c r="G520" s="5" t="s">
        <v>3025</v>
      </c>
      <c r="H520" s="5">
        <v>2012.0</v>
      </c>
      <c r="I520" s="5">
        <v>0.0</v>
      </c>
      <c r="J520" s="5">
        <v>0.0</v>
      </c>
      <c r="K520" s="5">
        <v>20.0</v>
      </c>
      <c r="L520" s="54"/>
      <c r="M520" s="5" t="s">
        <v>3026</v>
      </c>
      <c r="N520" s="53" t="s">
        <v>2928</v>
      </c>
      <c r="O520">
        <v>26.3351</v>
      </c>
      <c r="P520">
        <v>17.228331</v>
      </c>
      <c r="Q520" s="5" t="s">
        <v>337</v>
      </c>
      <c r="R520" s="10">
        <f t="shared" si="10"/>
        <v>1371</v>
      </c>
      <c r="S520" s="5" t="s">
        <v>3027</v>
      </c>
      <c r="T520" s="6" t="s">
        <v>2130</v>
      </c>
      <c r="U520" s="5" t="s">
        <v>3028</v>
      </c>
      <c r="V520" s="5" t="s">
        <v>3029</v>
      </c>
    </row>
    <row r="521" ht="12.75" customHeight="1">
      <c r="A521" s="5">
        <v>33865.0</v>
      </c>
      <c r="B521" s="5" t="s">
        <v>49</v>
      </c>
      <c r="C521" s="52" t="s">
        <v>50</v>
      </c>
      <c r="D521" s="5" t="s">
        <v>2852</v>
      </c>
      <c r="E521" s="7" t="s">
        <v>3030</v>
      </c>
      <c r="F521" s="5" t="s">
        <v>2978</v>
      </c>
      <c r="G521" s="5" t="s">
        <v>3025</v>
      </c>
      <c r="H521" s="5">
        <v>2012.0</v>
      </c>
      <c r="I521" s="5">
        <v>0.0</v>
      </c>
      <c r="J521" s="5">
        <v>0.0</v>
      </c>
      <c r="K521" s="5">
        <v>10.0</v>
      </c>
      <c r="L521" s="54"/>
      <c r="M521" s="5" t="s">
        <v>3031</v>
      </c>
      <c r="N521" s="53" t="s">
        <v>2700</v>
      </c>
      <c r="O521">
        <v>35.508622</v>
      </c>
      <c r="P521">
        <v>12.59292</v>
      </c>
      <c r="Q521" s="5" t="s">
        <v>669</v>
      </c>
      <c r="R521" s="10">
        <f t="shared" si="10"/>
        <v>3843</v>
      </c>
      <c r="S521" s="5" t="s">
        <v>3032</v>
      </c>
      <c r="T521" s="6" t="s">
        <v>2130</v>
      </c>
      <c r="U521" s="5" t="s">
        <v>3033</v>
      </c>
      <c r="V521" s="5" t="s">
        <v>3034</v>
      </c>
    </row>
    <row r="522" ht="12.75" customHeight="1">
      <c r="A522" s="5">
        <v>33866.0</v>
      </c>
      <c r="B522" s="5" t="s">
        <v>49</v>
      </c>
      <c r="C522" s="52" t="s">
        <v>50</v>
      </c>
      <c r="D522" s="5" t="s">
        <v>2852</v>
      </c>
      <c r="E522" s="7" t="s">
        <v>3030</v>
      </c>
      <c r="F522" s="5" t="s">
        <v>2978</v>
      </c>
      <c r="G522" s="5" t="s">
        <v>3025</v>
      </c>
      <c r="H522" s="5">
        <v>2012.0</v>
      </c>
      <c r="I522" s="5">
        <v>0.0</v>
      </c>
      <c r="J522" s="5">
        <v>0.0</v>
      </c>
      <c r="K522" s="5">
        <v>1.0</v>
      </c>
      <c r="L522" s="54"/>
      <c r="M522" s="5" t="s">
        <v>3035</v>
      </c>
      <c r="N522" s="53" t="s">
        <v>3036</v>
      </c>
      <c r="O522">
        <v>35.551211</v>
      </c>
      <c r="P522">
        <v>12.317398</v>
      </c>
      <c r="Q522" s="5" t="s">
        <v>677</v>
      </c>
      <c r="R522" s="10">
        <f t="shared" si="10"/>
        <v>1</v>
      </c>
      <c r="S522" s="5" t="s">
        <v>3037</v>
      </c>
      <c r="T522" s="6" t="s">
        <v>2130</v>
      </c>
      <c r="U522" s="5" t="s">
        <v>3038</v>
      </c>
      <c r="V522" s="5"/>
    </row>
    <row r="523" ht="12.75" customHeight="1">
      <c r="A523" s="5">
        <v>33868.0</v>
      </c>
      <c r="B523" s="5" t="s">
        <v>68</v>
      </c>
      <c r="C523" s="5" t="s">
        <v>69</v>
      </c>
      <c r="D523" s="5" t="s">
        <v>2852</v>
      </c>
      <c r="E523" s="7" t="s">
        <v>3039</v>
      </c>
      <c r="F523" s="5" t="s">
        <v>2978</v>
      </c>
      <c r="G523" s="5" t="s">
        <v>3025</v>
      </c>
      <c r="H523" s="5">
        <v>2012.0</v>
      </c>
      <c r="I523" s="5">
        <v>0.0</v>
      </c>
      <c r="J523" s="5">
        <v>0.0</v>
      </c>
      <c r="K523" s="5">
        <v>15.0</v>
      </c>
      <c r="L523" s="54"/>
      <c r="M523" s="5" t="s">
        <v>3040</v>
      </c>
      <c r="N523" s="53" t="s">
        <v>2944</v>
      </c>
      <c r="O523">
        <v>-12.8275</v>
      </c>
      <c r="P523">
        <v>45.166244</v>
      </c>
      <c r="Q523" s="5" t="s">
        <v>228</v>
      </c>
      <c r="R523" s="10">
        <f t="shared" si="10"/>
        <v>757</v>
      </c>
      <c r="S523" s="5" t="s">
        <v>3041</v>
      </c>
      <c r="T523" s="5"/>
      <c r="U523" s="5" t="s">
        <v>3042</v>
      </c>
      <c r="V523" s="5"/>
    </row>
    <row r="524" ht="12.75" customHeight="1">
      <c r="A524" s="5">
        <v>33867.0</v>
      </c>
      <c r="B524" s="5" t="s">
        <v>49</v>
      </c>
      <c r="C524" s="52" t="s">
        <v>50</v>
      </c>
      <c r="D524" s="5" t="s">
        <v>2852</v>
      </c>
      <c r="E524" s="7" t="s">
        <v>3039</v>
      </c>
      <c r="F524" s="5" t="s">
        <v>2978</v>
      </c>
      <c r="G524" s="5" t="s">
        <v>3025</v>
      </c>
      <c r="H524" s="5">
        <v>2012.0</v>
      </c>
      <c r="I524" s="5">
        <v>0.0</v>
      </c>
      <c r="J524" s="5">
        <v>0.0</v>
      </c>
      <c r="K524" s="5">
        <v>5.0</v>
      </c>
      <c r="L524" s="54"/>
      <c r="M524" s="5" t="s">
        <v>3043</v>
      </c>
      <c r="N524" s="53" t="s">
        <v>2944</v>
      </c>
      <c r="O524">
        <v>-12.8275</v>
      </c>
      <c r="P524">
        <v>45.166244</v>
      </c>
      <c r="Q524" s="5" t="s">
        <v>228</v>
      </c>
      <c r="R524" s="10">
        <f t="shared" si="10"/>
        <v>757</v>
      </c>
      <c r="S524" s="5" t="s">
        <v>3041</v>
      </c>
      <c r="T524" s="5"/>
      <c r="U524" s="5" t="s">
        <v>3042</v>
      </c>
      <c r="V524" s="5"/>
    </row>
    <row r="525" ht="12.75" customHeight="1">
      <c r="A525" s="5">
        <v>33869.0</v>
      </c>
      <c r="B525" s="5" t="s">
        <v>491</v>
      </c>
      <c r="C525" s="52" t="s">
        <v>50</v>
      </c>
      <c r="D525" s="5" t="s">
        <v>2614</v>
      </c>
      <c r="E525" s="7" t="s">
        <v>3044</v>
      </c>
      <c r="F525" s="5" t="s">
        <v>2978</v>
      </c>
      <c r="G525" s="5" t="s">
        <v>3025</v>
      </c>
      <c r="H525" s="5">
        <v>2012.0</v>
      </c>
      <c r="I525" s="5">
        <v>0.0</v>
      </c>
      <c r="J525" s="5">
        <v>0.0</v>
      </c>
      <c r="K525" s="5">
        <v>7.0</v>
      </c>
      <c r="L525" s="54"/>
      <c r="M525" s="5" t="s">
        <v>3045</v>
      </c>
      <c r="N525" s="53" t="s">
        <v>2938</v>
      </c>
      <c r="O525">
        <v>35.937496</v>
      </c>
      <c r="P525">
        <v>14.375416</v>
      </c>
      <c r="Q525" s="5" t="s">
        <v>740</v>
      </c>
      <c r="R525" s="10">
        <f t="shared" si="10"/>
        <v>655</v>
      </c>
      <c r="S525" s="5" t="s">
        <v>3046</v>
      </c>
      <c r="T525" s="6" t="s">
        <v>2130</v>
      </c>
      <c r="U525" s="5" t="s">
        <v>2143</v>
      </c>
      <c r="V525" s="5" t="s">
        <v>3047</v>
      </c>
    </row>
    <row r="526" ht="12.75" customHeight="1">
      <c r="A526" s="5">
        <v>33870.0</v>
      </c>
      <c r="B526" s="5" t="s">
        <v>49</v>
      </c>
      <c r="C526" s="52" t="s">
        <v>50</v>
      </c>
      <c r="D526" s="5" t="s">
        <v>2852</v>
      </c>
      <c r="E526" s="7" t="s">
        <v>3048</v>
      </c>
      <c r="F526" s="5" t="s">
        <v>2978</v>
      </c>
      <c r="G526" s="5" t="s">
        <v>3025</v>
      </c>
      <c r="H526" s="5">
        <v>2012.0</v>
      </c>
      <c r="I526" s="5">
        <v>0.0</v>
      </c>
      <c r="J526" s="5">
        <v>0.0</v>
      </c>
      <c r="K526" s="5">
        <v>3.0</v>
      </c>
      <c r="L526" s="54"/>
      <c r="M526" s="5" t="s">
        <v>3049</v>
      </c>
      <c r="N526" s="53" t="s">
        <v>3050</v>
      </c>
      <c r="O526">
        <v>35.77718</v>
      </c>
      <c r="P526">
        <v>10.8261</v>
      </c>
      <c r="Q526" s="5" t="s">
        <v>696</v>
      </c>
      <c r="R526" s="10">
        <f t="shared" si="10"/>
        <v>53</v>
      </c>
      <c r="S526" s="5" t="s">
        <v>3051</v>
      </c>
      <c r="T526" s="6" t="s">
        <v>2130</v>
      </c>
      <c r="U526" s="5" t="s">
        <v>3052</v>
      </c>
      <c r="V526" s="5" t="s">
        <v>3053</v>
      </c>
    </row>
    <row r="527" ht="12.75" customHeight="1">
      <c r="A527" s="5">
        <v>33871.0</v>
      </c>
      <c r="B527" s="5" t="s">
        <v>49</v>
      </c>
      <c r="C527" s="52" t="s">
        <v>50</v>
      </c>
      <c r="D527" s="5" t="s">
        <v>2852</v>
      </c>
      <c r="E527" s="7" t="s">
        <v>3054</v>
      </c>
      <c r="F527" s="5" t="s">
        <v>2978</v>
      </c>
      <c r="G527" s="5" t="s">
        <v>3025</v>
      </c>
      <c r="H527" s="5">
        <v>2012.0</v>
      </c>
      <c r="I527" s="5">
        <v>0.0</v>
      </c>
      <c r="J527" s="5">
        <v>0.0</v>
      </c>
      <c r="K527" s="5">
        <v>1.0</v>
      </c>
      <c r="L527" s="54"/>
      <c r="M527" s="5" t="s">
        <v>3055</v>
      </c>
      <c r="N527" s="53" t="s">
        <v>3056</v>
      </c>
      <c r="O527">
        <v>36.744421</v>
      </c>
      <c r="P527">
        <v>-4.092531</v>
      </c>
      <c r="Q527" s="5" t="s">
        <v>830</v>
      </c>
      <c r="R527" s="10">
        <f t="shared" si="10"/>
        <v>3</v>
      </c>
      <c r="S527" s="5" t="s">
        <v>3057</v>
      </c>
      <c r="T527" s="6" t="s">
        <v>72</v>
      </c>
      <c r="U527" s="5" t="s">
        <v>3058</v>
      </c>
      <c r="V527" s="5"/>
    </row>
    <row r="528" ht="12.75" customHeight="1">
      <c r="A528" s="5">
        <v>33872.0</v>
      </c>
      <c r="B528" s="5" t="s">
        <v>1995</v>
      </c>
      <c r="C528" s="52" t="s">
        <v>50</v>
      </c>
      <c r="D528" s="5" t="s">
        <v>2852</v>
      </c>
      <c r="E528" s="7" t="s">
        <v>3059</v>
      </c>
      <c r="F528" s="5" t="s">
        <v>2978</v>
      </c>
      <c r="G528" s="5" t="s">
        <v>3060</v>
      </c>
      <c r="H528" s="5">
        <v>2012.0</v>
      </c>
      <c r="I528" s="5">
        <v>0.0</v>
      </c>
      <c r="J528" s="5">
        <v>0.0</v>
      </c>
      <c r="K528" s="5">
        <v>1.0</v>
      </c>
      <c r="L528" s="54"/>
      <c r="M528" s="5" t="s">
        <v>3061</v>
      </c>
      <c r="N528" s="53" t="s">
        <v>3062</v>
      </c>
      <c r="O528">
        <v>41.385064</v>
      </c>
      <c r="P528">
        <v>2.173403</v>
      </c>
      <c r="Q528" s="5" t="s">
        <v>1220</v>
      </c>
      <c r="R528" s="10">
        <f t="shared" si="10"/>
        <v>4</v>
      </c>
      <c r="S528" s="5" t="s">
        <v>3063</v>
      </c>
      <c r="T528" s="6" t="s">
        <v>72</v>
      </c>
      <c r="U528" s="5" t="s">
        <v>3064</v>
      </c>
      <c r="V528" s="5"/>
    </row>
    <row r="529" ht="12.75" customHeight="1">
      <c r="A529" s="5">
        <v>33873.0</v>
      </c>
      <c r="B529" s="5" t="s">
        <v>763</v>
      </c>
      <c r="C529" s="5" t="s">
        <v>124</v>
      </c>
      <c r="D529" s="5" t="s">
        <v>2852</v>
      </c>
      <c r="E529" s="7" t="s">
        <v>3065</v>
      </c>
      <c r="F529" s="5" t="s">
        <v>2978</v>
      </c>
      <c r="G529" s="5" t="s">
        <v>3060</v>
      </c>
      <c r="H529" s="5">
        <v>2012.0</v>
      </c>
      <c r="I529" s="5">
        <v>0.0</v>
      </c>
      <c r="J529" s="5">
        <v>0.0</v>
      </c>
      <c r="K529" s="5">
        <v>2.0</v>
      </c>
      <c r="L529" s="54"/>
      <c r="M529" s="5" t="s">
        <v>3066</v>
      </c>
      <c r="N529" s="53" t="s">
        <v>3067</v>
      </c>
      <c r="O529">
        <v>41.119673</v>
      </c>
      <c r="P529">
        <v>26.288073</v>
      </c>
      <c r="Q529" s="5" t="s">
        <v>1196</v>
      </c>
      <c r="R529" s="10">
        <f t="shared" si="10"/>
        <v>2</v>
      </c>
      <c r="S529" s="5" t="s">
        <v>3068</v>
      </c>
      <c r="T529" s="6" t="s">
        <v>53</v>
      </c>
      <c r="U529" s="5" t="s">
        <v>3069</v>
      </c>
      <c r="V529" s="5" t="s">
        <v>3070</v>
      </c>
    </row>
    <row r="530" ht="12.75" customHeight="1">
      <c r="A530" s="5">
        <v>33874.0</v>
      </c>
      <c r="B530" s="5" t="s">
        <v>49</v>
      </c>
      <c r="C530" s="52" t="s">
        <v>50</v>
      </c>
      <c r="D530" s="5" t="s">
        <v>2852</v>
      </c>
      <c r="E530" s="7" t="s">
        <v>3071</v>
      </c>
      <c r="F530" s="5" t="s">
        <v>2978</v>
      </c>
      <c r="G530" s="5" t="s">
        <v>3060</v>
      </c>
      <c r="H530" s="5">
        <v>2012.0</v>
      </c>
      <c r="I530" s="5">
        <v>0.0</v>
      </c>
      <c r="J530" s="5">
        <v>0.0</v>
      </c>
      <c r="K530" s="5">
        <v>1.0</v>
      </c>
      <c r="L530" s="54"/>
      <c r="M530" s="5" t="s">
        <v>3072</v>
      </c>
      <c r="N530" s="53" t="s">
        <v>3073</v>
      </c>
      <c r="O530">
        <v>37.31109</v>
      </c>
      <c r="P530">
        <v>13.576548</v>
      </c>
      <c r="Q530" s="5" t="s">
        <v>923</v>
      </c>
      <c r="R530" s="10">
        <f t="shared" si="10"/>
        <v>3</v>
      </c>
      <c r="S530" s="5" t="s">
        <v>3074</v>
      </c>
      <c r="T530" s="6" t="s">
        <v>2130</v>
      </c>
      <c r="U530" s="5" t="s">
        <v>3028</v>
      </c>
      <c r="V530" s="5" t="s">
        <v>3075</v>
      </c>
    </row>
    <row r="531" ht="12.75" customHeight="1">
      <c r="A531" s="5">
        <v>33875.0</v>
      </c>
      <c r="B531" s="5" t="s">
        <v>49</v>
      </c>
      <c r="C531" s="52" t="s">
        <v>50</v>
      </c>
      <c r="D531" s="5" t="s">
        <v>2852</v>
      </c>
      <c r="E531" s="7" t="s">
        <v>3076</v>
      </c>
      <c r="F531" s="5" t="s">
        <v>2978</v>
      </c>
      <c r="G531" s="5" t="s">
        <v>3060</v>
      </c>
      <c r="H531" s="5">
        <v>2012.0</v>
      </c>
      <c r="I531" s="5">
        <v>0.0</v>
      </c>
      <c r="J531" s="5">
        <v>0.0</v>
      </c>
      <c r="K531" s="5">
        <v>1.0</v>
      </c>
      <c r="L531" s="54"/>
      <c r="M531" s="5" t="s">
        <v>3077</v>
      </c>
      <c r="N531" s="53" t="s">
        <v>2733</v>
      </c>
      <c r="O531">
        <v>39.308771</v>
      </c>
      <c r="P531">
        <v>16.346379</v>
      </c>
      <c r="Q531" s="5" t="s">
        <v>1075</v>
      </c>
      <c r="R531" s="10">
        <f t="shared" si="10"/>
        <v>57</v>
      </c>
      <c r="S531" s="5" t="s">
        <v>3078</v>
      </c>
      <c r="T531" s="6" t="s">
        <v>1963</v>
      </c>
      <c r="U531" s="5" t="s">
        <v>3079</v>
      </c>
      <c r="V531" s="5"/>
    </row>
    <row r="532" ht="12.75" customHeight="1">
      <c r="A532" s="5">
        <v>33877.0</v>
      </c>
      <c r="B532" s="5" t="s">
        <v>491</v>
      </c>
      <c r="C532" s="52" t="s">
        <v>50</v>
      </c>
      <c r="D532" s="5" t="s">
        <v>2614</v>
      </c>
      <c r="E532" s="7" t="s">
        <v>3080</v>
      </c>
      <c r="F532" s="5" t="s">
        <v>2978</v>
      </c>
      <c r="G532" s="5" t="s">
        <v>3060</v>
      </c>
      <c r="H532" s="5">
        <v>2012.0</v>
      </c>
      <c r="I532" s="5">
        <v>0.0</v>
      </c>
      <c r="J532" s="5">
        <v>0.0</v>
      </c>
      <c r="K532" s="5">
        <v>10.0</v>
      </c>
      <c r="L532" s="54"/>
      <c r="M532" s="5" t="s">
        <v>3081</v>
      </c>
      <c r="N532" s="53" t="s">
        <v>2700</v>
      </c>
      <c r="O532">
        <v>35.508622</v>
      </c>
      <c r="P532">
        <v>12.59292</v>
      </c>
      <c r="Q532" s="5" t="s">
        <v>669</v>
      </c>
      <c r="R532" s="10">
        <f t="shared" si="10"/>
        <v>3843</v>
      </c>
      <c r="S532" s="5" t="s">
        <v>3082</v>
      </c>
      <c r="T532" s="6" t="s">
        <v>2130</v>
      </c>
      <c r="U532" s="5" t="s">
        <v>3083</v>
      </c>
      <c r="V532" s="5" t="s">
        <v>3084</v>
      </c>
    </row>
    <row r="533" ht="12.75" customHeight="1">
      <c r="A533" s="5">
        <v>33878.0</v>
      </c>
      <c r="B533" s="5" t="s">
        <v>2040</v>
      </c>
      <c r="C533" s="52" t="s">
        <v>50</v>
      </c>
      <c r="D533" s="5" t="s">
        <v>2852</v>
      </c>
      <c r="E533" s="7" t="s">
        <v>3085</v>
      </c>
      <c r="F533" s="5" t="s">
        <v>3086</v>
      </c>
      <c r="G533" s="5" t="s">
        <v>3087</v>
      </c>
      <c r="H533" s="5">
        <v>2012.0</v>
      </c>
      <c r="I533" s="5">
        <v>0.0</v>
      </c>
      <c r="J533" s="5">
        <v>0.0</v>
      </c>
      <c r="K533" s="5">
        <v>10.0</v>
      </c>
      <c r="L533" s="54"/>
      <c r="M533" s="5" t="s">
        <v>3088</v>
      </c>
      <c r="N533" s="53" t="s">
        <v>2928</v>
      </c>
      <c r="O533">
        <v>26.3351</v>
      </c>
      <c r="P533">
        <v>17.228331</v>
      </c>
      <c r="Q533" s="5" t="s">
        <v>337</v>
      </c>
      <c r="R533" s="10">
        <f t="shared" si="10"/>
        <v>1371</v>
      </c>
      <c r="S533" s="5" t="s">
        <v>3089</v>
      </c>
      <c r="T533" s="6" t="s">
        <v>2130</v>
      </c>
      <c r="U533" s="5" t="s">
        <v>3090</v>
      </c>
      <c r="V533" s="5"/>
    </row>
    <row r="534" ht="12.75" customHeight="1">
      <c r="A534" s="5">
        <v>33879.0</v>
      </c>
      <c r="B534" s="5" t="s">
        <v>68</v>
      </c>
      <c r="C534" s="5" t="s">
        <v>69</v>
      </c>
      <c r="D534" s="5" t="s">
        <v>2852</v>
      </c>
      <c r="E534" s="7" t="s">
        <v>3091</v>
      </c>
      <c r="F534" s="5" t="s">
        <v>3086</v>
      </c>
      <c r="G534" s="5" t="s">
        <v>3087</v>
      </c>
      <c r="H534" s="5">
        <v>2012.0</v>
      </c>
      <c r="I534" s="5">
        <v>0.0</v>
      </c>
      <c r="J534" s="5">
        <v>0.0</v>
      </c>
      <c r="K534" s="5">
        <v>1.0</v>
      </c>
      <c r="L534" s="54"/>
      <c r="M534" s="5" t="s">
        <v>3092</v>
      </c>
      <c r="N534" s="53" t="s">
        <v>2834</v>
      </c>
      <c r="O534">
        <v>41.244376</v>
      </c>
      <c r="P534">
        <v>26.135943</v>
      </c>
      <c r="Q534" s="5" t="s">
        <v>1214</v>
      </c>
      <c r="R534" s="10">
        <f t="shared" si="10"/>
        <v>188</v>
      </c>
      <c r="S534" s="5" t="s">
        <v>3093</v>
      </c>
      <c r="T534" s="6" t="s">
        <v>53</v>
      </c>
      <c r="U534" s="5" t="s">
        <v>3094</v>
      </c>
      <c r="V534" s="5"/>
    </row>
    <row r="535" ht="12.75" customHeight="1">
      <c r="A535" s="5">
        <v>33880.0</v>
      </c>
      <c r="B535" s="5" t="s">
        <v>49</v>
      </c>
      <c r="C535" s="52" t="s">
        <v>50</v>
      </c>
      <c r="D535" s="5" t="s">
        <v>2852</v>
      </c>
      <c r="E535" s="7" t="s">
        <v>3095</v>
      </c>
      <c r="F535" s="5" t="s">
        <v>3086</v>
      </c>
      <c r="G535" s="5" t="s">
        <v>3087</v>
      </c>
      <c r="H535" s="5">
        <v>2012.0</v>
      </c>
      <c r="I535" s="5">
        <v>0.0</v>
      </c>
      <c r="J535" s="5">
        <v>0.0</v>
      </c>
      <c r="K535" s="5">
        <v>1.0</v>
      </c>
      <c r="L535" s="54"/>
      <c r="M535" s="5" t="s">
        <v>3096</v>
      </c>
      <c r="N535" s="53" t="s">
        <v>2834</v>
      </c>
      <c r="O535">
        <v>41.244376</v>
      </c>
      <c r="P535">
        <v>26.135943</v>
      </c>
      <c r="Q535" s="5" t="s">
        <v>1214</v>
      </c>
      <c r="R535" s="10">
        <f t="shared" si="10"/>
        <v>188</v>
      </c>
      <c r="S535" s="5" t="s">
        <v>3097</v>
      </c>
      <c r="T535" s="6" t="s">
        <v>53</v>
      </c>
      <c r="U535" s="5" t="s">
        <v>3098</v>
      </c>
      <c r="V535" s="5"/>
    </row>
    <row r="536" ht="12.75" customHeight="1">
      <c r="A536" s="5">
        <v>33881.0</v>
      </c>
      <c r="B536" s="5" t="s">
        <v>68</v>
      </c>
      <c r="C536" s="5" t="s">
        <v>69</v>
      </c>
      <c r="D536" s="5" t="s">
        <v>2852</v>
      </c>
      <c r="E536" s="7" t="s">
        <v>3099</v>
      </c>
      <c r="F536" s="5" t="s">
        <v>3086</v>
      </c>
      <c r="G536" s="5" t="s">
        <v>3087</v>
      </c>
      <c r="H536" s="5">
        <v>2012.0</v>
      </c>
      <c r="I536" s="5">
        <v>0.0</v>
      </c>
      <c r="J536" s="5">
        <v>0.0</v>
      </c>
      <c r="K536" s="5">
        <v>5.0</v>
      </c>
      <c r="L536" s="54"/>
      <c r="M536" s="5" t="s">
        <v>3100</v>
      </c>
      <c r="N536" s="53" t="s">
        <v>2700</v>
      </c>
      <c r="O536">
        <v>35.508622</v>
      </c>
      <c r="P536">
        <v>12.59292</v>
      </c>
      <c r="Q536" s="5" t="s">
        <v>669</v>
      </c>
      <c r="R536" s="10">
        <f t="shared" si="10"/>
        <v>3843</v>
      </c>
      <c r="S536" s="5" t="s">
        <v>3101</v>
      </c>
      <c r="T536" s="6" t="s">
        <v>2130</v>
      </c>
      <c r="U536" s="5" t="s">
        <v>3102</v>
      </c>
      <c r="V536" s="5" t="s">
        <v>3103</v>
      </c>
    </row>
    <row r="537" ht="12.75" customHeight="1">
      <c r="A537" s="5">
        <v>33882.0</v>
      </c>
      <c r="B537" s="5" t="s">
        <v>49</v>
      </c>
      <c r="C537" s="52" t="s">
        <v>50</v>
      </c>
      <c r="D537" s="5" t="s">
        <v>2852</v>
      </c>
      <c r="E537" s="7" t="s">
        <v>3104</v>
      </c>
      <c r="F537" s="5" t="s">
        <v>3086</v>
      </c>
      <c r="G537" s="5" t="s">
        <v>3087</v>
      </c>
      <c r="H537" s="5">
        <v>2012.0</v>
      </c>
      <c r="I537" s="5">
        <v>0.0</v>
      </c>
      <c r="J537" s="5">
        <v>0.0</v>
      </c>
      <c r="K537" s="5">
        <v>1.0</v>
      </c>
      <c r="L537" s="54"/>
      <c r="M537" s="5" t="s">
        <v>3105</v>
      </c>
      <c r="N537" s="53" t="s">
        <v>2834</v>
      </c>
      <c r="O537">
        <v>41.244376</v>
      </c>
      <c r="P537">
        <v>26.135943</v>
      </c>
      <c r="Q537" s="5" t="s">
        <v>1214</v>
      </c>
      <c r="R537" s="10">
        <f t="shared" si="10"/>
        <v>188</v>
      </c>
      <c r="S537" s="5" t="s">
        <v>3106</v>
      </c>
      <c r="T537" s="6" t="s">
        <v>53</v>
      </c>
      <c r="U537" s="5" t="s">
        <v>2875</v>
      </c>
      <c r="V537" s="5"/>
    </row>
    <row r="538" ht="12.75" customHeight="1">
      <c r="A538" s="5">
        <v>33883.0</v>
      </c>
      <c r="B538" s="5" t="s">
        <v>68</v>
      </c>
      <c r="C538" s="5" t="s">
        <v>69</v>
      </c>
      <c r="D538" s="5" t="s">
        <v>2852</v>
      </c>
      <c r="E538" s="7" t="s">
        <v>3107</v>
      </c>
      <c r="F538" s="5" t="s">
        <v>3086</v>
      </c>
      <c r="G538" s="5" t="s">
        <v>3108</v>
      </c>
      <c r="H538" s="5">
        <v>2012.0</v>
      </c>
      <c r="I538" s="5">
        <v>0.0</v>
      </c>
      <c r="J538" s="5">
        <v>0.0</v>
      </c>
      <c r="K538" s="5">
        <v>1.0</v>
      </c>
      <c r="L538" s="54"/>
      <c r="M538" s="5" t="s">
        <v>3109</v>
      </c>
      <c r="N538" s="53" t="s">
        <v>3110</v>
      </c>
      <c r="O538">
        <v>38.322579</v>
      </c>
      <c r="P538">
        <v>23.320431</v>
      </c>
      <c r="Q538" s="5" t="s">
        <v>1013</v>
      </c>
      <c r="R538" s="10">
        <f t="shared" si="10"/>
        <v>1</v>
      </c>
      <c r="S538" s="5" t="s">
        <v>3111</v>
      </c>
      <c r="T538" s="6" t="s">
        <v>53</v>
      </c>
      <c r="U538" s="5" t="s">
        <v>2875</v>
      </c>
      <c r="V538" s="5"/>
    </row>
    <row r="539" ht="12.75" customHeight="1">
      <c r="A539" s="5">
        <v>33884.0</v>
      </c>
      <c r="B539" s="5" t="s">
        <v>2921</v>
      </c>
      <c r="C539" s="52" t="s">
        <v>50</v>
      </c>
      <c r="D539" s="5" t="s">
        <v>2852</v>
      </c>
      <c r="E539" s="7" t="s">
        <v>3112</v>
      </c>
      <c r="F539" s="5" t="s">
        <v>3086</v>
      </c>
      <c r="G539" s="5" t="s">
        <v>3108</v>
      </c>
      <c r="H539" s="5">
        <v>2012.0</v>
      </c>
      <c r="I539" s="5">
        <v>0.0</v>
      </c>
      <c r="J539" s="5">
        <v>0.0</v>
      </c>
      <c r="K539" s="5">
        <v>1.0</v>
      </c>
      <c r="L539" s="54"/>
      <c r="M539" s="5" t="s">
        <v>3113</v>
      </c>
      <c r="N539" s="53" t="s">
        <v>3114</v>
      </c>
      <c r="O539">
        <v>38.002298</v>
      </c>
      <c r="P539">
        <v>22.524509</v>
      </c>
      <c r="Q539" s="5" t="s">
        <v>986</v>
      </c>
      <c r="R539" s="10">
        <f t="shared" si="10"/>
        <v>3</v>
      </c>
      <c r="S539" s="5" t="s">
        <v>3115</v>
      </c>
      <c r="T539" s="6" t="s">
        <v>53</v>
      </c>
      <c r="U539" s="5" t="s">
        <v>3116</v>
      </c>
      <c r="V539" s="5"/>
    </row>
    <row r="540" ht="12.75" customHeight="1">
      <c r="A540" s="5">
        <v>33885.0</v>
      </c>
      <c r="B540" s="5" t="s">
        <v>68</v>
      </c>
      <c r="C540" s="5" t="s">
        <v>69</v>
      </c>
      <c r="D540" s="5" t="s">
        <v>2852</v>
      </c>
      <c r="E540" s="7" t="s">
        <v>3112</v>
      </c>
      <c r="F540" s="5" t="s">
        <v>3086</v>
      </c>
      <c r="G540" s="5" t="s">
        <v>3108</v>
      </c>
      <c r="H540" s="5">
        <v>2012.0</v>
      </c>
      <c r="I540" s="5">
        <v>0.0</v>
      </c>
      <c r="J540" s="5">
        <v>0.0</v>
      </c>
      <c r="K540" s="5">
        <v>2.0</v>
      </c>
      <c r="L540" s="54"/>
      <c r="M540" s="5" t="s">
        <v>3117</v>
      </c>
      <c r="N540" s="53" t="s">
        <v>2834</v>
      </c>
      <c r="O540">
        <v>41.244376</v>
      </c>
      <c r="P540">
        <v>26.135943</v>
      </c>
      <c r="Q540" s="5" t="s">
        <v>1214</v>
      </c>
      <c r="R540" s="10">
        <f t="shared" si="10"/>
        <v>188</v>
      </c>
      <c r="S540" s="5" t="s">
        <v>3118</v>
      </c>
      <c r="T540" s="6" t="s">
        <v>53</v>
      </c>
      <c r="U540" s="5" t="s">
        <v>3119</v>
      </c>
      <c r="V540" s="5"/>
    </row>
    <row r="541" ht="12.75" customHeight="1">
      <c r="A541" s="5">
        <v>33888.0</v>
      </c>
      <c r="B541" s="5" t="s">
        <v>49</v>
      </c>
      <c r="C541" s="52" t="s">
        <v>50</v>
      </c>
      <c r="D541" s="5" t="s">
        <v>2852</v>
      </c>
      <c r="E541" s="7" t="s">
        <v>3120</v>
      </c>
      <c r="F541" s="5" t="s">
        <v>3086</v>
      </c>
      <c r="G541" s="5" t="s">
        <v>3108</v>
      </c>
      <c r="H541" s="5">
        <v>2012.0</v>
      </c>
      <c r="I541" s="5">
        <v>0.0</v>
      </c>
      <c r="J541" s="5">
        <v>0.0</v>
      </c>
      <c r="K541" s="5">
        <v>1.0</v>
      </c>
      <c r="L541" s="54"/>
      <c r="M541" s="5" t="s">
        <v>3121</v>
      </c>
      <c r="N541" s="53" t="s">
        <v>2638</v>
      </c>
      <c r="O541">
        <v>35.888384</v>
      </c>
      <c r="P541">
        <v>-5.324636</v>
      </c>
      <c r="Q541" s="5" t="s">
        <v>717</v>
      </c>
      <c r="R541" s="10">
        <f t="shared" si="10"/>
        <v>213</v>
      </c>
      <c r="S541" s="5" t="s">
        <v>3122</v>
      </c>
      <c r="T541" s="6" t="s">
        <v>72</v>
      </c>
      <c r="U541" s="5" t="s">
        <v>2859</v>
      </c>
      <c r="V541" s="5" t="s">
        <v>3123</v>
      </c>
    </row>
    <row r="542" ht="12.75" customHeight="1">
      <c r="A542" s="5">
        <v>33887.0</v>
      </c>
      <c r="B542" s="5" t="s">
        <v>2921</v>
      </c>
      <c r="C542" s="52" t="s">
        <v>50</v>
      </c>
      <c r="D542" s="5" t="s">
        <v>2852</v>
      </c>
      <c r="E542" s="7" t="s">
        <v>3120</v>
      </c>
      <c r="F542" s="5" t="s">
        <v>3086</v>
      </c>
      <c r="G542" s="5" t="s">
        <v>3108</v>
      </c>
      <c r="H542" s="5">
        <v>2012.0</v>
      </c>
      <c r="I542" s="5">
        <v>0.0</v>
      </c>
      <c r="J542" s="5">
        <v>0.0</v>
      </c>
      <c r="K542" s="5">
        <v>1.0</v>
      </c>
      <c r="L542" s="54"/>
      <c r="M542" s="5" t="s">
        <v>3124</v>
      </c>
      <c r="N542" s="53" t="s">
        <v>2834</v>
      </c>
      <c r="O542">
        <v>41.244376</v>
      </c>
      <c r="P542">
        <v>26.135943</v>
      </c>
      <c r="Q542" s="5" t="s">
        <v>1214</v>
      </c>
      <c r="R542" s="10">
        <f t="shared" si="10"/>
        <v>188</v>
      </c>
      <c r="S542" s="5" t="s">
        <v>3125</v>
      </c>
      <c r="T542" s="6" t="s">
        <v>53</v>
      </c>
      <c r="U542" s="5" t="s">
        <v>3126</v>
      </c>
      <c r="V542" s="5"/>
    </row>
    <row r="543" ht="12.75" customHeight="1">
      <c r="A543" s="5">
        <v>33886.0</v>
      </c>
      <c r="B543" s="5" t="s">
        <v>68</v>
      </c>
      <c r="C543" s="5" t="s">
        <v>69</v>
      </c>
      <c r="D543" s="5" t="s">
        <v>2852</v>
      </c>
      <c r="E543" s="7" t="s">
        <v>3120</v>
      </c>
      <c r="F543" s="5" t="s">
        <v>3086</v>
      </c>
      <c r="G543" s="5" t="s">
        <v>3108</v>
      </c>
      <c r="H543" s="5">
        <v>2012.0</v>
      </c>
      <c r="I543" s="5">
        <v>0.0</v>
      </c>
      <c r="J543" s="5">
        <v>0.0</v>
      </c>
      <c r="K543" s="5">
        <v>1.0</v>
      </c>
      <c r="L543" s="54"/>
      <c r="M543" s="5" t="s">
        <v>3127</v>
      </c>
      <c r="N543" s="53" t="s">
        <v>2834</v>
      </c>
      <c r="O543">
        <v>41.244376</v>
      </c>
      <c r="P543">
        <v>26.135943</v>
      </c>
      <c r="Q543" s="5" t="s">
        <v>1214</v>
      </c>
      <c r="R543" s="10">
        <f t="shared" si="10"/>
        <v>188</v>
      </c>
      <c r="S543" s="5" t="s">
        <v>3125</v>
      </c>
      <c r="T543" s="6" t="s">
        <v>53</v>
      </c>
      <c r="U543" s="5" t="s">
        <v>3128</v>
      </c>
      <c r="V543" s="5"/>
    </row>
    <row r="544" ht="12.75" customHeight="1">
      <c r="A544" s="5">
        <v>33889.0</v>
      </c>
      <c r="B544" s="5" t="s">
        <v>1076</v>
      </c>
      <c r="C544" s="52" t="s">
        <v>50</v>
      </c>
      <c r="D544" s="5" t="s">
        <v>2852</v>
      </c>
      <c r="E544" s="7" t="s">
        <v>3129</v>
      </c>
      <c r="F544" s="5" t="s">
        <v>3086</v>
      </c>
      <c r="G544" s="5" t="s">
        <v>3108</v>
      </c>
      <c r="H544" s="5">
        <v>2012.0</v>
      </c>
      <c r="I544" s="5">
        <v>0.0</v>
      </c>
      <c r="J544" s="5">
        <v>0.0</v>
      </c>
      <c r="K544" s="5">
        <v>1.0</v>
      </c>
      <c r="L544" s="54"/>
      <c r="M544" s="5" t="s">
        <v>3130</v>
      </c>
      <c r="N544" s="53" t="s">
        <v>3131</v>
      </c>
      <c r="O544">
        <v>45.440847</v>
      </c>
      <c r="P544">
        <v>12.315515</v>
      </c>
      <c r="Q544" s="5" t="s">
        <v>1317</v>
      </c>
      <c r="R544" s="10">
        <f t="shared" si="10"/>
        <v>13</v>
      </c>
      <c r="S544" s="5" t="s">
        <v>3132</v>
      </c>
      <c r="T544" s="5"/>
      <c r="U544" s="5" t="s">
        <v>3133</v>
      </c>
      <c r="V544" s="5" t="s">
        <v>3134</v>
      </c>
    </row>
    <row r="545" ht="12.75" customHeight="1">
      <c r="A545" s="5">
        <v>33891.0</v>
      </c>
      <c r="B545" s="5" t="s">
        <v>49</v>
      </c>
      <c r="C545" s="52" t="s">
        <v>50</v>
      </c>
      <c r="D545" s="5" t="s">
        <v>2852</v>
      </c>
      <c r="E545" s="7" t="s">
        <v>3135</v>
      </c>
      <c r="F545" s="5" t="s">
        <v>3086</v>
      </c>
      <c r="G545" s="5" t="s">
        <v>3108</v>
      </c>
      <c r="H545" s="5">
        <v>2012.0</v>
      </c>
      <c r="I545" s="5">
        <v>0.0</v>
      </c>
      <c r="J545" s="5">
        <v>0.0</v>
      </c>
      <c r="K545" s="5">
        <v>2.0</v>
      </c>
      <c r="L545" s="54"/>
      <c r="M545" s="5" t="s">
        <v>3136</v>
      </c>
      <c r="N545" s="53" t="s">
        <v>2718</v>
      </c>
      <c r="O545">
        <v>35.292278</v>
      </c>
      <c r="P545">
        <v>-2.938097</v>
      </c>
      <c r="Q545" s="5" t="s">
        <v>649</v>
      </c>
      <c r="R545" s="10">
        <f t="shared" si="10"/>
        <v>79</v>
      </c>
      <c r="S545" s="5" t="s">
        <v>3137</v>
      </c>
      <c r="T545" s="6" t="s">
        <v>72</v>
      </c>
      <c r="U545" s="5" t="s">
        <v>3138</v>
      </c>
      <c r="V545" s="5" t="s">
        <v>3139</v>
      </c>
    </row>
    <row r="546" ht="12.75" customHeight="1">
      <c r="A546" s="5">
        <v>33890.0</v>
      </c>
      <c r="B546" s="5" t="s">
        <v>68</v>
      </c>
      <c r="C546" s="5" t="s">
        <v>69</v>
      </c>
      <c r="D546" s="5" t="s">
        <v>2614</v>
      </c>
      <c r="E546" s="7" t="s">
        <v>3135</v>
      </c>
      <c r="F546" s="5" t="s">
        <v>3086</v>
      </c>
      <c r="G546" s="5" t="s">
        <v>3108</v>
      </c>
      <c r="H546" s="5">
        <v>2012.0</v>
      </c>
      <c r="I546" s="5">
        <v>0.0</v>
      </c>
      <c r="J546" s="5">
        <v>0.0</v>
      </c>
      <c r="K546" s="5">
        <v>29.0</v>
      </c>
      <c r="L546" s="54"/>
      <c r="M546" s="5" t="s">
        <v>3140</v>
      </c>
      <c r="N546" s="53" t="s">
        <v>3141</v>
      </c>
      <c r="O546">
        <v>36.140751</v>
      </c>
      <c r="P546">
        <v>-5.353585</v>
      </c>
      <c r="Q546" s="5" t="s">
        <v>774</v>
      </c>
      <c r="R546" s="10">
        <f t="shared" si="10"/>
        <v>107</v>
      </c>
      <c r="S546" s="5" t="s">
        <v>3142</v>
      </c>
      <c r="T546" s="6" t="s">
        <v>72</v>
      </c>
      <c r="U546" s="5" t="s">
        <v>2635</v>
      </c>
      <c r="V546" s="5" t="s">
        <v>3143</v>
      </c>
    </row>
    <row r="547" ht="12.75" customHeight="1">
      <c r="A547" s="5">
        <v>33811.0</v>
      </c>
      <c r="B547" s="5" t="s">
        <v>49</v>
      </c>
      <c r="C547" s="52" t="s">
        <v>50</v>
      </c>
      <c r="D547" s="5" t="s">
        <v>2614</v>
      </c>
      <c r="E547" s="7" t="s">
        <v>3144</v>
      </c>
      <c r="F547" s="5" t="s">
        <v>915</v>
      </c>
      <c r="G547" s="5" t="s">
        <v>916</v>
      </c>
      <c r="H547" s="5">
        <v>2012.0</v>
      </c>
      <c r="I547" s="5">
        <v>0.0</v>
      </c>
      <c r="J547" s="5">
        <v>0.0</v>
      </c>
      <c r="K547" s="5">
        <v>27.0</v>
      </c>
      <c r="L547" s="54"/>
      <c r="M547" s="5" t="s">
        <v>3145</v>
      </c>
      <c r="N547" s="53" t="s">
        <v>3146</v>
      </c>
      <c r="O547">
        <v>39.16408</v>
      </c>
      <c r="P547">
        <v>26.372171</v>
      </c>
      <c r="Q547" s="5" t="s">
        <v>1068</v>
      </c>
      <c r="R547" s="10">
        <f t="shared" si="10"/>
        <v>101</v>
      </c>
      <c r="S547" s="5" t="s">
        <v>3147</v>
      </c>
      <c r="T547" s="6" t="s">
        <v>53</v>
      </c>
      <c r="U547" s="5" t="s">
        <v>712</v>
      </c>
      <c r="V547" s="5" t="s">
        <v>3148</v>
      </c>
    </row>
    <row r="548" ht="12.75" customHeight="1">
      <c r="A548" s="5">
        <v>33812.0</v>
      </c>
      <c r="B548" s="5" t="s">
        <v>49</v>
      </c>
      <c r="C548" s="52" t="s">
        <v>50</v>
      </c>
      <c r="D548" s="5" t="s">
        <v>2614</v>
      </c>
      <c r="E548" s="7" t="s">
        <v>3149</v>
      </c>
      <c r="F548" s="5" t="s">
        <v>915</v>
      </c>
      <c r="G548" s="5" t="s">
        <v>916</v>
      </c>
      <c r="H548" s="5">
        <v>2012.0</v>
      </c>
      <c r="I548" s="5">
        <v>0.0</v>
      </c>
      <c r="J548" s="5">
        <v>0.0</v>
      </c>
      <c r="K548" s="5">
        <v>1.0</v>
      </c>
      <c r="L548" s="54"/>
      <c r="M548" s="5" t="s">
        <v>3150</v>
      </c>
      <c r="N548" s="53" t="s">
        <v>3151</v>
      </c>
      <c r="O548">
        <v>29.046854</v>
      </c>
      <c r="P548">
        <v>-13.589973</v>
      </c>
      <c r="Q548" s="5" t="s">
        <v>400</v>
      </c>
      <c r="R548" s="10">
        <f t="shared" si="10"/>
        <v>74</v>
      </c>
      <c r="S548" s="5" t="s">
        <v>3152</v>
      </c>
      <c r="T548" s="5" t="s">
        <v>1040</v>
      </c>
      <c r="U548" s="5" t="s">
        <v>2785</v>
      </c>
      <c r="V548" s="5" t="s">
        <v>3153</v>
      </c>
    </row>
    <row r="549" ht="12.75" customHeight="1">
      <c r="A549" s="5">
        <v>33813.0</v>
      </c>
      <c r="B549" s="5" t="s">
        <v>68</v>
      </c>
      <c r="C549" s="5" t="s">
        <v>69</v>
      </c>
      <c r="D549" s="5" t="s">
        <v>2852</v>
      </c>
      <c r="E549" s="7" t="s">
        <v>3154</v>
      </c>
      <c r="F549" s="5" t="s">
        <v>915</v>
      </c>
      <c r="G549" s="5" t="s">
        <v>916</v>
      </c>
      <c r="H549" s="5">
        <v>2012.0</v>
      </c>
      <c r="I549" s="5">
        <v>0.0</v>
      </c>
      <c r="J549" s="5">
        <v>0.0</v>
      </c>
      <c r="K549" s="5">
        <v>1.0</v>
      </c>
      <c r="L549" s="54"/>
      <c r="M549" s="5" t="s">
        <v>3155</v>
      </c>
      <c r="N549" s="53" t="s">
        <v>3156</v>
      </c>
      <c r="O549">
        <v>50.769517</v>
      </c>
      <c r="P549">
        <v>1.610207</v>
      </c>
      <c r="Q549" s="5" t="s">
        <v>1515</v>
      </c>
      <c r="R549" s="10">
        <f t="shared" si="10"/>
        <v>1</v>
      </c>
      <c r="S549" s="5" t="s">
        <v>3157</v>
      </c>
      <c r="T549" s="5"/>
      <c r="U549" s="5" t="s">
        <v>3158</v>
      </c>
      <c r="V549" s="5"/>
    </row>
    <row r="550" ht="12.75" customHeight="1">
      <c r="A550" s="5">
        <v>33814.0</v>
      </c>
      <c r="B550" s="5" t="s">
        <v>1076</v>
      </c>
      <c r="C550" s="52" t="s">
        <v>50</v>
      </c>
      <c r="D550" s="5" t="s">
        <v>2852</v>
      </c>
      <c r="E550" s="7" t="s">
        <v>3159</v>
      </c>
      <c r="F550" s="5" t="s">
        <v>915</v>
      </c>
      <c r="G550" s="5" t="s">
        <v>916</v>
      </c>
      <c r="H550" s="5">
        <v>2012.0</v>
      </c>
      <c r="I550" s="5">
        <v>0.0</v>
      </c>
      <c r="J550" s="5">
        <v>0.0</v>
      </c>
      <c r="K550" s="5">
        <v>1.0</v>
      </c>
      <c r="L550" s="54"/>
      <c r="M550" s="5" t="s">
        <v>3160</v>
      </c>
      <c r="N550" s="53" t="s">
        <v>3131</v>
      </c>
      <c r="O550">
        <v>45.440847</v>
      </c>
      <c r="P550">
        <v>12.315515</v>
      </c>
      <c r="Q550" s="5" t="s">
        <v>1317</v>
      </c>
      <c r="R550" s="10">
        <f t="shared" si="10"/>
        <v>13</v>
      </c>
      <c r="S550" s="5" t="s">
        <v>3161</v>
      </c>
      <c r="T550" s="5"/>
      <c r="U550" s="5" t="s">
        <v>3162</v>
      </c>
      <c r="V550" s="5" t="s">
        <v>3163</v>
      </c>
    </row>
    <row r="551" ht="12.75" customHeight="1">
      <c r="A551" s="5">
        <v>33815.0</v>
      </c>
      <c r="B551" s="5" t="s">
        <v>2902</v>
      </c>
      <c r="C551" s="5" t="s">
        <v>211</v>
      </c>
      <c r="D551" s="5" t="s">
        <v>2852</v>
      </c>
      <c r="E551" s="7" t="s">
        <v>3164</v>
      </c>
      <c r="F551" s="5" t="s">
        <v>915</v>
      </c>
      <c r="G551" s="5" t="s">
        <v>916</v>
      </c>
      <c r="H551" s="5">
        <v>2012.0</v>
      </c>
      <c r="I551" s="5">
        <v>0.0</v>
      </c>
      <c r="J551" s="5">
        <v>0.0</v>
      </c>
      <c r="K551" s="5">
        <v>1.0</v>
      </c>
      <c r="L551" s="54"/>
      <c r="M551" s="5" t="s">
        <v>3165</v>
      </c>
      <c r="N551" s="53" t="s">
        <v>3166</v>
      </c>
      <c r="O551">
        <v>52.132633</v>
      </c>
      <c r="P551">
        <v>5.291266</v>
      </c>
      <c r="Q551" s="5" t="s">
        <v>1714</v>
      </c>
      <c r="R551" s="10">
        <f t="shared" si="10"/>
        <v>2</v>
      </c>
      <c r="S551" s="5" t="s">
        <v>3167</v>
      </c>
      <c r="T551" s="5"/>
      <c r="U551" s="5" t="s">
        <v>3168</v>
      </c>
      <c r="V551" s="5"/>
    </row>
    <row r="552" ht="12.75" customHeight="1">
      <c r="A552" s="5">
        <v>33816.0</v>
      </c>
      <c r="B552" s="5" t="s">
        <v>2007</v>
      </c>
      <c r="C552" s="5" t="s">
        <v>124</v>
      </c>
      <c r="D552" s="5" t="s">
        <v>2852</v>
      </c>
      <c r="E552" s="7" t="s">
        <v>3169</v>
      </c>
      <c r="F552" s="5" t="s">
        <v>915</v>
      </c>
      <c r="G552" s="5" t="s">
        <v>916</v>
      </c>
      <c r="H552" s="5">
        <v>2012.0</v>
      </c>
      <c r="I552" s="5">
        <v>0.0</v>
      </c>
      <c r="J552" s="5">
        <v>0.0</v>
      </c>
      <c r="K552" s="5">
        <v>1.0</v>
      </c>
      <c r="L552" s="54"/>
      <c r="M552" s="5" t="s">
        <v>3170</v>
      </c>
      <c r="N552" s="53" t="s">
        <v>3171</v>
      </c>
      <c r="O552">
        <v>38.24664</v>
      </c>
      <c r="P552">
        <v>21.734574</v>
      </c>
      <c r="Q552" s="5" t="s">
        <v>1010</v>
      </c>
      <c r="R552" s="10">
        <f t="shared" si="10"/>
        <v>7</v>
      </c>
      <c r="S552" s="5" t="s">
        <v>3172</v>
      </c>
      <c r="T552" s="5"/>
      <c r="U552" s="5" t="s">
        <v>3173</v>
      </c>
      <c r="V552" s="5"/>
    </row>
    <row r="553" ht="12.75" customHeight="1">
      <c r="A553" s="5">
        <v>62883.0</v>
      </c>
      <c r="B553" s="5" t="s">
        <v>2921</v>
      </c>
      <c r="C553" s="52" t="s">
        <v>50</v>
      </c>
      <c r="D553" s="5"/>
      <c r="E553" s="7" t="s">
        <v>3174</v>
      </c>
      <c r="F553" s="5" t="s">
        <v>915</v>
      </c>
      <c r="G553" s="5" t="s">
        <v>916</v>
      </c>
      <c r="H553" s="5">
        <v>2012.0</v>
      </c>
      <c r="I553" s="5">
        <v>1.0</v>
      </c>
      <c r="J553" s="5">
        <v>0.0</v>
      </c>
      <c r="K553" s="5">
        <v>1.0</v>
      </c>
      <c r="L553" s="54"/>
      <c r="M553" s="5" t="s">
        <v>3175</v>
      </c>
      <c r="N553" s="53" t="s">
        <v>3176</v>
      </c>
      <c r="O553">
        <v>41.2</v>
      </c>
      <c r="P553">
        <v>26.0</v>
      </c>
      <c r="Q553" s="5" t="s">
        <v>1209</v>
      </c>
      <c r="R553" s="10">
        <f t="shared" si="10"/>
        <v>1</v>
      </c>
      <c r="S553" s="5" t="s">
        <v>3177</v>
      </c>
      <c r="T553" s="6" t="s">
        <v>53</v>
      </c>
      <c r="U553" s="5" t="s">
        <v>2343</v>
      </c>
      <c r="V553" s="5"/>
    </row>
    <row r="554" ht="12.75" customHeight="1">
      <c r="A554" s="5">
        <v>33817.0</v>
      </c>
      <c r="B554" s="5" t="s">
        <v>68</v>
      </c>
      <c r="C554" s="5" t="s">
        <v>69</v>
      </c>
      <c r="D554" s="5" t="s">
        <v>2852</v>
      </c>
      <c r="E554" s="7" t="s">
        <v>3178</v>
      </c>
      <c r="F554" s="5" t="s">
        <v>915</v>
      </c>
      <c r="G554" s="5" t="s">
        <v>3179</v>
      </c>
      <c r="H554" s="5">
        <v>2012.0</v>
      </c>
      <c r="I554" s="5">
        <v>0.0</v>
      </c>
      <c r="J554" s="5">
        <v>0.0</v>
      </c>
      <c r="K554" s="5">
        <v>12.0</v>
      </c>
      <c r="L554" s="54"/>
      <c r="M554" s="5" t="s">
        <v>3180</v>
      </c>
      <c r="N554" s="53" t="s">
        <v>2834</v>
      </c>
      <c r="O554">
        <v>41.244376</v>
      </c>
      <c r="P554">
        <v>26.135943</v>
      </c>
      <c r="Q554" s="5" t="s">
        <v>1214</v>
      </c>
      <c r="R554" s="10">
        <f t="shared" si="10"/>
        <v>188</v>
      </c>
      <c r="S554" s="5" t="s">
        <v>3181</v>
      </c>
      <c r="T554" s="6" t="s">
        <v>53</v>
      </c>
      <c r="U554" s="5" t="s">
        <v>3182</v>
      </c>
      <c r="V554" s="5"/>
    </row>
    <row r="555" ht="12.75" customHeight="1">
      <c r="A555" s="5">
        <v>54050.0</v>
      </c>
      <c r="B555" s="5" t="s">
        <v>211</v>
      </c>
      <c r="C555" s="5" t="s">
        <v>211</v>
      </c>
      <c r="D555" s="5"/>
      <c r="E555" s="7" t="s">
        <v>3183</v>
      </c>
      <c r="F555" s="5" t="s">
        <v>915</v>
      </c>
      <c r="G555" s="5" t="s">
        <v>3179</v>
      </c>
      <c r="H555" s="5">
        <v>2012.0</v>
      </c>
      <c r="I555" s="5">
        <v>1.0</v>
      </c>
      <c r="J555" s="5">
        <v>0.0</v>
      </c>
      <c r="K555" s="5">
        <v>1.0</v>
      </c>
      <c r="L555" s="54"/>
      <c r="M555" s="5" t="s">
        <v>3184</v>
      </c>
      <c r="N555" s="53" t="s">
        <v>2759</v>
      </c>
      <c r="O555">
        <v>47.36865</v>
      </c>
      <c r="P555">
        <v>8.539183</v>
      </c>
      <c r="Q555" s="5" t="s">
        <v>1377</v>
      </c>
      <c r="R555" s="10">
        <f t="shared" si="10"/>
        <v>9</v>
      </c>
      <c r="S555" s="5" t="s">
        <v>3185</v>
      </c>
      <c r="T555" s="5"/>
      <c r="U555" s="5" t="s">
        <v>2521</v>
      </c>
      <c r="V555" s="5" t="s">
        <v>3186</v>
      </c>
    </row>
    <row r="556" ht="12.75" customHeight="1">
      <c r="A556" s="5">
        <v>54049.0</v>
      </c>
      <c r="B556" s="5" t="s">
        <v>211</v>
      </c>
      <c r="C556" s="5" t="s">
        <v>211</v>
      </c>
      <c r="D556" s="5"/>
      <c r="E556" s="7" t="s">
        <v>3183</v>
      </c>
      <c r="F556" s="5" t="s">
        <v>915</v>
      </c>
      <c r="G556" s="5" t="s">
        <v>3179</v>
      </c>
      <c r="H556" s="5">
        <v>2012.0</v>
      </c>
      <c r="I556" s="5">
        <v>1.0</v>
      </c>
      <c r="J556" s="5">
        <v>0.0</v>
      </c>
      <c r="K556" s="5">
        <v>1.0</v>
      </c>
      <c r="L556" s="54"/>
      <c r="M556" s="5" t="s">
        <v>3187</v>
      </c>
      <c r="N556" s="53" t="s">
        <v>2759</v>
      </c>
      <c r="O556">
        <v>47.36865</v>
      </c>
      <c r="P556">
        <v>8.539183</v>
      </c>
      <c r="Q556" s="5" t="s">
        <v>1377</v>
      </c>
      <c r="R556" s="10">
        <f t="shared" si="10"/>
        <v>9</v>
      </c>
      <c r="S556" s="5" t="s">
        <v>3185</v>
      </c>
      <c r="T556" s="5"/>
      <c r="U556" s="5" t="s">
        <v>2521</v>
      </c>
      <c r="V556" s="5" t="s">
        <v>3186</v>
      </c>
    </row>
    <row r="557" ht="12.75" customHeight="1">
      <c r="A557" s="5">
        <v>33819.0</v>
      </c>
      <c r="B557" s="5" t="s">
        <v>49</v>
      </c>
      <c r="C557" s="52" t="s">
        <v>50</v>
      </c>
      <c r="D557" s="5" t="s">
        <v>2614</v>
      </c>
      <c r="E557" s="7" t="s">
        <v>3188</v>
      </c>
      <c r="F557" s="5" t="s">
        <v>915</v>
      </c>
      <c r="G557" s="5" t="s">
        <v>3179</v>
      </c>
      <c r="H557" s="5">
        <v>2012.0</v>
      </c>
      <c r="I557" s="5">
        <v>0.0</v>
      </c>
      <c r="J557" s="5">
        <v>0.0</v>
      </c>
      <c r="K557" s="5">
        <v>3.0</v>
      </c>
      <c r="L557" s="54"/>
      <c r="M557" s="5" t="s">
        <v>3189</v>
      </c>
      <c r="N557" s="53" t="s">
        <v>2680</v>
      </c>
      <c r="O557">
        <v>36.018776</v>
      </c>
      <c r="P557">
        <v>-5.600819</v>
      </c>
      <c r="Q557" s="5" t="s">
        <v>761</v>
      </c>
      <c r="R557" s="10">
        <f t="shared" si="10"/>
        <v>492</v>
      </c>
      <c r="S557" s="5" t="s">
        <v>3190</v>
      </c>
      <c r="T557" s="6" t="s">
        <v>72</v>
      </c>
      <c r="U557" s="5" t="s">
        <v>2635</v>
      </c>
      <c r="V557" s="5" t="s">
        <v>3191</v>
      </c>
    </row>
    <row r="558" ht="12.75" customHeight="1">
      <c r="A558" s="5">
        <v>33818.0</v>
      </c>
      <c r="B558" s="5" t="s">
        <v>49</v>
      </c>
      <c r="C558" s="52" t="s">
        <v>50</v>
      </c>
      <c r="D558" s="5" t="s">
        <v>2614</v>
      </c>
      <c r="E558" s="7" t="s">
        <v>3188</v>
      </c>
      <c r="F558" s="5" t="s">
        <v>915</v>
      </c>
      <c r="G558" s="5" t="s">
        <v>3179</v>
      </c>
      <c r="H558" s="5">
        <v>2012.0</v>
      </c>
      <c r="I558" s="5">
        <v>0.0</v>
      </c>
      <c r="J558" s="5">
        <v>0.0</v>
      </c>
      <c r="K558" s="5">
        <v>1.0</v>
      </c>
      <c r="L558" s="54"/>
      <c r="M558" s="5" t="s">
        <v>3192</v>
      </c>
      <c r="N558" s="53" t="s">
        <v>2680</v>
      </c>
      <c r="O558">
        <v>36.018776</v>
      </c>
      <c r="P558">
        <v>-5.600819</v>
      </c>
      <c r="Q558" s="5" t="s">
        <v>761</v>
      </c>
      <c r="R558" s="10">
        <f t="shared" si="10"/>
        <v>492</v>
      </c>
      <c r="S558" s="5" t="s">
        <v>3190</v>
      </c>
      <c r="T558" s="6" t="s">
        <v>72</v>
      </c>
      <c r="U558" s="5" t="s">
        <v>3193</v>
      </c>
      <c r="V558" s="5" t="s">
        <v>3194</v>
      </c>
    </row>
    <row r="559" ht="12.75" customHeight="1">
      <c r="A559" s="5">
        <v>33820.0</v>
      </c>
      <c r="B559" s="5" t="s">
        <v>49</v>
      </c>
      <c r="C559" s="52" t="s">
        <v>50</v>
      </c>
      <c r="D559" s="5" t="s">
        <v>2614</v>
      </c>
      <c r="E559" s="7" t="s">
        <v>3195</v>
      </c>
      <c r="F559" s="5" t="s">
        <v>915</v>
      </c>
      <c r="G559" s="5" t="s">
        <v>3179</v>
      </c>
      <c r="H559" s="5">
        <v>2012.0</v>
      </c>
      <c r="I559" s="5">
        <v>0.0</v>
      </c>
      <c r="J559" s="5">
        <v>0.0</v>
      </c>
      <c r="K559" s="5">
        <v>1.0</v>
      </c>
      <c r="L559" s="54"/>
      <c r="M559" s="5" t="s">
        <v>3196</v>
      </c>
      <c r="N559" s="53" t="s">
        <v>2700</v>
      </c>
      <c r="O559">
        <v>35.508622</v>
      </c>
      <c r="P559">
        <v>12.59292</v>
      </c>
      <c r="Q559" s="5" t="s">
        <v>669</v>
      </c>
      <c r="R559" s="10">
        <f t="shared" si="10"/>
        <v>3843</v>
      </c>
      <c r="S559" s="5" t="s">
        <v>3197</v>
      </c>
      <c r="T559" s="6" t="s">
        <v>2130</v>
      </c>
      <c r="U559" s="5" t="s">
        <v>2326</v>
      </c>
      <c r="V559" s="5" t="s">
        <v>3198</v>
      </c>
    </row>
    <row r="560" ht="12.75" customHeight="1">
      <c r="A560" s="5">
        <v>33821.0</v>
      </c>
      <c r="B560" s="5" t="s">
        <v>49</v>
      </c>
      <c r="C560" s="52" t="s">
        <v>50</v>
      </c>
      <c r="D560" s="5" t="s">
        <v>2614</v>
      </c>
      <c r="E560" s="7" t="s">
        <v>3199</v>
      </c>
      <c r="F560" s="5" t="s">
        <v>915</v>
      </c>
      <c r="G560" s="5" t="s">
        <v>3179</v>
      </c>
      <c r="H560" s="5">
        <v>2012.0</v>
      </c>
      <c r="I560" s="5">
        <v>0.0</v>
      </c>
      <c r="J560" s="5">
        <v>0.0</v>
      </c>
      <c r="K560" s="5">
        <v>89.0</v>
      </c>
      <c r="L560" s="54"/>
      <c r="M560" s="5" t="s">
        <v>3200</v>
      </c>
      <c r="N560" s="53" t="s">
        <v>3201</v>
      </c>
      <c r="O560">
        <v>35.766667</v>
      </c>
      <c r="P560">
        <v>-5.8</v>
      </c>
      <c r="Q560" s="5" t="s">
        <v>695</v>
      </c>
      <c r="R560" s="10">
        <f t="shared" si="10"/>
        <v>190</v>
      </c>
      <c r="S560" s="5" t="s">
        <v>3202</v>
      </c>
      <c r="T560" s="6" t="s">
        <v>72</v>
      </c>
      <c r="U560" s="5" t="s">
        <v>3203</v>
      </c>
      <c r="V560" s="5" t="s">
        <v>3204</v>
      </c>
    </row>
    <row r="561" ht="12.75" customHeight="1">
      <c r="A561" s="5">
        <v>33822.0</v>
      </c>
      <c r="B561" s="5" t="s">
        <v>49</v>
      </c>
      <c r="C561" s="52" t="s">
        <v>50</v>
      </c>
      <c r="D561" s="5" t="s">
        <v>2614</v>
      </c>
      <c r="E561" s="7" t="s">
        <v>3205</v>
      </c>
      <c r="F561" s="5" t="s">
        <v>915</v>
      </c>
      <c r="G561" s="5" t="s">
        <v>3179</v>
      </c>
      <c r="H561" s="5">
        <v>2012.0</v>
      </c>
      <c r="I561" s="5">
        <v>0.0</v>
      </c>
      <c r="J561" s="5">
        <v>0.0</v>
      </c>
      <c r="K561" s="5">
        <v>1.0</v>
      </c>
      <c r="L561" s="54"/>
      <c r="M561" s="5" t="s">
        <v>3206</v>
      </c>
      <c r="N561" s="53" t="s">
        <v>2638</v>
      </c>
      <c r="O561">
        <v>35.888384</v>
      </c>
      <c r="P561">
        <v>-5.324636</v>
      </c>
      <c r="Q561" s="5" t="s">
        <v>717</v>
      </c>
      <c r="R561" s="10">
        <f t="shared" si="10"/>
        <v>213</v>
      </c>
      <c r="S561" s="5" t="s">
        <v>3207</v>
      </c>
      <c r="T561" s="6" t="s">
        <v>72</v>
      </c>
      <c r="U561" s="5" t="s">
        <v>3208</v>
      </c>
      <c r="V561" s="5" t="s">
        <v>3209</v>
      </c>
    </row>
    <row r="562" ht="12.75" customHeight="1">
      <c r="A562" s="5">
        <v>33823.0</v>
      </c>
      <c r="B562" s="5" t="s">
        <v>49</v>
      </c>
      <c r="C562" s="52" t="s">
        <v>50</v>
      </c>
      <c r="D562" s="5" t="s">
        <v>2614</v>
      </c>
      <c r="E562" s="7" t="s">
        <v>3210</v>
      </c>
      <c r="F562" s="5" t="s">
        <v>915</v>
      </c>
      <c r="G562" s="5" t="s">
        <v>3179</v>
      </c>
      <c r="H562" s="5">
        <v>2012.0</v>
      </c>
      <c r="I562" s="5">
        <v>0.0</v>
      </c>
      <c r="J562" s="5">
        <v>0.0</v>
      </c>
      <c r="K562" s="5">
        <v>11.0</v>
      </c>
      <c r="L562" s="54"/>
      <c r="M562" s="5" t="s">
        <v>3211</v>
      </c>
      <c r="N562" s="53" t="s">
        <v>2700</v>
      </c>
      <c r="O562">
        <v>35.508622</v>
      </c>
      <c r="P562">
        <v>12.59292</v>
      </c>
      <c r="Q562" s="5" t="s">
        <v>669</v>
      </c>
      <c r="R562" s="10">
        <f t="shared" si="10"/>
        <v>3843</v>
      </c>
      <c r="S562" s="5" t="s">
        <v>3212</v>
      </c>
      <c r="T562" s="6" t="s">
        <v>2130</v>
      </c>
      <c r="U562" s="5" t="s">
        <v>2326</v>
      </c>
      <c r="V562" s="5" t="s">
        <v>3213</v>
      </c>
    </row>
    <row r="563" ht="12.75" customHeight="1">
      <c r="A563" s="5">
        <v>69726.0</v>
      </c>
      <c r="B563" s="5" t="s">
        <v>2693</v>
      </c>
      <c r="C563" s="5" t="s">
        <v>62</v>
      </c>
      <c r="D563" s="5"/>
      <c r="E563" s="7" t="s">
        <v>3214</v>
      </c>
      <c r="F563" s="5" t="s">
        <v>915</v>
      </c>
      <c r="G563" s="5" t="s">
        <v>3215</v>
      </c>
      <c r="H563" s="5">
        <v>2012.0</v>
      </c>
      <c r="I563" s="5">
        <v>1.0</v>
      </c>
      <c r="J563" s="5">
        <v>0.0</v>
      </c>
      <c r="K563" s="5">
        <v>1.0</v>
      </c>
      <c r="L563" s="54"/>
      <c r="M563" s="5" t="s">
        <v>3216</v>
      </c>
      <c r="N563" s="53" t="s">
        <v>3217</v>
      </c>
      <c r="O563">
        <v>51.48309</v>
      </c>
      <c r="P563">
        <v>-0.483529</v>
      </c>
      <c r="Q563" s="5" t="s">
        <v>1648</v>
      </c>
      <c r="R563" s="10">
        <f t="shared" si="10"/>
        <v>2</v>
      </c>
      <c r="S563" s="5" t="s">
        <v>3218</v>
      </c>
      <c r="T563" s="5"/>
      <c r="U563" s="5" t="s">
        <v>3219</v>
      </c>
      <c r="V563" s="5"/>
    </row>
    <row r="564" ht="12.75" customHeight="1">
      <c r="A564" s="5">
        <v>33824.0</v>
      </c>
      <c r="B564" s="5" t="s">
        <v>49</v>
      </c>
      <c r="C564" s="52" t="s">
        <v>50</v>
      </c>
      <c r="D564" s="5" t="s">
        <v>2614</v>
      </c>
      <c r="E564" s="7" t="s">
        <v>3220</v>
      </c>
      <c r="F564" s="5" t="s">
        <v>915</v>
      </c>
      <c r="G564" s="5" t="s">
        <v>3215</v>
      </c>
      <c r="H564" s="5">
        <v>2012.0</v>
      </c>
      <c r="I564" s="5">
        <v>0.0</v>
      </c>
      <c r="J564" s="5">
        <v>0.0</v>
      </c>
      <c r="K564" s="5">
        <v>2.0</v>
      </c>
      <c r="L564" s="54"/>
      <c r="M564" s="5" t="s">
        <v>3221</v>
      </c>
      <c r="N564" s="53" t="s">
        <v>2700</v>
      </c>
      <c r="O564">
        <v>35.508622</v>
      </c>
      <c r="P564">
        <v>12.59292</v>
      </c>
      <c r="Q564" s="5" t="s">
        <v>669</v>
      </c>
      <c r="R564" s="10">
        <f t="shared" si="10"/>
        <v>3843</v>
      </c>
      <c r="S564" s="5" t="s">
        <v>3222</v>
      </c>
      <c r="T564" s="6" t="s">
        <v>2130</v>
      </c>
      <c r="U564" s="5" t="s">
        <v>189</v>
      </c>
      <c r="V564" s="5" t="s">
        <v>3223</v>
      </c>
    </row>
    <row r="565" ht="12.75" customHeight="1">
      <c r="A565" s="5">
        <v>33825.0</v>
      </c>
      <c r="B565" s="5" t="s">
        <v>49</v>
      </c>
      <c r="C565" s="52" t="s">
        <v>50</v>
      </c>
      <c r="D565" s="5" t="s">
        <v>2852</v>
      </c>
      <c r="E565" s="7" t="s">
        <v>3224</v>
      </c>
      <c r="F565" s="5" t="s">
        <v>915</v>
      </c>
      <c r="G565" s="5" t="s">
        <v>3215</v>
      </c>
      <c r="H565" s="5">
        <v>2012.0</v>
      </c>
      <c r="I565" s="5">
        <v>0.0</v>
      </c>
      <c r="J565" s="5">
        <v>0.0</v>
      </c>
      <c r="K565" s="5">
        <v>54.0</v>
      </c>
      <c r="L565" s="54"/>
      <c r="M565" s="5" t="s">
        <v>3225</v>
      </c>
      <c r="N565" s="53" t="s">
        <v>3226</v>
      </c>
      <c r="O565">
        <v>35.249299</v>
      </c>
      <c r="P565">
        <v>-3.937112</v>
      </c>
      <c r="Q565" s="5" t="s">
        <v>642</v>
      </c>
      <c r="R565" s="10">
        <f t="shared" si="10"/>
        <v>149</v>
      </c>
      <c r="S565" s="5" t="s">
        <v>3227</v>
      </c>
      <c r="T565" s="6" t="s">
        <v>72</v>
      </c>
      <c r="U565" s="5" t="s">
        <v>3228</v>
      </c>
      <c r="V565" s="5" t="s">
        <v>3229</v>
      </c>
    </row>
    <row r="566" ht="12.75" customHeight="1">
      <c r="A566" s="5">
        <v>33826.0</v>
      </c>
      <c r="B566" s="5" t="s">
        <v>49</v>
      </c>
      <c r="C566" s="52" t="s">
        <v>50</v>
      </c>
      <c r="D566" s="5" t="s">
        <v>2852</v>
      </c>
      <c r="E566" s="7" t="s">
        <v>3230</v>
      </c>
      <c r="F566" s="5" t="s">
        <v>915</v>
      </c>
      <c r="G566" s="5" t="s">
        <v>3215</v>
      </c>
      <c r="H566" s="5">
        <v>2012.0</v>
      </c>
      <c r="I566" s="5">
        <v>0.0</v>
      </c>
      <c r="J566" s="5">
        <v>0.0</v>
      </c>
      <c r="K566" s="5">
        <v>1.0</v>
      </c>
      <c r="L566" s="54"/>
      <c r="M566" s="5" t="s">
        <v>3231</v>
      </c>
      <c r="N566" s="53" t="s">
        <v>2633</v>
      </c>
      <c r="O566">
        <v>28.569022</v>
      </c>
      <c r="P566">
        <v>-16.324539</v>
      </c>
      <c r="Q566" s="5" t="s">
        <v>396</v>
      </c>
      <c r="R566" s="10">
        <f t="shared" si="10"/>
        <v>53</v>
      </c>
      <c r="S566" s="5" t="s">
        <v>3232</v>
      </c>
      <c r="T566" s="5" t="s">
        <v>1040</v>
      </c>
      <c r="U566" s="5" t="s">
        <v>3233</v>
      </c>
      <c r="V566" s="5" t="s">
        <v>3234</v>
      </c>
    </row>
    <row r="567" ht="12.75" customHeight="1">
      <c r="A567" s="5">
        <v>33827.0</v>
      </c>
      <c r="B567" s="5" t="s">
        <v>49</v>
      </c>
      <c r="C567" s="52" t="s">
        <v>50</v>
      </c>
      <c r="D567" s="5" t="s">
        <v>2614</v>
      </c>
      <c r="E567" s="7" t="s">
        <v>3235</v>
      </c>
      <c r="F567" s="5" t="s">
        <v>915</v>
      </c>
      <c r="G567" s="5" t="s">
        <v>3215</v>
      </c>
      <c r="H567" s="5">
        <v>2012.0</v>
      </c>
      <c r="I567" s="5">
        <v>0.0</v>
      </c>
      <c r="J567" s="5">
        <v>0.0</v>
      </c>
      <c r="K567" s="5">
        <v>5.0</v>
      </c>
      <c r="L567" s="54"/>
      <c r="M567" s="5" t="s">
        <v>3236</v>
      </c>
      <c r="N567" s="53" t="s">
        <v>2718</v>
      </c>
      <c r="O567">
        <v>35.292278</v>
      </c>
      <c r="P567">
        <v>-2.938097</v>
      </c>
      <c r="Q567" s="5" t="s">
        <v>649</v>
      </c>
      <c r="R567" s="10">
        <f t="shared" si="10"/>
        <v>79</v>
      </c>
      <c r="S567" s="5" t="s">
        <v>3237</v>
      </c>
      <c r="T567" s="6" t="s">
        <v>72</v>
      </c>
      <c r="U567" s="5" t="s">
        <v>2640</v>
      </c>
      <c r="V567" s="5" t="s">
        <v>3238</v>
      </c>
    </row>
    <row r="568" ht="12.75" customHeight="1">
      <c r="A568" s="5">
        <v>33828.0</v>
      </c>
      <c r="B568" s="5" t="s">
        <v>491</v>
      </c>
      <c r="C568" s="52" t="s">
        <v>50</v>
      </c>
      <c r="D568" s="5" t="s">
        <v>2852</v>
      </c>
      <c r="E568" s="7" t="s">
        <v>3239</v>
      </c>
      <c r="F568" s="5" t="s">
        <v>915</v>
      </c>
      <c r="G568" s="5" t="s">
        <v>3215</v>
      </c>
      <c r="H568" s="5">
        <v>2012.0</v>
      </c>
      <c r="I568" s="5">
        <v>0.0</v>
      </c>
      <c r="J568" s="5">
        <v>0.0</v>
      </c>
      <c r="K568" s="5">
        <v>54.0</v>
      </c>
      <c r="L568" s="54"/>
      <c r="M568" s="5" t="s">
        <v>3240</v>
      </c>
      <c r="N568" s="53" t="s">
        <v>2700</v>
      </c>
      <c r="O568">
        <v>35.508622</v>
      </c>
      <c r="P568">
        <v>12.59292</v>
      </c>
      <c r="Q568" s="5" t="s">
        <v>669</v>
      </c>
      <c r="R568" s="10">
        <f t="shared" si="10"/>
        <v>3843</v>
      </c>
      <c r="S568" s="5" t="s">
        <v>3241</v>
      </c>
      <c r="T568" s="6" t="s">
        <v>2130</v>
      </c>
      <c r="U568" s="5" t="s">
        <v>3242</v>
      </c>
      <c r="V568" s="5" t="s">
        <v>3243</v>
      </c>
    </row>
    <row r="569" ht="12.75" customHeight="1">
      <c r="A569" s="5">
        <v>33829.0</v>
      </c>
      <c r="B569" s="5" t="s">
        <v>2921</v>
      </c>
      <c r="C569" s="52" t="s">
        <v>50</v>
      </c>
      <c r="D569" s="5" t="s">
        <v>2852</v>
      </c>
      <c r="E569" s="7" t="s">
        <v>3244</v>
      </c>
      <c r="F569" s="5" t="s">
        <v>915</v>
      </c>
      <c r="G569" s="5" t="s">
        <v>3215</v>
      </c>
      <c r="H569" s="5">
        <v>2012.0</v>
      </c>
      <c r="I569" s="5">
        <v>0.0</v>
      </c>
      <c r="J569" s="5">
        <v>0.0</v>
      </c>
      <c r="K569" s="5">
        <v>1.0</v>
      </c>
      <c r="L569" s="54"/>
      <c r="M569" s="5" t="s">
        <v>3245</v>
      </c>
      <c r="N569" s="53" t="s">
        <v>2834</v>
      </c>
      <c r="O569">
        <v>41.244376</v>
      </c>
      <c r="P569">
        <v>26.135943</v>
      </c>
      <c r="Q569" s="5" t="s">
        <v>1214</v>
      </c>
      <c r="R569" s="10">
        <f t="shared" si="10"/>
        <v>188</v>
      </c>
      <c r="S569" s="5" t="s">
        <v>3246</v>
      </c>
      <c r="T569" s="6" t="s">
        <v>53</v>
      </c>
      <c r="U569" s="5" t="s">
        <v>3247</v>
      </c>
      <c r="V569" s="5"/>
    </row>
    <row r="570" ht="12.75" customHeight="1">
      <c r="A570" s="5">
        <v>33892.0</v>
      </c>
      <c r="B570" s="5" t="s">
        <v>1076</v>
      </c>
      <c r="C570" s="52" t="s">
        <v>50</v>
      </c>
      <c r="D570" s="5" t="s">
        <v>2852</v>
      </c>
      <c r="E570" s="7" t="s">
        <v>3248</v>
      </c>
      <c r="F570" s="5" t="s">
        <v>3086</v>
      </c>
      <c r="G570" s="5" t="s">
        <v>3249</v>
      </c>
      <c r="H570" s="5">
        <v>2012.0</v>
      </c>
      <c r="I570" s="5">
        <v>0.0</v>
      </c>
      <c r="J570" s="5">
        <v>0.0</v>
      </c>
      <c r="K570" s="5">
        <v>1.0</v>
      </c>
      <c r="L570" s="54"/>
      <c r="M570" s="5" t="s">
        <v>3250</v>
      </c>
      <c r="N570" s="53" t="s">
        <v>3251</v>
      </c>
      <c r="O570">
        <v>39.074208</v>
      </c>
      <c r="P570">
        <v>21.824312</v>
      </c>
      <c r="Q570" s="5" t="s">
        <v>1061</v>
      </c>
      <c r="R570" s="10">
        <f t="shared" si="10"/>
        <v>20</v>
      </c>
      <c r="S570" s="5" t="s">
        <v>3252</v>
      </c>
      <c r="T570" s="5"/>
      <c r="U570" s="5" t="s">
        <v>3253</v>
      </c>
      <c r="V570" s="5"/>
    </row>
    <row r="571" ht="12.75" customHeight="1">
      <c r="A571" s="5">
        <v>33893.0</v>
      </c>
      <c r="B571" s="5" t="s">
        <v>2921</v>
      </c>
      <c r="C571" s="52" t="s">
        <v>50</v>
      </c>
      <c r="D571" s="5" t="s">
        <v>2852</v>
      </c>
      <c r="E571" s="7" t="s">
        <v>3254</v>
      </c>
      <c r="F571" s="5" t="s">
        <v>3086</v>
      </c>
      <c r="G571" s="5" t="s">
        <v>3249</v>
      </c>
      <c r="H571" s="5">
        <v>2012.0</v>
      </c>
      <c r="I571" s="5">
        <v>0.0</v>
      </c>
      <c r="J571" s="5">
        <v>0.0</v>
      </c>
      <c r="K571" s="5">
        <v>1.0</v>
      </c>
      <c r="L571" s="54"/>
      <c r="M571" s="5" t="s">
        <v>3255</v>
      </c>
      <c r="N571" s="53" t="s">
        <v>2834</v>
      </c>
      <c r="O571">
        <v>41.244376</v>
      </c>
      <c r="P571">
        <v>26.135943</v>
      </c>
      <c r="Q571" s="5" t="s">
        <v>1214</v>
      </c>
      <c r="R571" s="10">
        <f t="shared" si="10"/>
        <v>188</v>
      </c>
      <c r="S571" s="5" t="s">
        <v>3256</v>
      </c>
      <c r="T571" s="6" t="s">
        <v>53</v>
      </c>
      <c r="U571" s="5" t="s">
        <v>3257</v>
      </c>
      <c r="V571" s="5" t="s">
        <v>3258</v>
      </c>
    </row>
    <row r="572" ht="12.75" customHeight="1">
      <c r="A572" s="5">
        <v>33895.0</v>
      </c>
      <c r="B572" s="5" t="s">
        <v>2962</v>
      </c>
      <c r="C572" s="5" t="s">
        <v>211</v>
      </c>
      <c r="D572" s="5" t="s">
        <v>2852</v>
      </c>
      <c r="E572" s="7" t="s">
        <v>3259</v>
      </c>
      <c r="F572" s="5" t="s">
        <v>3086</v>
      </c>
      <c r="G572" s="5" t="s">
        <v>3249</v>
      </c>
      <c r="H572" s="5">
        <v>2012.0</v>
      </c>
      <c r="I572" s="5">
        <v>0.0</v>
      </c>
      <c r="J572" s="5">
        <v>0.0</v>
      </c>
      <c r="K572" s="5">
        <v>1.0</v>
      </c>
      <c r="L572" s="54"/>
      <c r="M572" s="5" t="s">
        <v>3260</v>
      </c>
      <c r="N572" s="53" t="s">
        <v>3261</v>
      </c>
      <c r="O572">
        <v>49.791595</v>
      </c>
      <c r="P572">
        <v>9.953571</v>
      </c>
      <c r="Q572" s="5" t="s">
        <v>1473</v>
      </c>
      <c r="R572" s="10">
        <f t="shared" si="10"/>
        <v>2</v>
      </c>
      <c r="S572" s="5" t="s">
        <v>3262</v>
      </c>
      <c r="T572" s="5"/>
      <c r="U572" s="5" t="s">
        <v>3263</v>
      </c>
      <c r="V572" s="5"/>
    </row>
    <row r="573" ht="12.75" customHeight="1">
      <c r="A573" s="5">
        <v>33894.0</v>
      </c>
      <c r="B573" s="5" t="s">
        <v>2962</v>
      </c>
      <c r="C573" s="5" t="s">
        <v>211</v>
      </c>
      <c r="D573" s="5" t="s">
        <v>2852</v>
      </c>
      <c r="E573" s="7" t="s">
        <v>3259</v>
      </c>
      <c r="F573" s="5" t="s">
        <v>3086</v>
      </c>
      <c r="G573" s="5" t="s">
        <v>3249</v>
      </c>
      <c r="H573" s="5">
        <v>2012.0</v>
      </c>
      <c r="I573" s="5">
        <v>0.0</v>
      </c>
      <c r="J573" s="5">
        <v>0.0</v>
      </c>
      <c r="K573" s="5">
        <v>1.0</v>
      </c>
      <c r="L573" s="54"/>
      <c r="M573" s="5" t="s">
        <v>3264</v>
      </c>
      <c r="N573" s="53" t="s">
        <v>3261</v>
      </c>
      <c r="O573">
        <v>49.791595</v>
      </c>
      <c r="P573">
        <v>9.953571</v>
      </c>
      <c r="Q573" s="5" t="s">
        <v>1473</v>
      </c>
      <c r="R573" s="10">
        <f t="shared" si="10"/>
        <v>2</v>
      </c>
      <c r="S573" s="5" t="s">
        <v>3262</v>
      </c>
      <c r="T573" s="5"/>
      <c r="U573" s="5" t="s">
        <v>3265</v>
      </c>
      <c r="V573" s="5"/>
    </row>
    <row r="574" ht="12.75" customHeight="1">
      <c r="A574" s="5">
        <v>33896.0</v>
      </c>
      <c r="B574" s="5" t="s">
        <v>763</v>
      </c>
      <c r="C574" s="5" t="s">
        <v>124</v>
      </c>
      <c r="D574" s="5" t="s">
        <v>2614</v>
      </c>
      <c r="E574" s="7" t="s">
        <v>3266</v>
      </c>
      <c r="F574" s="5" t="s">
        <v>3086</v>
      </c>
      <c r="G574" s="5" t="s">
        <v>3249</v>
      </c>
      <c r="H574" s="5">
        <v>2012.0</v>
      </c>
      <c r="I574" s="5">
        <v>0.0</v>
      </c>
      <c r="J574" s="5">
        <v>0.0</v>
      </c>
      <c r="K574" s="5">
        <v>5.0</v>
      </c>
      <c r="L574" s="54"/>
      <c r="M574" s="5" t="s">
        <v>3267</v>
      </c>
      <c r="N574" s="53" t="s">
        <v>3268</v>
      </c>
      <c r="O574">
        <v>44.348399</v>
      </c>
      <c r="P574">
        <v>9.234647</v>
      </c>
      <c r="Q574" s="5" t="s">
        <v>1290</v>
      </c>
      <c r="R574" s="10">
        <f t="shared" si="10"/>
        <v>57</v>
      </c>
      <c r="S574" s="5" t="s">
        <v>3269</v>
      </c>
      <c r="T574" s="5"/>
      <c r="U574" s="5" t="s">
        <v>254</v>
      </c>
      <c r="V574" s="5" t="s">
        <v>3270</v>
      </c>
    </row>
    <row r="575" ht="12.75" customHeight="1">
      <c r="A575" s="5">
        <v>33897.0</v>
      </c>
      <c r="B575" s="5" t="s">
        <v>49</v>
      </c>
      <c r="C575" s="52" t="s">
        <v>50</v>
      </c>
      <c r="D575" s="5" t="s">
        <v>2852</v>
      </c>
      <c r="E575" s="7" t="s">
        <v>3271</v>
      </c>
      <c r="F575" s="5" t="s">
        <v>3086</v>
      </c>
      <c r="G575" s="5" t="s">
        <v>3249</v>
      </c>
      <c r="H575" s="5">
        <v>2012.0</v>
      </c>
      <c r="I575" s="5">
        <v>0.0</v>
      </c>
      <c r="J575" s="5">
        <v>0.0</v>
      </c>
      <c r="K575" s="5">
        <v>55.0</v>
      </c>
      <c r="L575" s="54"/>
      <c r="M575" s="5" t="s">
        <v>3272</v>
      </c>
      <c r="N575" s="53" t="s">
        <v>3273</v>
      </c>
      <c r="O575">
        <v>32.374298</v>
      </c>
      <c r="P575">
        <v>15.09492</v>
      </c>
      <c r="Q575" s="5" t="s">
        <v>466</v>
      </c>
      <c r="R575" s="10">
        <f t="shared" si="10"/>
        <v>56</v>
      </c>
      <c r="S575" s="5" t="s">
        <v>3274</v>
      </c>
      <c r="T575" s="6" t="s">
        <v>2130</v>
      </c>
      <c r="U575" s="5" t="s">
        <v>3128</v>
      </c>
      <c r="V575" s="5" t="s">
        <v>3275</v>
      </c>
    </row>
    <row r="576" ht="12.75" customHeight="1">
      <c r="A576" s="5">
        <v>33898.0</v>
      </c>
      <c r="B576" s="5" t="s">
        <v>41</v>
      </c>
      <c r="C576" s="5" t="s">
        <v>42</v>
      </c>
      <c r="D576" s="5" t="s">
        <v>2614</v>
      </c>
      <c r="E576" s="7" t="s">
        <v>3276</v>
      </c>
      <c r="F576" s="5" t="s">
        <v>3086</v>
      </c>
      <c r="G576" s="5" t="s">
        <v>3249</v>
      </c>
      <c r="H576" s="5">
        <v>2012.0</v>
      </c>
      <c r="I576" s="5">
        <v>0.0</v>
      </c>
      <c r="J576" s="5">
        <v>0.0</v>
      </c>
      <c r="K576" s="5">
        <v>2.0</v>
      </c>
      <c r="L576" s="54"/>
      <c r="M576" s="5" t="s">
        <v>3277</v>
      </c>
      <c r="N576" s="53" t="s">
        <v>2888</v>
      </c>
      <c r="O576">
        <v>24.088938</v>
      </c>
      <c r="P576">
        <v>32.899829</v>
      </c>
      <c r="Q576" s="5" t="s">
        <v>329</v>
      </c>
      <c r="R576" s="10">
        <f t="shared" si="10"/>
        <v>129</v>
      </c>
      <c r="S576" s="5" t="s">
        <v>3278</v>
      </c>
      <c r="T576" s="5"/>
      <c r="U576" s="5" t="s">
        <v>92</v>
      </c>
      <c r="V576" s="5" t="s">
        <v>3279</v>
      </c>
    </row>
    <row r="577" ht="12.75" customHeight="1">
      <c r="A577" s="5">
        <v>33899.0</v>
      </c>
      <c r="B577" s="5" t="s">
        <v>68</v>
      </c>
      <c r="C577" s="5" t="s">
        <v>69</v>
      </c>
      <c r="D577" s="5" t="s">
        <v>2852</v>
      </c>
      <c r="E577" s="7" t="s">
        <v>3276</v>
      </c>
      <c r="F577" s="5" t="s">
        <v>3086</v>
      </c>
      <c r="G577" s="5" t="s">
        <v>3249</v>
      </c>
      <c r="H577" s="5">
        <v>2012.0</v>
      </c>
      <c r="I577" s="5">
        <v>0.0</v>
      </c>
      <c r="J577" s="5">
        <v>0.0</v>
      </c>
      <c r="K577" s="5">
        <v>1.0</v>
      </c>
      <c r="L577" s="54"/>
      <c r="M577" s="5" t="s">
        <v>3280</v>
      </c>
      <c r="N577" s="53" t="s">
        <v>3281</v>
      </c>
      <c r="O577">
        <v>37.22813</v>
      </c>
      <c r="P577">
        <v>-6.890386</v>
      </c>
      <c r="Q577" s="5" t="s">
        <v>913</v>
      </c>
      <c r="R577" s="10">
        <f t="shared" si="10"/>
        <v>13</v>
      </c>
      <c r="S577" s="5" t="s">
        <v>3282</v>
      </c>
      <c r="T577" s="6" t="s">
        <v>72</v>
      </c>
      <c r="U577" s="5" t="s">
        <v>3283</v>
      </c>
      <c r="V577" s="5"/>
    </row>
    <row r="578" ht="12.75" customHeight="1">
      <c r="A578" s="5">
        <v>33900.0</v>
      </c>
      <c r="B578" s="5" t="s">
        <v>49</v>
      </c>
      <c r="C578" s="52" t="s">
        <v>50</v>
      </c>
      <c r="D578" s="5" t="s">
        <v>2614</v>
      </c>
      <c r="E578" s="7" t="s">
        <v>3284</v>
      </c>
      <c r="F578" s="5" t="s">
        <v>3086</v>
      </c>
      <c r="G578" s="5" t="s">
        <v>3249</v>
      </c>
      <c r="H578" s="5">
        <v>2012.0</v>
      </c>
      <c r="I578" s="5">
        <v>0.0</v>
      </c>
      <c r="J578" s="5">
        <v>0.0</v>
      </c>
      <c r="K578" s="5">
        <v>4.0</v>
      </c>
      <c r="L578" s="54"/>
      <c r="M578" s="5" t="s">
        <v>3285</v>
      </c>
      <c r="N578" s="53" t="s">
        <v>2718</v>
      </c>
      <c r="O578">
        <v>35.292278</v>
      </c>
      <c r="P578">
        <v>-2.938097</v>
      </c>
      <c r="Q578" s="5" t="s">
        <v>649</v>
      </c>
      <c r="R578" s="10">
        <f t="shared" si="10"/>
        <v>79</v>
      </c>
      <c r="S578" s="5" t="s">
        <v>3286</v>
      </c>
      <c r="T578" s="6" t="s">
        <v>72</v>
      </c>
      <c r="U578" s="5" t="s">
        <v>3287</v>
      </c>
      <c r="V578" s="5" t="s">
        <v>3288</v>
      </c>
    </row>
    <row r="579" ht="12.75" customHeight="1">
      <c r="A579" s="5">
        <v>33903.0</v>
      </c>
      <c r="B579" s="5" t="s">
        <v>68</v>
      </c>
      <c r="C579" s="5" t="s">
        <v>69</v>
      </c>
      <c r="D579" s="5" t="s">
        <v>2852</v>
      </c>
      <c r="E579" s="7" t="s">
        <v>3289</v>
      </c>
      <c r="F579" s="5" t="s">
        <v>3086</v>
      </c>
      <c r="G579" s="5" t="s">
        <v>3249</v>
      </c>
      <c r="H579" s="5">
        <v>2012.0</v>
      </c>
      <c r="I579" s="5">
        <v>0.0</v>
      </c>
      <c r="J579" s="5">
        <v>0.0</v>
      </c>
      <c r="K579" s="5">
        <v>40.0</v>
      </c>
      <c r="L579" s="54"/>
      <c r="M579" s="5" t="s">
        <v>3290</v>
      </c>
      <c r="N579" s="53" t="s">
        <v>2928</v>
      </c>
      <c r="O579">
        <v>26.3351</v>
      </c>
      <c r="P579">
        <v>17.228331</v>
      </c>
      <c r="Q579" s="5" t="s">
        <v>337</v>
      </c>
      <c r="R579" s="10">
        <f t="shared" si="10"/>
        <v>1371</v>
      </c>
      <c r="S579" s="5" t="s">
        <v>3291</v>
      </c>
      <c r="T579" s="6" t="s">
        <v>2130</v>
      </c>
      <c r="U579" s="5" t="s">
        <v>3292</v>
      </c>
      <c r="V579" s="5"/>
    </row>
    <row r="580" ht="12.75" customHeight="1">
      <c r="A580" s="5">
        <v>33902.0</v>
      </c>
      <c r="B580" s="5" t="s">
        <v>68</v>
      </c>
      <c r="C580" s="5" t="s">
        <v>69</v>
      </c>
      <c r="D580" s="5" t="s">
        <v>2852</v>
      </c>
      <c r="E580" s="7" t="s">
        <v>3289</v>
      </c>
      <c r="F580" s="5" t="s">
        <v>3086</v>
      </c>
      <c r="G580" s="5" t="s">
        <v>3249</v>
      </c>
      <c r="H580" s="5">
        <v>2012.0</v>
      </c>
      <c r="I580" s="5">
        <v>0.0</v>
      </c>
      <c r="J580" s="5">
        <v>0.0</v>
      </c>
      <c r="K580" s="5">
        <v>1.0</v>
      </c>
      <c r="L580" s="54"/>
      <c r="M580" s="5" t="s">
        <v>3293</v>
      </c>
      <c r="N580" s="53" t="s">
        <v>2928</v>
      </c>
      <c r="O580">
        <v>26.3351</v>
      </c>
      <c r="P580">
        <v>17.228331</v>
      </c>
      <c r="Q580" s="5" t="s">
        <v>337</v>
      </c>
      <c r="R580" s="10">
        <f t="shared" si="10"/>
        <v>1371</v>
      </c>
      <c r="S580" s="5" t="s">
        <v>3291</v>
      </c>
      <c r="T580" s="6" t="s">
        <v>2130</v>
      </c>
      <c r="U580" s="5" t="s">
        <v>3292</v>
      </c>
      <c r="V580" s="5"/>
    </row>
    <row r="581" ht="12.75" customHeight="1">
      <c r="A581" s="5">
        <v>33901.0</v>
      </c>
      <c r="B581" s="5" t="s">
        <v>68</v>
      </c>
      <c r="C581" s="5" t="s">
        <v>69</v>
      </c>
      <c r="D581" s="5" t="s">
        <v>2852</v>
      </c>
      <c r="E581" s="7" t="s">
        <v>3289</v>
      </c>
      <c r="F581" s="5" t="s">
        <v>3086</v>
      </c>
      <c r="G581" s="5" t="s">
        <v>3249</v>
      </c>
      <c r="H581" s="5">
        <v>2012.0</v>
      </c>
      <c r="I581" s="5">
        <v>0.0</v>
      </c>
      <c r="J581" s="5">
        <v>0.0</v>
      </c>
      <c r="K581" s="5">
        <v>15.0</v>
      </c>
      <c r="L581" s="54"/>
      <c r="M581" s="5" t="s">
        <v>3294</v>
      </c>
      <c r="N581" s="53" t="s">
        <v>3295</v>
      </c>
      <c r="O581">
        <v>26.3351</v>
      </c>
      <c r="P581">
        <v>17.228331</v>
      </c>
      <c r="Q581" s="5" t="s">
        <v>337</v>
      </c>
      <c r="R581" s="10">
        <f t="shared" si="10"/>
        <v>1371</v>
      </c>
      <c r="S581" s="5" t="s">
        <v>3296</v>
      </c>
      <c r="T581" s="6" t="s">
        <v>2130</v>
      </c>
      <c r="U581" s="5" t="s">
        <v>3292</v>
      </c>
      <c r="V581" s="5" t="s">
        <v>3297</v>
      </c>
    </row>
    <row r="582" ht="12.75" customHeight="1">
      <c r="A582" s="5">
        <v>33905.0</v>
      </c>
      <c r="B582" s="5" t="s">
        <v>1773</v>
      </c>
      <c r="C582" s="5" t="s">
        <v>124</v>
      </c>
      <c r="D582" s="5" t="s">
        <v>2852</v>
      </c>
      <c r="E582" s="7" t="s">
        <v>3298</v>
      </c>
      <c r="F582" s="5" t="s">
        <v>3086</v>
      </c>
      <c r="G582" s="5" t="s">
        <v>3249</v>
      </c>
      <c r="H582" s="5">
        <v>2012.0</v>
      </c>
      <c r="I582" s="5">
        <v>0.0</v>
      </c>
      <c r="J582" s="5">
        <v>0.0</v>
      </c>
      <c r="K582" s="5">
        <v>1.0</v>
      </c>
      <c r="L582" s="54"/>
      <c r="M582" s="5" t="s">
        <v>3299</v>
      </c>
      <c r="N582" s="53" t="s">
        <v>3300</v>
      </c>
      <c r="O582">
        <v>35.126413</v>
      </c>
      <c r="P582">
        <v>33.429859</v>
      </c>
      <c r="Q582" s="5" t="s">
        <v>624</v>
      </c>
      <c r="R582" s="10">
        <f t="shared" si="10"/>
        <v>40</v>
      </c>
      <c r="S582" s="5" t="s">
        <v>3301</v>
      </c>
      <c r="T582" s="5"/>
      <c r="U582" s="5" t="s">
        <v>3302</v>
      </c>
      <c r="V582" s="5"/>
    </row>
    <row r="583" ht="12.75" customHeight="1">
      <c r="A583" s="5">
        <v>33904.0</v>
      </c>
      <c r="B583" s="5" t="s">
        <v>49</v>
      </c>
      <c r="C583" s="52" t="s">
        <v>50</v>
      </c>
      <c r="D583" s="5" t="s">
        <v>2614</v>
      </c>
      <c r="E583" s="7" t="s">
        <v>3298</v>
      </c>
      <c r="F583" s="5" t="s">
        <v>3086</v>
      </c>
      <c r="G583" s="5" t="s">
        <v>3249</v>
      </c>
      <c r="H583" s="5">
        <v>2012.0</v>
      </c>
      <c r="I583" s="5">
        <v>0.0</v>
      </c>
      <c r="J583" s="5">
        <v>0.0</v>
      </c>
      <c r="K583" s="5">
        <v>1.0</v>
      </c>
      <c r="L583" s="54"/>
      <c r="M583" s="5" t="s">
        <v>3303</v>
      </c>
      <c r="N583" s="53" t="s">
        <v>2718</v>
      </c>
      <c r="O583">
        <v>35.292278</v>
      </c>
      <c r="P583">
        <v>-2.938097</v>
      </c>
      <c r="Q583" s="5" t="s">
        <v>649</v>
      </c>
      <c r="R583" s="10">
        <f t="shared" si="10"/>
        <v>79</v>
      </c>
      <c r="S583" s="5" t="s">
        <v>3304</v>
      </c>
      <c r="T583" s="6" t="s">
        <v>72</v>
      </c>
      <c r="U583" s="5" t="s">
        <v>3193</v>
      </c>
      <c r="V583" s="5" t="s">
        <v>3305</v>
      </c>
    </row>
    <row r="584" ht="12.75" customHeight="1">
      <c r="A584" s="5">
        <v>33906.0</v>
      </c>
      <c r="B584" s="5" t="s">
        <v>68</v>
      </c>
      <c r="C584" s="5" t="s">
        <v>69</v>
      </c>
      <c r="D584" s="5" t="s">
        <v>2852</v>
      </c>
      <c r="E584" s="7" t="s">
        <v>3306</v>
      </c>
      <c r="F584" s="5" t="s">
        <v>3086</v>
      </c>
      <c r="G584" s="5" t="s">
        <v>3249</v>
      </c>
      <c r="H584" s="5">
        <v>2012.0</v>
      </c>
      <c r="I584" s="5">
        <v>0.0</v>
      </c>
      <c r="J584" s="5">
        <v>0.0</v>
      </c>
      <c r="K584" s="5">
        <v>7.0</v>
      </c>
      <c r="L584" s="54"/>
      <c r="M584" s="5" t="s">
        <v>3307</v>
      </c>
      <c r="N584" s="53" t="s">
        <v>2938</v>
      </c>
      <c r="O584">
        <v>35.937496</v>
      </c>
      <c r="P584">
        <v>14.375416</v>
      </c>
      <c r="Q584" s="5" t="s">
        <v>740</v>
      </c>
      <c r="R584" s="10">
        <f t="shared" si="10"/>
        <v>655</v>
      </c>
      <c r="S584" s="5" t="s">
        <v>3308</v>
      </c>
      <c r="T584" s="6" t="s">
        <v>2130</v>
      </c>
      <c r="U584" s="5" t="s">
        <v>88</v>
      </c>
      <c r="V584" s="5"/>
    </row>
    <row r="585" ht="12.75" customHeight="1">
      <c r="A585" s="5">
        <v>33908.0</v>
      </c>
      <c r="B585" s="5" t="s">
        <v>49</v>
      </c>
      <c r="C585" s="52" t="s">
        <v>50</v>
      </c>
      <c r="D585" s="5" t="s">
        <v>2852</v>
      </c>
      <c r="E585" s="7" t="s">
        <v>3309</v>
      </c>
      <c r="F585" s="5" t="s">
        <v>3086</v>
      </c>
      <c r="G585" s="5" t="s">
        <v>3249</v>
      </c>
      <c r="H585" s="5">
        <v>2012.0</v>
      </c>
      <c r="I585" s="5">
        <v>0.0</v>
      </c>
      <c r="J585" s="5">
        <v>0.0</v>
      </c>
      <c r="K585" s="5">
        <v>1.0</v>
      </c>
      <c r="L585" s="54"/>
      <c r="M585" s="5" t="s">
        <v>3310</v>
      </c>
      <c r="N585" s="53" t="s">
        <v>2928</v>
      </c>
      <c r="O585">
        <v>26.3351</v>
      </c>
      <c r="P585">
        <v>17.228331</v>
      </c>
      <c r="Q585" s="5" t="s">
        <v>337</v>
      </c>
      <c r="R585" s="10">
        <f t="shared" si="10"/>
        <v>1371</v>
      </c>
      <c r="S585" s="5" t="s">
        <v>3311</v>
      </c>
      <c r="T585" s="6" t="s">
        <v>2130</v>
      </c>
      <c r="U585" s="5" t="s">
        <v>3312</v>
      </c>
      <c r="V585" s="5"/>
    </row>
    <row r="586" ht="12.75" customHeight="1">
      <c r="A586" s="5">
        <v>33909.0</v>
      </c>
      <c r="B586" s="5" t="s">
        <v>49</v>
      </c>
      <c r="C586" s="52" t="s">
        <v>50</v>
      </c>
      <c r="D586" s="5" t="s">
        <v>2852</v>
      </c>
      <c r="E586" s="7" t="s">
        <v>3309</v>
      </c>
      <c r="F586" s="5" t="s">
        <v>3086</v>
      </c>
      <c r="G586" s="5" t="s">
        <v>3249</v>
      </c>
      <c r="H586" s="5">
        <v>2012.0</v>
      </c>
      <c r="I586" s="5">
        <v>0.0</v>
      </c>
      <c r="J586" s="5">
        <v>0.0</v>
      </c>
      <c r="K586" s="5">
        <v>6.0</v>
      </c>
      <c r="L586" s="54"/>
      <c r="M586" s="5" t="s">
        <v>3313</v>
      </c>
      <c r="N586" s="53" t="s">
        <v>3314</v>
      </c>
      <c r="O586">
        <v>37.599994</v>
      </c>
      <c r="P586">
        <v>14.015356</v>
      </c>
      <c r="Q586" s="5" t="s">
        <v>949</v>
      </c>
      <c r="R586" s="10">
        <f t="shared" si="10"/>
        <v>363</v>
      </c>
      <c r="S586" s="5" t="s">
        <v>3315</v>
      </c>
      <c r="T586" s="6" t="s">
        <v>2130</v>
      </c>
      <c r="U586" s="5" t="s">
        <v>176</v>
      </c>
      <c r="V586" s="5"/>
    </row>
    <row r="587" ht="12.75" customHeight="1">
      <c r="A587" s="5">
        <v>33907.0</v>
      </c>
      <c r="B587" s="5" t="s">
        <v>1076</v>
      </c>
      <c r="C587" s="52" t="s">
        <v>50</v>
      </c>
      <c r="D587" s="5" t="s">
        <v>2614</v>
      </c>
      <c r="E587" s="7" t="s">
        <v>3309</v>
      </c>
      <c r="F587" s="5" t="s">
        <v>3086</v>
      </c>
      <c r="G587" s="5" t="s">
        <v>3249</v>
      </c>
      <c r="H587" s="5">
        <v>2012.0</v>
      </c>
      <c r="I587" s="5">
        <v>0.0</v>
      </c>
      <c r="J587" s="5">
        <v>0.0</v>
      </c>
      <c r="K587" s="5">
        <v>1.0</v>
      </c>
      <c r="L587" s="54"/>
      <c r="M587" s="5" t="s">
        <v>3316</v>
      </c>
      <c r="N587" s="53" t="s">
        <v>3171</v>
      </c>
      <c r="O587">
        <v>38.24664</v>
      </c>
      <c r="P587">
        <v>21.734574</v>
      </c>
      <c r="Q587" s="5" t="s">
        <v>1010</v>
      </c>
      <c r="R587" s="10">
        <f t="shared" si="10"/>
        <v>7</v>
      </c>
      <c r="S587" s="5" t="s">
        <v>3317</v>
      </c>
      <c r="T587" s="5"/>
      <c r="U587" s="5" t="s">
        <v>3318</v>
      </c>
      <c r="V587" s="5" t="s">
        <v>3319</v>
      </c>
    </row>
    <row r="588" ht="12.75" customHeight="1">
      <c r="A588" s="5">
        <v>33910.0</v>
      </c>
      <c r="B588" s="5" t="s">
        <v>2902</v>
      </c>
      <c r="C588" s="5" t="s">
        <v>211</v>
      </c>
      <c r="D588" s="5" t="s">
        <v>2852</v>
      </c>
      <c r="E588" s="7" t="s">
        <v>3320</v>
      </c>
      <c r="F588" s="5" t="s">
        <v>3086</v>
      </c>
      <c r="G588" s="5" t="s">
        <v>3249</v>
      </c>
      <c r="H588" s="5">
        <v>2012.0</v>
      </c>
      <c r="I588" s="5">
        <v>0.0</v>
      </c>
      <c r="J588" s="5">
        <v>0.0</v>
      </c>
      <c r="K588" s="5">
        <v>1.0</v>
      </c>
      <c r="L588" s="54"/>
      <c r="M588" s="5" t="s">
        <v>3321</v>
      </c>
      <c r="N588" s="53" t="s">
        <v>3322</v>
      </c>
      <c r="O588">
        <v>50.503887</v>
      </c>
      <c r="P588">
        <v>4.469936</v>
      </c>
      <c r="Q588" s="5" t="s">
        <v>1499</v>
      </c>
      <c r="R588" s="10">
        <f t="shared" si="10"/>
        <v>11</v>
      </c>
      <c r="S588" s="5" t="s">
        <v>3323</v>
      </c>
      <c r="T588" s="5"/>
      <c r="U588" s="5" t="s">
        <v>3128</v>
      </c>
      <c r="V588" s="5"/>
    </row>
    <row r="589" ht="12.75" customHeight="1">
      <c r="A589" s="5">
        <v>33947.0</v>
      </c>
      <c r="B589" s="5" t="s">
        <v>1161</v>
      </c>
      <c r="C589" s="5" t="s">
        <v>124</v>
      </c>
      <c r="D589" s="5" t="s">
        <v>2852</v>
      </c>
      <c r="E589" s="7" t="s">
        <v>3324</v>
      </c>
      <c r="F589" s="5" t="s">
        <v>3325</v>
      </c>
      <c r="G589" s="5" t="s">
        <v>3326</v>
      </c>
      <c r="H589" s="5">
        <v>2011.0</v>
      </c>
      <c r="I589" s="5">
        <v>0.0</v>
      </c>
      <c r="J589" s="5">
        <v>0.0</v>
      </c>
      <c r="K589" s="5">
        <v>4.0</v>
      </c>
      <c r="L589" s="54"/>
      <c r="M589" s="5" t="s">
        <v>3327</v>
      </c>
      <c r="N589" s="53" t="s">
        <v>3328</v>
      </c>
      <c r="O589">
        <v>48.856614</v>
      </c>
      <c r="P589">
        <v>2.352222</v>
      </c>
      <c r="Q589" s="5" t="s">
        <v>3329</v>
      </c>
      <c r="R589" s="10">
        <f t="shared" si="10"/>
        <v>30</v>
      </c>
      <c r="S589" s="5" t="s">
        <v>3330</v>
      </c>
      <c r="T589" s="5"/>
      <c r="U589" s="5" t="s">
        <v>3331</v>
      </c>
      <c r="V589" s="5"/>
    </row>
    <row r="590" ht="12.75" customHeight="1">
      <c r="A590" s="5">
        <v>33946.0</v>
      </c>
      <c r="B590" s="5" t="s">
        <v>1076</v>
      </c>
      <c r="C590" s="52" t="s">
        <v>50</v>
      </c>
      <c r="D590" s="5" t="s">
        <v>2852</v>
      </c>
      <c r="E590" s="7" t="s">
        <v>3324</v>
      </c>
      <c r="F590" s="5" t="s">
        <v>3325</v>
      </c>
      <c r="G590" s="5" t="s">
        <v>3326</v>
      </c>
      <c r="H590" s="5">
        <v>2011.0</v>
      </c>
      <c r="I590" s="5">
        <v>0.0</v>
      </c>
      <c r="J590" s="5">
        <v>0.0</v>
      </c>
      <c r="K590" s="5">
        <v>2.0</v>
      </c>
      <c r="L590" s="54"/>
      <c r="M590" s="5" t="s">
        <v>3332</v>
      </c>
      <c r="N590" s="53" t="s">
        <v>3328</v>
      </c>
      <c r="O590">
        <v>48.856614</v>
      </c>
      <c r="P590">
        <v>2.352222</v>
      </c>
      <c r="Q590" s="5" t="s">
        <v>3329</v>
      </c>
      <c r="R590" s="10">
        <f t="shared" si="10"/>
        <v>30</v>
      </c>
      <c r="S590" s="5" t="s">
        <v>3330</v>
      </c>
      <c r="T590" s="5"/>
      <c r="U590" s="5" t="s">
        <v>3331</v>
      </c>
      <c r="V590" s="5"/>
    </row>
    <row r="591" ht="12.75" customHeight="1">
      <c r="A591" s="5">
        <v>33948.0</v>
      </c>
      <c r="B591" s="5" t="s">
        <v>49</v>
      </c>
      <c r="C591" s="52" t="s">
        <v>50</v>
      </c>
      <c r="D591" s="5" t="s">
        <v>2614</v>
      </c>
      <c r="E591" s="7" t="s">
        <v>3333</v>
      </c>
      <c r="F591" s="5" t="s">
        <v>3325</v>
      </c>
      <c r="G591" s="5" t="s">
        <v>3326</v>
      </c>
      <c r="H591" s="5">
        <v>2011.0</v>
      </c>
      <c r="I591" s="5">
        <v>0.0</v>
      </c>
      <c r="J591" s="5">
        <v>0.0</v>
      </c>
      <c r="K591" s="5">
        <v>3.0</v>
      </c>
      <c r="L591" s="54"/>
      <c r="M591" s="5" t="s">
        <v>3334</v>
      </c>
      <c r="N591" s="53" t="s">
        <v>2733</v>
      </c>
      <c r="O591">
        <v>39.308771</v>
      </c>
      <c r="P591">
        <v>16.346379</v>
      </c>
      <c r="Q591" s="5" t="s">
        <v>1075</v>
      </c>
      <c r="R591" s="10">
        <f t="shared" si="10"/>
        <v>57</v>
      </c>
      <c r="S591" s="5" t="s">
        <v>3335</v>
      </c>
      <c r="T591" s="6" t="s">
        <v>1963</v>
      </c>
      <c r="U591" s="5" t="s">
        <v>3336</v>
      </c>
      <c r="V591" s="5" t="s">
        <v>3337</v>
      </c>
    </row>
    <row r="592" ht="12.75" customHeight="1">
      <c r="A592" s="5">
        <v>33949.0</v>
      </c>
      <c r="B592" s="5" t="s">
        <v>49</v>
      </c>
      <c r="C592" s="52" t="s">
        <v>50</v>
      </c>
      <c r="D592" s="5" t="s">
        <v>2614</v>
      </c>
      <c r="E592" s="7" t="s">
        <v>3338</v>
      </c>
      <c r="F592" s="5" t="s">
        <v>3325</v>
      </c>
      <c r="G592" s="5" t="s">
        <v>3326</v>
      </c>
      <c r="H592" s="5">
        <v>2011.0</v>
      </c>
      <c r="I592" s="5">
        <v>0.0</v>
      </c>
      <c r="J592" s="5">
        <v>0.0</v>
      </c>
      <c r="K592" s="5">
        <v>4.0</v>
      </c>
      <c r="L592" s="54"/>
      <c r="M592" s="5" t="s">
        <v>3339</v>
      </c>
      <c r="N592" s="53" t="s">
        <v>3340</v>
      </c>
      <c r="O592">
        <v>37.743215</v>
      </c>
      <c r="P592">
        <v>26.820351</v>
      </c>
      <c r="Q592" s="5" t="s">
        <v>956</v>
      </c>
      <c r="R592" s="10">
        <f t="shared" si="10"/>
        <v>218</v>
      </c>
      <c r="S592" s="5" t="s">
        <v>3341</v>
      </c>
      <c r="T592" s="6" t="s">
        <v>53</v>
      </c>
      <c r="U592" s="5" t="s">
        <v>3342</v>
      </c>
      <c r="V592" s="5" t="s">
        <v>3343</v>
      </c>
    </row>
    <row r="593" ht="12.75" customHeight="1">
      <c r="A593" s="5">
        <v>33950.0</v>
      </c>
      <c r="B593" s="5" t="s">
        <v>49</v>
      </c>
      <c r="C593" s="52" t="s">
        <v>50</v>
      </c>
      <c r="D593" s="5" t="s">
        <v>2852</v>
      </c>
      <c r="E593" s="7" t="s">
        <v>3344</v>
      </c>
      <c r="F593" s="5" t="s">
        <v>3325</v>
      </c>
      <c r="G593" s="5" t="s">
        <v>3326</v>
      </c>
      <c r="H593" s="5">
        <v>2011.0</v>
      </c>
      <c r="I593" s="5">
        <v>0.0</v>
      </c>
      <c r="J593" s="5">
        <v>0.0</v>
      </c>
      <c r="K593" s="5">
        <v>1.0</v>
      </c>
      <c r="L593" s="54"/>
      <c r="M593" s="5" t="s">
        <v>3345</v>
      </c>
      <c r="N593" s="53" t="s">
        <v>3346</v>
      </c>
      <c r="O593">
        <v>37.544271</v>
      </c>
      <c r="P593">
        <v>-4.727753</v>
      </c>
      <c r="Q593" s="5" t="s">
        <v>944</v>
      </c>
      <c r="R593" s="10">
        <f t="shared" si="10"/>
        <v>30</v>
      </c>
      <c r="S593" s="5" t="s">
        <v>3347</v>
      </c>
      <c r="T593" s="6" t="s">
        <v>72</v>
      </c>
      <c r="U593" s="5" t="s">
        <v>3348</v>
      </c>
      <c r="V593" s="5" t="s">
        <v>3349</v>
      </c>
    </row>
    <row r="594" ht="12.75" customHeight="1">
      <c r="A594" s="5">
        <v>33951.0</v>
      </c>
      <c r="B594" s="5" t="s">
        <v>49</v>
      </c>
      <c r="C594" s="52" t="s">
        <v>50</v>
      </c>
      <c r="D594" s="5" t="s">
        <v>2614</v>
      </c>
      <c r="E594" s="7" t="s">
        <v>3350</v>
      </c>
      <c r="F594" s="5" t="s">
        <v>3325</v>
      </c>
      <c r="G594" s="5" t="s">
        <v>3326</v>
      </c>
      <c r="H594" s="5">
        <v>2011.0</v>
      </c>
      <c r="I594" s="5">
        <v>0.0</v>
      </c>
      <c r="J594" s="5">
        <v>0.0</v>
      </c>
      <c r="K594" s="5">
        <v>17.0</v>
      </c>
      <c r="L594" s="54"/>
      <c r="M594" s="5" t="s">
        <v>3351</v>
      </c>
      <c r="N594" s="53" t="s">
        <v>3352</v>
      </c>
      <c r="O594">
        <v>36.866667</v>
      </c>
      <c r="P594">
        <v>6.9</v>
      </c>
      <c r="Q594" s="5" t="s">
        <v>869</v>
      </c>
      <c r="R594" s="10">
        <f t="shared" si="10"/>
        <v>18</v>
      </c>
      <c r="S594" s="5" t="s">
        <v>3353</v>
      </c>
      <c r="T594" s="6" t="s">
        <v>2130</v>
      </c>
      <c r="U594" s="5" t="s">
        <v>3354</v>
      </c>
      <c r="V594" s="5" t="s">
        <v>3355</v>
      </c>
    </row>
    <row r="595" ht="12.75" customHeight="1">
      <c r="A595" s="5">
        <v>33952.0</v>
      </c>
      <c r="B595" s="5" t="s">
        <v>68</v>
      </c>
      <c r="C595" s="5" t="s">
        <v>69</v>
      </c>
      <c r="D595" s="5" t="s">
        <v>2614</v>
      </c>
      <c r="E595" s="7" t="s">
        <v>3356</v>
      </c>
      <c r="F595" s="5" t="s">
        <v>3325</v>
      </c>
      <c r="G595" s="5" t="s">
        <v>3326</v>
      </c>
      <c r="H595" s="5">
        <v>2011.0</v>
      </c>
      <c r="I595" s="5">
        <v>0.0</v>
      </c>
      <c r="J595" s="5">
        <v>0.0</v>
      </c>
      <c r="K595" s="5">
        <v>2.0</v>
      </c>
      <c r="L595" s="54"/>
      <c r="M595" s="5" t="s">
        <v>3357</v>
      </c>
      <c r="N595" s="53" t="s">
        <v>3358</v>
      </c>
      <c r="O595">
        <v>36.146155</v>
      </c>
      <c r="P595">
        <v>-1.494141</v>
      </c>
      <c r="Q595" s="5" t="s">
        <v>776</v>
      </c>
      <c r="R595" s="10">
        <f t="shared" si="10"/>
        <v>15</v>
      </c>
      <c r="S595" s="5" t="s">
        <v>3359</v>
      </c>
      <c r="T595" s="6" t="s">
        <v>72</v>
      </c>
      <c r="U595" s="5" t="s">
        <v>3360</v>
      </c>
      <c r="V595" s="5" t="s">
        <v>3361</v>
      </c>
    </row>
    <row r="596" ht="12.75" customHeight="1">
      <c r="A596" s="5">
        <v>33953.0</v>
      </c>
      <c r="B596" s="5" t="s">
        <v>68</v>
      </c>
      <c r="C596" s="5" t="s">
        <v>69</v>
      </c>
      <c r="D596" s="5" t="s">
        <v>2852</v>
      </c>
      <c r="E596" s="7" t="s">
        <v>3356</v>
      </c>
      <c r="F596" s="5" t="s">
        <v>3325</v>
      </c>
      <c r="G596" s="5" t="s">
        <v>3326</v>
      </c>
      <c r="H596" s="5">
        <v>2011.0</v>
      </c>
      <c r="I596" s="5">
        <v>0.0</v>
      </c>
      <c r="J596" s="5">
        <v>0.0</v>
      </c>
      <c r="K596" s="5">
        <v>43.0</v>
      </c>
      <c r="L596" s="54"/>
      <c r="M596" s="5" t="s">
        <v>3362</v>
      </c>
      <c r="N596" s="53" t="s">
        <v>3268</v>
      </c>
      <c r="O596">
        <v>44.348399</v>
      </c>
      <c r="P596">
        <v>9.234647</v>
      </c>
      <c r="Q596" s="5" t="s">
        <v>1290</v>
      </c>
      <c r="R596" s="10">
        <f t="shared" si="10"/>
        <v>57</v>
      </c>
      <c r="S596" s="5" t="s">
        <v>3363</v>
      </c>
      <c r="T596" s="6" t="s">
        <v>2130</v>
      </c>
      <c r="U596" s="5" t="s">
        <v>3128</v>
      </c>
      <c r="V596" s="5"/>
    </row>
    <row r="597" ht="12.75" customHeight="1">
      <c r="A597" s="5">
        <v>33954.0</v>
      </c>
      <c r="B597" s="5" t="s">
        <v>49</v>
      </c>
      <c r="C597" s="52" t="s">
        <v>50</v>
      </c>
      <c r="D597" s="5" t="s">
        <v>2614</v>
      </c>
      <c r="E597" s="7" t="s">
        <v>3364</v>
      </c>
      <c r="F597" s="5" t="s">
        <v>3325</v>
      </c>
      <c r="G597" s="5" t="s">
        <v>3326</v>
      </c>
      <c r="H597" s="5">
        <v>2011.0</v>
      </c>
      <c r="I597" s="5">
        <v>0.0</v>
      </c>
      <c r="J597" s="5">
        <v>0.0</v>
      </c>
      <c r="K597" s="5">
        <v>1.0</v>
      </c>
      <c r="L597" s="54"/>
      <c r="M597" s="5" t="s">
        <v>3365</v>
      </c>
      <c r="N597" s="53" t="s">
        <v>2638</v>
      </c>
      <c r="O597">
        <v>35.888384</v>
      </c>
      <c r="P597">
        <v>-5.324636</v>
      </c>
      <c r="Q597" s="5" t="s">
        <v>717</v>
      </c>
      <c r="R597" s="10">
        <f t="shared" si="10"/>
        <v>213</v>
      </c>
      <c r="S597" s="5" t="s">
        <v>3366</v>
      </c>
      <c r="T597" s="6" t="s">
        <v>72</v>
      </c>
      <c r="U597" s="5" t="s">
        <v>3360</v>
      </c>
      <c r="V597" s="5" t="s">
        <v>3361</v>
      </c>
    </row>
    <row r="598" ht="12.75" customHeight="1">
      <c r="A598" s="5">
        <v>33955.0</v>
      </c>
      <c r="B598" s="5" t="s">
        <v>49</v>
      </c>
      <c r="C598" s="52" t="s">
        <v>50</v>
      </c>
      <c r="D598" s="5" t="s">
        <v>2614</v>
      </c>
      <c r="E598" s="7" t="s">
        <v>3367</v>
      </c>
      <c r="F598" s="5" t="s">
        <v>3325</v>
      </c>
      <c r="G598" s="5" t="s">
        <v>3326</v>
      </c>
      <c r="H598" s="5">
        <v>2011.0</v>
      </c>
      <c r="I598" s="5">
        <v>0.0</v>
      </c>
      <c r="J598" s="5">
        <v>0.0</v>
      </c>
      <c r="K598" s="5">
        <v>19.0</v>
      </c>
      <c r="L598" s="54"/>
      <c r="M598" s="5" t="s">
        <v>3368</v>
      </c>
      <c r="N598" s="53" t="s">
        <v>2733</v>
      </c>
      <c r="O598">
        <v>39.308771</v>
      </c>
      <c r="P598">
        <v>16.346379</v>
      </c>
      <c r="Q598" s="5" t="s">
        <v>1075</v>
      </c>
      <c r="R598" s="10">
        <f t="shared" si="10"/>
        <v>57</v>
      </c>
      <c r="S598" s="5" t="s">
        <v>3369</v>
      </c>
      <c r="T598" s="6" t="s">
        <v>1963</v>
      </c>
      <c r="U598" s="5" t="s">
        <v>3336</v>
      </c>
      <c r="V598" s="5" t="s">
        <v>3370</v>
      </c>
    </row>
    <row r="599" ht="12.75" customHeight="1">
      <c r="A599" s="5">
        <v>33956.0</v>
      </c>
      <c r="B599" s="5" t="s">
        <v>49</v>
      </c>
      <c r="C599" s="52" t="s">
        <v>50</v>
      </c>
      <c r="D599" s="5" t="s">
        <v>2614</v>
      </c>
      <c r="E599" s="7" t="s">
        <v>3371</v>
      </c>
      <c r="F599" s="5" t="s">
        <v>3325</v>
      </c>
      <c r="G599" s="5" t="s">
        <v>3326</v>
      </c>
      <c r="H599" s="5">
        <v>2011.0</v>
      </c>
      <c r="I599" s="5">
        <v>0.0</v>
      </c>
      <c r="J599" s="5">
        <v>0.0</v>
      </c>
      <c r="K599" s="5">
        <v>14.0</v>
      </c>
      <c r="L599" s="54"/>
      <c r="M599" s="5" t="s">
        <v>3372</v>
      </c>
      <c r="N599" s="53" t="s">
        <v>3373</v>
      </c>
      <c r="O599">
        <v>35.30241</v>
      </c>
      <c r="P599">
        <v>-1.14489</v>
      </c>
      <c r="Q599" s="5" t="s">
        <v>652</v>
      </c>
      <c r="R599" s="10">
        <f t="shared" si="10"/>
        <v>14</v>
      </c>
      <c r="S599" s="5" t="s">
        <v>3374</v>
      </c>
      <c r="T599" s="6" t="s">
        <v>72</v>
      </c>
      <c r="U599" s="5" t="s">
        <v>3354</v>
      </c>
      <c r="V599" s="5" t="s">
        <v>3375</v>
      </c>
    </row>
    <row r="600" ht="12.75" customHeight="1">
      <c r="A600" s="5">
        <v>33957.0</v>
      </c>
      <c r="B600" s="5" t="s">
        <v>49</v>
      </c>
      <c r="C600" s="52" t="s">
        <v>50</v>
      </c>
      <c r="D600" s="5" t="s">
        <v>2614</v>
      </c>
      <c r="E600" s="7" t="s">
        <v>3376</v>
      </c>
      <c r="F600" s="5" t="s">
        <v>3325</v>
      </c>
      <c r="G600" s="5" t="s">
        <v>3377</v>
      </c>
      <c r="H600" s="5">
        <v>2011.0</v>
      </c>
      <c r="I600" s="5">
        <v>0.0</v>
      </c>
      <c r="J600" s="5">
        <v>0.0</v>
      </c>
      <c r="K600" s="5">
        <v>1.0</v>
      </c>
      <c r="L600" s="54"/>
      <c r="M600" s="5" t="s">
        <v>3378</v>
      </c>
      <c r="N600" s="53" t="s">
        <v>3379</v>
      </c>
      <c r="O600">
        <v>36.834047</v>
      </c>
      <c r="P600">
        <v>-2.463714</v>
      </c>
      <c r="Q600" s="5" t="s">
        <v>863</v>
      </c>
      <c r="R600" s="10">
        <f t="shared" si="10"/>
        <v>208</v>
      </c>
      <c r="S600" s="5" t="s">
        <v>3380</v>
      </c>
      <c r="T600" s="6" t="s">
        <v>72</v>
      </c>
      <c r="U600" s="5" t="s">
        <v>3360</v>
      </c>
      <c r="V600" s="5" t="s">
        <v>3361</v>
      </c>
    </row>
    <row r="601" ht="12.75" customHeight="1">
      <c r="A601" s="5">
        <v>33958.0</v>
      </c>
      <c r="B601" s="5" t="s">
        <v>41</v>
      </c>
      <c r="C601" s="5" t="s">
        <v>42</v>
      </c>
      <c r="D601" s="5" t="s">
        <v>2852</v>
      </c>
      <c r="E601" s="7" t="s">
        <v>3381</v>
      </c>
      <c r="F601" s="5" t="s">
        <v>3325</v>
      </c>
      <c r="G601" s="5" t="s">
        <v>3377</v>
      </c>
      <c r="H601" s="5">
        <v>2011.0</v>
      </c>
      <c r="I601" s="5">
        <v>0.0</v>
      </c>
      <c r="J601" s="5">
        <v>0.0</v>
      </c>
      <c r="K601" s="5">
        <v>1.0</v>
      </c>
      <c r="L601" s="54"/>
      <c r="M601" s="5" t="s">
        <v>3382</v>
      </c>
      <c r="N601" s="53" t="s">
        <v>2834</v>
      </c>
      <c r="O601">
        <v>41.244376</v>
      </c>
      <c r="P601">
        <v>26.135943</v>
      </c>
      <c r="Q601" s="5" t="s">
        <v>1214</v>
      </c>
      <c r="R601" s="10">
        <f t="shared" si="10"/>
        <v>188</v>
      </c>
      <c r="S601" s="5" t="s">
        <v>3383</v>
      </c>
      <c r="T601" s="6" t="s">
        <v>53</v>
      </c>
      <c r="U601" s="5" t="s">
        <v>3384</v>
      </c>
      <c r="V601" s="5"/>
    </row>
    <row r="602" ht="12.75" customHeight="1">
      <c r="A602" s="5">
        <v>33959.0</v>
      </c>
      <c r="B602" s="5" t="s">
        <v>49</v>
      </c>
      <c r="C602" s="52" t="s">
        <v>50</v>
      </c>
      <c r="D602" s="5" t="s">
        <v>2614</v>
      </c>
      <c r="E602" s="7" t="s">
        <v>3385</v>
      </c>
      <c r="F602" s="5" t="s">
        <v>3325</v>
      </c>
      <c r="G602" s="5" t="s">
        <v>3377</v>
      </c>
      <c r="H602" s="5">
        <v>2011.0</v>
      </c>
      <c r="I602" s="5">
        <v>0.0</v>
      </c>
      <c r="J602" s="5">
        <v>0.0</v>
      </c>
      <c r="K602" s="5">
        <v>2.0</v>
      </c>
      <c r="L602" s="54"/>
      <c r="M602" s="5" t="s">
        <v>3386</v>
      </c>
      <c r="N602" s="53" t="s">
        <v>2700</v>
      </c>
      <c r="O602">
        <v>35.508622</v>
      </c>
      <c r="P602">
        <v>12.59292</v>
      </c>
      <c r="Q602" s="5" t="s">
        <v>669</v>
      </c>
      <c r="R602" s="10">
        <f t="shared" si="10"/>
        <v>3843</v>
      </c>
      <c r="S602" s="5" t="s">
        <v>3387</v>
      </c>
      <c r="T602" s="6" t="s">
        <v>2130</v>
      </c>
      <c r="U602" s="5" t="s">
        <v>3388</v>
      </c>
      <c r="V602" s="5" t="s">
        <v>3389</v>
      </c>
    </row>
    <row r="603" ht="12.75" customHeight="1">
      <c r="A603" s="5">
        <v>33960.0</v>
      </c>
      <c r="B603" s="5" t="s">
        <v>41</v>
      </c>
      <c r="C603" s="5" t="s">
        <v>42</v>
      </c>
      <c r="D603" s="5" t="s">
        <v>2614</v>
      </c>
      <c r="E603" s="7" t="s">
        <v>3390</v>
      </c>
      <c r="F603" s="5" t="s">
        <v>3325</v>
      </c>
      <c r="G603" s="5" t="s">
        <v>3377</v>
      </c>
      <c r="H603" s="5">
        <v>2011.0</v>
      </c>
      <c r="I603" s="5">
        <v>0.0</v>
      </c>
      <c r="J603" s="5">
        <v>0.0</v>
      </c>
      <c r="K603" s="5">
        <v>2.0</v>
      </c>
      <c r="L603" s="54"/>
      <c r="M603" s="5" t="s">
        <v>3391</v>
      </c>
      <c r="N603" s="53" t="s">
        <v>2888</v>
      </c>
      <c r="O603">
        <v>24.088938</v>
      </c>
      <c r="P603">
        <v>32.899829</v>
      </c>
      <c r="Q603" s="5" t="s">
        <v>329</v>
      </c>
      <c r="R603" s="10">
        <f t="shared" si="10"/>
        <v>129</v>
      </c>
      <c r="S603" s="5" t="s">
        <v>3392</v>
      </c>
      <c r="T603" s="5"/>
      <c r="U603" s="5" t="s">
        <v>3393</v>
      </c>
      <c r="V603" s="5" t="s">
        <v>3394</v>
      </c>
    </row>
    <row r="604" ht="12.75" customHeight="1">
      <c r="A604" s="5">
        <v>33961.0</v>
      </c>
      <c r="B604" s="5" t="s">
        <v>49</v>
      </c>
      <c r="C604" s="52" t="s">
        <v>50</v>
      </c>
      <c r="D604" s="5" t="s">
        <v>2614</v>
      </c>
      <c r="E604" s="7" t="s">
        <v>3395</v>
      </c>
      <c r="F604" s="5" t="s">
        <v>3325</v>
      </c>
      <c r="G604" s="5" t="s">
        <v>3377</v>
      </c>
      <c r="H604" s="5">
        <v>2011.0</v>
      </c>
      <c r="I604" s="5">
        <v>0.0</v>
      </c>
      <c r="J604" s="5">
        <v>0.0</v>
      </c>
      <c r="K604" s="5">
        <v>3.0</v>
      </c>
      <c r="L604" s="54"/>
      <c r="M604" s="5" t="s">
        <v>3396</v>
      </c>
      <c r="N604" s="53" t="s">
        <v>3397</v>
      </c>
      <c r="O604">
        <v>37.973976</v>
      </c>
      <c r="P604">
        <v>12.054691</v>
      </c>
      <c r="Q604" s="5" t="s">
        <v>970</v>
      </c>
      <c r="R604" s="10">
        <f t="shared" si="10"/>
        <v>3</v>
      </c>
      <c r="S604" s="5" t="s">
        <v>3398</v>
      </c>
      <c r="T604" s="6" t="s">
        <v>2130</v>
      </c>
      <c r="U604" s="5" t="s">
        <v>2326</v>
      </c>
      <c r="V604" s="5" t="s">
        <v>3399</v>
      </c>
    </row>
    <row r="605" ht="12.75" customHeight="1">
      <c r="A605" s="5">
        <v>33962.0</v>
      </c>
      <c r="B605" s="5" t="s">
        <v>41</v>
      </c>
      <c r="C605" s="5" t="s">
        <v>42</v>
      </c>
      <c r="D605" s="5" t="s">
        <v>2614</v>
      </c>
      <c r="E605" s="7" t="s">
        <v>3400</v>
      </c>
      <c r="F605" s="5" t="s">
        <v>3325</v>
      </c>
      <c r="G605" s="5" t="s">
        <v>3377</v>
      </c>
      <c r="H605" s="5">
        <v>2011.0</v>
      </c>
      <c r="I605" s="5">
        <v>0.0</v>
      </c>
      <c r="J605" s="5">
        <v>0.0</v>
      </c>
      <c r="K605" s="5">
        <v>1.0</v>
      </c>
      <c r="L605" s="54"/>
      <c r="M605" s="5" t="s">
        <v>3401</v>
      </c>
      <c r="N605" s="53" t="s">
        <v>2888</v>
      </c>
      <c r="O605">
        <v>24.088938</v>
      </c>
      <c r="P605">
        <v>32.899829</v>
      </c>
      <c r="Q605" s="5" t="s">
        <v>329</v>
      </c>
      <c r="R605" s="10">
        <f t="shared" si="10"/>
        <v>129</v>
      </c>
      <c r="S605" s="5" t="s">
        <v>3402</v>
      </c>
      <c r="T605" s="5"/>
      <c r="U605" s="5" t="s">
        <v>3403</v>
      </c>
      <c r="V605" s="5" t="s">
        <v>3404</v>
      </c>
    </row>
    <row r="606" ht="12.75" customHeight="1">
      <c r="A606" s="5">
        <v>33963.0</v>
      </c>
      <c r="B606" s="5" t="s">
        <v>68</v>
      </c>
      <c r="C606" s="5" t="s">
        <v>69</v>
      </c>
      <c r="D606" s="5" t="s">
        <v>2614</v>
      </c>
      <c r="E606" s="7" t="s">
        <v>3405</v>
      </c>
      <c r="F606" s="5" t="s">
        <v>3325</v>
      </c>
      <c r="G606" s="5" t="s">
        <v>3377</v>
      </c>
      <c r="H606" s="5">
        <v>2011.0</v>
      </c>
      <c r="I606" s="5">
        <v>0.0</v>
      </c>
      <c r="J606" s="5">
        <v>0.0</v>
      </c>
      <c r="K606" s="5">
        <v>2.0</v>
      </c>
      <c r="L606" s="54"/>
      <c r="M606" s="5" t="s">
        <v>3406</v>
      </c>
      <c r="N606" s="53" t="s">
        <v>2638</v>
      </c>
      <c r="O606">
        <v>35.888384</v>
      </c>
      <c r="P606">
        <v>-5.324636</v>
      </c>
      <c r="Q606" s="5" t="s">
        <v>717</v>
      </c>
      <c r="R606" s="10">
        <f t="shared" si="10"/>
        <v>213</v>
      </c>
      <c r="S606" s="5" t="s">
        <v>3407</v>
      </c>
      <c r="T606" s="6" t="s">
        <v>72</v>
      </c>
      <c r="U606" s="5" t="s">
        <v>2635</v>
      </c>
      <c r="V606" s="5" t="s">
        <v>3408</v>
      </c>
    </row>
    <row r="607" ht="12.75" customHeight="1">
      <c r="A607" s="5">
        <v>33965.0</v>
      </c>
      <c r="B607" s="5" t="s">
        <v>3409</v>
      </c>
      <c r="C607" s="5" t="s">
        <v>211</v>
      </c>
      <c r="D607" s="5" t="s">
        <v>2852</v>
      </c>
      <c r="E607" s="7" t="s">
        <v>3410</v>
      </c>
      <c r="F607" s="5" t="s">
        <v>3325</v>
      </c>
      <c r="G607" s="5" t="s">
        <v>3377</v>
      </c>
      <c r="H607" s="5">
        <v>2011.0</v>
      </c>
      <c r="I607" s="5">
        <v>0.0</v>
      </c>
      <c r="J607" s="5">
        <v>0.0</v>
      </c>
      <c r="K607" s="5">
        <v>1.0</v>
      </c>
      <c r="L607" s="54"/>
      <c r="M607" s="5" t="s">
        <v>3411</v>
      </c>
      <c r="N607" s="53" t="s">
        <v>3412</v>
      </c>
      <c r="O607">
        <v>52.370216</v>
      </c>
      <c r="P607">
        <v>4.895168</v>
      </c>
      <c r="Q607" s="5" t="s">
        <v>1753</v>
      </c>
      <c r="R607" s="10">
        <f t="shared" si="10"/>
        <v>14</v>
      </c>
      <c r="S607" s="5" t="s">
        <v>3413</v>
      </c>
      <c r="T607" s="5"/>
      <c r="U607" s="5" t="s">
        <v>3414</v>
      </c>
      <c r="V607" s="5"/>
    </row>
    <row r="608" ht="12.75" customHeight="1">
      <c r="A608" s="5">
        <v>33966.0</v>
      </c>
      <c r="B608" s="5" t="s">
        <v>2921</v>
      </c>
      <c r="C608" s="52" t="s">
        <v>50</v>
      </c>
      <c r="D608" s="5" t="s">
        <v>2852</v>
      </c>
      <c r="E608" s="7" t="s">
        <v>3415</v>
      </c>
      <c r="F608" s="5" t="s">
        <v>3325</v>
      </c>
      <c r="G608" s="5" t="s">
        <v>3416</v>
      </c>
      <c r="H608" s="5">
        <v>2011.0</v>
      </c>
      <c r="I608" s="5">
        <v>0.0</v>
      </c>
      <c r="J608" s="5">
        <v>0.0</v>
      </c>
      <c r="K608" s="5">
        <v>1.0</v>
      </c>
      <c r="L608" s="54"/>
      <c r="M608" s="5" t="s">
        <v>3417</v>
      </c>
      <c r="N608" s="53" t="s">
        <v>2834</v>
      </c>
      <c r="O608">
        <v>41.244376</v>
      </c>
      <c r="P608">
        <v>26.135943</v>
      </c>
      <c r="Q608" s="5" t="s">
        <v>1214</v>
      </c>
      <c r="R608" s="10">
        <f t="shared" si="10"/>
        <v>188</v>
      </c>
      <c r="S608" s="5" t="s">
        <v>3418</v>
      </c>
      <c r="T608" s="6" t="s">
        <v>53</v>
      </c>
      <c r="U608" s="5" t="s">
        <v>3419</v>
      </c>
      <c r="V608" s="5"/>
    </row>
    <row r="609" ht="12.75" customHeight="1">
      <c r="A609" s="5">
        <v>33967.0</v>
      </c>
      <c r="B609" s="5" t="s">
        <v>49</v>
      </c>
      <c r="C609" s="52" t="s">
        <v>50</v>
      </c>
      <c r="D609" s="5" t="s">
        <v>2852</v>
      </c>
      <c r="E609" s="7" t="s">
        <v>3420</v>
      </c>
      <c r="F609" s="5" t="s">
        <v>3325</v>
      </c>
      <c r="G609" s="5" t="s">
        <v>3416</v>
      </c>
      <c r="H609" s="5">
        <v>2011.0</v>
      </c>
      <c r="I609" s="5">
        <v>0.0</v>
      </c>
      <c r="J609" s="5">
        <v>0.0</v>
      </c>
      <c r="K609" s="5">
        <v>30.0</v>
      </c>
      <c r="L609" s="54"/>
      <c r="M609" s="5" t="s">
        <v>3421</v>
      </c>
      <c r="N609" s="53" t="s">
        <v>2820</v>
      </c>
      <c r="O609">
        <v>31.200092</v>
      </c>
      <c r="P609">
        <v>29.918739</v>
      </c>
      <c r="Q609" s="5" t="s">
        <v>427</v>
      </c>
      <c r="R609" s="10">
        <f t="shared" si="10"/>
        <v>133</v>
      </c>
      <c r="S609" s="5" t="s">
        <v>3422</v>
      </c>
      <c r="T609" s="6" t="s">
        <v>2130</v>
      </c>
      <c r="U609" s="5" t="s">
        <v>3423</v>
      </c>
      <c r="V609" s="5" t="s">
        <v>3424</v>
      </c>
    </row>
    <row r="610" ht="12.75" customHeight="1">
      <c r="A610" s="5">
        <v>33968.0</v>
      </c>
      <c r="B610" s="5" t="s">
        <v>2421</v>
      </c>
      <c r="C610" s="5" t="s">
        <v>124</v>
      </c>
      <c r="D610" s="5" t="s">
        <v>2852</v>
      </c>
      <c r="E610" s="7" t="s">
        <v>3425</v>
      </c>
      <c r="F610" s="5" t="s">
        <v>3325</v>
      </c>
      <c r="G610" s="5" t="s">
        <v>3416</v>
      </c>
      <c r="H610" s="5">
        <v>2011.0</v>
      </c>
      <c r="I610" s="5">
        <v>0.0</v>
      </c>
      <c r="J610" s="5">
        <v>0.0</v>
      </c>
      <c r="K610" s="5">
        <v>1.0</v>
      </c>
      <c r="L610" s="54"/>
      <c r="M610" s="5" t="s">
        <v>3426</v>
      </c>
      <c r="N610" s="53" t="s">
        <v>3427</v>
      </c>
      <c r="O610">
        <v>40.463667</v>
      </c>
      <c r="P610">
        <v>-3.74922</v>
      </c>
      <c r="Q610" s="5" t="s">
        <v>1142</v>
      </c>
      <c r="R610" s="10">
        <f t="shared" si="10"/>
        <v>6</v>
      </c>
      <c r="S610" s="5" t="s">
        <v>3428</v>
      </c>
      <c r="T610" s="6" t="s">
        <v>72</v>
      </c>
      <c r="U610" s="5" t="s">
        <v>3128</v>
      </c>
      <c r="V610" s="5"/>
    </row>
    <row r="611" ht="12.75" customHeight="1">
      <c r="A611" s="5">
        <v>33969.0</v>
      </c>
      <c r="B611" s="5" t="s">
        <v>49</v>
      </c>
      <c r="C611" s="52" t="s">
        <v>50</v>
      </c>
      <c r="D611" s="5" t="s">
        <v>2852</v>
      </c>
      <c r="E611" s="7" t="s">
        <v>3429</v>
      </c>
      <c r="F611" s="5" t="s">
        <v>3325</v>
      </c>
      <c r="G611" s="5" t="s">
        <v>3416</v>
      </c>
      <c r="H611" s="5">
        <v>2011.0</v>
      </c>
      <c r="I611" s="5">
        <v>0.0</v>
      </c>
      <c r="J611" s="5">
        <v>0.0</v>
      </c>
      <c r="K611" s="5">
        <v>54.0</v>
      </c>
      <c r="L611" s="54"/>
      <c r="M611" s="5" t="s">
        <v>3430</v>
      </c>
      <c r="N611" s="53" t="s">
        <v>2638</v>
      </c>
      <c r="O611">
        <v>35.888384</v>
      </c>
      <c r="P611">
        <v>-5.324636</v>
      </c>
      <c r="Q611" s="5" t="s">
        <v>717</v>
      </c>
      <c r="R611" s="10">
        <f t="shared" si="10"/>
        <v>213</v>
      </c>
      <c r="S611" s="5" t="s">
        <v>3431</v>
      </c>
      <c r="T611" s="6" t="s">
        <v>72</v>
      </c>
      <c r="U611" s="5" t="s">
        <v>3432</v>
      </c>
      <c r="V611" s="5" t="s">
        <v>3433</v>
      </c>
    </row>
    <row r="612" ht="12.75" customHeight="1">
      <c r="A612" s="5">
        <v>33970.0</v>
      </c>
      <c r="B612" s="5" t="s">
        <v>1761</v>
      </c>
      <c r="C612" s="5" t="s">
        <v>124</v>
      </c>
      <c r="D612" s="5" t="s">
        <v>2852</v>
      </c>
      <c r="E612" s="7" t="s">
        <v>3434</v>
      </c>
      <c r="F612" s="5" t="s">
        <v>3325</v>
      </c>
      <c r="G612" s="5" t="s">
        <v>3416</v>
      </c>
      <c r="H612" s="5">
        <v>2011.0</v>
      </c>
      <c r="I612" s="5">
        <v>0.0</v>
      </c>
      <c r="J612" s="5">
        <v>0.0</v>
      </c>
      <c r="K612" s="5">
        <v>2.0</v>
      </c>
      <c r="L612" s="54"/>
      <c r="M612" s="5" t="s">
        <v>3435</v>
      </c>
      <c r="N612" s="53" t="s">
        <v>3436</v>
      </c>
      <c r="O612">
        <v>40.894241</v>
      </c>
      <c r="P612">
        <v>26.172202</v>
      </c>
      <c r="Q612" s="5" t="s">
        <v>1172</v>
      </c>
      <c r="R612" s="10">
        <f t="shared" si="10"/>
        <v>2</v>
      </c>
      <c r="S612" s="5" t="s">
        <v>3437</v>
      </c>
      <c r="T612" s="5"/>
      <c r="U612" s="5" t="s">
        <v>3128</v>
      </c>
      <c r="V612" s="5"/>
    </row>
    <row r="613" ht="12.75" customHeight="1">
      <c r="A613" s="5">
        <v>33971.0</v>
      </c>
      <c r="B613" s="5" t="s">
        <v>41</v>
      </c>
      <c r="C613" s="5" t="s">
        <v>42</v>
      </c>
      <c r="D613" s="5" t="s">
        <v>2614</v>
      </c>
      <c r="E613" s="7" t="s">
        <v>3438</v>
      </c>
      <c r="F613" s="5" t="s">
        <v>3325</v>
      </c>
      <c r="G613" s="5" t="s">
        <v>3416</v>
      </c>
      <c r="H613" s="5">
        <v>2011.0</v>
      </c>
      <c r="I613" s="5">
        <v>0.0</v>
      </c>
      <c r="J613" s="5">
        <v>0.0</v>
      </c>
      <c r="K613" s="5">
        <v>1.0</v>
      </c>
      <c r="L613" s="54"/>
      <c r="M613" s="5" t="s">
        <v>3439</v>
      </c>
      <c r="N613" s="53" t="s">
        <v>2888</v>
      </c>
      <c r="O613">
        <v>24.088938</v>
      </c>
      <c r="P613">
        <v>32.899829</v>
      </c>
      <c r="Q613" s="5" t="s">
        <v>329</v>
      </c>
      <c r="R613" s="10">
        <f t="shared" si="10"/>
        <v>129</v>
      </c>
      <c r="S613" s="5" t="s">
        <v>3440</v>
      </c>
      <c r="T613" s="5"/>
      <c r="U613" s="5" t="s">
        <v>3441</v>
      </c>
      <c r="V613" s="5" t="s">
        <v>3442</v>
      </c>
    </row>
    <row r="614" ht="12.75" customHeight="1">
      <c r="A614" s="5">
        <v>33972.0</v>
      </c>
      <c r="B614" s="5" t="s">
        <v>1995</v>
      </c>
      <c r="C614" s="52" t="s">
        <v>50</v>
      </c>
      <c r="D614" s="5" t="s">
        <v>2852</v>
      </c>
      <c r="E614" s="7" t="s">
        <v>3443</v>
      </c>
      <c r="F614" s="5" t="s">
        <v>3444</v>
      </c>
      <c r="G614" s="5" t="s">
        <v>3445</v>
      </c>
      <c r="H614" s="5">
        <v>2011.0</v>
      </c>
      <c r="I614" s="5">
        <v>0.0</v>
      </c>
      <c r="J614" s="5">
        <v>0.0</v>
      </c>
      <c r="K614" s="5">
        <v>1.0</v>
      </c>
      <c r="L614" s="54"/>
      <c r="M614" s="5" t="s">
        <v>3446</v>
      </c>
      <c r="N614" s="53" t="s">
        <v>3447</v>
      </c>
      <c r="O614">
        <v>42.602636</v>
      </c>
      <c r="P614">
        <v>20.902977</v>
      </c>
      <c r="Q614" s="5" t="s">
        <v>1255</v>
      </c>
      <c r="R614" s="10">
        <f t="shared" si="10"/>
        <v>1</v>
      </c>
      <c r="S614" s="5" t="s">
        <v>3448</v>
      </c>
      <c r="T614" s="5"/>
      <c r="U614" s="5" t="s">
        <v>3449</v>
      </c>
      <c r="V614" s="5" t="s">
        <v>3450</v>
      </c>
    </row>
    <row r="615" ht="12.75" customHeight="1">
      <c r="A615" s="5">
        <v>33973.0</v>
      </c>
      <c r="B615" s="5" t="s">
        <v>2921</v>
      </c>
      <c r="C615" s="52" t="s">
        <v>50</v>
      </c>
      <c r="D615" s="5" t="s">
        <v>2852</v>
      </c>
      <c r="E615" s="7" t="s">
        <v>3451</v>
      </c>
      <c r="F615" s="5" t="s">
        <v>3444</v>
      </c>
      <c r="G615" s="5" t="s">
        <v>3445</v>
      </c>
      <c r="H615" s="5">
        <v>2011.0</v>
      </c>
      <c r="I615" s="5">
        <v>0.0</v>
      </c>
      <c r="J615" s="5">
        <v>0.0</v>
      </c>
      <c r="K615" s="5">
        <v>1.0</v>
      </c>
      <c r="L615" s="54"/>
      <c r="M615" s="5" t="s">
        <v>3452</v>
      </c>
      <c r="N615" s="53" t="s">
        <v>2638</v>
      </c>
      <c r="O615">
        <v>35.888384</v>
      </c>
      <c r="P615">
        <v>-5.324636</v>
      </c>
      <c r="Q615" s="5" t="s">
        <v>717</v>
      </c>
      <c r="R615" s="10">
        <f t="shared" si="10"/>
        <v>213</v>
      </c>
      <c r="S615" s="5" t="s">
        <v>3453</v>
      </c>
      <c r="T615" s="6" t="s">
        <v>72</v>
      </c>
      <c r="U615" s="5" t="s">
        <v>3454</v>
      </c>
      <c r="V615" s="5"/>
    </row>
    <row r="616" ht="12.75" customHeight="1">
      <c r="A616" s="5">
        <v>33974.0</v>
      </c>
      <c r="B616" s="5" t="s">
        <v>41</v>
      </c>
      <c r="C616" s="5" t="s">
        <v>42</v>
      </c>
      <c r="D616" s="5" t="s">
        <v>2614</v>
      </c>
      <c r="E616" s="7" t="s">
        <v>3455</v>
      </c>
      <c r="F616" s="5" t="s">
        <v>3444</v>
      </c>
      <c r="G616" s="5" t="s">
        <v>3445</v>
      </c>
      <c r="H616" s="5">
        <v>2011.0</v>
      </c>
      <c r="I616" s="5">
        <v>0.0</v>
      </c>
      <c r="J616" s="5">
        <v>0.0</v>
      </c>
      <c r="K616" s="5">
        <v>4.0</v>
      </c>
      <c r="L616" s="54"/>
      <c r="M616" s="5" t="s">
        <v>3456</v>
      </c>
      <c r="N616" s="53" t="s">
        <v>2888</v>
      </c>
      <c r="O616">
        <v>24.088938</v>
      </c>
      <c r="P616">
        <v>32.899829</v>
      </c>
      <c r="Q616" s="5" t="s">
        <v>329</v>
      </c>
      <c r="R616" s="10">
        <f t="shared" si="10"/>
        <v>129</v>
      </c>
      <c r="S616" s="5" t="s">
        <v>3457</v>
      </c>
      <c r="T616" s="5"/>
      <c r="U616" s="5" t="s">
        <v>254</v>
      </c>
      <c r="V616" s="5" t="s">
        <v>3458</v>
      </c>
    </row>
    <row r="617" ht="12.75" customHeight="1">
      <c r="A617" s="5">
        <v>33976.0</v>
      </c>
      <c r="B617" s="5" t="s">
        <v>1995</v>
      </c>
      <c r="C617" s="52" t="s">
        <v>50</v>
      </c>
      <c r="D617" s="5" t="s">
        <v>2852</v>
      </c>
      <c r="E617" s="7" t="s">
        <v>3455</v>
      </c>
      <c r="F617" s="5" t="s">
        <v>3444</v>
      </c>
      <c r="G617" s="5" t="s">
        <v>3445</v>
      </c>
      <c r="H617" s="5">
        <v>2011.0</v>
      </c>
      <c r="I617" s="5">
        <v>0.0</v>
      </c>
      <c r="J617" s="5">
        <v>0.0</v>
      </c>
      <c r="K617" s="5">
        <v>1.0</v>
      </c>
      <c r="L617" s="54"/>
      <c r="M617" s="5" t="s">
        <v>3459</v>
      </c>
      <c r="N617" s="53" t="s">
        <v>2700</v>
      </c>
      <c r="O617">
        <v>35.508622</v>
      </c>
      <c r="P617">
        <v>12.59292</v>
      </c>
      <c r="Q617" s="5" t="s">
        <v>669</v>
      </c>
      <c r="R617" s="10">
        <f t="shared" si="10"/>
        <v>3843</v>
      </c>
      <c r="S617" s="5" t="s">
        <v>3460</v>
      </c>
      <c r="T617" s="6" t="s">
        <v>2130</v>
      </c>
      <c r="U617" s="5" t="s">
        <v>3461</v>
      </c>
      <c r="V617" s="5" t="s">
        <v>3462</v>
      </c>
    </row>
    <row r="618" ht="12.75" customHeight="1">
      <c r="A618" s="5">
        <v>33977.0</v>
      </c>
      <c r="B618" s="5" t="s">
        <v>49</v>
      </c>
      <c r="C618" s="52" t="s">
        <v>50</v>
      </c>
      <c r="D618" s="5" t="s">
        <v>2852</v>
      </c>
      <c r="E618" s="7" t="s">
        <v>3455</v>
      </c>
      <c r="F618" s="5" t="s">
        <v>3444</v>
      </c>
      <c r="G618" s="5" t="s">
        <v>3445</v>
      </c>
      <c r="H618" s="5">
        <v>2011.0</v>
      </c>
      <c r="I618" s="5">
        <v>0.0</v>
      </c>
      <c r="J618" s="5">
        <v>0.0</v>
      </c>
      <c r="K618" s="5">
        <v>45.0</v>
      </c>
      <c r="L618" s="54"/>
      <c r="M618" s="5" t="s">
        <v>3463</v>
      </c>
      <c r="N618" s="53" t="s">
        <v>3464</v>
      </c>
      <c r="O618">
        <v>36.748374</v>
      </c>
      <c r="P618">
        <v>-3.516861</v>
      </c>
      <c r="Q618" s="5" t="s">
        <v>832</v>
      </c>
      <c r="R618" s="10">
        <f t="shared" si="10"/>
        <v>69</v>
      </c>
      <c r="S618" s="5" t="s">
        <v>3465</v>
      </c>
      <c r="T618" s="6" t="s">
        <v>72</v>
      </c>
      <c r="U618" s="5" t="s">
        <v>3466</v>
      </c>
      <c r="V618" s="5" t="s">
        <v>3467</v>
      </c>
    </row>
    <row r="619" ht="12.75" customHeight="1">
      <c r="A619" s="5">
        <v>33975.0</v>
      </c>
      <c r="B619" s="5" t="s">
        <v>49</v>
      </c>
      <c r="C619" s="52" t="s">
        <v>50</v>
      </c>
      <c r="D619" s="5" t="s">
        <v>2852</v>
      </c>
      <c r="E619" s="7" t="s">
        <v>3455</v>
      </c>
      <c r="F619" s="5" t="s">
        <v>3444</v>
      </c>
      <c r="G619" s="5" t="s">
        <v>3445</v>
      </c>
      <c r="H619" s="5">
        <v>2011.0</v>
      </c>
      <c r="I619" s="5">
        <v>0.0</v>
      </c>
      <c r="J619" s="5">
        <v>0.0</v>
      </c>
      <c r="K619" s="5">
        <v>1.0</v>
      </c>
      <c r="L619" s="54"/>
      <c r="M619" s="5" t="s">
        <v>3468</v>
      </c>
      <c r="N619" s="53" t="s">
        <v>3469</v>
      </c>
      <c r="O619">
        <v>37.177336</v>
      </c>
      <c r="P619">
        <v>-3.598557</v>
      </c>
      <c r="Q619" s="5" t="s">
        <v>909</v>
      </c>
      <c r="R619" s="10">
        <f t="shared" si="10"/>
        <v>38</v>
      </c>
      <c r="S619" s="5" t="s">
        <v>3470</v>
      </c>
      <c r="T619" s="6" t="s">
        <v>72</v>
      </c>
      <c r="U619" s="5" t="s">
        <v>3466</v>
      </c>
      <c r="V619" s="5"/>
    </row>
    <row r="620" ht="12.75" customHeight="1">
      <c r="A620" s="5">
        <v>33978.0</v>
      </c>
      <c r="B620" s="5" t="s">
        <v>68</v>
      </c>
      <c r="C620" s="5" t="s">
        <v>69</v>
      </c>
      <c r="D620" s="5" t="s">
        <v>2614</v>
      </c>
      <c r="E620" s="7" t="s">
        <v>3471</v>
      </c>
      <c r="F620" s="5" t="s">
        <v>3444</v>
      </c>
      <c r="G620" s="5" t="s">
        <v>3445</v>
      </c>
      <c r="H620" s="5">
        <v>2011.0</v>
      </c>
      <c r="I620" s="5">
        <v>0.0</v>
      </c>
      <c r="J620" s="5">
        <v>0.0</v>
      </c>
      <c r="K620" s="5">
        <v>1.0</v>
      </c>
      <c r="L620" s="54"/>
      <c r="M620" s="5" t="s">
        <v>3472</v>
      </c>
      <c r="N620" s="53" t="s">
        <v>3314</v>
      </c>
      <c r="O620">
        <v>37.599994</v>
      </c>
      <c r="P620">
        <v>14.015356</v>
      </c>
      <c r="Q620" s="5" t="s">
        <v>949</v>
      </c>
      <c r="R620" s="10">
        <f t="shared" si="10"/>
        <v>363</v>
      </c>
      <c r="S620" s="5" t="s">
        <v>3473</v>
      </c>
      <c r="T620" s="6" t="s">
        <v>2130</v>
      </c>
      <c r="U620" s="5" t="s">
        <v>2619</v>
      </c>
      <c r="V620" s="5" t="s">
        <v>3474</v>
      </c>
    </row>
    <row r="621" ht="12.75" customHeight="1">
      <c r="A621" s="5">
        <v>33982.0</v>
      </c>
      <c r="B621" s="5" t="s">
        <v>49</v>
      </c>
      <c r="C621" s="52" t="s">
        <v>50</v>
      </c>
      <c r="D621" s="5" t="s">
        <v>2852</v>
      </c>
      <c r="E621" s="7" t="s">
        <v>3475</v>
      </c>
      <c r="F621" s="5" t="s">
        <v>3444</v>
      </c>
      <c r="G621" s="5" t="s">
        <v>3445</v>
      </c>
      <c r="H621" s="5">
        <v>2011.0</v>
      </c>
      <c r="I621" s="5">
        <v>0.0</v>
      </c>
      <c r="J621" s="5">
        <v>0.0</v>
      </c>
      <c r="K621" s="5">
        <v>1.0</v>
      </c>
      <c r="L621" s="54"/>
      <c r="M621" s="5" t="s">
        <v>3476</v>
      </c>
      <c r="N621" s="53" t="s">
        <v>3005</v>
      </c>
      <c r="O621">
        <v>31.791702</v>
      </c>
      <c r="P621">
        <v>-7.09262</v>
      </c>
      <c r="Q621" s="5" t="s">
        <v>439</v>
      </c>
      <c r="R621" s="10">
        <f t="shared" si="10"/>
        <v>77</v>
      </c>
      <c r="S621" s="5" t="s">
        <v>3477</v>
      </c>
      <c r="T621" s="6" t="s">
        <v>2130</v>
      </c>
      <c r="U621" s="5" t="s">
        <v>2934</v>
      </c>
      <c r="V621" s="5"/>
    </row>
    <row r="622" ht="12.75" customHeight="1">
      <c r="A622" s="5">
        <v>33981.0</v>
      </c>
      <c r="B622" s="5" t="s">
        <v>2040</v>
      </c>
      <c r="C622" s="52" t="s">
        <v>50</v>
      </c>
      <c r="D622" s="5" t="s">
        <v>2852</v>
      </c>
      <c r="E622" s="7" t="s">
        <v>3475</v>
      </c>
      <c r="F622" s="5" t="s">
        <v>3444</v>
      </c>
      <c r="G622" s="5" t="s">
        <v>3445</v>
      </c>
      <c r="H622" s="5">
        <v>2011.0</v>
      </c>
      <c r="I622" s="5">
        <v>0.0</v>
      </c>
      <c r="J622" s="5">
        <v>0.0</v>
      </c>
      <c r="K622" s="5">
        <v>2.0</v>
      </c>
      <c r="L622" s="54"/>
      <c r="M622" s="5" t="s">
        <v>3478</v>
      </c>
      <c r="N622" s="53" t="s">
        <v>3005</v>
      </c>
      <c r="O622">
        <v>31.791702</v>
      </c>
      <c r="P622">
        <v>-7.09262</v>
      </c>
      <c r="Q622" s="5" t="s">
        <v>439</v>
      </c>
      <c r="R622" s="10">
        <f t="shared" si="10"/>
        <v>77</v>
      </c>
      <c r="S622" s="5" t="s">
        <v>3477</v>
      </c>
      <c r="T622" s="6" t="s">
        <v>2130</v>
      </c>
      <c r="U622" s="5" t="s">
        <v>2934</v>
      </c>
      <c r="V622" s="5"/>
    </row>
    <row r="623" ht="12.75" customHeight="1">
      <c r="A623" s="5">
        <v>33979.0</v>
      </c>
      <c r="B623" s="5" t="s">
        <v>49</v>
      </c>
      <c r="C623" s="52" t="s">
        <v>50</v>
      </c>
      <c r="D623" s="5" t="s">
        <v>2614</v>
      </c>
      <c r="E623" s="7" t="s">
        <v>3475</v>
      </c>
      <c r="F623" s="5" t="s">
        <v>3444</v>
      </c>
      <c r="G623" s="5" t="s">
        <v>3445</v>
      </c>
      <c r="H623" s="5">
        <v>2011.0</v>
      </c>
      <c r="I623" s="5">
        <v>0.0</v>
      </c>
      <c r="J623" s="5">
        <v>0.0</v>
      </c>
      <c r="K623" s="5">
        <v>1.0</v>
      </c>
      <c r="L623" s="54"/>
      <c r="M623" s="5" t="s">
        <v>3479</v>
      </c>
      <c r="N623" s="53" t="s">
        <v>2638</v>
      </c>
      <c r="O623">
        <v>35.888384</v>
      </c>
      <c r="P623">
        <v>-5.324636</v>
      </c>
      <c r="Q623" s="5" t="s">
        <v>717</v>
      </c>
      <c r="R623" s="10">
        <f t="shared" si="10"/>
        <v>213</v>
      </c>
      <c r="S623" s="5" t="s">
        <v>3480</v>
      </c>
      <c r="T623" s="6" t="s">
        <v>72</v>
      </c>
      <c r="U623" s="5" t="s">
        <v>3360</v>
      </c>
      <c r="V623" s="5" t="s">
        <v>3361</v>
      </c>
    </row>
    <row r="624" ht="12.75" customHeight="1">
      <c r="A624" s="5">
        <v>33980.0</v>
      </c>
      <c r="B624" s="5" t="s">
        <v>68</v>
      </c>
      <c r="C624" s="5" t="s">
        <v>69</v>
      </c>
      <c r="D624" s="5" t="s">
        <v>2852</v>
      </c>
      <c r="E624" s="7" t="s">
        <v>3475</v>
      </c>
      <c r="F624" s="5" t="s">
        <v>3444</v>
      </c>
      <c r="G624" s="5" t="s">
        <v>3445</v>
      </c>
      <c r="H624" s="5">
        <v>2011.0</v>
      </c>
      <c r="I624" s="5">
        <v>0.0</v>
      </c>
      <c r="J624" s="5">
        <v>0.0</v>
      </c>
      <c r="K624" s="5">
        <v>2.0</v>
      </c>
      <c r="L624" s="54"/>
      <c r="M624" s="5" t="s">
        <v>3481</v>
      </c>
      <c r="N624" s="53" t="s">
        <v>2938</v>
      </c>
      <c r="O624">
        <v>35.937496</v>
      </c>
      <c r="P624">
        <v>14.375416</v>
      </c>
      <c r="Q624" s="5" t="s">
        <v>740</v>
      </c>
      <c r="R624" s="10">
        <f t="shared" si="10"/>
        <v>655</v>
      </c>
      <c r="S624" s="5" t="s">
        <v>3482</v>
      </c>
      <c r="T624" s="6" t="s">
        <v>2130</v>
      </c>
      <c r="U624" s="5" t="s">
        <v>3483</v>
      </c>
      <c r="V624" s="5"/>
    </row>
    <row r="625" ht="12.75" customHeight="1">
      <c r="A625" s="5">
        <v>33983.0</v>
      </c>
      <c r="B625" s="5" t="s">
        <v>68</v>
      </c>
      <c r="C625" s="5" t="s">
        <v>69</v>
      </c>
      <c r="D625" s="5" t="s">
        <v>2852</v>
      </c>
      <c r="E625" s="7" t="s">
        <v>3475</v>
      </c>
      <c r="F625" s="5" t="s">
        <v>3444</v>
      </c>
      <c r="G625" s="5" t="s">
        <v>3445</v>
      </c>
      <c r="H625" s="5">
        <v>2011.0</v>
      </c>
      <c r="I625" s="5">
        <v>0.0</v>
      </c>
      <c r="J625" s="5">
        <v>0.0</v>
      </c>
      <c r="K625" s="5">
        <v>1.0</v>
      </c>
      <c r="L625" s="54"/>
      <c r="M625" s="5" t="s">
        <v>3484</v>
      </c>
      <c r="N625" s="53" t="s">
        <v>3485</v>
      </c>
      <c r="O625">
        <v>38.041285</v>
      </c>
      <c r="P625">
        <v>23.541755</v>
      </c>
      <c r="Q625" s="5" t="s">
        <v>994</v>
      </c>
      <c r="R625" s="10">
        <f t="shared" si="10"/>
        <v>1</v>
      </c>
      <c r="S625" s="5" t="s">
        <v>3486</v>
      </c>
      <c r="T625" s="6" t="s">
        <v>53</v>
      </c>
      <c r="U625" s="5" t="s">
        <v>3128</v>
      </c>
      <c r="V625" s="5"/>
    </row>
    <row r="626" ht="12.75" customHeight="1">
      <c r="A626" s="5">
        <v>33985.0</v>
      </c>
      <c r="B626" s="5" t="s">
        <v>49</v>
      </c>
      <c r="C626" s="52" t="s">
        <v>50</v>
      </c>
      <c r="D626" s="5" t="s">
        <v>2852</v>
      </c>
      <c r="E626" s="7" t="s">
        <v>3487</v>
      </c>
      <c r="F626" s="5" t="s">
        <v>3444</v>
      </c>
      <c r="G626" s="5" t="s">
        <v>3445</v>
      </c>
      <c r="H626" s="5">
        <v>2011.0</v>
      </c>
      <c r="I626" s="5">
        <v>0.0</v>
      </c>
      <c r="J626" s="5">
        <v>0.0</v>
      </c>
      <c r="K626" s="5">
        <v>45.0</v>
      </c>
      <c r="L626" s="54"/>
      <c r="M626" s="5" t="s">
        <v>3488</v>
      </c>
      <c r="N626" s="53" t="s">
        <v>2917</v>
      </c>
      <c r="O626">
        <v>32.876174</v>
      </c>
      <c r="P626">
        <v>13.187507</v>
      </c>
      <c r="Q626" s="5" t="s">
        <v>481</v>
      </c>
      <c r="R626" s="10">
        <f t="shared" si="10"/>
        <v>1281</v>
      </c>
      <c r="S626" s="5" t="s">
        <v>3489</v>
      </c>
      <c r="T626" s="6" t="s">
        <v>2130</v>
      </c>
      <c r="U626" s="5" t="s">
        <v>3490</v>
      </c>
      <c r="V626" s="5"/>
    </row>
    <row r="627" ht="12.75" customHeight="1">
      <c r="A627" s="5">
        <v>33986.0</v>
      </c>
      <c r="B627" s="5" t="s">
        <v>49</v>
      </c>
      <c r="C627" s="52" t="s">
        <v>50</v>
      </c>
      <c r="D627" s="5" t="s">
        <v>2852</v>
      </c>
      <c r="E627" s="7" t="s">
        <v>3487</v>
      </c>
      <c r="F627" s="5" t="s">
        <v>3444</v>
      </c>
      <c r="G627" s="5" t="s">
        <v>3445</v>
      </c>
      <c r="H627" s="5">
        <v>2011.0</v>
      </c>
      <c r="I627" s="5">
        <v>0.0</v>
      </c>
      <c r="J627" s="5">
        <v>0.0</v>
      </c>
      <c r="K627" s="5">
        <v>3.0</v>
      </c>
      <c r="L627" s="54"/>
      <c r="M627" s="5" t="s">
        <v>3491</v>
      </c>
      <c r="N627" s="53" t="s">
        <v>2700</v>
      </c>
      <c r="O627">
        <v>35.508622</v>
      </c>
      <c r="P627">
        <v>12.59292</v>
      </c>
      <c r="Q627" s="5" t="s">
        <v>669</v>
      </c>
      <c r="R627" s="10">
        <f t="shared" si="10"/>
        <v>3843</v>
      </c>
      <c r="S627" s="5" t="s">
        <v>3492</v>
      </c>
      <c r="T627" s="6" t="s">
        <v>2130</v>
      </c>
      <c r="U627" s="5" t="s">
        <v>3490</v>
      </c>
      <c r="V627" s="5" t="s">
        <v>3493</v>
      </c>
    </row>
    <row r="628" ht="12.75" customHeight="1">
      <c r="A628" s="5">
        <v>33984.0</v>
      </c>
      <c r="B628" s="5" t="s">
        <v>49</v>
      </c>
      <c r="C628" s="52" t="s">
        <v>50</v>
      </c>
      <c r="D628" s="5" t="s">
        <v>2614</v>
      </c>
      <c r="E628" s="7" t="s">
        <v>3487</v>
      </c>
      <c r="F628" s="5" t="s">
        <v>3444</v>
      </c>
      <c r="G628" s="5" t="s">
        <v>3445</v>
      </c>
      <c r="H628" s="5">
        <v>2011.0</v>
      </c>
      <c r="I628" s="5">
        <v>0.0</v>
      </c>
      <c r="J628" s="5">
        <v>0.0</v>
      </c>
      <c r="K628" s="5">
        <v>26.0</v>
      </c>
      <c r="L628" s="54"/>
      <c r="M628" s="5" t="s">
        <v>3494</v>
      </c>
      <c r="N628" s="53" t="s">
        <v>2700</v>
      </c>
      <c r="O628">
        <v>35.508622</v>
      </c>
      <c r="P628">
        <v>12.59292</v>
      </c>
      <c r="Q628" s="5" t="s">
        <v>669</v>
      </c>
      <c r="R628" s="10">
        <f t="shared" si="10"/>
        <v>3843</v>
      </c>
      <c r="S628" s="5" t="s">
        <v>3492</v>
      </c>
      <c r="T628" s="6" t="s">
        <v>2130</v>
      </c>
      <c r="U628" s="5" t="s">
        <v>2326</v>
      </c>
      <c r="V628" s="5" t="s">
        <v>3495</v>
      </c>
    </row>
    <row r="629" ht="12.75" customHeight="1">
      <c r="A629" s="5">
        <v>33987.0</v>
      </c>
      <c r="B629" s="5" t="s">
        <v>49</v>
      </c>
      <c r="C629" s="52" t="s">
        <v>50</v>
      </c>
      <c r="D629" s="5" t="s">
        <v>2852</v>
      </c>
      <c r="E629" s="7" t="s">
        <v>3496</v>
      </c>
      <c r="F629" s="5" t="s">
        <v>3444</v>
      </c>
      <c r="G629" s="5" t="s">
        <v>3445</v>
      </c>
      <c r="H629" s="5">
        <v>2011.0</v>
      </c>
      <c r="I629" s="5">
        <v>0.0</v>
      </c>
      <c r="J629" s="5">
        <v>0.0</v>
      </c>
      <c r="K629" s="5">
        <v>220.0</v>
      </c>
      <c r="L629" s="54"/>
      <c r="M629" s="5" t="s">
        <v>3497</v>
      </c>
      <c r="N629" s="53" t="s">
        <v>2700</v>
      </c>
      <c r="O629">
        <v>35.508622</v>
      </c>
      <c r="P629">
        <v>12.59292</v>
      </c>
      <c r="Q629" s="5" t="s">
        <v>669</v>
      </c>
      <c r="R629" s="10">
        <f t="shared" si="10"/>
        <v>3843</v>
      </c>
      <c r="S629" s="5" t="s">
        <v>3498</v>
      </c>
      <c r="T629" s="6" t="s">
        <v>2130</v>
      </c>
      <c r="U629" s="5" t="s">
        <v>3499</v>
      </c>
      <c r="V629" s="5" t="s">
        <v>3500</v>
      </c>
    </row>
    <row r="630" ht="12.75" customHeight="1">
      <c r="A630" s="5">
        <v>33988.0</v>
      </c>
      <c r="B630" s="5" t="s">
        <v>49</v>
      </c>
      <c r="C630" s="52" t="s">
        <v>50</v>
      </c>
      <c r="D630" s="5" t="s">
        <v>2852</v>
      </c>
      <c r="E630" s="7" t="s">
        <v>3501</v>
      </c>
      <c r="F630" s="5" t="s">
        <v>3444</v>
      </c>
      <c r="G630" s="5" t="s">
        <v>3445</v>
      </c>
      <c r="H630" s="5">
        <v>2011.0</v>
      </c>
      <c r="I630" s="5">
        <v>0.0</v>
      </c>
      <c r="J630" s="5">
        <v>0.0</v>
      </c>
      <c r="K630" s="5">
        <v>18.0</v>
      </c>
      <c r="L630" s="54"/>
      <c r="M630" s="5" t="s">
        <v>3502</v>
      </c>
      <c r="N630" s="53" t="s">
        <v>3503</v>
      </c>
      <c r="O630">
        <v>35.240117</v>
      </c>
      <c r="P630">
        <v>24.809269</v>
      </c>
      <c r="Q630" s="5" t="s">
        <v>641</v>
      </c>
      <c r="R630" s="10">
        <f t="shared" si="10"/>
        <v>84</v>
      </c>
      <c r="S630" s="5" t="s">
        <v>3504</v>
      </c>
      <c r="T630" s="6" t="s">
        <v>53</v>
      </c>
      <c r="U630" s="5" t="s">
        <v>3505</v>
      </c>
      <c r="V630" s="5" t="s">
        <v>3506</v>
      </c>
    </row>
    <row r="631" ht="12.75" customHeight="1">
      <c r="A631" s="5">
        <v>33989.0</v>
      </c>
      <c r="B631" s="5" t="s">
        <v>49</v>
      </c>
      <c r="C631" s="52" t="s">
        <v>50</v>
      </c>
      <c r="D631" s="5" t="s">
        <v>2852</v>
      </c>
      <c r="E631" s="7" t="s">
        <v>3507</v>
      </c>
      <c r="F631" s="5" t="s">
        <v>3444</v>
      </c>
      <c r="G631" s="5" t="s">
        <v>3508</v>
      </c>
      <c r="H631" s="5">
        <v>2011.0</v>
      </c>
      <c r="I631" s="5">
        <v>0.0</v>
      </c>
      <c r="J631" s="5">
        <v>0.0</v>
      </c>
      <c r="K631" s="5">
        <v>2.0</v>
      </c>
      <c r="L631" s="54"/>
      <c r="M631" s="5" t="s">
        <v>3509</v>
      </c>
      <c r="N631" s="53" t="s">
        <v>2834</v>
      </c>
      <c r="O631">
        <v>41.244376</v>
      </c>
      <c r="P631">
        <v>26.135943</v>
      </c>
      <c r="Q631" s="5" t="s">
        <v>1214</v>
      </c>
      <c r="R631" s="10">
        <f t="shared" si="10"/>
        <v>188</v>
      </c>
      <c r="S631" s="5" t="s">
        <v>3510</v>
      </c>
      <c r="T631" s="6" t="s">
        <v>53</v>
      </c>
      <c r="U631" s="5" t="s">
        <v>3511</v>
      </c>
      <c r="V631" s="5" t="s">
        <v>3512</v>
      </c>
    </row>
    <row r="632" ht="12.75" customHeight="1">
      <c r="A632" s="5">
        <v>33990.0</v>
      </c>
      <c r="B632" s="5" t="s">
        <v>49</v>
      </c>
      <c r="C632" s="52" t="s">
        <v>50</v>
      </c>
      <c r="D632" s="5" t="s">
        <v>2852</v>
      </c>
      <c r="E632" s="7" t="s">
        <v>3513</v>
      </c>
      <c r="F632" s="5" t="s">
        <v>3444</v>
      </c>
      <c r="G632" s="5" t="s">
        <v>3508</v>
      </c>
      <c r="H632" s="5">
        <v>2011.0</v>
      </c>
      <c r="I632" s="5">
        <v>0.0</v>
      </c>
      <c r="J632" s="5">
        <v>0.0</v>
      </c>
      <c r="K632" s="5">
        <v>4.0</v>
      </c>
      <c r="L632" s="54"/>
      <c r="M632" s="5" t="s">
        <v>3514</v>
      </c>
      <c r="N632" s="53" t="s">
        <v>2928</v>
      </c>
      <c r="O632">
        <v>26.3351</v>
      </c>
      <c r="P632">
        <v>17.228331</v>
      </c>
      <c r="Q632" s="5" t="s">
        <v>337</v>
      </c>
      <c r="R632" s="10">
        <f t="shared" si="10"/>
        <v>1371</v>
      </c>
      <c r="S632" s="5" t="s">
        <v>3515</v>
      </c>
      <c r="T632" s="6" t="s">
        <v>2130</v>
      </c>
      <c r="U632" s="5" t="s">
        <v>3516</v>
      </c>
      <c r="V632" s="5"/>
    </row>
    <row r="633" ht="12.75" customHeight="1">
      <c r="A633" s="5">
        <v>33991.0</v>
      </c>
      <c r="B633" s="5" t="s">
        <v>68</v>
      </c>
      <c r="C633" s="5" t="s">
        <v>69</v>
      </c>
      <c r="D633" s="5" t="s">
        <v>2852</v>
      </c>
      <c r="E633" s="7" t="s">
        <v>3513</v>
      </c>
      <c r="F633" s="5" t="s">
        <v>3444</v>
      </c>
      <c r="G633" s="5" t="s">
        <v>3508</v>
      </c>
      <c r="H633" s="5">
        <v>2011.0</v>
      </c>
      <c r="I633" s="5">
        <v>0.0</v>
      </c>
      <c r="J633" s="5">
        <v>0.0</v>
      </c>
      <c r="K633" s="5">
        <v>3.0</v>
      </c>
      <c r="L633" s="54"/>
      <c r="M633" s="5" t="s">
        <v>3517</v>
      </c>
      <c r="N633" s="53" t="s">
        <v>3518</v>
      </c>
      <c r="O633">
        <v>39.063264</v>
      </c>
      <c r="P633">
        <v>8.45407</v>
      </c>
      <c r="Q633" s="5" t="s">
        <v>1058</v>
      </c>
      <c r="R633" s="10">
        <f t="shared" si="10"/>
        <v>3</v>
      </c>
      <c r="S633" s="5" t="s">
        <v>3519</v>
      </c>
      <c r="T633" s="6" t="s">
        <v>2130</v>
      </c>
      <c r="U633" s="5" t="s">
        <v>3520</v>
      </c>
      <c r="V633" s="5"/>
    </row>
    <row r="634" ht="12.75" customHeight="1">
      <c r="A634" s="5">
        <v>33992.0</v>
      </c>
      <c r="B634" s="5" t="s">
        <v>3521</v>
      </c>
      <c r="C634" s="5" t="s">
        <v>62</v>
      </c>
      <c r="D634" s="5" t="s">
        <v>2614</v>
      </c>
      <c r="E634" s="7" t="s">
        <v>3522</v>
      </c>
      <c r="F634" s="5" t="s">
        <v>3444</v>
      </c>
      <c r="G634" s="5" t="s">
        <v>3508</v>
      </c>
      <c r="H634" s="5">
        <v>2011.0</v>
      </c>
      <c r="I634" s="5">
        <v>0.0</v>
      </c>
      <c r="J634" s="5">
        <v>0.0</v>
      </c>
      <c r="K634" s="5">
        <v>4.0</v>
      </c>
      <c r="L634" s="54"/>
      <c r="M634" s="5" t="s">
        <v>3523</v>
      </c>
      <c r="N634" s="53" t="s">
        <v>3524</v>
      </c>
      <c r="O634">
        <v>36.81881</v>
      </c>
      <c r="P634">
        <v>10.16596</v>
      </c>
      <c r="Q634" s="5" t="s">
        <v>854</v>
      </c>
      <c r="R634" s="10">
        <f t="shared" si="10"/>
        <v>540</v>
      </c>
      <c r="S634" s="5" t="s">
        <v>3525</v>
      </c>
      <c r="T634" s="6" t="s">
        <v>2130</v>
      </c>
      <c r="U634" s="5" t="s">
        <v>3403</v>
      </c>
      <c r="V634" s="5" t="s">
        <v>3526</v>
      </c>
    </row>
    <row r="635" ht="12.75" customHeight="1">
      <c r="A635" s="5">
        <v>33993.0</v>
      </c>
      <c r="B635" s="5" t="s">
        <v>68</v>
      </c>
      <c r="C635" s="5" t="s">
        <v>69</v>
      </c>
      <c r="D635" s="5" t="s">
        <v>2614</v>
      </c>
      <c r="E635" s="7" t="s">
        <v>3527</v>
      </c>
      <c r="F635" s="5" t="s">
        <v>3444</v>
      </c>
      <c r="G635" s="5" t="s">
        <v>3508</v>
      </c>
      <c r="H635" s="5">
        <v>2011.0</v>
      </c>
      <c r="I635" s="5">
        <v>0.0</v>
      </c>
      <c r="J635" s="5">
        <v>0.0</v>
      </c>
      <c r="K635" s="5">
        <v>25.0</v>
      </c>
      <c r="L635" s="54"/>
      <c r="M635" s="5" t="s">
        <v>3528</v>
      </c>
      <c r="N635" s="53" t="s">
        <v>2888</v>
      </c>
      <c r="O635">
        <v>24.088938</v>
      </c>
      <c r="P635">
        <v>32.899829</v>
      </c>
      <c r="Q635" s="5" t="s">
        <v>329</v>
      </c>
      <c r="R635" s="10">
        <f t="shared" si="10"/>
        <v>129</v>
      </c>
      <c r="S635" s="5" t="s">
        <v>3529</v>
      </c>
      <c r="T635" s="5"/>
      <c r="U635" s="5" t="s">
        <v>3530</v>
      </c>
      <c r="V635" s="5" t="s">
        <v>3531</v>
      </c>
    </row>
    <row r="636" ht="12.75" customHeight="1">
      <c r="A636" s="5">
        <v>33994.0</v>
      </c>
      <c r="B636" s="5" t="s">
        <v>49</v>
      </c>
      <c r="C636" s="52" t="s">
        <v>50</v>
      </c>
      <c r="D636" s="5" t="s">
        <v>2852</v>
      </c>
      <c r="E636" s="7" t="s">
        <v>3527</v>
      </c>
      <c r="F636" s="5" t="s">
        <v>3444</v>
      </c>
      <c r="G636" s="5" t="s">
        <v>3508</v>
      </c>
      <c r="H636" s="5">
        <v>2011.0</v>
      </c>
      <c r="I636" s="5">
        <v>0.0</v>
      </c>
      <c r="J636" s="5">
        <v>0.0</v>
      </c>
      <c r="K636" s="5">
        <v>1.0</v>
      </c>
      <c r="L636" s="54"/>
      <c r="M636" s="5" t="s">
        <v>3532</v>
      </c>
      <c r="N636" s="53" t="s">
        <v>3533</v>
      </c>
      <c r="O636">
        <v>36.695639</v>
      </c>
      <c r="P636">
        <v>-3.465102</v>
      </c>
      <c r="Q636" s="5" t="s">
        <v>818</v>
      </c>
      <c r="R636" s="10">
        <f t="shared" si="10"/>
        <v>2</v>
      </c>
      <c r="S636" s="5" t="s">
        <v>3534</v>
      </c>
      <c r="T636" s="6" t="s">
        <v>72</v>
      </c>
      <c r="U636" s="5" t="s">
        <v>3535</v>
      </c>
      <c r="V636" s="5" t="s">
        <v>3536</v>
      </c>
    </row>
    <row r="637" ht="12.75" customHeight="1">
      <c r="A637" s="5">
        <v>33995.0</v>
      </c>
      <c r="B637" s="5" t="s">
        <v>49</v>
      </c>
      <c r="C637" s="52" t="s">
        <v>50</v>
      </c>
      <c r="D637" s="5" t="s">
        <v>2614</v>
      </c>
      <c r="E637" s="7" t="s">
        <v>3537</v>
      </c>
      <c r="F637" s="5" t="s">
        <v>3444</v>
      </c>
      <c r="G637" s="5" t="s">
        <v>3508</v>
      </c>
      <c r="H637" s="5">
        <v>2011.0</v>
      </c>
      <c r="I637" s="5">
        <v>0.0</v>
      </c>
      <c r="J637" s="5">
        <v>0.0</v>
      </c>
      <c r="K637" s="5">
        <v>330.0</v>
      </c>
      <c r="L637" s="54"/>
      <c r="M637" s="5" t="s">
        <v>3538</v>
      </c>
      <c r="N637" s="53" t="s">
        <v>2700</v>
      </c>
      <c r="O637">
        <v>35.508622</v>
      </c>
      <c r="P637">
        <v>12.59292</v>
      </c>
      <c r="Q637" s="5" t="s">
        <v>669</v>
      </c>
      <c r="R637" s="10">
        <f t="shared" si="10"/>
        <v>3843</v>
      </c>
      <c r="S637" s="5" t="s">
        <v>3539</v>
      </c>
      <c r="T637" s="6" t="s">
        <v>2130</v>
      </c>
      <c r="U637" s="5" t="s">
        <v>3540</v>
      </c>
      <c r="V637" s="5" t="s">
        <v>3541</v>
      </c>
    </row>
    <row r="638" ht="12.75" customHeight="1">
      <c r="A638" s="5">
        <v>33997.0</v>
      </c>
      <c r="B638" s="5" t="s">
        <v>49</v>
      </c>
      <c r="C638" s="52" t="s">
        <v>50</v>
      </c>
      <c r="D638" s="5" t="s">
        <v>2614</v>
      </c>
      <c r="E638" s="7" t="s">
        <v>3542</v>
      </c>
      <c r="F638" s="5" t="s">
        <v>3444</v>
      </c>
      <c r="G638" s="5" t="s">
        <v>3508</v>
      </c>
      <c r="H638" s="5">
        <v>2011.0</v>
      </c>
      <c r="I638" s="5">
        <v>0.0</v>
      </c>
      <c r="J638" s="5">
        <v>0.0</v>
      </c>
      <c r="K638" s="5">
        <v>3.0</v>
      </c>
      <c r="L638" s="54"/>
      <c r="M638" s="5" t="s">
        <v>3543</v>
      </c>
      <c r="N638" s="53" t="s">
        <v>3544</v>
      </c>
      <c r="O638">
        <v>38.959265</v>
      </c>
      <c r="P638">
        <v>20.751716</v>
      </c>
      <c r="Q638" s="5" t="s">
        <v>1045</v>
      </c>
      <c r="R638" s="10">
        <f t="shared" si="10"/>
        <v>3</v>
      </c>
      <c r="S638" s="5" t="s">
        <v>3545</v>
      </c>
      <c r="T638" s="5"/>
      <c r="U638" s="5" t="s">
        <v>3318</v>
      </c>
      <c r="V638" s="5" t="s">
        <v>3546</v>
      </c>
    </row>
    <row r="639" ht="12.75" customHeight="1">
      <c r="A639" s="5">
        <v>33996.0</v>
      </c>
      <c r="B639" s="5" t="s">
        <v>49</v>
      </c>
      <c r="C639" s="52" t="s">
        <v>50</v>
      </c>
      <c r="D639" s="5" t="s">
        <v>2614</v>
      </c>
      <c r="E639" s="7" t="s">
        <v>3542</v>
      </c>
      <c r="F639" s="5" t="s">
        <v>3444</v>
      </c>
      <c r="G639" s="5" t="s">
        <v>3508</v>
      </c>
      <c r="H639" s="5">
        <v>2011.0</v>
      </c>
      <c r="I639" s="5">
        <v>0.0</v>
      </c>
      <c r="J639" s="5">
        <v>0.0</v>
      </c>
      <c r="K639" s="5">
        <v>3.0</v>
      </c>
      <c r="L639" s="54"/>
      <c r="M639" s="5" t="s">
        <v>3547</v>
      </c>
      <c r="N639" s="53" t="s">
        <v>3548</v>
      </c>
      <c r="O639">
        <v>42.434479</v>
      </c>
      <c r="P639">
        <v>9.137443</v>
      </c>
      <c r="Q639" s="5" t="s">
        <v>1253</v>
      </c>
      <c r="R639" s="10">
        <f t="shared" si="10"/>
        <v>52</v>
      </c>
      <c r="S639" s="5" t="s">
        <v>3549</v>
      </c>
      <c r="T639" s="5"/>
      <c r="U639" s="5" t="s">
        <v>2326</v>
      </c>
      <c r="V639" s="5" t="s">
        <v>3550</v>
      </c>
    </row>
    <row r="640" ht="12.75" customHeight="1">
      <c r="A640" s="5">
        <v>33998.0</v>
      </c>
      <c r="B640" s="5" t="s">
        <v>49</v>
      </c>
      <c r="C640" s="52" t="s">
        <v>50</v>
      </c>
      <c r="D640" s="5" t="s">
        <v>2614</v>
      </c>
      <c r="E640" s="7" t="s">
        <v>3551</v>
      </c>
      <c r="F640" s="5" t="s">
        <v>3444</v>
      </c>
      <c r="G640" s="5" t="s">
        <v>3508</v>
      </c>
      <c r="H640" s="5">
        <v>2011.0</v>
      </c>
      <c r="I640" s="5">
        <v>0.0</v>
      </c>
      <c r="J640" s="5">
        <v>0.0</v>
      </c>
      <c r="K640" s="5">
        <v>1.0</v>
      </c>
      <c r="L640" s="54"/>
      <c r="M640" s="5" t="s">
        <v>3552</v>
      </c>
      <c r="N640" s="53" t="s">
        <v>3553</v>
      </c>
      <c r="O640">
        <v>36.748374</v>
      </c>
      <c r="P640">
        <v>-3.516861</v>
      </c>
      <c r="Q640" s="5" t="s">
        <v>832</v>
      </c>
      <c r="R640" s="10">
        <f t="shared" si="10"/>
        <v>69</v>
      </c>
      <c r="S640" s="5" t="s">
        <v>3554</v>
      </c>
      <c r="T640" s="6" t="s">
        <v>72</v>
      </c>
      <c r="U640" s="5" t="s">
        <v>3360</v>
      </c>
      <c r="V640" s="5" t="s">
        <v>3361</v>
      </c>
    </row>
    <row r="641" ht="12.75" customHeight="1">
      <c r="A641" s="5">
        <v>33964.0</v>
      </c>
      <c r="B641" s="5" t="s">
        <v>3555</v>
      </c>
      <c r="C641" s="52" t="s">
        <v>50</v>
      </c>
      <c r="D641" s="5" t="s">
        <v>2852</v>
      </c>
      <c r="E641" s="7" t="s">
        <v>3556</v>
      </c>
      <c r="F641" s="5" t="s">
        <v>3444</v>
      </c>
      <c r="G641" s="5" t="s">
        <v>3508</v>
      </c>
      <c r="H641" s="5">
        <v>2011.0</v>
      </c>
      <c r="I641" s="5">
        <v>2.0</v>
      </c>
      <c r="J641" s="5">
        <v>0.0</v>
      </c>
      <c r="K641" s="5">
        <v>2.0</v>
      </c>
      <c r="L641" s="54"/>
      <c r="M641" s="5" t="s">
        <v>3557</v>
      </c>
      <c r="N641" s="53" t="s">
        <v>3558</v>
      </c>
      <c r="O641">
        <v>50.55581</v>
      </c>
      <c r="P641">
        <v>9.680845</v>
      </c>
      <c r="Q641" s="5" t="s">
        <v>1501</v>
      </c>
      <c r="R641" s="10">
        <f t="shared" si="10"/>
        <v>2</v>
      </c>
      <c r="S641" s="5" t="s">
        <v>3559</v>
      </c>
      <c r="T641" s="5"/>
      <c r="U641" s="5" t="s">
        <v>3560</v>
      </c>
      <c r="V641" s="5" t="s">
        <v>3561</v>
      </c>
    </row>
    <row r="642" ht="12.75" customHeight="1">
      <c r="A642" s="5">
        <v>34000.0</v>
      </c>
      <c r="B642" s="5" t="s">
        <v>49</v>
      </c>
      <c r="C642" s="52" t="s">
        <v>50</v>
      </c>
      <c r="D642" s="5" t="s">
        <v>2614</v>
      </c>
      <c r="E642" s="7" t="s">
        <v>3562</v>
      </c>
      <c r="F642" s="5" t="s">
        <v>3444</v>
      </c>
      <c r="G642" s="5" t="s">
        <v>3508</v>
      </c>
      <c r="H642" s="5">
        <v>2011.0</v>
      </c>
      <c r="I642" s="5">
        <v>0.0</v>
      </c>
      <c r="J642" s="5">
        <v>0.0</v>
      </c>
      <c r="K642" s="5">
        <v>58.0</v>
      </c>
      <c r="L642" s="54"/>
      <c r="M642" s="5" t="s">
        <v>3563</v>
      </c>
      <c r="N642" s="53" t="s">
        <v>2700</v>
      </c>
      <c r="O642">
        <v>35.508622</v>
      </c>
      <c r="P642">
        <v>12.59292</v>
      </c>
      <c r="Q642" s="5" t="s">
        <v>669</v>
      </c>
      <c r="R642" s="10">
        <f t="shared" si="10"/>
        <v>3843</v>
      </c>
      <c r="S642" s="5" t="s">
        <v>3564</v>
      </c>
      <c r="T642" s="6" t="s">
        <v>2130</v>
      </c>
      <c r="U642" s="5" t="s">
        <v>3432</v>
      </c>
      <c r="V642" s="5" t="s">
        <v>3565</v>
      </c>
    </row>
    <row r="643" ht="12.75" customHeight="1">
      <c r="A643" s="5">
        <v>33999.0</v>
      </c>
      <c r="B643" s="5" t="s">
        <v>49</v>
      </c>
      <c r="C643" s="52" t="s">
        <v>50</v>
      </c>
      <c r="D643" s="5" t="s">
        <v>2614</v>
      </c>
      <c r="E643" s="7" t="s">
        <v>3562</v>
      </c>
      <c r="F643" s="5" t="s">
        <v>3444</v>
      </c>
      <c r="G643" s="5" t="s">
        <v>3508</v>
      </c>
      <c r="H643" s="5">
        <v>2011.0</v>
      </c>
      <c r="I643" s="5">
        <v>0.0</v>
      </c>
      <c r="J643" s="5">
        <v>0.0</v>
      </c>
      <c r="K643" s="5">
        <v>5.0</v>
      </c>
      <c r="L643" s="54"/>
      <c r="M643" s="5" t="s">
        <v>3566</v>
      </c>
      <c r="N643" s="53" t="s">
        <v>2700</v>
      </c>
      <c r="O643">
        <v>35.508622</v>
      </c>
      <c r="P643">
        <v>12.59292</v>
      </c>
      <c r="Q643" s="5" t="s">
        <v>669</v>
      </c>
      <c r="R643" s="10">
        <f t="shared" si="10"/>
        <v>3843</v>
      </c>
      <c r="S643" s="5" t="s">
        <v>3564</v>
      </c>
      <c r="T643" s="6" t="s">
        <v>2130</v>
      </c>
      <c r="U643" s="5" t="s">
        <v>2326</v>
      </c>
      <c r="V643" s="5" t="s">
        <v>3567</v>
      </c>
    </row>
    <row r="644" ht="12.75" customHeight="1">
      <c r="A644" s="5">
        <v>34001.0</v>
      </c>
      <c r="B644" s="5" t="s">
        <v>49</v>
      </c>
      <c r="C644" s="52" t="s">
        <v>50</v>
      </c>
      <c r="D644" s="5" t="s">
        <v>2614</v>
      </c>
      <c r="E644" s="7" t="s">
        <v>3568</v>
      </c>
      <c r="F644" s="5" t="s">
        <v>3444</v>
      </c>
      <c r="G644" s="5" t="s">
        <v>3508</v>
      </c>
      <c r="H644" s="5">
        <v>2011.0</v>
      </c>
      <c r="I644" s="5">
        <v>0.0</v>
      </c>
      <c r="J644" s="5">
        <v>0.0</v>
      </c>
      <c r="K644" s="5">
        <v>17.0</v>
      </c>
      <c r="L644" s="54"/>
      <c r="M644" s="5" t="s">
        <v>3569</v>
      </c>
      <c r="N644" s="53" t="s">
        <v>3570</v>
      </c>
      <c r="O644">
        <v>36.828221</v>
      </c>
      <c r="P644">
        <v>11.940496</v>
      </c>
      <c r="Q644" s="5" t="s">
        <v>857</v>
      </c>
      <c r="R644" s="10">
        <f t="shared" si="10"/>
        <v>37</v>
      </c>
      <c r="S644" s="5" t="s">
        <v>3571</v>
      </c>
      <c r="T644" s="6" t="s">
        <v>2130</v>
      </c>
      <c r="U644" s="5" t="s">
        <v>3540</v>
      </c>
      <c r="V644" s="5" t="s">
        <v>3572</v>
      </c>
    </row>
    <row r="645" ht="12.75" customHeight="1">
      <c r="A645" s="5">
        <v>54037.0</v>
      </c>
      <c r="B645" s="5" t="s">
        <v>49</v>
      </c>
      <c r="C645" s="52" t="s">
        <v>50</v>
      </c>
      <c r="D645" s="5"/>
      <c r="E645" s="7" t="s">
        <v>3573</v>
      </c>
      <c r="F645" s="5" t="s">
        <v>3444</v>
      </c>
      <c r="G645" s="5" t="s">
        <v>3508</v>
      </c>
      <c r="H645" s="5">
        <v>2011.0</v>
      </c>
      <c r="I645" s="5">
        <v>0.0</v>
      </c>
      <c r="J645" s="5">
        <v>600.0</v>
      </c>
      <c r="K645" s="5">
        <v>600.0</v>
      </c>
      <c r="L645" s="54"/>
      <c r="M645" s="5" t="s">
        <v>3574</v>
      </c>
      <c r="N645" s="53" t="s">
        <v>3575</v>
      </c>
      <c r="O645">
        <v>32.882937</v>
      </c>
      <c r="P645">
        <v>13.188336</v>
      </c>
      <c r="Q645" s="5" t="s">
        <v>487</v>
      </c>
      <c r="R645" s="10">
        <f t="shared" si="10"/>
        <v>600</v>
      </c>
      <c r="S645" s="5" t="s">
        <v>3576</v>
      </c>
      <c r="T645" s="5" t="s">
        <v>2130</v>
      </c>
      <c r="U645" s="5" t="s">
        <v>950</v>
      </c>
      <c r="V645" s="5" t="s">
        <v>3577</v>
      </c>
    </row>
    <row r="646" ht="12.75" customHeight="1">
      <c r="A646" s="5">
        <v>34003.0</v>
      </c>
      <c r="B646" s="5" t="s">
        <v>49</v>
      </c>
      <c r="C646" s="52" t="s">
        <v>50</v>
      </c>
      <c r="D646" s="5" t="s">
        <v>2614</v>
      </c>
      <c r="E646" s="7" t="s">
        <v>3578</v>
      </c>
      <c r="F646" s="5" t="s">
        <v>3444</v>
      </c>
      <c r="G646" s="5" t="s">
        <v>3508</v>
      </c>
      <c r="H646" s="5">
        <v>2011.0</v>
      </c>
      <c r="I646" s="5">
        <v>0.0</v>
      </c>
      <c r="J646" s="5">
        <v>0.0</v>
      </c>
      <c r="K646" s="5">
        <v>3.0</v>
      </c>
      <c r="L646" s="54"/>
      <c r="M646" s="5" t="s">
        <v>3579</v>
      </c>
      <c r="N646" s="53" t="s">
        <v>359</v>
      </c>
      <c r="O646">
        <v>35.508622</v>
      </c>
      <c r="P646">
        <v>12.59292</v>
      </c>
      <c r="Q646" s="5" t="s">
        <v>669</v>
      </c>
      <c r="R646" s="10">
        <f t="shared" si="10"/>
        <v>3843</v>
      </c>
      <c r="S646" s="5" t="s">
        <v>3580</v>
      </c>
      <c r="T646" s="5" t="s">
        <v>2130</v>
      </c>
      <c r="U646" s="5" t="s">
        <v>2326</v>
      </c>
      <c r="V646" s="5" t="s">
        <v>3581</v>
      </c>
    </row>
    <row r="647" ht="12.75" customHeight="1">
      <c r="A647" s="5">
        <v>34004.0</v>
      </c>
      <c r="B647" s="5" t="s">
        <v>49</v>
      </c>
      <c r="C647" s="52" t="s">
        <v>50</v>
      </c>
      <c r="D647" s="5" t="s">
        <v>2614</v>
      </c>
      <c r="E647" s="7" t="s">
        <v>3578</v>
      </c>
      <c r="F647" s="5" t="s">
        <v>3444</v>
      </c>
      <c r="G647" s="5" t="s">
        <v>3508</v>
      </c>
      <c r="H647" s="5">
        <v>2011.0</v>
      </c>
      <c r="I647" s="5">
        <v>0.0</v>
      </c>
      <c r="J647" s="5">
        <v>0.0</v>
      </c>
      <c r="K647" s="5">
        <v>24.0</v>
      </c>
      <c r="L647" s="54"/>
      <c r="M647" s="5" t="s">
        <v>3582</v>
      </c>
      <c r="N647" s="53" t="s">
        <v>3379</v>
      </c>
      <c r="O647">
        <v>36.834047</v>
      </c>
      <c r="P647">
        <v>-2.463714</v>
      </c>
      <c r="Q647" s="5" t="s">
        <v>863</v>
      </c>
      <c r="R647" s="10">
        <f t="shared" si="10"/>
        <v>208</v>
      </c>
      <c r="S647" s="5" t="s">
        <v>3583</v>
      </c>
      <c r="T647" s="6" t="s">
        <v>72</v>
      </c>
      <c r="U647" s="5" t="s">
        <v>3584</v>
      </c>
      <c r="V647" s="5" t="s">
        <v>3585</v>
      </c>
    </row>
    <row r="648" ht="12.75" customHeight="1">
      <c r="A648" s="5">
        <v>34002.0</v>
      </c>
      <c r="B648" s="5" t="s">
        <v>491</v>
      </c>
      <c r="C648" s="52" t="s">
        <v>50</v>
      </c>
      <c r="D648" s="5" t="s">
        <v>2614</v>
      </c>
      <c r="E648" s="7" t="s">
        <v>3578</v>
      </c>
      <c r="F648" s="5" t="s">
        <v>3444</v>
      </c>
      <c r="G648" s="5" t="s">
        <v>3508</v>
      </c>
      <c r="H648" s="5">
        <v>2011.0</v>
      </c>
      <c r="I648" s="5">
        <v>0.0</v>
      </c>
      <c r="J648" s="5">
        <v>0.0</v>
      </c>
      <c r="K648" s="5">
        <v>61.0</v>
      </c>
      <c r="L648" s="54"/>
      <c r="M648" s="5" t="s">
        <v>3586</v>
      </c>
      <c r="N648" s="53" t="s">
        <v>3587</v>
      </c>
      <c r="O648">
        <v>41.87194</v>
      </c>
      <c r="P648">
        <v>12.56738</v>
      </c>
      <c r="Q648" s="5" t="s">
        <v>1243</v>
      </c>
      <c r="R648" s="10">
        <f t="shared" si="10"/>
        <v>62</v>
      </c>
      <c r="S648" s="5" t="s">
        <v>3588</v>
      </c>
      <c r="T648" s="5"/>
      <c r="U648" s="5" t="s">
        <v>1950</v>
      </c>
      <c r="V648" s="5" t="s">
        <v>3589</v>
      </c>
    </row>
    <row r="649" ht="12.75" customHeight="1">
      <c r="A649" s="5">
        <v>34005.0</v>
      </c>
      <c r="B649" s="5" t="s">
        <v>49</v>
      </c>
      <c r="C649" s="52" t="s">
        <v>50</v>
      </c>
      <c r="D649" s="5" t="s">
        <v>2852</v>
      </c>
      <c r="E649" s="7" t="s">
        <v>3590</v>
      </c>
      <c r="F649" s="5" t="s">
        <v>3444</v>
      </c>
      <c r="G649" s="5" t="s">
        <v>3508</v>
      </c>
      <c r="H649" s="5">
        <v>2011.0</v>
      </c>
      <c r="I649" s="5">
        <v>0.0</v>
      </c>
      <c r="J649" s="5">
        <v>0.0</v>
      </c>
      <c r="K649" s="5">
        <v>1.0</v>
      </c>
      <c r="L649" s="54"/>
      <c r="M649" s="5" t="s">
        <v>3591</v>
      </c>
      <c r="N649" s="53" t="s">
        <v>3592</v>
      </c>
      <c r="O649">
        <v>37.583372</v>
      </c>
      <c r="P649">
        <v>12.825218</v>
      </c>
      <c r="Q649" s="5" t="s">
        <v>945</v>
      </c>
      <c r="R649" s="10">
        <f t="shared" si="10"/>
        <v>1</v>
      </c>
      <c r="S649" s="5" t="s">
        <v>3593</v>
      </c>
      <c r="T649" s="6" t="s">
        <v>2130</v>
      </c>
      <c r="U649" s="5" t="s">
        <v>3520</v>
      </c>
      <c r="V649" s="5" t="s">
        <v>3594</v>
      </c>
    </row>
    <row r="650" ht="12.75" customHeight="1">
      <c r="A650" s="5">
        <v>34006.0</v>
      </c>
      <c r="B650" s="5" t="s">
        <v>49</v>
      </c>
      <c r="C650" s="52" t="s">
        <v>50</v>
      </c>
      <c r="D650" s="5" t="s">
        <v>2852</v>
      </c>
      <c r="E650" s="7" t="s">
        <v>3595</v>
      </c>
      <c r="F650" s="5" t="s">
        <v>3444</v>
      </c>
      <c r="G650" s="5" t="s">
        <v>3508</v>
      </c>
      <c r="H650" s="5">
        <v>2011.0</v>
      </c>
      <c r="I650" s="5">
        <v>0.0</v>
      </c>
      <c r="J650" s="5">
        <v>0.0</v>
      </c>
      <c r="K650" s="5">
        <v>25.0</v>
      </c>
      <c r="L650" s="54"/>
      <c r="M650" s="5" t="s">
        <v>3596</v>
      </c>
      <c r="N650" s="53" t="s">
        <v>3597</v>
      </c>
      <c r="O650">
        <v>36.750191</v>
      </c>
      <c r="P650">
        <v>-3.017606</v>
      </c>
      <c r="Q650" s="5" t="s">
        <v>834</v>
      </c>
      <c r="R650" s="10">
        <f t="shared" si="10"/>
        <v>28</v>
      </c>
      <c r="S650" s="5" t="s">
        <v>3598</v>
      </c>
      <c r="T650" s="6" t="s">
        <v>72</v>
      </c>
      <c r="U650" s="5" t="s">
        <v>3599</v>
      </c>
      <c r="V650" s="5" t="s">
        <v>3600</v>
      </c>
    </row>
    <row r="651" ht="12.75" customHeight="1">
      <c r="A651" s="5">
        <v>34007.0</v>
      </c>
      <c r="B651" s="5" t="s">
        <v>49</v>
      </c>
      <c r="C651" s="52" t="s">
        <v>50</v>
      </c>
      <c r="D651" s="5" t="s">
        <v>2614</v>
      </c>
      <c r="E651" s="7" t="s">
        <v>3601</v>
      </c>
      <c r="F651" s="5" t="s">
        <v>3444</v>
      </c>
      <c r="G651" s="5" t="s">
        <v>3602</v>
      </c>
      <c r="H651" s="5">
        <v>2011.0</v>
      </c>
      <c r="I651" s="5">
        <v>0.0</v>
      </c>
      <c r="J651" s="5">
        <v>0.0</v>
      </c>
      <c r="K651" s="5">
        <v>1.0</v>
      </c>
      <c r="L651" s="54"/>
      <c r="M651" s="5" t="s">
        <v>3603</v>
      </c>
      <c r="N651" s="53" t="s">
        <v>2878</v>
      </c>
      <c r="O651">
        <v>35.866074</v>
      </c>
      <c r="P651">
        <v>12.868741</v>
      </c>
      <c r="Q651" s="5" t="s">
        <v>714</v>
      </c>
      <c r="R651" s="10">
        <f t="shared" si="10"/>
        <v>5</v>
      </c>
      <c r="S651" s="5" t="s">
        <v>3604</v>
      </c>
      <c r="T651" s="6" t="s">
        <v>2130</v>
      </c>
      <c r="U651" s="5" t="s">
        <v>2326</v>
      </c>
      <c r="V651" s="5" t="s">
        <v>3605</v>
      </c>
    </row>
    <row r="652" ht="12.75" customHeight="1">
      <c r="A652" s="5">
        <v>34008.0</v>
      </c>
      <c r="B652" s="5" t="s">
        <v>215</v>
      </c>
      <c r="C652" s="5" t="s">
        <v>62</v>
      </c>
      <c r="D652" s="5" t="s">
        <v>2614</v>
      </c>
      <c r="E652" s="7" t="s">
        <v>3606</v>
      </c>
      <c r="F652" s="5" t="s">
        <v>3444</v>
      </c>
      <c r="G652" s="5" t="s">
        <v>3602</v>
      </c>
      <c r="H652" s="5">
        <v>2011.0</v>
      </c>
      <c r="I652" s="5">
        <v>0.0</v>
      </c>
      <c r="J652" s="5">
        <v>0.0</v>
      </c>
      <c r="K652" s="5">
        <v>1.0</v>
      </c>
      <c r="L652" s="54"/>
      <c r="M652" s="5" t="s">
        <v>3607</v>
      </c>
      <c r="N652" s="53" t="s">
        <v>3608</v>
      </c>
      <c r="O652">
        <v>41.117143</v>
      </c>
      <c r="P652">
        <v>16.871871</v>
      </c>
      <c r="Q652" s="5" t="s">
        <v>1188</v>
      </c>
      <c r="R652" s="10">
        <f t="shared" si="10"/>
        <v>32</v>
      </c>
      <c r="S652" s="5" t="s">
        <v>3609</v>
      </c>
      <c r="T652" s="6" t="s">
        <v>1963</v>
      </c>
      <c r="U652" s="5" t="s">
        <v>3610</v>
      </c>
      <c r="V652" s="5" t="s">
        <v>3611</v>
      </c>
    </row>
    <row r="653" ht="12.75" customHeight="1">
      <c r="A653" s="5">
        <v>53708.0</v>
      </c>
      <c r="B653" s="5" t="s">
        <v>1555</v>
      </c>
      <c r="C653" s="5" t="s">
        <v>42</v>
      </c>
      <c r="D653" s="5"/>
      <c r="E653" s="7" t="s">
        <v>3612</v>
      </c>
      <c r="F653" s="5" t="s">
        <v>3444</v>
      </c>
      <c r="G653" s="5" t="s">
        <v>3602</v>
      </c>
      <c r="H653" s="5">
        <v>2011.0</v>
      </c>
      <c r="I653" s="5">
        <v>1.0</v>
      </c>
      <c r="J653" s="5">
        <v>0.0</v>
      </c>
      <c r="K653" s="5">
        <v>1.0</v>
      </c>
      <c r="L653" s="54"/>
      <c r="M653" s="5" t="s">
        <v>3613</v>
      </c>
      <c r="N653" s="53" t="s">
        <v>3614</v>
      </c>
      <c r="O653">
        <v>35.815</v>
      </c>
      <c r="P653">
        <v>14.51</v>
      </c>
      <c r="Q653" s="5" t="s">
        <v>698</v>
      </c>
      <c r="R653" s="10">
        <f t="shared" si="10"/>
        <v>1</v>
      </c>
      <c r="S653" s="5" t="s">
        <v>3615</v>
      </c>
      <c r="T653" s="5" t="s">
        <v>2130</v>
      </c>
      <c r="U653" s="5" t="s">
        <v>2407</v>
      </c>
      <c r="V653" s="5" t="s">
        <v>3616</v>
      </c>
    </row>
    <row r="654" ht="12.75" customHeight="1">
      <c r="A654" s="5">
        <v>34009.0</v>
      </c>
      <c r="B654" s="5" t="s">
        <v>68</v>
      </c>
      <c r="C654" s="5" t="s">
        <v>69</v>
      </c>
      <c r="D654" s="5" t="s">
        <v>2852</v>
      </c>
      <c r="E654" s="7" t="s">
        <v>3617</v>
      </c>
      <c r="F654" s="5" t="s">
        <v>3444</v>
      </c>
      <c r="G654" s="5" t="s">
        <v>3602</v>
      </c>
      <c r="H654" s="5">
        <v>2011.0</v>
      </c>
      <c r="I654" s="5">
        <v>0.0</v>
      </c>
      <c r="J654" s="5">
        <v>0.0</v>
      </c>
      <c r="K654" s="5">
        <v>1.0</v>
      </c>
      <c r="L654" s="54"/>
      <c r="M654" s="5" t="s">
        <v>3618</v>
      </c>
      <c r="N654" s="53" t="s">
        <v>2938</v>
      </c>
      <c r="O654">
        <v>35.937496</v>
      </c>
      <c r="P654">
        <v>14.375416</v>
      </c>
      <c r="Q654" s="5" t="s">
        <v>740</v>
      </c>
      <c r="R654" s="10">
        <f t="shared" si="10"/>
        <v>655</v>
      </c>
      <c r="S654" s="5" t="s">
        <v>3619</v>
      </c>
      <c r="T654" s="6" t="s">
        <v>2130</v>
      </c>
      <c r="U654" s="5" t="s">
        <v>3620</v>
      </c>
      <c r="V654" s="5"/>
    </row>
    <row r="655" ht="12.75" customHeight="1">
      <c r="A655" s="5">
        <v>34010.0</v>
      </c>
      <c r="B655" s="5" t="s">
        <v>49</v>
      </c>
      <c r="C655" s="52" t="s">
        <v>50</v>
      </c>
      <c r="D655" s="5" t="s">
        <v>2852</v>
      </c>
      <c r="E655" s="7" t="s">
        <v>3621</v>
      </c>
      <c r="F655" s="5" t="s">
        <v>3444</v>
      </c>
      <c r="G655" s="5" t="s">
        <v>3602</v>
      </c>
      <c r="H655" s="5">
        <v>2011.0</v>
      </c>
      <c r="I655" s="5">
        <v>0.0</v>
      </c>
      <c r="J655" s="5">
        <v>0.0</v>
      </c>
      <c r="K655" s="5">
        <v>1.0</v>
      </c>
      <c r="L655" s="54"/>
      <c r="M655" s="5" t="s">
        <v>3622</v>
      </c>
      <c r="N655" s="53" t="s">
        <v>3570</v>
      </c>
      <c r="O655">
        <v>36.828221</v>
      </c>
      <c r="P655">
        <v>11.940496</v>
      </c>
      <c r="Q655" s="5" t="s">
        <v>857</v>
      </c>
      <c r="R655" s="10">
        <f t="shared" si="10"/>
        <v>37</v>
      </c>
      <c r="S655" s="5" t="s">
        <v>3623</v>
      </c>
      <c r="T655" s="6" t="s">
        <v>2130</v>
      </c>
      <c r="U655" s="5" t="s">
        <v>2993</v>
      </c>
      <c r="V655" s="5" t="s">
        <v>3624</v>
      </c>
    </row>
    <row r="656" ht="12.75" customHeight="1">
      <c r="A656" s="5">
        <v>34011.0</v>
      </c>
      <c r="B656" s="5" t="s">
        <v>49</v>
      </c>
      <c r="C656" s="52" t="s">
        <v>50</v>
      </c>
      <c r="D656" s="5" t="s">
        <v>2614</v>
      </c>
      <c r="E656" s="7" t="s">
        <v>3625</v>
      </c>
      <c r="F656" s="5" t="s">
        <v>3444</v>
      </c>
      <c r="G656" s="5" t="s">
        <v>3602</v>
      </c>
      <c r="H656" s="5">
        <v>2011.0</v>
      </c>
      <c r="I656" s="5">
        <v>0.0</v>
      </c>
      <c r="J656" s="5">
        <v>0.0</v>
      </c>
      <c r="K656" s="5">
        <v>495.0</v>
      </c>
      <c r="L656" s="54"/>
      <c r="M656" s="5" t="s">
        <v>3626</v>
      </c>
      <c r="N656" s="53" t="s">
        <v>2700</v>
      </c>
      <c r="O656">
        <v>35.508622</v>
      </c>
      <c r="P656">
        <v>12.59292</v>
      </c>
      <c r="Q656" s="5" t="s">
        <v>669</v>
      </c>
      <c r="R656" s="10">
        <f t="shared" si="10"/>
        <v>3843</v>
      </c>
      <c r="S656" s="5" t="s">
        <v>3627</v>
      </c>
      <c r="T656" s="6" t="s">
        <v>2130</v>
      </c>
      <c r="U656" s="5" t="s">
        <v>2619</v>
      </c>
      <c r="V656" s="5" t="s">
        <v>3628</v>
      </c>
    </row>
    <row r="657" ht="12.75" customHeight="1">
      <c r="A657" s="5">
        <v>34012.0</v>
      </c>
      <c r="B657" s="5" t="s">
        <v>49</v>
      </c>
      <c r="C657" s="52" t="s">
        <v>50</v>
      </c>
      <c r="D657" s="5" t="s">
        <v>2852</v>
      </c>
      <c r="E657" s="7" t="s">
        <v>3625</v>
      </c>
      <c r="F657" s="5" t="s">
        <v>3444</v>
      </c>
      <c r="G657" s="5" t="s">
        <v>3602</v>
      </c>
      <c r="H657" s="5">
        <v>2011.0</v>
      </c>
      <c r="I657" s="5">
        <v>0.0</v>
      </c>
      <c r="J657" s="5">
        <v>0.0</v>
      </c>
      <c r="K657" s="5">
        <v>1.0</v>
      </c>
      <c r="L657" s="54"/>
      <c r="M657" s="5" t="s">
        <v>3629</v>
      </c>
      <c r="N657" s="53" t="s">
        <v>3570</v>
      </c>
      <c r="O657">
        <v>36.828221</v>
      </c>
      <c r="P657">
        <v>11.940496</v>
      </c>
      <c r="Q657" s="5" t="s">
        <v>857</v>
      </c>
      <c r="R657" s="10">
        <f t="shared" si="10"/>
        <v>37</v>
      </c>
      <c r="S657" s="5" t="s">
        <v>3630</v>
      </c>
      <c r="T657" s="6" t="s">
        <v>2130</v>
      </c>
      <c r="U657" s="5" t="s">
        <v>3631</v>
      </c>
      <c r="V657" s="5" t="s">
        <v>3628</v>
      </c>
    </row>
    <row r="658" ht="12.75" customHeight="1">
      <c r="A658" s="5">
        <v>34013.0</v>
      </c>
      <c r="B658" s="5" t="s">
        <v>68</v>
      </c>
      <c r="C658" s="5" t="s">
        <v>69</v>
      </c>
      <c r="D658" s="5" t="s">
        <v>2852</v>
      </c>
      <c r="E658" s="7" t="s">
        <v>3632</v>
      </c>
      <c r="F658" s="5" t="s">
        <v>3444</v>
      </c>
      <c r="G658" s="5" t="s">
        <v>3602</v>
      </c>
      <c r="H658" s="5">
        <v>2011.0</v>
      </c>
      <c r="I658" s="5">
        <v>0.0</v>
      </c>
      <c r="J658" s="5">
        <v>0.0</v>
      </c>
      <c r="K658" s="5">
        <v>100.0</v>
      </c>
      <c r="L658" s="54"/>
      <c r="M658" s="5" t="s">
        <v>3633</v>
      </c>
      <c r="N658" s="53" t="s">
        <v>2700</v>
      </c>
      <c r="O658">
        <v>35.508622</v>
      </c>
      <c r="P658">
        <v>12.59292</v>
      </c>
      <c r="Q658" s="5" t="s">
        <v>669</v>
      </c>
      <c r="R658" s="10">
        <f t="shared" si="10"/>
        <v>3843</v>
      </c>
      <c r="S658" s="5" t="s">
        <v>3634</v>
      </c>
      <c r="T658" s="6" t="s">
        <v>2130</v>
      </c>
      <c r="U658" s="5" t="s">
        <v>3635</v>
      </c>
      <c r="V658" s="5" t="s">
        <v>3636</v>
      </c>
    </row>
    <row r="659" ht="12.75" customHeight="1">
      <c r="A659" s="5">
        <v>34015.0</v>
      </c>
      <c r="B659" s="5" t="s">
        <v>49</v>
      </c>
      <c r="C659" s="52" t="s">
        <v>50</v>
      </c>
      <c r="D659" s="5" t="s">
        <v>2852</v>
      </c>
      <c r="E659" s="7" t="s">
        <v>3637</v>
      </c>
      <c r="F659" s="5" t="s">
        <v>3444</v>
      </c>
      <c r="G659" s="5" t="s">
        <v>3602</v>
      </c>
      <c r="H659" s="5">
        <v>2011.0</v>
      </c>
      <c r="I659" s="5">
        <v>0.0</v>
      </c>
      <c r="J659" s="5">
        <v>0.0</v>
      </c>
      <c r="K659" s="5">
        <v>2.0</v>
      </c>
      <c r="L659" s="54"/>
      <c r="M659" s="5" t="s">
        <v>3638</v>
      </c>
      <c r="N659" s="53" t="s">
        <v>2700</v>
      </c>
      <c r="O659">
        <v>35.508622</v>
      </c>
      <c r="P659">
        <v>12.59292</v>
      </c>
      <c r="Q659" s="5" t="s">
        <v>669</v>
      </c>
      <c r="R659" s="10">
        <f t="shared" si="10"/>
        <v>3843</v>
      </c>
      <c r="S659" s="5" t="s">
        <v>3639</v>
      </c>
      <c r="T659" s="6" t="s">
        <v>2130</v>
      </c>
      <c r="U659" s="5" t="s">
        <v>3640</v>
      </c>
      <c r="V659" s="5"/>
    </row>
    <row r="660" ht="12.75" customHeight="1">
      <c r="A660" s="5">
        <v>34014.0</v>
      </c>
      <c r="B660" s="5" t="s">
        <v>49</v>
      </c>
      <c r="C660" s="52" t="s">
        <v>50</v>
      </c>
      <c r="D660" s="5" t="s">
        <v>2614</v>
      </c>
      <c r="E660" s="7" t="s">
        <v>3637</v>
      </c>
      <c r="F660" s="5" t="s">
        <v>3444</v>
      </c>
      <c r="G660" s="5" t="s">
        <v>3602</v>
      </c>
      <c r="H660" s="5">
        <v>2011.0</v>
      </c>
      <c r="I660" s="5">
        <v>0.0</v>
      </c>
      <c r="J660" s="5">
        <v>0.0</v>
      </c>
      <c r="K660" s="5">
        <v>250.0</v>
      </c>
      <c r="L660" s="54"/>
      <c r="M660" s="5" t="s">
        <v>3641</v>
      </c>
      <c r="N660" s="53" t="s">
        <v>2700</v>
      </c>
      <c r="O660">
        <v>35.508622</v>
      </c>
      <c r="P660">
        <v>12.59292</v>
      </c>
      <c r="Q660" s="5" t="s">
        <v>669</v>
      </c>
      <c r="R660" s="10">
        <f t="shared" si="10"/>
        <v>3843</v>
      </c>
      <c r="S660" s="5" t="s">
        <v>3639</v>
      </c>
      <c r="T660" s="6" t="s">
        <v>2130</v>
      </c>
      <c r="U660" s="5" t="s">
        <v>3642</v>
      </c>
      <c r="V660" s="5" t="s">
        <v>3643</v>
      </c>
    </row>
    <row r="661" ht="12.75" customHeight="1">
      <c r="A661" s="5">
        <v>34016.0</v>
      </c>
      <c r="B661" s="5" t="s">
        <v>49</v>
      </c>
      <c r="C661" s="52" t="s">
        <v>50</v>
      </c>
      <c r="D661" s="5" t="s">
        <v>2852</v>
      </c>
      <c r="E661" s="7" t="s">
        <v>3637</v>
      </c>
      <c r="F661" s="5" t="s">
        <v>3444</v>
      </c>
      <c r="G661" s="5" t="s">
        <v>3602</v>
      </c>
      <c r="H661" s="5">
        <v>2011.0</v>
      </c>
      <c r="I661" s="5">
        <v>0.0</v>
      </c>
      <c r="J661" s="5">
        <v>0.0</v>
      </c>
      <c r="K661" s="5">
        <v>2.0</v>
      </c>
      <c r="L661" s="54"/>
      <c r="M661" s="5" t="s">
        <v>3644</v>
      </c>
      <c r="N661" s="53" t="s">
        <v>3524</v>
      </c>
      <c r="O661">
        <v>36.81881</v>
      </c>
      <c r="P661">
        <v>10.16596</v>
      </c>
      <c r="Q661" s="5" t="s">
        <v>854</v>
      </c>
      <c r="R661" s="10">
        <f t="shared" si="10"/>
        <v>540</v>
      </c>
      <c r="S661" s="5" t="s">
        <v>3645</v>
      </c>
      <c r="T661" s="6" t="s">
        <v>2130</v>
      </c>
      <c r="U661" s="5" t="s">
        <v>3646</v>
      </c>
      <c r="V661" s="5" t="s">
        <v>3647</v>
      </c>
    </row>
    <row r="662" ht="12.75" customHeight="1">
      <c r="A662" s="5">
        <v>34017.0</v>
      </c>
      <c r="B662" s="5" t="s">
        <v>49</v>
      </c>
      <c r="C662" s="52" t="s">
        <v>50</v>
      </c>
      <c r="D662" s="5" t="s">
        <v>2614</v>
      </c>
      <c r="E662" s="7" t="s">
        <v>3648</v>
      </c>
      <c r="F662" s="5" t="s">
        <v>3444</v>
      </c>
      <c r="G662" s="5" t="s">
        <v>3602</v>
      </c>
      <c r="H662" s="5">
        <v>2011.0</v>
      </c>
      <c r="I662" s="5">
        <v>0.0</v>
      </c>
      <c r="J662" s="5">
        <v>0.0</v>
      </c>
      <c r="K662" s="5">
        <v>1.0</v>
      </c>
      <c r="L662" s="54"/>
      <c r="M662" s="5" t="s">
        <v>3649</v>
      </c>
      <c r="N662" s="53" t="s">
        <v>2633</v>
      </c>
      <c r="O662">
        <v>28.569022</v>
      </c>
      <c r="P662">
        <v>-16.324539</v>
      </c>
      <c r="Q662" s="5" t="s">
        <v>396</v>
      </c>
      <c r="R662" s="10">
        <f t="shared" si="10"/>
        <v>53</v>
      </c>
      <c r="S662" s="5" t="s">
        <v>3650</v>
      </c>
      <c r="T662" s="5" t="s">
        <v>1040</v>
      </c>
      <c r="U662" s="5" t="s">
        <v>3651</v>
      </c>
      <c r="V662" s="5" t="s">
        <v>3652</v>
      </c>
    </row>
    <row r="663" ht="12.75" customHeight="1">
      <c r="A663" s="5">
        <v>34018.0</v>
      </c>
      <c r="B663" s="5" t="s">
        <v>49</v>
      </c>
      <c r="C663" s="52" t="s">
        <v>50</v>
      </c>
      <c r="D663" s="5" t="s">
        <v>2614</v>
      </c>
      <c r="E663" s="7" t="s">
        <v>3653</v>
      </c>
      <c r="F663" s="5" t="s">
        <v>3654</v>
      </c>
      <c r="G663" s="5" t="s">
        <v>3655</v>
      </c>
      <c r="H663" s="5">
        <v>2011.0</v>
      </c>
      <c r="I663" s="5">
        <v>0.0</v>
      </c>
      <c r="J663" s="5">
        <v>0.0</v>
      </c>
      <c r="K663" s="5">
        <v>1.0</v>
      </c>
      <c r="L663" s="54"/>
      <c r="M663" s="5" t="s">
        <v>3656</v>
      </c>
      <c r="N663" s="53" t="s">
        <v>3657</v>
      </c>
      <c r="O663">
        <v>36.711697</v>
      </c>
      <c r="P663">
        <v>14.773094</v>
      </c>
      <c r="Q663" s="5" t="s">
        <v>822</v>
      </c>
      <c r="R663" s="10">
        <f t="shared" si="10"/>
        <v>2</v>
      </c>
      <c r="S663" s="5" t="s">
        <v>3658</v>
      </c>
      <c r="T663" s="6" t="s">
        <v>2130</v>
      </c>
      <c r="U663" s="5" t="s">
        <v>3651</v>
      </c>
      <c r="V663" s="5" t="s">
        <v>3659</v>
      </c>
    </row>
    <row r="664" ht="12.75" customHeight="1">
      <c r="A664" s="5">
        <v>34019.0</v>
      </c>
      <c r="B664" s="5" t="s">
        <v>1995</v>
      </c>
      <c r="C664" s="52" t="s">
        <v>50</v>
      </c>
      <c r="D664" s="5" t="s">
        <v>2852</v>
      </c>
      <c r="E664" s="7" t="s">
        <v>3653</v>
      </c>
      <c r="F664" s="5" t="s">
        <v>3654</v>
      </c>
      <c r="G664" s="5" t="s">
        <v>3655</v>
      </c>
      <c r="H664" s="5">
        <v>2011.0</v>
      </c>
      <c r="I664" s="5">
        <v>0.0</v>
      </c>
      <c r="J664" s="5">
        <v>0.0</v>
      </c>
      <c r="K664" s="5">
        <v>1.0</v>
      </c>
      <c r="L664" s="54"/>
      <c r="M664" s="5" t="s">
        <v>3660</v>
      </c>
      <c r="N664" s="53" t="s">
        <v>3661</v>
      </c>
      <c r="O664">
        <v>48.113475</v>
      </c>
      <c r="P664">
        <v>-1.675708</v>
      </c>
      <c r="Q664" s="5" t="s">
        <v>1408</v>
      </c>
      <c r="R664" s="10">
        <f t="shared" si="10"/>
        <v>1</v>
      </c>
      <c r="S664" s="5" t="s">
        <v>3662</v>
      </c>
      <c r="T664" s="5"/>
      <c r="U664" s="5" t="s">
        <v>2294</v>
      </c>
      <c r="V664" s="5"/>
    </row>
    <row r="665" ht="12.75" customHeight="1">
      <c r="A665" s="5">
        <v>34020.0</v>
      </c>
      <c r="B665" s="5" t="s">
        <v>49</v>
      </c>
      <c r="C665" s="52" t="s">
        <v>50</v>
      </c>
      <c r="D665" s="5" t="s">
        <v>2852</v>
      </c>
      <c r="E665" s="7" t="s">
        <v>3663</v>
      </c>
      <c r="F665" s="5" t="s">
        <v>3654</v>
      </c>
      <c r="G665" s="5" t="s">
        <v>3655</v>
      </c>
      <c r="H665" s="5">
        <v>2011.0</v>
      </c>
      <c r="I665" s="5">
        <v>0.0</v>
      </c>
      <c r="J665" s="5">
        <v>0.0</v>
      </c>
      <c r="K665" s="5">
        <v>70.0</v>
      </c>
      <c r="L665" s="54"/>
      <c r="M665" s="5" t="s">
        <v>3664</v>
      </c>
      <c r="N665" s="53" t="s">
        <v>2917</v>
      </c>
      <c r="O665">
        <v>32.876174</v>
      </c>
      <c r="P665">
        <v>13.187507</v>
      </c>
      <c r="Q665" s="5" t="s">
        <v>481</v>
      </c>
      <c r="R665" s="10">
        <f t="shared" si="10"/>
        <v>1281</v>
      </c>
      <c r="S665" s="5" t="s">
        <v>3665</v>
      </c>
      <c r="T665" s="6" t="s">
        <v>2130</v>
      </c>
      <c r="U665" s="5" t="s">
        <v>3666</v>
      </c>
      <c r="V665" s="5"/>
    </row>
    <row r="666" ht="12.75" customHeight="1">
      <c r="A666" s="5">
        <v>34022.0</v>
      </c>
      <c r="B666" s="5" t="s">
        <v>49</v>
      </c>
      <c r="C666" s="52" t="s">
        <v>50</v>
      </c>
      <c r="D666" s="5" t="s">
        <v>2614</v>
      </c>
      <c r="E666" s="7" t="s">
        <v>3667</v>
      </c>
      <c r="F666" s="5" t="s">
        <v>3654</v>
      </c>
      <c r="G666" s="5" t="s">
        <v>3655</v>
      </c>
      <c r="H666" s="5">
        <v>2011.0</v>
      </c>
      <c r="I666" s="5">
        <v>0.0</v>
      </c>
      <c r="J666" s="5">
        <v>0.0</v>
      </c>
      <c r="K666" s="5">
        <v>46.0</v>
      </c>
      <c r="L666" s="54"/>
      <c r="M666" s="5" t="s">
        <v>3668</v>
      </c>
      <c r="N666" s="53" t="s">
        <v>2700</v>
      </c>
      <c r="O666">
        <v>35.508622</v>
      </c>
      <c r="P666">
        <v>12.59292</v>
      </c>
      <c r="Q666" s="5" t="s">
        <v>669</v>
      </c>
      <c r="R666" s="10">
        <f t="shared" si="10"/>
        <v>3843</v>
      </c>
      <c r="S666" s="5" t="s">
        <v>3669</v>
      </c>
      <c r="T666" s="6" t="s">
        <v>2130</v>
      </c>
      <c r="U666" s="5" t="s">
        <v>3540</v>
      </c>
      <c r="V666" s="5" t="s">
        <v>3670</v>
      </c>
    </row>
    <row r="667" ht="12.75" customHeight="1">
      <c r="A667" s="5">
        <v>34021.0</v>
      </c>
      <c r="B667" s="5" t="s">
        <v>49</v>
      </c>
      <c r="C667" s="52" t="s">
        <v>50</v>
      </c>
      <c r="D667" s="5" t="s">
        <v>2614</v>
      </c>
      <c r="E667" s="7" t="s">
        <v>3667</v>
      </c>
      <c r="F667" s="5" t="s">
        <v>3654</v>
      </c>
      <c r="G667" s="5" t="s">
        <v>3655</v>
      </c>
      <c r="H667" s="5">
        <v>2011.0</v>
      </c>
      <c r="I667" s="5">
        <v>0.0</v>
      </c>
      <c r="J667" s="5">
        <v>0.0</v>
      </c>
      <c r="K667" s="5">
        <v>74.0</v>
      </c>
      <c r="L667" s="54"/>
      <c r="M667" s="5" t="s">
        <v>3671</v>
      </c>
      <c r="N667" s="53" t="s">
        <v>2700</v>
      </c>
      <c r="O667">
        <v>35.508622</v>
      </c>
      <c r="P667">
        <v>12.59292</v>
      </c>
      <c r="Q667" s="5" t="s">
        <v>669</v>
      </c>
      <c r="R667" s="10">
        <f t="shared" si="10"/>
        <v>3843</v>
      </c>
      <c r="S667" s="5" t="s">
        <v>3669</v>
      </c>
      <c r="T667" s="6" t="s">
        <v>2130</v>
      </c>
      <c r="U667" s="5" t="s">
        <v>3540</v>
      </c>
      <c r="V667" s="5" t="s">
        <v>3670</v>
      </c>
    </row>
    <row r="668" ht="12.75" customHeight="1">
      <c r="A668" s="5">
        <v>34024.0</v>
      </c>
      <c r="B668" s="5" t="s">
        <v>49</v>
      </c>
      <c r="C668" s="52" t="s">
        <v>50</v>
      </c>
      <c r="D668" s="5" t="s">
        <v>2852</v>
      </c>
      <c r="E668" s="7" t="s">
        <v>3672</v>
      </c>
      <c r="F668" s="5" t="s">
        <v>3654</v>
      </c>
      <c r="G668" s="5" t="s">
        <v>3655</v>
      </c>
      <c r="H668" s="5">
        <v>2011.0</v>
      </c>
      <c r="I668" s="5">
        <v>0.0</v>
      </c>
      <c r="J668" s="5">
        <v>0.0</v>
      </c>
      <c r="K668" s="5">
        <v>27.0</v>
      </c>
      <c r="L668" s="54"/>
      <c r="M668" s="5" t="s">
        <v>3673</v>
      </c>
      <c r="N668" s="53" t="s">
        <v>3674</v>
      </c>
      <c r="O668">
        <v>34.658056</v>
      </c>
      <c r="P668">
        <v>11.068611</v>
      </c>
      <c r="Q668" s="5" t="s">
        <v>585</v>
      </c>
      <c r="R668" s="10">
        <f t="shared" si="10"/>
        <v>55</v>
      </c>
      <c r="S668" s="5" t="s">
        <v>3675</v>
      </c>
      <c r="T668" s="6" t="s">
        <v>2130</v>
      </c>
      <c r="U668" s="5" t="s">
        <v>3676</v>
      </c>
      <c r="V668" s="5" t="s">
        <v>3677</v>
      </c>
    </row>
    <row r="669" ht="12.75" customHeight="1">
      <c r="A669" s="5">
        <v>34023.0</v>
      </c>
      <c r="B669" s="5" t="s">
        <v>49</v>
      </c>
      <c r="C669" s="52" t="s">
        <v>50</v>
      </c>
      <c r="D669" s="5" t="s">
        <v>2852</v>
      </c>
      <c r="E669" s="7" t="s">
        <v>3672</v>
      </c>
      <c r="F669" s="5" t="s">
        <v>3654</v>
      </c>
      <c r="G669" s="5" t="s">
        <v>3655</v>
      </c>
      <c r="H669" s="5">
        <v>2011.0</v>
      </c>
      <c r="I669" s="5">
        <v>0.0</v>
      </c>
      <c r="J669" s="5">
        <v>0.0</v>
      </c>
      <c r="K669" s="5">
        <v>11.0</v>
      </c>
      <c r="L669" s="54"/>
      <c r="M669" s="5" t="s">
        <v>3678</v>
      </c>
      <c r="N669" s="53" t="s">
        <v>2700</v>
      </c>
      <c r="O669">
        <v>35.508622</v>
      </c>
      <c r="P669">
        <v>12.59292</v>
      </c>
      <c r="Q669" s="5" t="s">
        <v>669</v>
      </c>
      <c r="R669" s="10">
        <f t="shared" si="10"/>
        <v>3843</v>
      </c>
      <c r="S669" s="5" t="s">
        <v>3679</v>
      </c>
      <c r="T669" s="6" t="s">
        <v>2130</v>
      </c>
      <c r="U669" s="5" t="s">
        <v>3680</v>
      </c>
      <c r="V669" s="5"/>
    </row>
    <row r="670" ht="12.75" customHeight="1">
      <c r="A670" s="5">
        <v>34025.0</v>
      </c>
      <c r="B670" s="5" t="s">
        <v>49</v>
      </c>
      <c r="C670" s="52" t="s">
        <v>50</v>
      </c>
      <c r="D670" s="5" t="s">
        <v>2852</v>
      </c>
      <c r="E670" s="7" t="s">
        <v>3681</v>
      </c>
      <c r="F670" s="5" t="s">
        <v>3654</v>
      </c>
      <c r="G670" s="5" t="s">
        <v>3655</v>
      </c>
      <c r="H670" s="5">
        <v>2011.0</v>
      </c>
      <c r="I670" s="5">
        <v>0.0</v>
      </c>
      <c r="J670" s="5">
        <v>0.0</v>
      </c>
      <c r="K670" s="5">
        <v>308.0</v>
      </c>
      <c r="L670" s="54"/>
      <c r="M670" s="5" t="s">
        <v>3682</v>
      </c>
      <c r="N670" s="53" t="s">
        <v>2928</v>
      </c>
      <c r="O670">
        <v>26.3351</v>
      </c>
      <c r="P670">
        <v>17.228331</v>
      </c>
      <c r="Q670" s="5" t="s">
        <v>337</v>
      </c>
      <c r="R670" s="10">
        <f t="shared" si="10"/>
        <v>1371</v>
      </c>
      <c r="S670" s="5" t="s">
        <v>3683</v>
      </c>
      <c r="T670" s="6" t="s">
        <v>2130</v>
      </c>
      <c r="U670" s="5" t="s">
        <v>3684</v>
      </c>
      <c r="V670" s="5"/>
    </row>
    <row r="671" ht="12.75" customHeight="1">
      <c r="A671" s="5">
        <v>34026.0</v>
      </c>
      <c r="B671" s="5" t="s">
        <v>1995</v>
      </c>
      <c r="C671" s="52" t="s">
        <v>50</v>
      </c>
      <c r="D671" s="5" t="s">
        <v>2852</v>
      </c>
      <c r="E671" s="7" t="s">
        <v>3685</v>
      </c>
      <c r="F671" s="5" t="s">
        <v>3654</v>
      </c>
      <c r="G671" s="5" t="s">
        <v>3655</v>
      </c>
      <c r="H671" s="5">
        <v>2011.0</v>
      </c>
      <c r="I671" s="5">
        <v>0.0</v>
      </c>
      <c r="J671" s="5">
        <v>0.0</v>
      </c>
      <c r="K671" s="5">
        <v>1.0</v>
      </c>
      <c r="L671" s="54"/>
      <c r="M671" s="5" t="s">
        <v>3686</v>
      </c>
      <c r="N671" s="53" t="s">
        <v>3687</v>
      </c>
      <c r="O671">
        <v>48.583148</v>
      </c>
      <c r="P671">
        <v>7.747882</v>
      </c>
      <c r="Q671" s="5" t="s">
        <v>1424</v>
      </c>
      <c r="R671" s="10">
        <f t="shared" si="10"/>
        <v>1</v>
      </c>
      <c r="S671" s="5" t="s">
        <v>3688</v>
      </c>
      <c r="T671" s="5"/>
      <c r="U671" s="5" t="s">
        <v>3689</v>
      </c>
      <c r="V671" s="5"/>
    </row>
    <row r="672" ht="12.75" customHeight="1">
      <c r="A672" s="5">
        <v>34027.0</v>
      </c>
      <c r="B672" s="5" t="s">
        <v>49</v>
      </c>
      <c r="C672" s="52" t="s">
        <v>50</v>
      </c>
      <c r="D672" s="5" t="s">
        <v>2852</v>
      </c>
      <c r="E672" s="7" t="s">
        <v>3690</v>
      </c>
      <c r="F672" s="5" t="s">
        <v>3654</v>
      </c>
      <c r="G672" s="5" t="s">
        <v>3655</v>
      </c>
      <c r="H672" s="5">
        <v>2011.0</v>
      </c>
      <c r="I672" s="5">
        <v>0.0</v>
      </c>
      <c r="J672" s="5">
        <v>0.0</v>
      </c>
      <c r="K672" s="5">
        <v>305.0</v>
      </c>
      <c r="L672" s="54"/>
      <c r="M672" s="5" t="s">
        <v>3691</v>
      </c>
      <c r="N672" s="53" t="s">
        <v>3692</v>
      </c>
      <c r="O672">
        <v>30.134703</v>
      </c>
      <c r="P672">
        <v>31.254136</v>
      </c>
      <c r="Q672" s="5" t="s">
        <v>411</v>
      </c>
      <c r="R672" s="10">
        <f t="shared" si="10"/>
        <v>305</v>
      </c>
      <c r="S672" s="5" t="s">
        <v>3693</v>
      </c>
      <c r="T672" s="6" t="s">
        <v>2130</v>
      </c>
      <c r="U672" s="5" t="s">
        <v>3676</v>
      </c>
      <c r="V672" s="5"/>
    </row>
    <row r="673" ht="12.75" customHeight="1">
      <c r="A673" s="5">
        <v>34028.0</v>
      </c>
      <c r="B673" s="5" t="s">
        <v>49</v>
      </c>
      <c r="C673" s="52" t="s">
        <v>50</v>
      </c>
      <c r="D673" s="5" t="s">
        <v>2852</v>
      </c>
      <c r="E673" s="7" t="s">
        <v>3694</v>
      </c>
      <c r="F673" s="5" t="s">
        <v>3654</v>
      </c>
      <c r="G673" s="5" t="s">
        <v>3655</v>
      </c>
      <c r="H673" s="5">
        <v>2011.0</v>
      </c>
      <c r="I673" s="5">
        <v>0.0</v>
      </c>
      <c r="J673" s="5">
        <v>0.0</v>
      </c>
      <c r="K673" s="5">
        <v>1.0</v>
      </c>
      <c r="L673" s="54"/>
      <c r="M673" s="5" t="s">
        <v>3695</v>
      </c>
      <c r="N673" s="53" t="s">
        <v>3503</v>
      </c>
      <c r="O673">
        <v>35.240117</v>
      </c>
      <c r="P673">
        <v>24.809269</v>
      </c>
      <c r="Q673" s="5" t="s">
        <v>641</v>
      </c>
      <c r="R673" s="10">
        <f t="shared" si="10"/>
        <v>84</v>
      </c>
      <c r="S673" s="5" t="s">
        <v>3696</v>
      </c>
      <c r="T673" s="6" t="s">
        <v>53</v>
      </c>
      <c r="U673" s="5" t="s">
        <v>3128</v>
      </c>
      <c r="V673" s="5"/>
    </row>
    <row r="674" ht="12.75" customHeight="1">
      <c r="A674" s="5">
        <v>34029.0</v>
      </c>
      <c r="B674" s="5" t="s">
        <v>49</v>
      </c>
      <c r="C674" s="52" t="s">
        <v>50</v>
      </c>
      <c r="D674" s="5" t="s">
        <v>2852</v>
      </c>
      <c r="E674" s="7" t="s">
        <v>3694</v>
      </c>
      <c r="F674" s="5" t="s">
        <v>3654</v>
      </c>
      <c r="G674" s="5" t="s">
        <v>3655</v>
      </c>
      <c r="H674" s="5">
        <v>2011.0</v>
      </c>
      <c r="I674" s="5">
        <v>0.0</v>
      </c>
      <c r="J674" s="5">
        <v>0.0</v>
      </c>
      <c r="K674" s="5">
        <v>3.0</v>
      </c>
      <c r="L674" s="54"/>
      <c r="M674" s="5" t="s">
        <v>3697</v>
      </c>
      <c r="N674" s="53" t="s">
        <v>3698</v>
      </c>
      <c r="O674">
        <v>40.792839</v>
      </c>
      <c r="P674">
        <v>17.101193</v>
      </c>
      <c r="Q674" s="5" t="s">
        <v>1163</v>
      </c>
      <c r="R674" s="10">
        <f t="shared" si="10"/>
        <v>13</v>
      </c>
      <c r="S674" s="5" t="s">
        <v>3699</v>
      </c>
      <c r="T674" s="6" t="s">
        <v>1963</v>
      </c>
      <c r="U674" s="5" t="s">
        <v>3700</v>
      </c>
      <c r="V674" s="5" t="s">
        <v>3701</v>
      </c>
    </row>
    <row r="675" ht="12.75" customHeight="1">
      <c r="A675" s="5">
        <v>34030.0</v>
      </c>
      <c r="B675" s="5" t="s">
        <v>49</v>
      </c>
      <c r="C675" s="52" t="s">
        <v>50</v>
      </c>
      <c r="D675" s="5" t="s">
        <v>2852</v>
      </c>
      <c r="E675" s="7" t="s">
        <v>3702</v>
      </c>
      <c r="F675" s="5" t="s">
        <v>3654</v>
      </c>
      <c r="G675" s="5" t="s">
        <v>3655</v>
      </c>
      <c r="H675" s="5">
        <v>2011.0</v>
      </c>
      <c r="I675" s="5">
        <v>0.0</v>
      </c>
      <c r="J675" s="5">
        <v>0.0</v>
      </c>
      <c r="K675" s="5">
        <v>3.0</v>
      </c>
      <c r="L675" s="54"/>
      <c r="M675" s="5" t="s">
        <v>3703</v>
      </c>
      <c r="N675" s="53" t="s">
        <v>2834</v>
      </c>
      <c r="O675">
        <v>41.244376</v>
      </c>
      <c r="P675">
        <v>26.135943</v>
      </c>
      <c r="Q675" s="5" t="s">
        <v>1214</v>
      </c>
      <c r="R675" s="10">
        <f t="shared" si="10"/>
        <v>188</v>
      </c>
      <c r="S675" s="5" t="s">
        <v>3704</v>
      </c>
      <c r="T675" s="6" t="s">
        <v>53</v>
      </c>
      <c r="U675" s="5" t="s">
        <v>3705</v>
      </c>
      <c r="V675" s="5"/>
    </row>
    <row r="676" ht="12.75" customHeight="1">
      <c r="A676" s="5">
        <v>34031.0</v>
      </c>
      <c r="B676" s="5" t="s">
        <v>49</v>
      </c>
      <c r="C676" s="52" t="s">
        <v>50</v>
      </c>
      <c r="D676" s="5" t="s">
        <v>2614</v>
      </c>
      <c r="E676" s="7" t="s">
        <v>3706</v>
      </c>
      <c r="F676" s="5" t="s">
        <v>3654</v>
      </c>
      <c r="G676" s="5" t="s">
        <v>3655</v>
      </c>
      <c r="H676" s="5">
        <v>2011.0</v>
      </c>
      <c r="I676" s="5">
        <v>0.0</v>
      </c>
      <c r="J676" s="5">
        <v>0.0</v>
      </c>
      <c r="K676" s="5">
        <v>3.0</v>
      </c>
      <c r="L676" s="54"/>
      <c r="M676" s="5" t="s">
        <v>3707</v>
      </c>
      <c r="N676" s="53" t="s">
        <v>2700</v>
      </c>
      <c r="O676">
        <v>35.508622</v>
      </c>
      <c r="P676">
        <v>12.59292</v>
      </c>
      <c r="Q676" s="5" t="s">
        <v>669</v>
      </c>
      <c r="R676" s="10">
        <f t="shared" si="10"/>
        <v>3843</v>
      </c>
      <c r="S676" s="5" t="s">
        <v>3708</v>
      </c>
      <c r="T676" s="6" t="s">
        <v>2130</v>
      </c>
      <c r="U676" s="5" t="s">
        <v>2619</v>
      </c>
      <c r="V676" s="5" t="s">
        <v>3709</v>
      </c>
    </row>
    <row r="677" ht="12.75" customHeight="1">
      <c r="A677" s="5">
        <v>34033.0</v>
      </c>
      <c r="B677" s="5" t="s">
        <v>49</v>
      </c>
      <c r="C677" s="52" t="s">
        <v>50</v>
      </c>
      <c r="D677" s="5" t="s">
        <v>2852</v>
      </c>
      <c r="E677" s="7" t="s">
        <v>3710</v>
      </c>
      <c r="F677" s="5" t="s">
        <v>3654</v>
      </c>
      <c r="G677" s="5" t="s">
        <v>3655</v>
      </c>
      <c r="H677" s="5">
        <v>2011.0</v>
      </c>
      <c r="I677" s="5">
        <v>0.0</v>
      </c>
      <c r="J677" s="5">
        <v>0.0</v>
      </c>
      <c r="K677" s="5">
        <v>40.0</v>
      </c>
      <c r="L677" s="54"/>
      <c r="M677" s="5" t="s">
        <v>3711</v>
      </c>
      <c r="N677" s="53" t="s">
        <v>2700</v>
      </c>
      <c r="O677">
        <v>35.508622</v>
      </c>
      <c r="P677">
        <v>12.59292</v>
      </c>
      <c r="Q677" s="5" t="s">
        <v>669</v>
      </c>
      <c r="R677" s="10">
        <f t="shared" si="10"/>
        <v>3843</v>
      </c>
      <c r="S677" s="5" t="s">
        <v>3712</v>
      </c>
      <c r="T677" s="6" t="s">
        <v>2130</v>
      </c>
      <c r="U677" s="5" t="s">
        <v>3713</v>
      </c>
      <c r="V677" s="5" t="s">
        <v>3714</v>
      </c>
    </row>
    <row r="678" ht="12.75" customHeight="1">
      <c r="A678" s="5">
        <v>34032.0</v>
      </c>
      <c r="B678" s="5" t="s">
        <v>49</v>
      </c>
      <c r="C678" s="52" t="s">
        <v>50</v>
      </c>
      <c r="D678" s="5" t="s">
        <v>2614</v>
      </c>
      <c r="E678" s="7" t="s">
        <v>3710</v>
      </c>
      <c r="F678" s="5" t="s">
        <v>3654</v>
      </c>
      <c r="G678" s="5" t="s">
        <v>3655</v>
      </c>
      <c r="H678" s="5">
        <v>2011.0</v>
      </c>
      <c r="I678" s="5">
        <v>0.0</v>
      </c>
      <c r="J678" s="5">
        <v>0.0</v>
      </c>
      <c r="K678" s="5">
        <v>48.0</v>
      </c>
      <c r="L678" s="54"/>
      <c r="M678" s="5" t="s">
        <v>3715</v>
      </c>
      <c r="N678" s="53" t="s">
        <v>2700</v>
      </c>
      <c r="O678">
        <v>35.508622</v>
      </c>
      <c r="P678">
        <v>12.59292</v>
      </c>
      <c r="Q678" s="5" t="s">
        <v>669</v>
      </c>
      <c r="R678" s="10">
        <f t="shared" si="10"/>
        <v>3843</v>
      </c>
      <c r="S678" s="5" t="s">
        <v>3712</v>
      </c>
      <c r="T678" s="6" t="s">
        <v>2130</v>
      </c>
      <c r="U678" s="5" t="s">
        <v>3540</v>
      </c>
      <c r="V678" s="5" t="s">
        <v>3716</v>
      </c>
    </row>
    <row r="679" ht="12.75" customHeight="1">
      <c r="A679" s="5">
        <v>34034.0</v>
      </c>
      <c r="B679" s="5" t="s">
        <v>2962</v>
      </c>
      <c r="C679" s="5" t="s">
        <v>211</v>
      </c>
      <c r="D679" s="5" t="s">
        <v>2852</v>
      </c>
      <c r="E679" s="7" t="s">
        <v>3717</v>
      </c>
      <c r="F679" s="5" t="s">
        <v>3654</v>
      </c>
      <c r="G679" s="5" t="s">
        <v>3655</v>
      </c>
      <c r="H679" s="5">
        <v>2011.0</v>
      </c>
      <c r="I679" s="5">
        <v>0.0</v>
      </c>
      <c r="J679" s="5">
        <v>0.0</v>
      </c>
      <c r="K679" s="5">
        <v>1.0</v>
      </c>
      <c r="L679" s="54"/>
      <c r="M679" s="5" t="s">
        <v>3718</v>
      </c>
      <c r="N679" s="53" t="s">
        <v>3719</v>
      </c>
      <c r="O679">
        <v>39.223841</v>
      </c>
      <c r="P679">
        <v>9.121661</v>
      </c>
      <c r="Q679" s="5" t="s">
        <v>1073</v>
      </c>
      <c r="R679" s="10">
        <f t="shared" si="10"/>
        <v>1</v>
      </c>
      <c r="S679" s="5" t="s">
        <v>3720</v>
      </c>
      <c r="T679" s="6" t="s">
        <v>2130</v>
      </c>
      <c r="U679" s="5" t="s">
        <v>3721</v>
      </c>
      <c r="V679" s="5"/>
    </row>
    <row r="680" ht="12.75" customHeight="1">
      <c r="A680" s="5">
        <v>34035.0</v>
      </c>
      <c r="B680" s="5" t="s">
        <v>68</v>
      </c>
      <c r="C680" s="5" t="s">
        <v>69</v>
      </c>
      <c r="D680" s="5" t="s">
        <v>2852</v>
      </c>
      <c r="E680" s="7" t="s">
        <v>3722</v>
      </c>
      <c r="F680" s="5" t="s">
        <v>3654</v>
      </c>
      <c r="G680" s="5" t="s">
        <v>3655</v>
      </c>
      <c r="H680" s="5">
        <v>2011.0</v>
      </c>
      <c r="I680" s="5">
        <v>0.0</v>
      </c>
      <c r="J680" s="5">
        <v>0.0</v>
      </c>
      <c r="K680" s="5">
        <v>1.0</v>
      </c>
      <c r="L680" s="54"/>
      <c r="M680" s="5" t="s">
        <v>3723</v>
      </c>
      <c r="N680" s="53" t="s">
        <v>3724</v>
      </c>
      <c r="O680">
        <v>47.36865</v>
      </c>
      <c r="P680">
        <v>8.539183</v>
      </c>
      <c r="Q680" s="5" t="s">
        <v>1377</v>
      </c>
      <c r="R680" s="10">
        <f t="shared" si="10"/>
        <v>9</v>
      </c>
      <c r="S680" s="5" t="s">
        <v>3725</v>
      </c>
      <c r="T680" s="5"/>
      <c r="U680" s="5" t="s">
        <v>3726</v>
      </c>
      <c r="V680" s="5"/>
    </row>
    <row r="681" ht="12.75" customHeight="1">
      <c r="A681" s="5">
        <v>34036.0</v>
      </c>
      <c r="B681" s="5" t="s">
        <v>49</v>
      </c>
      <c r="C681" s="52" t="s">
        <v>50</v>
      </c>
      <c r="D681" s="5" t="s">
        <v>2614</v>
      </c>
      <c r="E681" s="7" t="s">
        <v>3727</v>
      </c>
      <c r="F681" s="5" t="s">
        <v>3654</v>
      </c>
      <c r="G681" s="5" t="s">
        <v>3655</v>
      </c>
      <c r="H681" s="5">
        <v>2011.0</v>
      </c>
      <c r="I681" s="5">
        <v>0.0</v>
      </c>
      <c r="J681" s="5">
        <v>0.0</v>
      </c>
      <c r="K681" s="5">
        <v>19.0</v>
      </c>
      <c r="L681" s="54"/>
      <c r="M681" s="5" t="s">
        <v>3728</v>
      </c>
      <c r="N681" s="53" t="s">
        <v>3503</v>
      </c>
      <c r="O681">
        <v>35.240117</v>
      </c>
      <c r="P681">
        <v>24.809269</v>
      </c>
      <c r="Q681" s="5" t="s">
        <v>641</v>
      </c>
      <c r="R681" s="10">
        <f t="shared" si="10"/>
        <v>84</v>
      </c>
      <c r="S681" s="5" t="s">
        <v>3729</v>
      </c>
      <c r="T681" s="6" t="s">
        <v>53</v>
      </c>
      <c r="U681" s="5" t="s">
        <v>3318</v>
      </c>
      <c r="V681" s="5" t="s">
        <v>3730</v>
      </c>
    </row>
    <row r="682" ht="12.75" customHeight="1">
      <c r="A682" s="5">
        <v>34037.0</v>
      </c>
      <c r="B682" s="5" t="s">
        <v>49</v>
      </c>
      <c r="C682" s="52" t="s">
        <v>50</v>
      </c>
      <c r="D682" s="5" t="s">
        <v>2614</v>
      </c>
      <c r="E682" s="7" t="s">
        <v>3731</v>
      </c>
      <c r="F682" s="5" t="s">
        <v>3654</v>
      </c>
      <c r="G682" s="5" t="s">
        <v>3655</v>
      </c>
      <c r="H682" s="5">
        <v>2011.0</v>
      </c>
      <c r="I682" s="5">
        <v>0.0</v>
      </c>
      <c r="J682" s="5">
        <v>0.0</v>
      </c>
      <c r="K682" s="5">
        <v>1.0</v>
      </c>
      <c r="L682" s="54"/>
      <c r="M682" s="5" t="s">
        <v>3732</v>
      </c>
      <c r="N682" s="53" t="s">
        <v>3733</v>
      </c>
      <c r="O682">
        <v>35.85</v>
      </c>
      <c r="P682">
        <v>-0.316667</v>
      </c>
      <c r="Q682" s="5" t="s">
        <v>708</v>
      </c>
      <c r="R682" s="10">
        <f t="shared" si="10"/>
        <v>81</v>
      </c>
      <c r="S682" s="5" t="s">
        <v>3734</v>
      </c>
      <c r="T682" s="6" t="s">
        <v>72</v>
      </c>
      <c r="U682" s="5" t="s">
        <v>3360</v>
      </c>
      <c r="V682" s="5" t="s">
        <v>3361</v>
      </c>
    </row>
    <row r="683" ht="12.75" customHeight="1">
      <c r="A683" s="5">
        <v>54048.0</v>
      </c>
      <c r="B683" s="5" t="s">
        <v>211</v>
      </c>
      <c r="C683" s="5" t="s">
        <v>211</v>
      </c>
      <c r="D683" s="5"/>
      <c r="E683" s="7" t="s">
        <v>3735</v>
      </c>
      <c r="F683" s="5" t="s">
        <v>3654</v>
      </c>
      <c r="G683" s="5" t="s">
        <v>3655</v>
      </c>
      <c r="H683" s="5">
        <v>2011.0</v>
      </c>
      <c r="I683" s="5">
        <v>1.0</v>
      </c>
      <c r="J683" s="5">
        <v>0.0</v>
      </c>
      <c r="K683" s="5">
        <v>1.0</v>
      </c>
      <c r="L683" s="54"/>
      <c r="M683" s="5" t="s">
        <v>3736</v>
      </c>
      <c r="N683" s="53" t="s">
        <v>2759</v>
      </c>
      <c r="O683">
        <v>47.36865</v>
      </c>
      <c r="P683">
        <v>8.539183</v>
      </c>
      <c r="Q683" s="5" t="s">
        <v>1377</v>
      </c>
      <c r="R683" s="10">
        <f t="shared" si="10"/>
        <v>9</v>
      </c>
      <c r="S683" s="5" t="s">
        <v>3737</v>
      </c>
      <c r="T683" s="5"/>
      <c r="U683" s="5" t="s">
        <v>3738</v>
      </c>
      <c r="V683" s="5" t="s">
        <v>3739</v>
      </c>
    </row>
    <row r="684" ht="12.75" customHeight="1">
      <c r="A684" s="5">
        <v>34038.0</v>
      </c>
      <c r="B684" s="5" t="s">
        <v>49</v>
      </c>
      <c r="C684" s="52" t="s">
        <v>50</v>
      </c>
      <c r="D684" s="5" t="s">
        <v>2852</v>
      </c>
      <c r="E684" s="7" t="s">
        <v>3740</v>
      </c>
      <c r="F684" s="5" t="s">
        <v>3654</v>
      </c>
      <c r="G684" s="5" t="s">
        <v>3741</v>
      </c>
      <c r="H684" s="5">
        <v>2011.0</v>
      </c>
      <c r="I684" s="5">
        <v>0.0</v>
      </c>
      <c r="J684" s="5">
        <v>0.0</v>
      </c>
      <c r="K684" s="5">
        <v>1.0</v>
      </c>
      <c r="L684" s="54"/>
      <c r="M684" s="5" t="s">
        <v>3742</v>
      </c>
      <c r="N684" s="53" t="s">
        <v>2638</v>
      </c>
      <c r="O684">
        <v>35.888384</v>
      </c>
      <c r="P684">
        <v>-5.324636</v>
      </c>
      <c r="Q684" s="5" t="s">
        <v>717</v>
      </c>
      <c r="R684" s="10">
        <f t="shared" si="10"/>
        <v>213</v>
      </c>
      <c r="S684" s="5" t="s">
        <v>3743</v>
      </c>
      <c r="T684" s="6" t="s">
        <v>72</v>
      </c>
      <c r="U684" s="5" t="s">
        <v>3744</v>
      </c>
      <c r="V684" s="5" t="s">
        <v>3361</v>
      </c>
    </row>
    <row r="685" ht="12.75" customHeight="1">
      <c r="A685" s="5">
        <v>34039.0</v>
      </c>
      <c r="B685" s="5" t="s">
        <v>49</v>
      </c>
      <c r="C685" s="52" t="s">
        <v>50</v>
      </c>
      <c r="D685" s="5" t="s">
        <v>2614</v>
      </c>
      <c r="E685" s="7" t="s">
        <v>3745</v>
      </c>
      <c r="F685" s="5" t="s">
        <v>3654</v>
      </c>
      <c r="G685" s="5" t="s">
        <v>3741</v>
      </c>
      <c r="H685" s="5">
        <v>2011.0</v>
      </c>
      <c r="I685" s="5">
        <v>0.0</v>
      </c>
      <c r="J685" s="5">
        <v>0.0</v>
      </c>
      <c r="K685" s="5">
        <v>15.0</v>
      </c>
      <c r="L685" s="54"/>
      <c r="M685" s="5" t="s">
        <v>3746</v>
      </c>
      <c r="N685" s="53" t="s">
        <v>3733</v>
      </c>
      <c r="O685">
        <v>35.85</v>
      </c>
      <c r="P685">
        <v>-0.316667</v>
      </c>
      <c r="Q685" s="5" t="s">
        <v>708</v>
      </c>
      <c r="R685" s="10">
        <f t="shared" si="10"/>
        <v>81</v>
      </c>
      <c r="S685" s="5" t="s">
        <v>3747</v>
      </c>
      <c r="T685" s="6" t="s">
        <v>72</v>
      </c>
      <c r="U685" s="5" t="s">
        <v>3360</v>
      </c>
      <c r="V685" s="5" t="s">
        <v>3361</v>
      </c>
    </row>
    <row r="686" ht="12.75" customHeight="1">
      <c r="A686" s="5">
        <v>34040.0</v>
      </c>
      <c r="B686" s="5" t="s">
        <v>49</v>
      </c>
      <c r="C686" s="52" t="s">
        <v>50</v>
      </c>
      <c r="D686" s="5" t="s">
        <v>2614</v>
      </c>
      <c r="E686" s="7" t="s">
        <v>3748</v>
      </c>
      <c r="F686" s="5" t="s">
        <v>3654</v>
      </c>
      <c r="G686" s="5" t="s">
        <v>3741</v>
      </c>
      <c r="H686" s="5">
        <v>2011.0</v>
      </c>
      <c r="I686" s="5">
        <v>0.0</v>
      </c>
      <c r="J686" s="5">
        <v>0.0</v>
      </c>
      <c r="K686" s="5">
        <v>1.0</v>
      </c>
      <c r="L686" s="54"/>
      <c r="M686" s="5" t="s">
        <v>3749</v>
      </c>
      <c r="N686" s="53" t="s">
        <v>2638</v>
      </c>
      <c r="O686">
        <v>35.888384</v>
      </c>
      <c r="P686">
        <v>-5.324636</v>
      </c>
      <c r="Q686" s="5" t="s">
        <v>717</v>
      </c>
      <c r="R686" s="10">
        <f t="shared" si="10"/>
        <v>213</v>
      </c>
      <c r="S686" s="5" t="s">
        <v>3750</v>
      </c>
      <c r="T686" s="6" t="s">
        <v>72</v>
      </c>
      <c r="U686" s="5" t="s">
        <v>3751</v>
      </c>
      <c r="V686" s="5" t="s">
        <v>3752</v>
      </c>
    </row>
    <row r="687" ht="12.75" customHeight="1">
      <c r="A687" s="5">
        <v>34041.0</v>
      </c>
      <c r="B687" s="5" t="s">
        <v>49</v>
      </c>
      <c r="C687" s="52" t="s">
        <v>50</v>
      </c>
      <c r="D687" s="5" t="s">
        <v>2614</v>
      </c>
      <c r="E687" s="7" t="s">
        <v>3753</v>
      </c>
      <c r="F687" s="5" t="s">
        <v>3654</v>
      </c>
      <c r="G687" s="5" t="s">
        <v>3741</v>
      </c>
      <c r="H687" s="5">
        <v>2011.0</v>
      </c>
      <c r="I687" s="5">
        <v>0.0</v>
      </c>
      <c r="J687" s="5">
        <v>0.0</v>
      </c>
      <c r="K687" s="5">
        <v>6.0</v>
      </c>
      <c r="L687" s="54"/>
      <c r="M687" s="5" t="s">
        <v>3754</v>
      </c>
      <c r="N687" s="53" t="s">
        <v>3755</v>
      </c>
      <c r="O687">
        <v>36.623381</v>
      </c>
      <c r="P687">
        <v>2.654829</v>
      </c>
      <c r="Q687" s="5" t="s">
        <v>810</v>
      </c>
      <c r="R687" s="10">
        <f t="shared" si="10"/>
        <v>6</v>
      </c>
      <c r="S687" s="5" t="s">
        <v>3756</v>
      </c>
      <c r="T687" s="6" t="s">
        <v>72</v>
      </c>
      <c r="U687" s="5" t="s">
        <v>3360</v>
      </c>
      <c r="V687" s="5" t="s">
        <v>3361</v>
      </c>
    </row>
    <row r="688" ht="12.75" customHeight="1">
      <c r="A688" s="5">
        <v>34042.0</v>
      </c>
      <c r="B688" s="5" t="s">
        <v>2962</v>
      </c>
      <c r="C688" s="5" t="s">
        <v>211</v>
      </c>
      <c r="D688" s="5" t="s">
        <v>2852</v>
      </c>
      <c r="E688" s="7" t="s">
        <v>3757</v>
      </c>
      <c r="F688" s="5" t="s">
        <v>3654</v>
      </c>
      <c r="G688" s="5" t="s">
        <v>3741</v>
      </c>
      <c r="H688" s="5">
        <v>2011.0</v>
      </c>
      <c r="I688" s="5">
        <v>0.0</v>
      </c>
      <c r="J688" s="5">
        <v>0.0</v>
      </c>
      <c r="K688" s="5">
        <v>2.0</v>
      </c>
      <c r="L688" s="54"/>
      <c r="M688" s="5" t="s">
        <v>3758</v>
      </c>
      <c r="N688" s="53" t="s">
        <v>3759</v>
      </c>
      <c r="O688">
        <v>51.590352</v>
      </c>
      <c r="P688">
        <v>-0.119725</v>
      </c>
      <c r="Q688" s="5" t="s">
        <v>1672</v>
      </c>
      <c r="R688" s="10">
        <f t="shared" si="10"/>
        <v>3</v>
      </c>
      <c r="S688" s="5" t="s">
        <v>3760</v>
      </c>
      <c r="T688" s="5"/>
      <c r="U688" s="5" t="s">
        <v>3128</v>
      </c>
      <c r="V688" s="5"/>
    </row>
    <row r="689" ht="12.75" customHeight="1">
      <c r="A689" s="5">
        <v>34043.0</v>
      </c>
      <c r="B689" s="5" t="s">
        <v>1995</v>
      </c>
      <c r="C689" s="52" t="s">
        <v>50</v>
      </c>
      <c r="D689" s="5" t="s">
        <v>2852</v>
      </c>
      <c r="E689" s="7" t="s">
        <v>3761</v>
      </c>
      <c r="F689" s="5" t="s">
        <v>3654</v>
      </c>
      <c r="G689" s="5" t="s">
        <v>3741</v>
      </c>
      <c r="H689" s="5">
        <v>2011.0</v>
      </c>
      <c r="I689" s="5">
        <v>0.0</v>
      </c>
      <c r="J689" s="5">
        <v>0.0</v>
      </c>
      <c r="K689" s="5">
        <v>1.0</v>
      </c>
      <c r="L689" s="54"/>
      <c r="M689" s="5" t="s">
        <v>3762</v>
      </c>
      <c r="N689" s="53" t="s">
        <v>3763</v>
      </c>
      <c r="O689">
        <v>51.481969</v>
      </c>
      <c r="P689">
        <v>-0.526243</v>
      </c>
      <c r="Q689" s="5" t="s">
        <v>1645</v>
      </c>
      <c r="R689" s="10">
        <f t="shared" si="10"/>
        <v>3</v>
      </c>
      <c r="S689" s="5" t="s">
        <v>3764</v>
      </c>
      <c r="T689" s="5"/>
      <c r="U689" s="5" t="s">
        <v>3765</v>
      </c>
      <c r="V689" s="5"/>
    </row>
    <row r="690" ht="12.75" customHeight="1">
      <c r="A690" s="5">
        <v>34044.0</v>
      </c>
      <c r="B690" s="5" t="s">
        <v>49</v>
      </c>
      <c r="C690" s="52" t="s">
        <v>50</v>
      </c>
      <c r="D690" s="5" t="s">
        <v>2852</v>
      </c>
      <c r="E690" s="7" t="s">
        <v>3766</v>
      </c>
      <c r="F690" s="5" t="s">
        <v>3654</v>
      </c>
      <c r="G690" s="5" t="s">
        <v>3741</v>
      </c>
      <c r="H690" s="5">
        <v>2011.0</v>
      </c>
      <c r="I690" s="5">
        <v>0.0</v>
      </c>
      <c r="J690" s="5">
        <v>0.0</v>
      </c>
      <c r="K690" s="5">
        <v>270.0</v>
      </c>
      <c r="L690" s="54"/>
      <c r="M690" s="5" t="s">
        <v>3767</v>
      </c>
      <c r="N690" s="53" t="s">
        <v>2700</v>
      </c>
      <c r="O690">
        <v>35.508622</v>
      </c>
      <c r="P690">
        <v>12.59292</v>
      </c>
      <c r="Q690" s="5" t="s">
        <v>669</v>
      </c>
      <c r="R690" s="10">
        <f t="shared" si="10"/>
        <v>3843</v>
      </c>
      <c r="S690" s="5" t="s">
        <v>3768</v>
      </c>
      <c r="T690" s="6" t="s">
        <v>2130</v>
      </c>
      <c r="U690" s="5" t="s">
        <v>3769</v>
      </c>
      <c r="V690" s="5" t="s">
        <v>3770</v>
      </c>
    </row>
    <row r="691" ht="12.75" customHeight="1">
      <c r="A691" s="5">
        <v>34045.0</v>
      </c>
      <c r="B691" s="5" t="s">
        <v>49</v>
      </c>
      <c r="C691" s="52" t="s">
        <v>50</v>
      </c>
      <c r="D691" s="5" t="s">
        <v>2852</v>
      </c>
      <c r="E691" s="7" t="s">
        <v>3771</v>
      </c>
      <c r="F691" s="5" t="s">
        <v>3654</v>
      </c>
      <c r="G691" s="5" t="s">
        <v>3741</v>
      </c>
      <c r="H691" s="5">
        <v>2011.0</v>
      </c>
      <c r="I691" s="5">
        <v>0.0</v>
      </c>
      <c r="J691" s="5">
        <v>0.0</v>
      </c>
      <c r="K691" s="5">
        <v>1.0</v>
      </c>
      <c r="L691" s="54"/>
      <c r="M691" s="5" t="s">
        <v>3772</v>
      </c>
      <c r="N691" s="53" t="s">
        <v>2633</v>
      </c>
      <c r="O691">
        <v>28.569022</v>
      </c>
      <c r="P691">
        <v>-16.324539</v>
      </c>
      <c r="Q691" s="5" t="s">
        <v>396</v>
      </c>
      <c r="R691" s="10">
        <f t="shared" si="10"/>
        <v>53</v>
      </c>
      <c r="S691" s="5" t="s">
        <v>3773</v>
      </c>
      <c r="T691" s="5" t="s">
        <v>1040</v>
      </c>
      <c r="U691" s="5" t="s">
        <v>3774</v>
      </c>
      <c r="V691" s="5" t="s">
        <v>3775</v>
      </c>
    </row>
    <row r="692" ht="12.75" customHeight="1">
      <c r="A692" s="5">
        <v>34046.0</v>
      </c>
      <c r="B692" s="5" t="s">
        <v>1076</v>
      </c>
      <c r="C692" s="52" t="s">
        <v>50</v>
      </c>
      <c r="D692" s="5" t="s">
        <v>2852</v>
      </c>
      <c r="E692" s="7" t="s">
        <v>3771</v>
      </c>
      <c r="F692" s="5" t="s">
        <v>3654</v>
      </c>
      <c r="G692" s="5" t="s">
        <v>3741</v>
      </c>
      <c r="H692" s="5">
        <v>2011.0</v>
      </c>
      <c r="I692" s="5">
        <v>0.0</v>
      </c>
      <c r="J692" s="5">
        <v>0.0</v>
      </c>
      <c r="K692" s="5">
        <v>1.0</v>
      </c>
      <c r="L692" s="54"/>
      <c r="M692" s="5" t="s">
        <v>3776</v>
      </c>
      <c r="N692" s="53" t="s">
        <v>2996</v>
      </c>
      <c r="O692">
        <v>43.61583</v>
      </c>
      <c r="P692">
        <v>13.518915</v>
      </c>
      <c r="Q692" s="5" t="s">
        <v>1284</v>
      </c>
      <c r="R692" s="10">
        <f t="shared" si="10"/>
        <v>16</v>
      </c>
      <c r="S692" s="5" t="s">
        <v>3777</v>
      </c>
      <c r="T692" s="5"/>
      <c r="U692" s="5" t="s">
        <v>3778</v>
      </c>
      <c r="V692" s="5"/>
    </row>
    <row r="693" ht="12.75" customHeight="1">
      <c r="A693" s="5">
        <v>34047.0</v>
      </c>
      <c r="B693" s="5" t="s">
        <v>49</v>
      </c>
      <c r="C693" s="52" t="s">
        <v>50</v>
      </c>
      <c r="D693" s="5" t="s">
        <v>2852</v>
      </c>
      <c r="E693" s="7" t="s">
        <v>3779</v>
      </c>
      <c r="F693" s="5" t="s">
        <v>3654</v>
      </c>
      <c r="G693" s="5" t="s">
        <v>3741</v>
      </c>
      <c r="H693" s="5">
        <v>2011.0</v>
      </c>
      <c r="I693" s="5">
        <v>0.0</v>
      </c>
      <c r="J693" s="5">
        <v>0.0</v>
      </c>
      <c r="K693" s="5">
        <v>1.0</v>
      </c>
      <c r="L693" s="54"/>
      <c r="M693" s="5" t="s">
        <v>3780</v>
      </c>
      <c r="N693" s="53" t="s">
        <v>3781</v>
      </c>
      <c r="O693">
        <v>36.622554</v>
      </c>
      <c r="P693">
        <v>-4.499477</v>
      </c>
      <c r="Q693" s="5" t="s">
        <v>809</v>
      </c>
      <c r="R693" s="10">
        <f t="shared" si="10"/>
        <v>1</v>
      </c>
      <c r="S693" s="5" t="s">
        <v>3782</v>
      </c>
      <c r="T693" s="6" t="s">
        <v>72</v>
      </c>
      <c r="U693" s="5" t="s">
        <v>3783</v>
      </c>
      <c r="V693" s="5" t="s">
        <v>3784</v>
      </c>
    </row>
    <row r="694" ht="12.75" customHeight="1">
      <c r="A694" s="5">
        <v>33913.0</v>
      </c>
      <c r="B694" s="5" t="s">
        <v>68</v>
      </c>
      <c r="C694" s="5" t="s">
        <v>69</v>
      </c>
      <c r="D694" s="5" t="s">
        <v>2852</v>
      </c>
      <c r="E694" s="7" t="s">
        <v>3785</v>
      </c>
      <c r="F694" s="5" t="s">
        <v>3786</v>
      </c>
      <c r="G694" s="5" t="s">
        <v>3787</v>
      </c>
      <c r="H694" s="5">
        <v>2011.0</v>
      </c>
      <c r="I694" s="5">
        <v>0.0</v>
      </c>
      <c r="J694" s="5">
        <v>0.0</v>
      </c>
      <c r="K694" s="5">
        <v>2.0</v>
      </c>
      <c r="L694" s="54"/>
      <c r="M694" s="5" t="s">
        <v>3788</v>
      </c>
      <c r="N694" s="53" t="s">
        <v>2834</v>
      </c>
      <c r="O694">
        <v>41.244376</v>
      </c>
      <c r="P694">
        <v>26.135943</v>
      </c>
      <c r="Q694" s="5" t="s">
        <v>1214</v>
      </c>
      <c r="R694" s="10">
        <f t="shared" si="10"/>
        <v>188</v>
      </c>
      <c r="S694" s="5" t="s">
        <v>3789</v>
      </c>
      <c r="T694" s="6" t="s">
        <v>53</v>
      </c>
      <c r="U694" s="5" t="s">
        <v>3790</v>
      </c>
      <c r="V694" s="5"/>
    </row>
    <row r="695" ht="12.75" customHeight="1">
      <c r="A695" s="5">
        <v>33912.0</v>
      </c>
      <c r="B695" s="5" t="s">
        <v>2921</v>
      </c>
      <c r="C695" s="52" t="s">
        <v>50</v>
      </c>
      <c r="D695" s="5" t="s">
        <v>2852</v>
      </c>
      <c r="E695" s="7" t="s">
        <v>3785</v>
      </c>
      <c r="F695" s="5" t="s">
        <v>3786</v>
      </c>
      <c r="G695" s="5" t="s">
        <v>3787</v>
      </c>
      <c r="H695" s="5">
        <v>2011.0</v>
      </c>
      <c r="I695" s="5">
        <v>0.0</v>
      </c>
      <c r="J695" s="5">
        <v>0.0</v>
      </c>
      <c r="K695" s="5">
        <v>1.0</v>
      </c>
      <c r="L695" s="54"/>
      <c r="M695" s="5" t="s">
        <v>3791</v>
      </c>
      <c r="N695" s="53" t="s">
        <v>2834</v>
      </c>
      <c r="O695">
        <v>41.244376</v>
      </c>
      <c r="P695">
        <v>26.135943</v>
      </c>
      <c r="Q695" s="5" t="s">
        <v>1214</v>
      </c>
      <c r="R695" s="10">
        <f t="shared" si="10"/>
        <v>188</v>
      </c>
      <c r="S695" s="5" t="s">
        <v>3789</v>
      </c>
      <c r="T695" s="6" t="s">
        <v>53</v>
      </c>
      <c r="U695" s="5" t="s">
        <v>3790</v>
      </c>
      <c r="V695" s="5"/>
    </row>
    <row r="696" ht="12.75" customHeight="1">
      <c r="A696" s="5">
        <v>33911.0</v>
      </c>
      <c r="B696" s="5" t="s">
        <v>153</v>
      </c>
      <c r="C696" s="52" t="s">
        <v>50</v>
      </c>
      <c r="D696" s="5" t="s">
        <v>2852</v>
      </c>
      <c r="E696" s="7" t="s">
        <v>3785</v>
      </c>
      <c r="F696" s="5" t="s">
        <v>3786</v>
      </c>
      <c r="G696" s="5" t="s">
        <v>3787</v>
      </c>
      <c r="H696" s="5">
        <v>2011.0</v>
      </c>
      <c r="I696" s="5">
        <v>0.0</v>
      </c>
      <c r="J696" s="5">
        <v>0.0</v>
      </c>
      <c r="K696" s="5">
        <v>1.0</v>
      </c>
      <c r="L696" s="54"/>
      <c r="M696" s="5" t="s">
        <v>3792</v>
      </c>
      <c r="N696" s="53" t="s">
        <v>3793</v>
      </c>
      <c r="O696">
        <v>51.455643</v>
      </c>
      <c r="P696">
        <v>7.011555</v>
      </c>
      <c r="Q696" s="5" t="s">
        <v>1627</v>
      </c>
      <c r="R696" s="10">
        <f t="shared" si="10"/>
        <v>1</v>
      </c>
      <c r="S696" s="5" t="s">
        <v>3794</v>
      </c>
      <c r="T696" s="5"/>
      <c r="U696" s="5" t="s">
        <v>3795</v>
      </c>
      <c r="V696" s="5"/>
    </row>
    <row r="697" ht="12.75" customHeight="1">
      <c r="A697" s="5">
        <v>33914.0</v>
      </c>
      <c r="B697" s="5" t="s">
        <v>491</v>
      </c>
      <c r="C697" s="52" t="s">
        <v>50</v>
      </c>
      <c r="D697" s="5" t="s">
        <v>2614</v>
      </c>
      <c r="E697" s="7" t="s">
        <v>3796</v>
      </c>
      <c r="F697" s="5" t="s">
        <v>3786</v>
      </c>
      <c r="G697" s="5" t="s">
        <v>3787</v>
      </c>
      <c r="H697" s="5">
        <v>2011.0</v>
      </c>
      <c r="I697" s="5">
        <v>0.0</v>
      </c>
      <c r="J697" s="5">
        <v>0.0</v>
      </c>
      <c r="K697" s="5">
        <v>3.0</v>
      </c>
      <c r="L697" s="54"/>
      <c r="M697" s="5" t="s">
        <v>3797</v>
      </c>
      <c r="N697" s="53" t="s">
        <v>3798</v>
      </c>
      <c r="O697">
        <v>28.033886</v>
      </c>
      <c r="P697">
        <v>1.659626</v>
      </c>
      <c r="Q697" s="5" t="s">
        <v>369</v>
      </c>
      <c r="R697" s="10">
        <f t="shared" si="10"/>
        <v>127</v>
      </c>
      <c r="S697" s="5" t="s">
        <v>3799</v>
      </c>
      <c r="T697" s="5"/>
      <c r="U697" s="5" t="s">
        <v>3360</v>
      </c>
      <c r="V697" s="5" t="s">
        <v>3361</v>
      </c>
    </row>
    <row r="698" ht="12.75" customHeight="1">
      <c r="A698" s="5">
        <v>33915.0</v>
      </c>
      <c r="B698" s="5" t="s">
        <v>2921</v>
      </c>
      <c r="C698" s="52" t="s">
        <v>50</v>
      </c>
      <c r="D698" s="5" t="s">
        <v>2852</v>
      </c>
      <c r="E698" s="7" t="s">
        <v>3800</v>
      </c>
      <c r="F698" s="5" t="s">
        <v>3786</v>
      </c>
      <c r="G698" s="5" t="s">
        <v>3787</v>
      </c>
      <c r="H698" s="5">
        <v>2011.0</v>
      </c>
      <c r="I698" s="5">
        <v>0.0</v>
      </c>
      <c r="J698" s="5">
        <v>0.0</v>
      </c>
      <c r="K698" s="5">
        <v>3.0</v>
      </c>
      <c r="L698" s="54"/>
      <c r="M698" s="5" t="s">
        <v>3801</v>
      </c>
      <c r="N698" s="53" t="s">
        <v>2834</v>
      </c>
      <c r="O698">
        <v>41.244376</v>
      </c>
      <c r="P698">
        <v>26.135943</v>
      </c>
      <c r="Q698" s="5" t="s">
        <v>1214</v>
      </c>
      <c r="R698" s="10">
        <f t="shared" si="10"/>
        <v>188</v>
      </c>
      <c r="S698" s="5" t="s">
        <v>3802</v>
      </c>
      <c r="T698" s="6" t="s">
        <v>53</v>
      </c>
      <c r="U698" s="5" t="s">
        <v>3253</v>
      </c>
      <c r="V698" s="5"/>
    </row>
    <row r="699" ht="12.75" customHeight="1">
      <c r="A699" s="5">
        <v>33916.0</v>
      </c>
      <c r="B699" s="5" t="s">
        <v>49</v>
      </c>
      <c r="C699" s="52" t="s">
        <v>50</v>
      </c>
      <c r="D699" s="5" t="s">
        <v>2614</v>
      </c>
      <c r="E699" s="7" t="s">
        <v>3803</v>
      </c>
      <c r="F699" s="5" t="s">
        <v>3786</v>
      </c>
      <c r="G699" s="5" t="s">
        <v>3787</v>
      </c>
      <c r="H699" s="5">
        <v>2011.0</v>
      </c>
      <c r="I699" s="5">
        <v>0.0</v>
      </c>
      <c r="J699" s="5">
        <v>0.0</v>
      </c>
      <c r="K699" s="5">
        <v>1.0</v>
      </c>
      <c r="L699" s="54"/>
      <c r="M699" s="5" t="s">
        <v>3804</v>
      </c>
      <c r="N699" s="53" t="s">
        <v>2638</v>
      </c>
      <c r="O699">
        <v>35.888384</v>
      </c>
      <c r="P699">
        <v>-5.324636</v>
      </c>
      <c r="Q699" s="5" t="s">
        <v>717</v>
      </c>
      <c r="R699" s="10">
        <f t="shared" si="10"/>
        <v>213</v>
      </c>
      <c r="S699" s="5" t="s">
        <v>3805</v>
      </c>
      <c r="T699" s="6" t="s">
        <v>72</v>
      </c>
      <c r="U699" s="5" t="s">
        <v>3806</v>
      </c>
      <c r="V699" s="5" t="s">
        <v>3807</v>
      </c>
    </row>
    <row r="700" ht="12.75" customHeight="1">
      <c r="A700" s="5">
        <v>33917.0</v>
      </c>
      <c r="B700" s="5" t="s">
        <v>2902</v>
      </c>
      <c r="C700" s="5" t="s">
        <v>211</v>
      </c>
      <c r="D700" s="5" t="s">
        <v>2852</v>
      </c>
      <c r="E700" s="7" t="s">
        <v>3808</v>
      </c>
      <c r="F700" s="5" t="s">
        <v>3786</v>
      </c>
      <c r="G700" s="5" t="s">
        <v>3787</v>
      </c>
      <c r="H700" s="5">
        <v>2011.0</v>
      </c>
      <c r="I700" s="5">
        <v>0.0</v>
      </c>
      <c r="J700" s="5">
        <v>0.0</v>
      </c>
      <c r="K700" s="5">
        <v>1.0</v>
      </c>
      <c r="L700" s="54"/>
      <c r="M700" s="5" t="s">
        <v>3809</v>
      </c>
      <c r="N700" s="53" t="s">
        <v>3810</v>
      </c>
      <c r="O700">
        <v>55.57156</v>
      </c>
      <c r="P700">
        <v>-4.410332</v>
      </c>
      <c r="Q700" s="5" t="s">
        <v>1888</v>
      </c>
      <c r="R700" s="10">
        <f t="shared" si="10"/>
        <v>11</v>
      </c>
      <c r="S700" s="5" t="s">
        <v>3811</v>
      </c>
      <c r="T700" s="5"/>
      <c r="U700" s="5" t="s">
        <v>3812</v>
      </c>
      <c r="V700" s="5"/>
    </row>
    <row r="701" ht="12.75" customHeight="1">
      <c r="A701" s="5">
        <v>33918.0</v>
      </c>
      <c r="B701" s="5" t="s">
        <v>1076</v>
      </c>
      <c r="C701" s="52" t="s">
        <v>50</v>
      </c>
      <c r="D701" s="5" t="s">
        <v>2614</v>
      </c>
      <c r="E701" s="7" t="s">
        <v>3813</v>
      </c>
      <c r="F701" s="5" t="s">
        <v>3786</v>
      </c>
      <c r="G701" s="5" t="s">
        <v>3787</v>
      </c>
      <c r="H701" s="5">
        <v>2011.0</v>
      </c>
      <c r="I701" s="5">
        <v>0.0</v>
      </c>
      <c r="J701" s="5">
        <v>0.0</v>
      </c>
      <c r="K701" s="5">
        <v>1.0</v>
      </c>
      <c r="L701" s="54"/>
      <c r="M701" s="5" t="s">
        <v>3814</v>
      </c>
      <c r="N701" s="53" t="s">
        <v>3815</v>
      </c>
      <c r="O701">
        <v>44.36</v>
      </c>
      <c r="P701">
        <v>11.712429</v>
      </c>
      <c r="Q701" s="5" t="s">
        <v>1293</v>
      </c>
      <c r="R701" s="10">
        <f t="shared" si="10"/>
        <v>1</v>
      </c>
      <c r="S701" s="5" t="s">
        <v>3816</v>
      </c>
      <c r="T701" s="5"/>
      <c r="U701" s="5" t="s">
        <v>3817</v>
      </c>
      <c r="V701" s="5" t="s">
        <v>3319</v>
      </c>
    </row>
    <row r="702" ht="12.75" customHeight="1">
      <c r="A702" s="5">
        <v>33919.0</v>
      </c>
      <c r="B702" s="5" t="s">
        <v>1995</v>
      </c>
      <c r="C702" s="52" t="s">
        <v>50</v>
      </c>
      <c r="D702" s="5" t="s">
        <v>2852</v>
      </c>
      <c r="E702" s="7" t="s">
        <v>3818</v>
      </c>
      <c r="F702" s="5" t="s">
        <v>3786</v>
      </c>
      <c r="G702" s="5" t="s">
        <v>3787</v>
      </c>
      <c r="H702" s="5">
        <v>2011.0</v>
      </c>
      <c r="I702" s="5">
        <v>0.0</v>
      </c>
      <c r="J702" s="5">
        <v>0.0</v>
      </c>
      <c r="K702" s="5">
        <v>1.0</v>
      </c>
      <c r="L702" s="54"/>
      <c r="M702" s="5" t="s">
        <v>3819</v>
      </c>
      <c r="N702" s="53" t="s">
        <v>3820</v>
      </c>
      <c r="O702">
        <v>40.385629</v>
      </c>
      <c r="P702">
        <v>-3.76085</v>
      </c>
      <c r="Q702" s="5" t="s">
        <v>1138</v>
      </c>
      <c r="R702" s="10">
        <f t="shared" si="10"/>
        <v>1</v>
      </c>
      <c r="S702" s="5" t="s">
        <v>3821</v>
      </c>
      <c r="T702" s="6" t="s">
        <v>72</v>
      </c>
      <c r="U702" s="5" t="s">
        <v>3822</v>
      </c>
      <c r="V702" s="5"/>
    </row>
    <row r="703" ht="12.75" customHeight="1">
      <c r="A703" s="5">
        <v>33920.0</v>
      </c>
      <c r="B703" s="5" t="s">
        <v>68</v>
      </c>
      <c r="C703" s="5" t="s">
        <v>69</v>
      </c>
      <c r="D703" s="5" t="s">
        <v>2614</v>
      </c>
      <c r="E703" s="7" t="s">
        <v>3823</v>
      </c>
      <c r="F703" s="5" t="s">
        <v>3786</v>
      </c>
      <c r="G703" s="5" t="s">
        <v>3787</v>
      </c>
      <c r="H703" s="5">
        <v>2011.0</v>
      </c>
      <c r="I703" s="5">
        <v>0.0</v>
      </c>
      <c r="J703" s="5">
        <v>0.0</v>
      </c>
      <c r="K703" s="5">
        <v>2.0</v>
      </c>
      <c r="L703" s="54"/>
      <c r="M703" s="5" t="s">
        <v>3824</v>
      </c>
      <c r="N703" s="53" t="s">
        <v>2938</v>
      </c>
      <c r="O703">
        <v>35.937496</v>
      </c>
      <c r="P703">
        <v>14.375416</v>
      </c>
      <c r="Q703" s="5" t="s">
        <v>740</v>
      </c>
      <c r="R703" s="10">
        <f t="shared" si="10"/>
        <v>655</v>
      </c>
      <c r="S703" s="5" t="s">
        <v>3825</v>
      </c>
      <c r="T703" s="6" t="s">
        <v>2130</v>
      </c>
      <c r="U703" s="5" t="s">
        <v>2143</v>
      </c>
      <c r="V703" s="5" t="s">
        <v>3826</v>
      </c>
    </row>
    <row r="704" ht="12.75" customHeight="1">
      <c r="A704" s="5">
        <v>33921.0</v>
      </c>
      <c r="B704" s="5" t="s">
        <v>491</v>
      </c>
      <c r="C704" s="52" t="s">
        <v>50</v>
      </c>
      <c r="D704" s="5" t="s">
        <v>2852</v>
      </c>
      <c r="E704" s="7" t="s">
        <v>3827</v>
      </c>
      <c r="F704" s="5" t="s">
        <v>3786</v>
      </c>
      <c r="G704" s="5" t="s">
        <v>3787</v>
      </c>
      <c r="H704" s="5">
        <v>2011.0</v>
      </c>
      <c r="I704" s="5">
        <v>0.0</v>
      </c>
      <c r="J704" s="5">
        <v>0.0</v>
      </c>
      <c r="K704" s="5">
        <v>1.0</v>
      </c>
      <c r="L704" s="54"/>
      <c r="M704" s="5" t="s">
        <v>3828</v>
      </c>
      <c r="N704" s="53" t="s">
        <v>2938</v>
      </c>
      <c r="O704">
        <v>35.937496</v>
      </c>
      <c r="P704">
        <v>14.375416</v>
      </c>
      <c r="Q704" s="5" t="s">
        <v>740</v>
      </c>
      <c r="R704" s="10">
        <f t="shared" si="10"/>
        <v>655</v>
      </c>
      <c r="S704" s="5" t="s">
        <v>3829</v>
      </c>
      <c r="T704" s="6" t="s">
        <v>2130</v>
      </c>
      <c r="U704" s="5" t="s">
        <v>3128</v>
      </c>
      <c r="V704" s="5" t="s">
        <v>3830</v>
      </c>
    </row>
    <row r="705" ht="12.75" customHeight="1">
      <c r="A705" s="5">
        <v>33923.0</v>
      </c>
      <c r="B705" s="5" t="s">
        <v>49</v>
      </c>
      <c r="C705" s="52" t="s">
        <v>50</v>
      </c>
      <c r="D705" s="5" t="s">
        <v>2852</v>
      </c>
      <c r="E705" s="7" t="s">
        <v>3831</v>
      </c>
      <c r="F705" s="5" t="s">
        <v>3786</v>
      </c>
      <c r="G705" s="5" t="s">
        <v>3787</v>
      </c>
      <c r="H705" s="5">
        <v>2011.0</v>
      </c>
      <c r="I705" s="5">
        <v>0.0</v>
      </c>
      <c r="J705" s="5">
        <v>0.0</v>
      </c>
      <c r="K705" s="5">
        <v>2.0</v>
      </c>
      <c r="L705" s="54"/>
      <c r="M705" s="5" t="s">
        <v>3832</v>
      </c>
      <c r="N705" s="53" t="s">
        <v>2700</v>
      </c>
      <c r="O705">
        <v>35.508622</v>
      </c>
      <c r="P705">
        <v>12.59292</v>
      </c>
      <c r="Q705" s="5" t="s">
        <v>669</v>
      </c>
      <c r="R705" s="10">
        <f t="shared" si="10"/>
        <v>3843</v>
      </c>
      <c r="S705" s="5" t="s">
        <v>3833</v>
      </c>
      <c r="T705" s="6" t="s">
        <v>2130</v>
      </c>
      <c r="U705" s="5" t="s">
        <v>3834</v>
      </c>
      <c r="V705" s="5" t="s">
        <v>3835</v>
      </c>
    </row>
    <row r="706" ht="12.75" customHeight="1">
      <c r="A706" s="5">
        <v>33922.0</v>
      </c>
      <c r="B706" s="5" t="s">
        <v>68</v>
      </c>
      <c r="C706" s="5" t="s">
        <v>69</v>
      </c>
      <c r="D706" s="5" t="s">
        <v>2852</v>
      </c>
      <c r="E706" s="7" t="s">
        <v>3831</v>
      </c>
      <c r="F706" s="5" t="s">
        <v>3786</v>
      </c>
      <c r="G706" s="5" t="s">
        <v>3787</v>
      </c>
      <c r="H706" s="5">
        <v>2011.0</v>
      </c>
      <c r="I706" s="5">
        <v>0.0</v>
      </c>
      <c r="J706" s="5">
        <v>0.0</v>
      </c>
      <c r="K706" s="5">
        <v>4.0</v>
      </c>
      <c r="L706" s="54"/>
      <c r="M706" s="5" t="s">
        <v>3836</v>
      </c>
      <c r="N706" s="53" t="s">
        <v>2700</v>
      </c>
      <c r="O706">
        <v>35.508622</v>
      </c>
      <c r="P706">
        <v>12.59292</v>
      </c>
      <c r="Q706" s="5" t="s">
        <v>669</v>
      </c>
      <c r="R706" s="10">
        <f t="shared" si="10"/>
        <v>3843</v>
      </c>
      <c r="S706" s="5" t="s">
        <v>3833</v>
      </c>
      <c r="T706" s="6" t="s">
        <v>2130</v>
      </c>
      <c r="U706" s="5" t="s">
        <v>3490</v>
      </c>
      <c r="V706" s="5" t="s">
        <v>3837</v>
      </c>
    </row>
    <row r="707" ht="12.75" customHeight="1">
      <c r="A707" s="5">
        <v>33924.0</v>
      </c>
      <c r="B707" s="5" t="s">
        <v>49</v>
      </c>
      <c r="C707" s="52" t="s">
        <v>50</v>
      </c>
      <c r="D707" s="5" t="s">
        <v>2852</v>
      </c>
      <c r="E707" s="7" t="s">
        <v>3838</v>
      </c>
      <c r="F707" s="5" t="s">
        <v>3786</v>
      </c>
      <c r="G707" s="5" t="s">
        <v>3839</v>
      </c>
      <c r="H707" s="5">
        <v>2011.0</v>
      </c>
      <c r="I707" s="5">
        <v>0.0</v>
      </c>
      <c r="J707" s="5">
        <v>0.0</v>
      </c>
      <c r="K707" s="5">
        <v>1.0</v>
      </c>
      <c r="L707" s="54"/>
      <c r="M707" s="5" t="s">
        <v>3840</v>
      </c>
      <c r="N707" s="53" t="s">
        <v>2638</v>
      </c>
      <c r="O707">
        <v>35.888384</v>
      </c>
      <c r="P707">
        <v>-5.324636</v>
      </c>
      <c r="Q707" s="5" t="s">
        <v>717</v>
      </c>
      <c r="R707" s="10">
        <f t="shared" si="10"/>
        <v>213</v>
      </c>
      <c r="S707" s="5" t="s">
        <v>3841</v>
      </c>
      <c r="T707" s="6" t="s">
        <v>72</v>
      </c>
      <c r="U707" s="5" t="s">
        <v>3842</v>
      </c>
      <c r="V707" s="5" t="s">
        <v>3843</v>
      </c>
    </row>
    <row r="708" ht="12.75" customHeight="1">
      <c r="A708" s="5">
        <v>33925.0</v>
      </c>
      <c r="B708" s="5" t="s">
        <v>49</v>
      </c>
      <c r="C708" s="52" t="s">
        <v>50</v>
      </c>
      <c r="D708" s="5" t="s">
        <v>2852</v>
      </c>
      <c r="E708" s="7" t="s">
        <v>3844</v>
      </c>
      <c r="F708" s="5" t="s">
        <v>3786</v>
      </c>
      <c r="G708" s="5" t="s">
        <v>3839</v>
      </c>
      <c r="H708" s="5">
        <v>2011.0</v>
      </c>
      <c r="I708" s="5">
        <v>0.0</v>
      </c>
      <c r="J708" s="5">
        <v>0.0</v>
      </c>
      <c r="K708" s="5">
        <v>3.0</v>
      </c>
      <c r="L708" s="54"/>
      <c r="M708" s="5" t="s">
        <v>3845</v>
      </c>
      <c r="N708" s="53" t="s">
        <v>3846</v>
      </c>
      <c r="O708">
        <v>40.632728</v>
      </c>
      <c r="P708">
        <v>17.941762</v>
      </c>
      <c r="Q708" s="5" t="s">
        <v>1151</v>
      </c>
      <c r="R708" s="10">
        <f t="shared" si="10"/>
        <v>72</v>
      </c>
      <c r="S708" s="5" t="s">
        <v>3847</v>
      </c>
      <c r="T708" s="6" t="s">
        <v>1963</v>
      </c>
      <c r="U708" s="5" t="s">
        <v>3128</v>
      </c>
      <c r="V708" s="5" t="s">
        <v>3848</v>
      </c>
    </row>
    <row r="709" ht="12.75" customHeight="1">
      <c r="A709" s="5">
        <v>33926.0</v>
      </c>
      <c r="B709" s="5" t="s">
        <v>49</v>
      </c>
      <c r="C709" s="52" t="s">
        <v>50</v>
      </c>
      <c r="D709" s="5" t="s">
        <v>2852</v>
      </c>
      <c r="E709" s="7" t="s">
        <v>3849</v>
      </c>
      <c r="F709" s="5" t="s">
        <v>3786</v>
      </c>
      <c r="G709" s="5" t="s">
        <v>3839</v>
      </c>
      <c r="H709" s="5">
        <v>2011.0</v>
      </c>
      <c r="I709" s="5">
        <v>0.0</v>
      </c>
      <c r="J709" s="5">
        <v>0.0</v>
      </c>
      <c r="K709" s="5">
        <v>53.0</v>
      </c>
      <c r="L709" s="54"/>
      <c r="M709" s="5" t="s">
        <v>3850</v>
      </c>
      <c r="N709" s="53" t="s">
        <v>3846</v>
      </c>
      <c r="O709">
        <v>40.632728</v>
      </c>
      <c r="P709">
        <v>17.941762</v>
      </c>
      <c r="Q709" s="5" t="s">
        <v>1151</v>
      </c>
      <c r="R709" s="10">
        <f t="shared" si="10"/>
        <v>72</v>
      </c>
      <c r="S709" s="5" t="s">
        <v>3851</v>
      </c>
      <c r="T709" s="6" t="s">
        <v>1963</v>
      </c>
      <c r="U709" s="5" t="s">
        <v>3852</v>
      </c>
      <c r="V709" s="5" t="s">
        <v>3853</v>
      </c>
    </row>
    <row r="710" ht="12.75" customHeight="1">
      <c r="A710" s="5">
        <v>33927.0</v>
      </c>
      <c r="B710" s="5" t="s">
        <v>2921</v>
      </c>
      <c r="C710" s="52" t="s">
        <v>50</v>
      </c>
      <c r="D710" s="5" t="s">
        <v>2852</v>
      </c>
      <c r="E710" s="7" t="s">
        <v>3854</v>
      </c>
      <c r="F710" s="5" t="s">
        <v>3786</v>
      </c>
      <c r="G710" s="5" t="s">
        <v>3839</v>
      </c>
      <c r="H710" s="5">
        <v>2011.0</v>
      </c>
      <c r="I710" s="5">
        <v>0.0</v>
      </c>
      <c r="J710" s="5">
        <v>0.0</v>
      </c>
      <c r="K710" s="5">
        <v>1.0</v>
      </c>
      <c r="L710" s="54"/>
      <c r="M710" s="5" t="s">
        <v>3855</v>
      </c>
      <c r="N710" s="53" t="s">
        <v>3856</v>
      </c>
      <c r="O710">
        <v>40.845719</v>
      </c>
      <c r="P710">
        <v>25.873962</v>
      </c>
      <c r="Q710" s="5" t="s">
        <v>1167</v>
      </c>
      <c r="R710" s="10">
        <f t="shared" si="10"/>
        <v>63</v>
      </c>
      <c r="S710" s="5" t="s">
        <v>3857</v>
      </c>
      <c r="T710" s="6" t="s">
        <v>53</v>
      </c>
      <c r="U710" s="5" t="s">
        <v>3128</v>
      </c>
      <c r="V710" s="5"/>
    </row>
    <row r="711" ht="12.75" customHeight="1">
      <c r="A711" s="5">
        <v>33928.0</v>
      </c>
      <c r="B711" s="5" t="s">
        <v>2921</v>
      </c>
      <c r="C711" s="52" t="s">
        <v>50</v>
      </c>
      <c r="D711" s="5" t="s">
        <v>2852</v>
      </c>
      <c r="E711" s="7" t="s">
        <v>3854</v>
      </c>
      <c r="F711" s="5" t="s">
        <v>3786</v>
      </c>
      <c r="G711" s="5" t="s">
        <v>3839</v>
      </c>
      <c r="H711" s="5">
        <v>2011.0</v>
      </c>
      <c r="I711" s="5">
        <v>0.0</v>
      </c>
      <c r="J711" s="5">
        <v>0.0</v>
      </c>
      <c r="K711" s="5">
        <v>1.0</v>
      </c>
      <c r="L711" s="54"/>
      <c r="M711" s="5" t="s">
        <v>3858</v>
      </c>
      <c r="N711" s="53" t="s">
        <v>2834</v>
      </c>
      <c r="O711">
        <v>41.244376</v>
      </c>
      <c r="P711">
        <v>26.135943</v>
      </c>
      <c r="Q711" s="5" t="s">
        <v>1214</v>
      </c>
      <c r="R711" s="10">
        <f t="shared" si="10"/>
        <v>188</v>
      </c>
      <c r="S711" s="5" t="s">
        <v>3859</v>
      </c>
      <c r="T711" s="6" t="s">
        <v>53</v>
      </c>
      <c r="U711" s="5" t="s">
        <v>3128</v>
      </c>
      <c r="V711" s="5"/>
    </row>
    <row r="712" ht="12.75" customHeight="1">
      <c r="A712" s="5">
        <v>33929.0</v>
      </c>
      <c r="B712" s="5" t="s">
        <v>49</v>
      </c>
      <c r="C712" s="52" t="s">
        <v>50</v>
      </c>
      <c r="D712" s="5" t="s">
        <v>2852</v>
      </c>
      <c r="E712" s="7" t="s">
        <v>3860</v>
      </c>
      <c r="F712" s="5" t="s">
        <v>3786</v>
      </c>
      <c r="G712" s="5" t="s">
        <v>3839</v>
      </c>
      <c r="H712" s="5">
        <v>2011.0</v>
      </c>
      <c r="I712" s="5">
        <v>0.0</v>
      </c>
      <c r="J712" s="5">
        <v>0.0</v>
      </c>
      <c r="K712" s="5">
        <v>3.0</v>
      </c>
      <c r="L712" s="54"/>
      <c r="M712" s="5" t="s">
        <v>3861</v>
      </c>
      <c r="N712" s="53" t="s">
        <v>2638</v>
      </c>
      <c r="O712">
        <v>35.888384</v>
      </c>
      <c r="P712">
        <v>-5.324636</v>
      </c>
      <c r="Q712" s="5" t="s">
        <v>717</v>
      </c>
      <c r="R712" s="10">
        <f t="shared" si="10"/>
        <v>213</v>
      </c>
      <c r="S712" s="5" t="s">
        <v>3862</v>
      </c>
      <c r="T712" s="6" t="s">
        <v>72</v>
      </c>
      <c r="U712" s="5" t="s">
        <v>3128</v>
      </c>
      <c r="V712" s="5"/>
    </row>
    <row r="713" ht="12.75" customHeight="1">
      <c r="A713" s="5">
        <v>33930.0</v>
      </c>
      <c r="B713" s="5" t="s">
        <v>763</v>
      </c>
      <c r="C713" s="5" t="s">
        <v>124</v>
      </c>
      <c r="D713" s="5" t="s">
        <v>2852</v>
      </c>
      <c r="E713" s="7" t="s">
        <v>3863</v>
      </c>
      <c r="F713" s="5" t="s">
        <v>3786</v>
      </c>
      <c r="G713" s="5" t="s">
        <v>3839</v>
      </c>
      <c r="H713" s="5">
        <v>2011.0</v>
      </c>
      <c r="I713" s="5">
        <v>0.0</v>
      </c>
      <c r="J713" s="5">
        <v>0.0</v>
      </c>
      <c r="K713" s="5">
        <v>2.0</v>
      </c>
      <c r="L713" s="54"/>
      <c r="M713" s="5" t="s">
        <v>3864</v>
      </c>
      <c r="N713" s="53" t="s">
        <v>3251</v>
      </c>
      <c r="O713">
        <v>39.074208</v>
      </c>
      <c r="P713">
        <v>21.824312</v>
      </c>
      <c r="Q713" s="5" t="s">
        <v>1061</v>
      </c>
      <c r="R713" s="10">
        <f t="shared" si="10"/>
        <v>20</v>
      </c>
      <c r="S713" s="5" t="s">
        <v>3865</v>
      </c>
      <c r="T713" s="5"/>
      <c r="U713" s="5" t="s">
        <v>3128</v>
      </c>
      <c r="V713" s="5"/>
    </row>
    <row r="714" ht="12.75" customHeight="1">
      <c r="A714" s="5">
        <v>33931.0</v>
      </c>
      <c r="B714" s="5" t="s">
        <v>2962</v>
      </c>
      <c r="C714" s="5" t="s">
        <v>211</v>
      </c>
      <c r="D714" s="5" t="s">
        <v>2852</v>
      </c>
      <c r="E714" s="7" t="s">
        <v>3866</v>
      </c>
      <c r="F714" s="5" t="s">
        <v>3786</v>
      </c>
      <c r="G714" s="5" t="s">
        <v>3839</v>
      </c>
      <c r="H714" s="5">
        <v>2011.0</v>
      </c>
      <c r="I714" s="5">
        <v>0.0</v>
      </c>
      <c r="J714" s="5">
        <v>0.0</v>
      </c>
      <c r="K714" s="5">
        <v>1.0</v>
      </c>
      <c r="L714" s="54"/>
      <c r="M714" s="5" t="s">
        <v>3867</v>
      </c>
      <c r="N714" s="53" t="s">
        <v>3328</v>
      </c>
      <c r="O714">
        <v>48.856614</v>
      </c>
      <c r="P714">
        <v>2.352222</v>
      </c>
      <c r="Q714" s="5" t="s">
        <v>3329</v>
      </c>
      <c r="R714" s="10">
        <f t="shared" si="10"/>
        <v>30</v>
      </c>
      <c r="S714" s="5" t="s">
        <v>3868</v>
      </c>
      <c r="T714" s="5"/>
      <c r="U714" s="5" t="s">
        <v>3869</v>
      </c>
      <c r="V714" s="5"/>
    </row>
    <row r="715" ht="12.75" customHeight="1">
      <c r="A715" s="5">
        <v>33932.0</v>
      </c>
      <c r="B715" s="5" t="s">
        <v>68</v>
      </c>
      <c r="C715" s="5" t="s">
        <v>69</v>
      </c>
      <c r="D715" s="5" t="s">
        <v>2852</v>
      </c>
      <c r="E715" s="7" t="s">
        <v>3870</v>
      </c>
      <c r="F715" s="5" t="s">
        <v>3786</v>
      </c>
      <c r="G715" s="5" t="s">
        <v>3839</v>
      </c>
      <c r="H715" s="5">
        <v>2011.0</v>
      </c>
      <c r="I715" s="5">
        <v>0.0</v>
      </c>
      <c r="J715" s="5">
        <v>0.0</v>
      </c>
      <c r="K715" s="5">
        <v>1.0</v>
      </c>
      <c r="L715" s="54"/>
      <c r="M715" s="5" t="s">
        <v>3871</v>
      </c>
      <c r="N715" s="53" t="s">
        <v>2938</v>
      </c>
      <c r="O715">
        <v>35.937496</v>
      </c>
      <c r="P715">
        <v>14.375416</v>
      </c>
      <c r="Q715" s="5" t="s">
        <v>740</v>
      </c>
      <c r="R715" s="10">
        <f t="shared" si="10"/>
        <v>655</v>
      </c>
      <c r="S715" s="5" t="s">
        <v>3872</v>
      </c>
      <c r="T715" s="6" t="s">
        <v>2130</v>
      </c>
      <c r="U715" s="5" t="s">
        <v>3873</v>
      </c>
      <c r="V715" s="5"/>
    </row>
    <row r="716" ht="12.75" customHeight="1">
      <c r="A716" s="5">
        <v>33933.0</v>
      </c>
      <c r="B716" s="5" t="s">
        <v>49</v>
      </c>
      <c r="C716" s="52" t="s">
        <v>50</v>
      </c>
      <c r="D716" s="5" t="s">
        <v>2614</v>
      </c>
      <c r="E716" s="7" t="s">
        <v>3874</v>
      </c>
      <c r="F716" s="5" t="s">
        <v>3786</v>
      </c>
      <c r="G716" s="5" t="s">
        <v>3839</v>
      </c>
      <c r="H716" s="5">
        <v>2011.0</v>
      </c>
      <c r="I716" s="5">
        <v>0.0</v>
      </c>
      <c r="J716" s="5">
        <v>0.0</v>
      </c>
      <c r="K716" s="5">
        <v>1.0</v>
      </c>
      <c r="L716" s="54"/>
      <c r="M716" s="5" t="s">
        <v>3875</v>
      </c>
      <c r="N716" s="53" t="s">
        <v>2718</v>
      </c>
      <c r="O716">
        <v>35.292278</v>
      </c>
      <c r="P716">
        <v>-2.938097</v>
      </c>
      <c r="Q716" s="5" t="s">
        <v>649</v>
      </c>
      <c r="R716" s="10">
        <f t="shared" si="10"/>
        <v>79</v>
      </c>
      <c r="S716" s="5" t="s">
        <v>3876</v>
      </c>
      <c r="T716" s="6" t="s">
        <v>72</v>
      </c>
      <c r="U716" s="5" t="s">
        <v>3360</v>
      </c>
      <c r="V716" s="5" t="s">
        <v>3361</v>
      </c>
    </row>
    <row r="717" ht="12.75" customHeight="1">
      <c r="A717" s="5">
        <v>33934.0</v>
      </c>
      <c r="B717" s="5" t="s">
        <v>49</v>
      </c>
      <c r="C717" s="52" t="s">
        <v>50</v>
      </c>
      <c r="D717" s="5" t="s">
        <v>2852</v>
      </c>
      <c r="E717" s="7" t="s">
        <v>3874</v>
      </c>
      <c r="F717" s="5" t="s">
        <v>3786</v>
      </c>
      <c r="G717" s="5" t="s">
        <v>3839</v>
      </c>
      <c r="H717" s="5">
        <v>2011.0</v>
      </c>
      <c r="I717" s="5">
        <v>0.0</v>
      </c>
      <c r="J717" s="5">
        <v>0.0</v>
      </c>
      <c r="K717" s="5">
        <v>35.0</v>
      </c>
      <c r="L717" s="54"/>
      <c r="M717" s="5" t="s">
        <v>3877</v>
      </c>
      <c r="N717" s="53" t="s">
        <v>2700</v>
      </c>
      <c r="O717">
        <v>35.508622</v>
      </c>
      <c r="P717">
        <v>12.59292</v>
      </c>
      <c r="Q717" s="5" t="s">
        <v>669</v>
      </c>
      <c r="R717" s="10">
        <f t="shared" si="10"/>
        <v>3843</v>
      </c>
      <c r="S717" s="5" t="s">
        <v>3878</v>
      </c>
      <c r="T717" s="6" t="s">
        <v>2130</v>
      </c>
      <c r="U717" s="5" t="s">
        <v>3879</v>
      </c>
      <c r="V717" s="5" t="s">
        <v>3880</v>
      </c>
    </row>
    <row r="718" ht="12.75" customHeight="1">
      <c r="A718" s="5">
        <v>33935.0</v>
      </c>
      <c r="B718" s="5" t="s">
        <v>49</v>
      </c>
      <c r="C718" s="52" t="s">
        <v>50</v>
      </c>
      <c r="D718" s="5" t="s">
        <v>2614</v>
      </c>
      <c r="E718" s="7" t="s">
        <v>3881</v>
      </c>
      <c r="F718" s="5" t="s">
        <v>3786</v>
      </c>
      <c r="G718" s="5" t="s">
        <v>3882</v>
      </c>
      <c r="H718" s="5">
        <v>2011.0</v>
      </c>
      <c r="I718" s="5">
        <v>0.0</v>
      </c>
      <c r="J718" s="5">
        <v>0.0</v>
      </c>
      <c r="K718" s="5">
        <v>1.0</v>
      </c>
      <c r="L718" s="54"/>
      <c r="M718" s="5" t="s">
        <v>3883</v>
      </c>
      <c r="N718" s="53" t="s">
        <v>3469</v>
      </c>
      <c r="O718">
        <v>37.177336</v>
      </c>
      <c r="P718">
        <v>-3.598557</v>
      </c>
      <c r="Q718" s="5" t="s">
        <v>909</v>
      </c>
      <c r="R718" s="10">
        <f t="shared" si="10"/>
        <v>38</v>
      </c>
      <c r="S718" s="5" t="s">
        <v>3884</v>
      </c>
      <c r="T718" s="6" t="s">
        <v>72</v>
      </c>
      <c r="U718" s="5" t="s">
        <v>3360</v>
      </c>
      <c r="V718" s="5" t="s">
        <v>3361</v>
      </c>
    </row>
    <row r="719" ht="12.75" customHeight="1">
      <c r="A719" s="5">
        <v>33936.0</v>
      </c>
      <c r="B719" s="5" t="s">
        <v>49</v>
      </c>
      <c r="C719" s="52" t="s">
        <v>50</v>
      </c>
      <c r="D719" s="5" t="s">
        <v>2614</v>
      </c>
      <c r="E719" s="7" t="s">
        <v>3885</v>
      </c>
      <c r="F719" s="5" t="s">
        <v>3786</v>
      </c>
      <c r="G719" s="5" t="s">
        <v>3882</v>
      </c>
      <c r="H719" s="5">
        <v>2011.0</v>
      </c>
      <c r="I719" s="5">
        <v>0.0</v>
      </c>
      <c r="J719" s="5">
        <v>0.0</v>
      </c>
      <c r="K719" s="5">
        <v>3.0</v>
      </c>
      <c r="L719" s="54"/>
      <c r="M719" s="5" t="s">
        <v>3886</v>
      </c>
      <c r="N719" s="53" t="s">
        <v>3887</v>
      </c>
      <c r="O719">
        <v>36.704636</v>
      </c>
      <c r="P719">
        <v>-4.506699</v>
      </c>
      <c r="Q719" s="5" t="s">
        <v>820</v>
      </c>
      <c r="R719" s="10">
        <f t="shared" si="10"/>
        <v>3</v>
      </c>
      <c r="S719" s="5" t="s">
        <v>3888</v>
      </c>
      <c r="T719" s="6" t="s">
        <v>72</v>
      </c>
      <c r="U719" s="5" t="s">
        <v>2635</v>
      </c>
      <c r="V719" s="5" t="s">
        <v>3889</v>
      </c>
    </row>
    <row r="720" ht="12.75" customHeight="1">
      <c r="A720" s="5">
        <v>33937.0</v>
      </c>
      <c r="B720" s="5" t="s">
        <v>49</v>
      </c>
      <c r="C720" s="52" t="s">
        <v>50</v>
      </c>
      <c r="D720" s="5" t="s">
        <v>2614</v>
      </c>
      <c r="E720" s="7" t="s">
        <v>3890</v>
      </c>
      <c r="F720" s="5" t="s">
        <v>3786</v>
      </c>
      <c r="G720" s="5" t="s">
        <v>3882</v>
      </c>
      <c r="H720" s="5">
        <v>2011.0</v>
      </c>
      <c r="I720" s="5">
        <v>0.0</v>
      </c>
      <c r="J720" s="5">
        <v>0.0</v>
      </c>
      <c r="K720" s="5">
        <v>1.0</v>
      </c>
      <c r="L720" s="54"/>
      <c r="M720" s="5" t="s">
        <v>3891</v>
      </c>
      <c r="N720" s="53" t="s">
        <v>2733</v>
      </c>
      <c r="O720">
        <v>39.308771</v>
      </c>
      <c r="P720">
        <v>16.346379</v>
      </c>
      <c r="Q720" s="5" t="s">
        <v>1075</v>
      </c>
      <c r="R720" s="10">
        <f t="shared" si="10"/>
        <v>57</v>
      </c>
      <c r="S720" s="5" t="s">
        <v>3892</v>
      </c>
      <c r="T720" s="6" t="s">
        <v>1963</v>
      </c>
      <c r="U720" s="5" t="s">
        <v>3388</v>
      </c>
      <c r="V720" s="5" t="s">
        <v>3893</v>
      </c>
    </row>
    <row r="721" ht="12.75" customHeight="1">
      <c r="A721" s="5">
        <v>33938.0</v>
      </c>
      <c r="B721" s="5" t="s">
        <v>49</v>
      </c>
      <c r="C721" s="52" t="s">
        <v>50</v>
      </c>
      <c r="D721" s="5" t="s">
        <v>2614</v>
      </c>
      <c r="E721" s="7" t="s">
        <v>3894</v>
      </c>
      <c r="F721" s="5" t="s">
        <v>3786</v>
      </c>
      <c r="G721" s="5" t="s">
        <v>3882</v>
      </c>
      <c r="H721" s="5">
        <v>2011.0</v>
      </c>
      <c r="I721" s="5">
        <v>0.0</v>
      </c>
      <c r="J721" s="5">
        <v>0.0</v>
      </c>
      <c r="K721" s="5">
        <v>1.0</v>
      </c>
      <c r="L721" s="54"/>
      <c r="M721" s="5" t="s">
        <v>3895</v>
      </c>
      <c r="N721" s="53" t="s">
        <v>2733</v>
      </c>
      <c r="O721">
        <v>39.308771</v>
      </c>
      <c r="P721">
        <v>16.346379</v>
      </c>
      <c r="Q721" s="5" t="s">
        <v>1075</v>
      </c>
      <c r="R721" s="10">
        <f t="shared" si="10"/>
        <v>57</v>
      </c>
      <c r="S721" s="5" t="s">
        <v>3896</v>
      </c>
      <c r="T721" s="6" t="s">
        <v>1963</v>
      </c>
      <c r="U721" s="5" t="s">
        <v>2326</v>
      </c>
      <c r="V721" s="5" t="s">
        <v>3897</v>
      </c>
    </row>
    <row r="722" ht="12.75" customHeight="1">
      <c r="A722" s="5">
        <v>33939.0</v>
      </c>
      <c r="B722" s="5" t="s">
        <v>49</v>
      </c>
      <c r="C722" s="52" t="s">
        <v>50</v>
      </c>
      <c r="D722" s="5" t="s">
        <v>2614</v>
      </c>
      <c r="E722" s="7" t="s">
        <v>3898</v>
      </c>
      <c r="F722" s="5" t="s">
        <v>3786</v>
      </c>
      <c r="G722" s="5" t="s">
        <v>3882</v>
      </c>
      <c r="H722" s="5">
        <v>2011.0</v>
      </c>
      <c r="I722" s="5">
        <v>0.0</v>
      </c>
      <c r="J722" s="5">
        <v>0.0</v>
      </c>
      <c r="K722" s="5">
        <v>5.0</v>
      </c>
      <c r="L722" s="54"/>
      <c r="M722" s="5" t="s">
        <v>3899</v>
      </c>
      <c r="N722" s="53" t="s">
        <v>2633</v>
      </c>
      <c r="O722">
        <v>28.569022</v>
      </c>
      <c r="P722">
        <v>-16.324539</v>
      </c>
      <c r="Q722" s="5" t="s">
        <v>396</v>
      </c>
      <c r="R722" s="10">
        <f t="shared" si="10"/>
        <v>53</v>
      </c>
      <c r="S722" s="5" t="s">
        <v>3900</v>
      </c>
      <c r="T722" s="5" t="s">
        <v>1040</v>
      </c>
      <c r="U722" s="5" t="s">
        <v>3360</v>
      </c>
      <c r="V722" s="5" t="s">
        <v>3361</v>
      </c>
    </row>
    <row r="723" ht="12.75" customHeight="1">
      <c r="A723" s="5">
        <v>33941.0</v>
      </c>
      <c r="B723" s="5" t="s">
        <v>49</v>
      </c>
      <c r="C723" s="52" t="s">
        <v>50</v>
      </c>
      <c r="D723" s="5" t="s">
        <v>2852</v>
      </c>
      <c r="E723" s="7" t="s">
        <v>3901</v>
      </c>
      <c r="F723" s="5" t="s">
        <v>3786</v>
      </c>
      <c r="G723" s="5" t="s">
        <v>3882</v>
      </c>
      <c r="H723" s="5">
        <v>2011.0</v>
      </c>
      <c r="I723" s="5">
        <v>0.0</v>
      </c>
      <c r="J723" s="5">
        <v>0.0</v>
      </c>
      <c r="K723" s="5">
        <v>2.0</v>
      </c>
      <c r="L723" s="54"/>
      <c r="M723" s="5" t="s">
        <v>3902</v>
      </c>
      <c r="N723" s="53" t="s">
        <v>2834</v>
      </c>
      <c r="O723">
        <v>41.244376</v>
      </c>
      <c r="P723">
        <v>26.135943</v>
      </c>
      <c r="Q723" s="5" t="s">
        <v>1214</v>
      </c>
      <c r="R723" s="10">
        <f t="shared" si="10"/>
        <v>188</v>
      </c>
      <c r="S723" s="5" t="s">
        <v>3903</v>
      </c>
      <c r="T723" s="6" t="s">
        <v>53</v>
      </c>
      <c r="U723" s="5" t="s">
        <v>3253</v>
      </c>
      <c r="V723" s="5" t="s">
        <v>3904</v>
      </c>
    </row>
    <row r="724" ht="12.75" customHeight="1">
      <c r="A724" s="5">
        <v>33940.0</v>
      </c>
      <c r="B724" s="5" t="s">
        <v>49</v>
      </c>
      <c r="C724" s="52" t="s">
        <v>50</v>
      </c>
      <c r="D724" s="5" t="s">
        <v>2614</v>
      </c>
      <c r="E724" s="7" t="s">
        <v>3901</v>
      </c>
      <c r="F724" s="5" t="s">
        <v>3786</v>
      </c>
      <c r="G724" s="5" t="s">
        <v>3882</v>
      </c>
      <c r="H724" s="5">
        <v>2011.0</v>
      </c>
      <c r="I724" s="5">
        <v>0.0</v>
      </c>
      <c r="J724" s="5">
        <v>0.0</v>
      </c>
      <c r="K724" s="5">
        <v>2.0</v>
      </c>
      <c r="L724" s="54"/>
      <c r="M724" s="5" t="s">
        <v>3905</v>
      </c>
      <c r="N724" s="53" t="s">
        <v>2834</v>
      </c>
      <c r="O724">
        <v>41.244376</v>
      </c>
      <c r="P724">
        <v>26.135943</v>
      </c>
      <c r="Q724" s="5" t="s">
        <v>1214</v>
      </c>
      <c r="R724" s="10">
        <f t="shared" si="10"/>
        <v>188</v>
      </c>
      <c r="S724" s="5" t="s">
        <v>3903</v>
      </c>
      <c r="T724" s="6" t="s">
        <v>53</v>
      </c>
      <c r="U724" s="5" t="s">
        <v>3318</v>
      </c>
      <c r="V724" s="5" t="s">
        <v>3906</v>
      </c>
    </row>
    <row r="725" ht="12.75" customHeight="1">
      <c r="A725" s="5">
        <v>33942.0</v>
      </c>
      <c r="B725" s="5" t="s">
        <v>763</v>
      </c>
      <c r="C725" s="5" t="s">
        <v>124</v>
      </c>
      <c r="D725" s="5" t="s">
        <v>2852</v>
      </c>
      <c r="E725" s="7" t="s">
        <v>3907</v>
      </c>
      <c r="F725" s="5" t="s">
        <v>3786</v>
      </c>
      <c r="G725" s="5" t="s">
        <v>3882</v>
      </c>
      <c r="H725" s="5">
        <v>2011.0</v>
      </c>
      <c r="I725" s="5">
        <v>0.0</v>
      </c>
      <c r="J725" s="5">
        <v>0.0</v>
      </c>
      <c r="K725" s="5">
        <v>1.0</v>
      </c>
      <c r="L725" s="54"/>
      <c r="M725" s="5" t="s">
        <v>3908</v>
      </c>
      <c r="N725" s="53" t="s">
        <v>3909</v>
      </c>
      <c r="O725">
        <v>50.95129</v>
      </c>
      <c r="P725">
        <v>1.858686</v>
      </c>
      <c r="Q725" s="5" t="s">
        <v>1551</v>
      </c>
      <c r="R725" s="10">
        <f t="shared" si="10"/>
        <v>30</v>
      </c>
      <c r="S725" s="5" t="s">
        <v>3910</v>
      </c>
      <c r="T725" s="5"/>
      <c r="U725" s="5" t="s">
        <v>3911</v>
      </c>
      <c r="V725" s="5"/>
    </row>
    <row r="726" ht="12.75" customHeight="1">
      <c r="A726" s="5">
        <v>33945.0</v>
      </c>
      <c r="B726" s="5" t="s">
        <v>491</v>
      </c>
      <c r="C726" s="52" t="s">
        <v>50</v>
      </c>
      <c r="D726" s="5" t="s">
        <v>2852</v>
      </c>
      <c r="E726" s="7" t="s">
        <v>3912</v>
      </c>
      <c r="F726" s="5" t="s">
        <v>3786</v>
      </c>
      <c r="G726" s="5" t="s">
        <v>3882</v>
      </c>
      <c r="H726" s="5">
        <v>2011.0</v>
      </c>
      <c r="I726" s="5">
        <v>0.0</v>
      </c>
      <c r="J726" s="5">
        <v>0.0</v>
      </c>
      <c r="K726" s="5">
        <v>1.0</v>
      </c>
      <c r="L726" s="54"/>
      <c r="M726" s="5" t="s">
        <v>3913</v>
      </c>
      <c r="N726" s="53" t="s">
        <v>3273</v>
      </c>
      <c r="O726">
        <v>32.374298</v>
      </c>
      <c r="P726">
        <v>15.09492</v>
      </c>
      <c r="Q726" s="5" t="s">
        <v>466</v>
      </c>
      <c r="R726" s="10">
        <f t="shared" si="10"/>
        <v>56</v>
      </c>
      <c r="S726" s="5" t="s">
        <v>3914</v>
      </c>
      <c r="T726" s="6" t="s">
        <v>2130</v>
      </c>
      <c r="U726" s="5" t="s">
        <v>3915</v>
      </c>
      <c r="V726" s="5"/>
    </row>
    <row r="727" ht="12.75" customHeight="1">
      <c r="A727" s="5">
        <v>33944.0</v>
      </c>
      <c r="B727" s="5" t="s">
        <v>491</v>
      </c>
      <c r="C727" s="52" t="s">
        <v>50</v>
      </c>
      <c r="D727" s="5" t="s">
        <v>2852</v>
      </c>
      <c r="E727" s="7" t="s">
        <v>3912</v>
      </c>
      <c r="F727" s="5" t="s">
        <v>3786</v>
      </c>
      <c r="G727" s="5" t="s">
        <v>3882</v>
      </c>
      <c r="H727" s="5">
        <v>2011.0</v>
      </c>
      <c r="I727" s="5">
        <v>0.0</v>
      </c>
      <c r="J727" s="5">
        <v>0.0</v>
      </c>
      <c r="K727" s="5">
        <v>1.0</v>
      </c>
      <c r="L727" s="54"/>
      <c r="M727" s="5" t="s">
        <v>3916</v>
      </c>
      <c r="N727" s="53" t="s">
        <v>3917</v>
      </c>
      <c r="O727">
        <v>33.81445</v>
      </c>
      <c r="P727">
        <v>12.700195</v>
      </c>
      <c r="Q727" s="5" t="s">
        <v>553</v>
      </c>
      <c r="R727" s="10">
        <f t="shared" si="10"/>
        <v>111</v>
      </c>
      <c r="S727" s="5" t="s">
        <v>3918</v>
      </c>
      <c r="T727" s="6" t="s">
        <v>2130</v>
      </c>
      <c r="U727" s="5" t="s">
        <v>3915</v>
      </c>
      <c r="V727" s="5"/>
    </row>
    <row r="728" ht="12.75" customHeight="1">
      <c r="A728" s="5">
        <v>33943.0</v>
      </c>
      <c r="B728" s="5" t="s">
        <v>491</v>
      </c>
      <c r="C728" s="52" t="s">
        <v>50</v>
      </c>
      <c r="D728" s="5" t="s">
        <v>2852</v>
      </c>
      <c r="E728" s="7" t="s">
        <v>3912</v>
      </c>
      <c r="F728" s="5" t="s">
        <v>3786</v>
      </c>
      <c r="G728" s="5" t="s">
        <v>3882</v>
      </c>
      <c r="H728" s="5">
        <v>2011.0</v>
      </c>
      <c r="I728" s="5">
        <v>0.0</v>
      </c>
      <c r="J728" s="5">
        <v>0.0</v>
      </c>
      <c r="K728" s="5">
        <v>61.0</v>
      </c>
      <c r="L728" s="54"/>
      <c r="M728" s="5" t="s">
        <v>3919</v>
      </c>
      <c r="N728" s="53" t="s">
        <v>3917</v>
      </c>
      <c r="O728">
        <v>33.81445</v>
      </c>
      <c r="P728">
        <v>12.700195</v>
      </c>
      <c r="Q728" s="5" t="s">
        <v>553</v>
      </c>
      <c r="R728" s="10">
        <f t="shared" si="10"/>
        <v>111</v>
      </c>
      <c r="S728" s="5" t="s">
        <v>3918</v>
      </c>
      <c r="T728" s="6" t="s">
        <v>2130</v>
      </c>
      <c r="U728" s="5" t="s">
        <v>3915</v>
      </c>
      <c r="V728" s="5"/>
    </row>
    <row r="729" ht="12.75" customHeight="1">
      <c r="A729" s="5">
        <v>34048.0</v>
      </c>
      <c r="B729" s="5" t="s">
        <v>1773</v>
      </c>
      <c r="C729" s="5" t="s">
        <v>124</v>
      </c>
      <c r="D729" s="5" t="s">
        <v>2852</v>
      </c>
      <c r="E729" s="7" t="s">
        <v>3920</v>
      </c>
      <c r="F729" s="5" t="s">
        <v>3654</v>
      </c>
      <c r="G729" s="5" t="s">
        <v>3921</v>
      </c>
      <c r="H729" s="5">
        <v>2011.0</v>
      </c>
      <c r="I729" s="5">
        <v>0.0</v>
      </c>
      <c r="J729" s="5">
        <v>0.0</v>
      </c>
      <c r="K729" s="5">
        <v>1.0</v>
      </c>
      <c r="L729" s="54"/>
      <c r="M729" s="5" t="s">
        <v>3922</v>
      </c>
      <c r="N729" s="53" t="s">
        <v>3923</v>
      </c>
      <c r="O729">
        <v>35.166667</v>
      </c>
      <c r="P729">
        <v>33.366667</v>
      </c>
      <c r="Q729" s="5" t="s">
        <v>632</v>
      </c>
      <c r="R729" s="10">
        <f t="shared" si="10"/>
        <v>3</v>
      </c>
      <c r="S729" s="5" t="s">
        <v>3924</v>
      </c>
      <c r="T729" s="5"/>
      <c r="U729" s="5" t="s">
        <v>3302</v>
      </c>
      <c r="V729" s="5"/>
    </row>
    <row r="730" ht="12.75" customHeight="1">
      <c r="A730" s="5">
        <v>34049.0</v>
      </c>
      <c r="B730" s="5" t="s">
        <v>49</v>
      </c>
      <c r="C730" s="52" t="s">
        <v>50</v>
      </c>
      <c r="D730" s="5" t="s">
        <v>2614</v>
      </c>
      <c r="E730" s="7" t="s">
        <v>3925</v>
      </c>
      <c r="F730" s="5" t="s">
        <v>3654</v>
      </c>
      <c r="G730" s="5" t="s">
        <v>3921</v>
      </c>
      <c r="H730" s="5">
        <v>2011.0</v>
      </c>
      <c r="I730" s="5">
        <v>0.0</v>
      </c>
      <c r="J730" s="5">
        <v>0.0</v>
      </c>
      <c r="K730" s="5">
        <v>1.0</v>
      </c>
      <c r="L730" s="54"/>
      <c r="M730" s="5" t="s">
        <v>3926</v>
      </c>
      <c r="N730" s="53" t="s">
        <v>3927</v>
      </c>
      <c r="O730">
        <v>36.42985</v>
      </c>
      <c r="P730">
        <v>-5.149141</v>
      </c>
      <c r="Q730" s="5" t="s">
        <v>799</v>
      </c>
      <c r="R730" s="10">
        <f t="shared" si="10"/>
        <v>6</v>
      </c>
      <c r="S730" s="5" t="s">
        <v>3928</v>
      </c>
      <c r="T730" s="6" t="s">
        <v>72</v>
      </c>
      <c r="U730" s="5" t="s">
        <v>2640</v>
      </c>
      <c r="V730" s="5" t="s">
        <v>3929</v>
      </c>
    </row>
    <row r="731" ht="12.75" customHeight="1">
      <c r="A731" s="5">
        <v>34050.0</v>
      </c>
      <c r="B731" s="5" t="s">
        <v>491</v>
      </c>
      <c r="C731" s="52" t="s">
        <v>50</v>
      </c>
      <c r="D731" s="5" t="s">
        <v>2852</v>
      </c>
      <c r="E731" s="7" t="s">
        <v>3930</v>
      </c>
      <c r="F731" s="5" t="s">
        <v>3654</v>
      </c>
      <c r="G731" s="5" t="s">
        <v>3921</v>
      </c>
      <c r="H731" s="5">
        <v>2011.0</v>
      </c>
      <c r="I731" s="5">
        <v>0.0</v>
      </c>
      <c r="J731" s="5">
        <v>0.0</v>
      </c>
      <c r="K731" s="5">
        <v>1.0</v>
      </c>
      <c r="L731" s="54"/>
      <c r="M731" s="5" t="s">
        <v>3931</v>
      </c>
      <c r="N731" s="53" t="s">
        <v>3141</v>
      </c>
      <c r="O731">
        <v>36.140751</v>
      </c>
      <c r="P731">
        <v>-5.353585</v>
      </c>
      <c r="Q731" s="5" t="s">
        <v>774</v>
      </c>
      <c r="R731" s="10">
        <f t="shared" si="10"/>
        <v>107</v>
      </c>
      <c r="S731" s="5" t="s">
        <v>3932</v>
      </c>
      <c r="T731" s="6" t="s">
        <v>72</v>
      </c>
      <c r="U731" s="5" t="s">
        <v>3933</v>
      </c>
      <c r="V731" s="5" t="s">
        <v>3934</v>
      </c>
    </row>
    <row r="732" ht="12.75" customHeight="1">
      <c r="A732" s="5">
        <v>34051.0</v>
      </c>
      <c r="B732" s="5" t="s">
        <v>49</v>
      </c>
      <c r="C732" s="52" t="s">
        <v>50</v>
      </c>
      <c r="D732" s="5" t="s">
        <v>2614</v>
      </c>
      <c r="E732" s="7" t="s">
        <v>3935</v>
      </c>
      <c r="F732" s="5" t="s">
        <v>3654</v>
      </c>
      <c r="G732" s="5" t="s">
        <v>3921</v>
      </c>
      <c r="H732" s="5">
        <v>2011.0</v>
      </c>
      <c r="I732" s="5">
        <v>0.0</v>
      </c>
      <c r="J732" s="5">
        <v>0.0</v>
      </c>
      <c r="K732" s="5">
        <v>1.0</v>
      </c>
      <c r="L732" s="54"/>
      <c r="M732" s="5" t="s">
        <v>3936</v>
      </c>
      <c r="N732" s="53" t="s">
        <v>3927</v>
      </c>
      <c r="O732">
        <v>36.42985</v>
      </c>
      <c r="P732">
        <v>-5.149141</v>
      </c>
      <c r="Q732" s="5" t="s">
        <v>799</v>
      </c>
      <c r="R732" s="10">
        <f t="shared" si="10"/>
        <v>6</v>
      </c>
      <c r="S732" s="5" t="s">
        <v>3937</v>
      </c>
      <c r="T732" s="6" t="s">
        <v>72</v>
      </c>
      <c r="U732" s="5" t="s">
        <v>3360</v>
      </c>
      <c r="V732" s="5" t="s">
        <v>3361</v>
      </c>
    </row>
    <row r="733" ht="12.75" customHeight="1">
      <c r="A733" s="5">
        <v>34052.0</v>
      </c>
      <c r="B733" s="5" t="s">
        <v>49</v>
      </c>
      <c r="C733" s="52" t="s">
        <v>50</v>
      </c>
      <c r="D733" s="5" t="s">
        <v>2852</v>
      </c>
      <c r="E733" s="7" t="s">
        <v>3938</v>
      </c>
      <c r="F733" s="5" t="s">
        <v>3654</v>
      </c>
      <c r="G733" s="5" t="s">
        <v>3921</v>
      </c>
      <c r="H733" s="5">
        <v>2011.0</v>
      </c>
      <c r="I733" s="5">
        <v>0.0</v>
      </c>
      <c r="J733" s="5">
        <v>0.0</v>
      </c>
      <c r="K733" s="5">
        <v>1.0</v>
      </c>
      <c r="L733" s="54"/>
      <c r="M733" s="5" t="s">
        <v>3939</v>
      </c>
      <c r="N733" s="53" t="s">
        <v>3940</v>
      </c>
      <c r="O733">
        <v>36.902859</v>
      </c>
      <c r="P733">
        <v>7.755543</v>
      </c>
      <c r="Q733" s="5" t="s">
        <v>880</v>
      </c>
      <c r="R733" s="10">
        <f t="shared" si="10"/>
        <v>107</v>
      </c>
      <c r="S733" s="5" t="s">
        <v>3941</v>
      </c>
      <c r="T733" s="6" t="s">
        <v>2130</v>
      </c>
      <c r="U733" s="5" t="s">
        <v>2934</v>
      </c>
      <c r="V733" s="5" t="s">
        <v>3942</v>
      </c>
    </row>
    <row r="734" ht="12.75" customHeight="1">
      <c r="A734" s="5">
        <v>34053.0</v>
      </c>
      <c r="B734" s="5" t="s">
        <v>49</v>
      </c>
      <c r="C734" s="52" t="s">
        <v>50</v>
      </c>
      <c r="D734" s="5" t="s">
        <v>2852</v>
      </c>
      <c r="E734" s="7" t="s">
        <v>3943</v>
      </c>
      <c r="F734" s="5" t="s">
        <v>3654</v>
      </c>
      <c r="G734" s="5" t="s">
        <v>3921</v>
      </c>
      <c r="H734" s="5">
        <v>2011.0</v>
      </c>
      <c r="I734" s="5">
        <v>0.0</v>
      </c>
      <c r="J734" s="5">
        <v>0.0</v>
      </c>
      <c r="K734" s="5">
        <v>2.0</v>
      </c>
      <c r="L734" s="54"/>
      <c r="M734" s="5" t="s">
        <v>3944</v>
      </c>
      <c r="N734" s="53" t="s">
        <v>3570</v>
      </c>
      <c r="O734">
        <v>36.828221</v>
      </c>
      <c r="P734">
        <v>11.940496</v>
      </c>
      <c r="Q734" s="5" t="s">
        <v>857</v>
      </c>
      <c r="R734" s="10">
        <f t="shared" si="10"/>
        <v>37</v>
      </c>
      <c r="S734" s="5" t="s">
        <v>3945</v>
      </c>
      <c r="T734" s="6" t="s">
        <v>2130</v>
      </c>
      <c r="U734" s="5" t="s">
        <v>3946</v>
      </c>
      <c r="V734" s="5" t="s">
        <v>3947</v>
      </c>
    </row>
    <row r="735" ht="12.75" customHeight="1">
      <c r="A735" s="5">
        <v>34054.0</v>
      </c>
      <c r="B735" s="5" t="s">
        <v>49</v>
      </c>
      <c r="C735" s="52" t="s">
        <v>50</v>
      </c>
      <c r="D735" s="5" t="s">
        <v>2852</v>
      </c>
      <c r="E735" s="7" t="s">
        <v>3948</v>
      </c>
      <c r="F735" s="5" t="s">
        <v>3654</v>
      </c>
      <c r="G735" s="5" t="s">
        <v>3921</v>
      </c>
      <c r="H735" s="5">
        <v>2011.0</v>
      </c>
      <c r="I735" s="5">
        <v>0.0</v>
      </c>
      <c r="J735" s="5">
        <v>0.0</v>
      </c>
      <c r="K735" s="5">
        <v>33.0</v>
      </c>
      <c r="L735" s="54"/>
      <c r="M735" s="5" t="s">
        <v>3949</v>
      </c>
      <c r="N735" s="53" t="s">
        <v>3950</v>
      </c>
      <c r="O735">
        <v>39.611839</v>
      </c>
      <c r="P735">
        <v>19.830605</v>
      </c>
      <c r="Q735" s="5" t="s">
        <v>1102</v>
      </c>
      <c r="R735" s="10">
        <f t="shared" si="10"/>
        <v>35</v>
      </c>
      <c r="S735" s="5" t="s">
        <v>3951</v>
      </c>
      <c r="T735" s="5"/>
      <c r="U735" s="5" t="s">
        <v>3952</v>
      </c>
      <c r="V735" s="5" t="s">
        <v>3953</v>
      </c>
    </row>
    <row r="736" ht="12.75" customHeight="1">
      <c r="A736" s="5">
        <v>34056.0</v>
      </c>
      <c r="B736" s="5" t="s">
        <v>68</v>
      </c>
      <c r="C736" s="5" t="s">
        <v>69</v>
      </c>
      <c r="D736" s="5" t="s">
        <v>2852</v>
      </c>
      <c r="E736" s="7" t="s">
        <v>3954</v>
      </c>
      <c r="F736" s="5" t="s">
        <v>3654</v>
      </c>
      <c r="G736" s="5" t="s">
        <v>3921</v>
      </c>
      <c r="H736" s="5">
        <v>2011.0</v>
      </c>
      <c r="I736" s="5">
        <v>0.0</v>
      </c>
      <c r="J736" s="5">
        <v>0.0</v>
      </c>
      <c r="K736" s="5">
        <v>11.0</v>
      </c>
      <c r="L736" s="54"/>
      <c r="M736" s="5" t="s">
        <v>3955</v>
      </c>
      <c r="N736" s="53" t="s">
        <v>3733</v>
      </c>
      <c r="O736">
        <v>35.85</v>
      </c>
      <c r="P736">
        <v>-0.316667</v>
      </c>
      <c r="Q736" s="5" t="s">
        <v>708</v>
      </c>
      <c r="R736" s="10">
        <f t="shared" si="10"/>
        <v>81</v>
      </c>
      <c r="S736" s="5" t="s">
        <v>3956</v>
      </c>
      <c r="T736" s="6" t="s">
        <v>72</v>
      </c>
      <c r="U736" s="5" t="s">
        <v>3957</v>
      </c>
      <c r="V736" s="5" t="s">
        <v>3958</v>
      </c>
    </row>
    <row r="737" ht="12.75" customHeight="1">
      <c r="A737" s="5">
        <v>34055.0</v>
      </c>
      <c r="B737" s="5" t="s">
        <v>763</v>
      </c>
      <c r="C737" s="5" t="s">
        <v>124</v>
      </c>
      <c r="D737" s="5" t="s">
        <v>2852</v>
      </c>
      <c r="E737" s="7" t="s">
        <v>3954</v>
      </c>
      <c r="F737" s="5" t="s">
        <v>3654</v>
      </c>
      <c r="G737" s="5" t="s">
        <v>3921</v>
      </c>
      <c r="H737" s="5">
        <v>2011.0</v>
      </c>
      <c r="I737" s="5">
        <v>0.0</v>
      </c>
      <c r="J737" s="5">
        <v>0.0</v>
      </c>
      <c r="K737" s="5">
        <v>1.0</v>
      </c>
      <c r="L737" s="54"/>
      <c r="M737" s="5" t="s">
        <v>3959</v>
      </c>
      <c r="N737" s="53" t="s">
        <v>2834</v>
      </c>
      <c r="O737">
        <v>41.244376</v>
      </c>
      <c r="P737">
        <v>26.135943</v>
      </c>
      <c r="Q737" s="5" t="s">
        <v>1214</v>
      </c>
      <c r="R737" s="10">
        <f t="shared" si="10"/>
        <v>188</v>
      </c>
      <c r="S737" s="5" t="s">
        <v>3960</v>
      </c>
      <c r="T737" s="6" t="s">
        <v>53</v>
      </c>
      <c r="U737" s="5" t="s">
        <v>3253</v>
      </c>
      <c r="V737" s="5"/>
    </row>
    <row r="738" ht="12.75" customHeight="1">
      <c r="A738" s="5">
        <v>34057.0</v>
      </c>
      <c r="B738" s="5" t="s">
        <v>1995</v>
      </c>
      <c r="C738" s="52" t="s">
        <v>50</v>
      </c>
      <c r="D738" s="5" t="s">
        <v>2852</v>
      </c>
      <c r="E738" s="7" t="s">
        <v>3961</v>
      </c>
      <c r="F738" s="5" t="s">
        <v>3654</v>
      </c>
      <c r="G738" s="5" t="s">
        <v>3921</v>
      </c>
      <c r="H738" s="5">
        <v>2011.0</v>
      </c>
      <c r="I738" s="5">
        <v>0.0</v>
      </c>
      <c r="J738" s="5">
        <v>0.0</v>
      </c>
      <c r="K738" s="5">
        <v>1.0</v>
      </c>
      <c r="L738" s="54"/>
      <c r="M738" s="5" t="s">
        <v>3962</v>
      </c>
      <c r="N738" s="53" t="s">
        <v>3963</v>
      </c>
      <c r="O738">
        <v>50.963579</v>
      </c>
      <c r="P738">
        <v>10.067171</v>
      </c>
      <c r="Q738" s="5" t="s">
        <v>1562</v>
      </c>
      <c r="R738" s="10">
        <f t="shared" si="10"/>
        <v>1</v>
      </c>
      <c r="S738" s="5" t="s">
        <v>3964</v>
      </c>
      <c r="T738" s="5"/>
      <c r="U738" s="5" t="s">
        <v>3795</v>
      </c>
      <c r="V738" s="5"/>
    </row>
    <row r="739" ht="12.75" customHeight="1">
      <c r="A739" s="5">
        <v>34058.0</v>
      </c>
      <c r="B739" s="5" t="s">
        <v>98</v>
      </c>
      <c r="C739" s="5" t="s">
        <v>62</v>
      </c>
      <c r="D739" s="5" t="s">
        <v>2852</v>
      </c>
      <c r="E739" s="7" t="s">
        <v>3961</v>
      </c>
      <c r="F739" s="5" t="s">
        <v>3654</v>
      </c>
      <c r="G739" s="5" t="s">
        <v>3921</v>
      </c>
      <c r="H739" s="5">
        <v>2011.0</v>
      </c>
      <c r="I739" s="5">
        <v>0.0</v>
      </c>
      <c r="J739" s="5">
        <v>0.0</v>
      </c>
      <c r="K739" s="5">
        <v>1.0</v>
      </c>
      <c r="L739" s="54"/>
      <c r="M739" s="5" t="s">
        <v>3965</v>
      </c>
      <c r="N739" s="53" t="s">
        <v>3966</v>
      </c>
      <c r="O739">
        <v>60.128161</v>
      </c>
      <c r="P739">
        <v>18.643501</v>
      </c>
      <c r="Q739" s="5" t="s">
        <v>1915</v>
      </c>
      <c r="R739" s="10">
        <f t="shared" si="10"/>
        <v>5</v>
      </c>
      <c r="S739" s="5" t="s">
        <v>3967</v>
      </c>
      <c r="T739" s="5"/>
      <c r="U739" s="5" t="s">
        <v>3968</v>
      </c>
      <c r="V739" s="5"/>
    </row>
    <row r="740" ht="12.75" customHeight="1">
      <c r="A740" s="5">
        <v>34059.0</v>
      </c>
      <c r="B740" s="5" t="s">
        <v>1076</v>
      </c>
      <c r="C740" s="52" t="s">
        <v>50</v>
      </c>
      <c r="D740" s="5" t="s">
        <v>2852</v>
      </c>
      <c r="E740" s="7" t="s">
        <v>3969</v>
      </c>
      <c r="F740" s="5" t="s">
        <v>3654</v>
      </c>
      <c r="G740" s="5" t="s">
        <v>3921</v>
      </c>
      <c r="H740" s="5">
        <v>2011.0</v>
      </c>
      <c r="I740" s="5">
        <v>0.0</v>
      </c>
      <c r="J740" s="5">
        <v>0.0</v>
      </c>
      <c r="K740" s="5">
        <v>25.0</v>
      </c>
      <c r="L740" s="54"/>
      <c r="M740" s="5" t="s">
        <v>3970</v>
      </c>
      <c r="N740" s="53" t="s">
        <v>2700</v>
      </c>
      <c r="O740">
        <v>35.508622</v>
      </c>
      <c r="P740">
        <v>12.59292</v>
      </c>
      <c r="Q740" s="5" t="s">
        <v>669</v>
      </c>
      <c r="R740" s="10">
        <f t="shared" si="10"/>
        <v>3843</v>
      </c>
      <c r="S740" s="5" t="s">
        <v>3971</v>
      </c>
      <c r="T740" s="6" t="s">
        <v>2130</v>
      </c>
      <c r="U740" s="5" t="s">
        <v>3972</v>
      </c>
      <c r="V740" s="5" t="s">
        <v>3424</v>
      </c>
    </row>
    <row r="741" ht="12.75" customHeight="1">
      <c r="A741" s="5">
        <v>34060.0</v>
      </c>
      <c r="B741" s="5" t="s">
        <v>2921</v>
      </c>
      <c r="C741" s="52" t="s">
        <v>50</v>
      </c>
      <c r="D741" s="5" t="s">
        <v>2852</v>
      </c>
      <c r="E741" s="7" t="s">
        <v>3973</v>
      </c>
      <c r="F741" s="5" t="s">
        <v>3654</v>
      </c>
      <c r="G741" s="5" t="s">
        <v>3921</v>
      </c>
      <c r="H741" s="5">
        <v>2011.0</v>
      </c>
      <c r="I741" s="5">
        <v>0.0</v>
      </c>
      <c r="J741" s="5">
        <v>0.0</v>
      </c>
      <c r="K741" s="5">
        <v>1.0</v>
      </c>
      <c r="L741" s="54"/>
      <c r="M741" s="5" t="s">
        <v>3974</v>
      </c>
      <c r="N741" s="53" t="s">
        <v>2638</v>
      </c>
      <c r="O741">
        <v>35.888384</v>
      </c>
      <c r="P741">
        <v>-5.324636</v>
      </c>
      <c r="Q741" s="5" t="s">
        <v>717</v>
      </c>
      <c r="R741" s="10">
        <f t="shared" si="10"/>
        <v>213</v>
      </c>
      <c r="S741" s="5" t="s">
        <v>3975</v>
      </c>
      <c r="T741" s="6" t="s">
        <v>72</v>
      </c>
      <c r="U741" s="5" t="s">
        <v>3128</v>
      </c>
      <c r="V741" s="5"/>
    </row>
    <row r="742" ht="12.75" customHeight="1">
      <c r="A742" s="5">
        <v>34061.0</v>
      </c>
      <c r="B742" s="5" t="s">
        <v>68</v>
      </c>
      <c r="C742" s="5" t="s">
        <v>69</v>
      </c>
      <c r="D742" s="5" t="s">
        <v>2852</v>
      </c>
      <c r="E742" s="7" t="s">
        <v>3976</v>
      </c>
      <c r="F742" s="5" t="s">
        <v>3654</v>
      </c>
      <c r="G742" s="5" t="s">
        <v>3921</v>
      </c>
      <c r="H742" s="5">
        <v>2011.0</v>
      </c>
      <c r="I742" s="5">
        <v>0.0</v>
      </c>
      <c r="J742" s="5">
        <v>0.0</v>
      </c>
      <c r="K742" s="5">
        <v>1.0</v>
      </c>
      <c r="L742" s="54"/>
      <c r="M742" s="5" t="s">
        <v>3977</v>
      </c>
      <c r="N742" s="53" t="s">
        <v>2938</v>
      </c>
      <c r="O742">
        <v>35.937496</v>
      </c>
      <c r="P742">
        <v>14.375416</v>
      </c>
      <c r="Q742" s="5" t="s">
        <v>740</v>
      </c>
      <c r="R742" s="10">
        <f t="shared" si="10"/>
        <v>655</v>
      </c>
      <c r="S742" s="5" t="s">
        <v>3978</v>
      </c>
      <c r="T742" s="6" t="s">
        <v>2130</v>
      </c>
      <c r="U742" s="5" t="s">
        <v>3979</v>
      </c>
      <c r="V742" s="5" t="s">
        <v>3980</v>
      </c>
    </row>
    <row r="743" ht="12.75" customHeight="1">
      <c r="A743" s="5">
        <v>34063.0</v>
      </c>
      <c r="B743" s="5" t="s">
        <v>49</v>
      </c>
      <c r="C743" s="52" t="s">
        <v>50</v>
      </c>
      <c r="D743" s="5" t="s">
        <v>2852</v>
      </c>
      <c r="E743" s="7" t="s">
        <v>3981</v>
      </c>
      <c r="F743" s="5" t="s">
        <v>3654</v>
      </c>
      <c r="G743" s="5" t="s">
        <v>3921</v>
      </c>
      <c r="H743" s="5">
        <v>2011.0</v>
      </c>
      <c r="I743" s="5">
        <v>0.0</v>
      </c>
      <c r="J743" s="5">
        <v>0.0</v>
      </c>
      <c r="K743" s="5">
        <v>27.0</v>
      </c>
      <c r="L743" s="54"/>
      <c r="M743" s="5" t="s">
        <v>3982</v>
      </c>
      <c r="N743" s="53" t="s">
        <v>3674</v>
      </c>
      <c r="O743">
        <v>34.658056</v>
      </c>
      <c r="P743">
        <v>11.068611</v>
      </c>
      <c r="Q743" s="5" t="s">
        <v>585</v>
      </c>
      <c r="R743" s="10">
        <f t="shared" si="10"/>
        <v>55</v>
      </c>
      <c r="S743" s="5" t="s">
        <v>3983</v>
      </c>
      <c r="T743" s="6" t="s">
        <v>2130</v>
      </c>
      <c r="U743" s="5" t="s">
        <v>3774</v>
      </c>
      <c r="V743" s="5" t="s">
        <v>3677</v>
      </c>
    </row>
    <row r="744" ht="12.75" customHeight="1">
      <c r="A744" s="5">
        <v>34062.0</v>
      </c>
      <c r="B744" s="5" t="s">
        <v>49</v>
      </c>
      <c r="C744" s="52" t="s">
        <v>50</v>
      </c>
      <c r="D744" s="5" t="s">
        <v>2852</v>
      </c>
      <c r="E744" s="7" t="s">
        <v>3981</v>
      </c>
      <c r="F744" s="5" t="s">
        <v>3654</v>
      </c>
      <c r="G744" s="5" t="s">
        <v>3921</v>
      </c>
      <c r="H744" s="5">
        <v>2011.0</v>
      </c>
      <c r="I744" s="5">
        <v>0.0</v>
      </c>
      <c r="J744" s="5">
        <v>0.0</v>
      </c>
      <c r="K744" s="5">
        <v>58.0</v>
      </c>
      <c r="L744" s="54"/>
      <c r="M744" s="5" t="s">
        <v>3984</v>
      </c>
      <c r="N744" s="53" t="s">
        <v>3524</v>
      </c>
      <c r="O744">
        <v>36.81881</v>
      </c>
      <c r="P744">
        <v>10.16596</v>
      </c>
      <c r="Q744" s="5" t="s">
        <v>854</v>
      </c>
      <c r="R744" s="10">
        <f t="shared" si="10"/>
        <v>540</v>
      </c>
      <c r="S744" s="5" t="s">
        <v>3985</v>
      </c>
      <c r="T744" s="6" t="s">
        <v>2130</v>
      </c>
      <c r="U744" s="5" t="s">
        <v>3986</v>
      </c>
      <c r="V744" s="5"/>
    </row>
    <row r="745" ht="12.75" customHeight="1">
      <c r="A745" s="5">
        <v>34064.0</v>
      </c>
      <c r="B745" s="5" t="s">
        <v>1161</v>
      </c>
      <c r="C745" s="5" t="s">
        <v>124</v>
      </c>
      <c r="D745" s="5" t="s">
        <v>2852</v>
      </c>
      <c r="E745" s="7" t="s">
        <v>3987</v>
      </c>
      <c r="F745" s="5" t="s">
        <v>3654</v>
      </c>
      <c r="G745" s="5" t="s">
        <v>3921</v>
      </c>
      <c r="H745" s="5">
        <v>2011.0</v>
      </c>
      <c r="I745" s="5">
        <v>0.0</v>
      </c>
      <c r="J745" s="5">
        <v>0.0</v>
      </c>
      <c r="K745" s="5">
        <v>3.0</v>
      </c>
      <c r="L745" s="54"/>
      <c r="M745" s="5" t="s">
        <v>3988</v>
      </c>
      <c r="N745" s="53" t="s">
        <v>2718</v>
      </c>
      <c r="O745">
        <v>35.292278</v>
      </c>
      <c r="P745">
        <v>-2.938097</v>
      </c>
      <c r="Q745" s="5" t="s">
        <v>649</v>
      </c>
      <c r="R745" s="10">
        <f t="shared" si="10"/>
        <v>79</v>
      </c>
      <c r="S745" s="5" t="s">
        <v>3989</v>
      </c>
      <c r="T745" s="6" t="s">
        <v>72</v>
      </c>
      <c r="U745" s="5" t="s">
        <v>3990</v>
      </c>
      <c r="V745" s="5"/>
    </row>
    <row r="746" ht="12.75" customHeight="1">
      <c r="A746" s="5">
        <v>34065.0</v>
      </c>
      <c r="B746" s="5" t="s">
        <v>49</v>
      </c>
      <c r="C746" s="52" t="s">
        <v>50</v>
      </c>
      <c r="D746" s="5" t="s">
        <v>2852</v>
      </c>
      <c r="E746" s="7" t="s">
        <v>3987</v>
      </c>
      <c r="F746" s="5" t="s">
        <v>3654</v>
      </c>
      <c r="G746" s="5" t="s">
        <v>3921</v>
      </c>
      <c r="H746" s="5">
        <v>2011.0</v>
      </c>
      <c r="I746" s="5">
        <v>0.0</v>
      </c>
      <c r="J746" s="5">
        <v>0.0</v>
      </c>
      <c r="K746" s="5">
        <v>2.0</v>
      </c>
      <c r="L746" s="54"/>
      <c r="M746" s="5" t="s">
        <v>3991</v>
      </c>
      <c r="N746" s="53" t="s">
        <v>2700</v>
      </c>
      <c r="O746">
        <v>35.508622</v>
      </c>
      <c r="P746">
        <v>12.59292</v>
      </c>
      <c r="Q746" s="5" t="s">
        <v>669</v>
      </c>
      <c r="R746" s="10">
        <f t="shared" si="10"/>
        <v>3843</v>
      </c>
      <c r="S746" s="5" t="s">
        <v>3992</v>
      </c>
      <c r="T746" s="6" t="s">
        <v>2130</v>
      </c>
      <c r="U746" s="5" t="s">
        <v>3490</v>
      </c>
      <c r="V746" s="5"/>
    </row>
    <row r="747" ht="12.75" customHeight="1">
      <c r="A747" s="5">
        <v>34066.0</v>
      </c>
      <c r="B747" s="5" t="s">
        <v>3993</v>
      </c>
      <c r="C747" s="5" t="s">
        <v>211</v>
      </c>
      <c r="D747" s="5" t="s">
        <v>2852</v>
      </c>
      <c r="E747" s="7" t="s">
        <v>3987</v>
      </c>
      <c r="F747" s="5" t="s">
        <v>3654</v>
      </c>
      <c r="G747" s="5" t="s">
        <v>3921</v>
      </c>
      <c r="H747" s="5">
        <v>2011.0</v>
      </c>
      <c r="I747" s="5">
        <v>0.0</v>
      </c>
      <c r="J747" s="5">
        <v>0.0</v>
      </c>
      <c r="K747" s="5">
        <v>1.0</v>
      </c>
      <c r="L747" s="54"/>
      <c r="M747" s="5" t="s">
        <v>3994</v>
      </c>
      <c r="N747" s="53" t="s">
        <v>3995</v>
      </c>
      <c r="O747">
        <v>52.477116</v>
      </c>
      <c r="P747">
        <v>10.549576</v>
      </c>
      <c r="Q747" s="5" t="s">
        <v>1766</v>
      </c>
      <c r="R747" s="10">
        <f t="shared" si="10"/>
        <v>1</v>
      </c>
      <c r="S747" s="5" t="s">
        <v>3996</v>
      </c>
      <c r="T747" s="5"/>
      <c r="U747" s="5" t="s">
        <v>3997</v>
      </c>
      <c r="V747" s="5"/>
    </row>
    <row r="748" ht="12.75" customHeight="1">
      <c r="A748" s="5">
        <v>34067.0</v>
      </c>
      <c r="B748" s="5" t="s">
        <v>41</v>
      </c>
      <c r="C748" s="5" t="s">
        <v>42</v>
      </c>
      <c r="D748" s="5" t="s">
        <v>2614</v>
      </c>
      <c r="E748" s="7" t="s">
        <v>3998</v>
      </c>
      <c r="F748" s="5" t="s">
        <v>3654</v>
      </c>
      <c r="G748" s="5" t="s">
        <v>3921</v>
      </c>
      <c r="H748" s="5">
        <v>2011.0</v>
      </c>
      <c r="I748" s="5">
        <v>0.0</v>
      </c>
      <c r="J748" s="5">
        <v>0.0</v>
      </c>
      <c r="K748" s="5">
        <v>1.0</v>
      </c>
      <c r="L748" s="54"/>
      <c r="M748" s="5" t="s">
        <v>3999</v>
      </c>
      <c r="N748" s="53" t="s">
        <v>2888</v>
      </c>
      <c r="O748">
        <v>24.088938</v>
      </c>
      <c r="P748">
        <v>32.899829</v>
      </c>
      <c r="Q748" s="5" t="s">
        <v>329</v>
      </c>
      <c r="R748" s="10">
        <f t="shared" si="10"/>
        <v>129</v>
      </c>
      <c r="S748" s="5" t="s">
        <v>4000</v>
      </c>
      <c r="T748" s="5"/>
      <c r="U748" s="5" t="s">
        <v>254</v>
      </c>
      <c r="V748" s="5" t="s">
        <v>4001</v>
      </c>
    </row>
    <row r="749" ht="12.75" customHeight="1">
      <c r="A749" s="5">
        <v>53691.0</v>
      </c>
      <c r="B749" s="5" t="s">
        <v>49</v>
      </c>
      <c r="C749" s="52" t="s">
        <v>50</v>
      </c>
      <c r="D749" s="5"/>
      <c r="E749" s="7" t="s">
        <v>3998</v>
      </c>
      <c r="F749" s="5" t="s">
        <v>3654</v>
      </c>
      <c r="G749" s="5" t="s">
        <v>3921</v>
      </c>
      <c r="H749" s="5">
        <v>2011.0</v>
      </c>
      <c r="I749" s="5">
        <v>0.0</v>
      </c>
      <c r="J749" s="5">
        <v>0.0</v>
      </c>
      <c r="K749" s="5">
        <v>1.0</v>
      </c>
      <c r="L749" s="54"/>
      <c r="M749" s="5" t="s">
        <v>4002</v>
      </c>
      <c r="N749" s="53" t="s">
        <v>4003</v>
      </c>
      <c r="O749">
        <v>52.825559</v>
      </c>
      <c r="P749">
        <v>14.197083</v>
      </c>
      <c r="Q749" s="5" t="s">
        <v>1796</v>
      </c>
      <c r="R749" s="10">
        <f t="shared" si="10"/>
        <v>6</v>
      </c>
      <c r="S749" s="5" t="s">
        <v>4004</v>
      </c>
      <c r="T749" s="5"/>
      <c r="U749" s="5" t="s">
        <v>4005</v>
      </c>
      <c r="V749" s="5"/>
    </row>
    <row r="750" ht="12.75" customHeight="1">
      <c r="A750" s="5">
        <v>34097.0</v>
      </c>
      <c r="B750" s="5" t="s">
        <v>49</v>
      </c>
      <c r="C750" s="52" t="s">
        <v>50</v>
      </c>
      <c r="D750" s="5" t="s">
        <v>2852</v>
      </c>
      <c r="E750" s="7" t="s">
        <v>4006</v>
      </c>
      <c r="F750" s="5" t="s">
        <v>4007</v>
      </c>
      <c r="G750" s="5" t="s">
        <v>4008</v>
      </c>
      <c r="H750" s="5">
        <v>2010.0</v>
      </c>
      <c r="I750" s="5">
        <v>0.0</v>
      </c>
      <c r="J750" s="5">
        <v>0.0</v>
      </c>
      <c r="K750" s="5">
        <v>2.0</v>
      </c>
      <c r="L750" s="54"/>
      <c r="M750" s="5" t="s">
        <v>4009</v>
      </c>
      <c r="N750" s="53" t="s">
        <v>2834</v>
      </c>
      <c r="O750">
        <v>41.244376</v>
      </c>
      <c r="P750">
        <v>26.135943</v>
      </c>
      <c r="Q750" s="5" t="s">
        <v>1214</v>
      </c>
      <c r="R750" s="10">
        <f t="shared" si="10"/>
        <v>188</v>
      </c>
      <c r="S750" s="5" t="s">
        <v>4010</v>
      </c>
      <c r="T750" s="6" t="s">
        <v>53</v>
      </c>
      <c r="U750" s="5" t="s">
        <v>4011</v>
      </c>
      <c r="V750" s="5"/>
    </row>
    <row r="751" ht="12.75" customHeight="1">
      <c r="A751" s="5">
        <v>34098.0</v>
      </c>
      <c r="B751" s="5" t="s">
        <v>1773</v>
      </c>
      <c r="C751" s="5" t="s">
        <v>124</v>
      </c>
      <c r="D751" s="5" t="s">
        <v>2852</v>
      </c>
      <c r="E751" s="7" t="s">
        <v>4012</v>
      </c>
      <c r="F751" s="5" t="s">
        <v>4007</v>
      </c>
      <c r="G751" s="5" t="s">
        <v>4008</v>
      </c>
      <c r="H751" s="5">
        <v>2010.0</v>
      </c>
      <c r="I751" s="5">
        <v>0.0</v>
      </c>
      <c r="J751" s="5">
        <v>0.0</v>
      </c>
      <c r="K751" s="5">
        <v>1.0</v>
      </c>
      <c r="L751" s="54"/>
      <c r="M751" s="5" t="s">
        <v>4013</v>
      </c>
      <c r="N751" s="53" t="s">
        <v>4014</v>
      </c>
      <c r="O751">
        <v>41.462198</v>
      </c>
      <c r="P751">
        <v>15.54463</v>
      </c>
      <c r="Q751" s="5" t="s">
        <v>1225</v>
      </c>
      <c r="R751" s="10">
        <f t="shared" si="10"/>
        <v>8</v>
      </c>
      <c r="S751" s="5" t="s">
        <v>4015</v>
      </c>
      <c r="T751" s="5"/>
      <c r="U751" s="5" t="s">
        <v>4016</v>
      </c>
      <c r="V751" s="5" t="s">
        <v>4017</v>
      </c>
    </row>
    <row r="752" ht="12.75" customHeight="1">
      <c r="A752" s="5">
        <v>34099.0</v>
      </c>
      <c r="B752" s="5" t="s">
        <v>1995</v>
      </c>
      <c r="C752" s="52" t="s">
        <v>50</v>
      </c>
      <c r="D752" s="5" t="s">
        <v>2852</v>
      </c>
      <c r="E752" s="7" t="s">
        <v>4018</v>
      </c>
      <c r="F752" s="5" t="s">
        <v>4007</v>
      </c>
      <c r="G752" s="5" t="s">
        <v>4008</v>
      </c>
      <c r="H752" s="5">
        <v>2010.0</v>
      </c>
      <c r="I752" s="5">
        <v>0.0</v>
      </c>
      <c r="J752" s="5">
        <v>0.0</v>
      </c>
      <c r="K752" s="5">
        <v>1.0</v>
      </c>
      <c r="L752" s="54"/>
      <c r="M752" s="5" t="s">
        <v>4019</v>
      </c>
      <c r="N752" s="53" t="s">
        <v>3923</v>
      </c>
      <c r="O752">
        <v>35.166667</v>
      </c>
      <c r="P752">
        <v>33.366667</v>
      </c>
      <c r="Q752" s="5" t="s">
        <v>632</v>
      </c>
      <c r="R752" s="10">
        <f t="shared" si="10"/>
        <v>3</v>
      </c>
      <c r="S752" s="5" t="s">
        <v>4020</v>
      </c>
      <c r="T752" s="5"/>
      <c r="U752" s="5" t="s">
        <v>4021</v>
      </c>
      <c r="V752" s="5"/>
    </row>
    <row r="753" ht="12.75" customHeight="1">
      <c r="A753" s="5">
        <v>34100.0</v>
      </c>
      <c r="B753" s="5" t="s">
        <v>41</v>
      </c>
      <c r="C753" s="5" t="s">
        <v>42</v>
      </c>
      <c r="D753" s="5" t="s">
        <v>2614</v>
      </c>
      <c r="E753" s="7" t="s">
        <v>4022</v>
      </c>
      <c r="F753" s="5" t="s">
        <v>4007</v>
      </c>
      <c r="G753" s="5" t="s">
        <v>4008</v>
      </c>
      <c r="H753" s="5">
        <v>2010.0</v>
      </c>
      <c r="I753" s="5">
        <v>0.0</v>
      </c>
      <c r="J753" s="5">
        <v>0.0</v>
      </c>
      <c r="K753" s="5">
        <v>1.0</v>
      </c>
      <c r="L753" s="54"/>
      <c r="M753" s="5" t="s">
        <v>4023</v>
      </c>
      <c r="N753" s="53" t="s">
        <v>2888</v>
      </c>
      <c r="O753">
        <v>24.088938</v>
      </c>
      <c r="P753">
        <v>32.899829</v>
      </c>
      <c r="Q753" s="5" t="s">
        <v>329</v>
      </c>
      <c r="R753" s="10">
        <f t="shared" si="10"/>
        <v>129</v>
      </c>
      <c r="S753" s="5" t="s">
        <v>4024</v>
      </c>
      <c r="T753" s="5"/>
      <c r="U753" s="5" t="s">
        <v>92</v>
      </c>
      <c r="V753" s="5" t="s">
        <v>4025</v>
      </c>
    </row>
    <row r="754" ht="12.75" customHeight="1">
      <c r="A754" s="5">
        <v>34101.0</v>
      </c>
      <c r="B754" s="5" t="s">
        <v>1995</v>
      </c>
      <c r="C754" s="52" t="s">
        <v>50</v>
      </c>
      <c r="D754" s="5" t="s">
        <v>2852</v>
      </c>
      <c r="E754" s="7" t="s">
        <v>4022</v>
      </c>
      <c r="F754" s="5" t="s">
        <v>4007</v>
      </c>
      <c r="G754" s="5" t="s">
        <v>4008</v>
      </c>
      <c r="H754" s="5">
        <v>2010.0</v>
      </c>
      <c r="I754" s="5">
        <v>0.0</v>
      </c>
      <c r="J754" s="5">
        <v>0.0</v>
      </c>
      <c r="K754" s="5">
        <v>1.0</v>
      </c>
      <c r="L754" s="54"/>
      <c r="M754" s="5" t="s">
        <v>4026</v>
      </c>
      <c r="N754" s="53" t="s">
        <v>2638</v>
      </c>
      <c r="O754">
        <v>35.888384</v>
      </c>
      <c r="P754">
        <v>-5.324636</v>
      </c>
      <c r="Q754" s="5" t="s">
        <v>717</v>
      </c>
      <c r="R754" s="10">
        <f t="shared" si="10"/>
        <v>213</v>
      </c>
      <c r="S754" s="5" t="s">
        <v>4027</v>
      </c>
      <c r="T754" s="6" t="s">
        <v>72</v>
      </c>
      <c r="U754" s="5" t="s">
        <v>4028</v>
      </c>
      <c r="V754" s="5"/>
    </row>
    <row r="755" ht="12.75" customHeight="1">
      <c r="A755" s="5">
        <v>34103.0</v>
      </c>
      <c r="B755" s="5" t="s">
        <v>41</v>
      </c>
      <c r="C755" s="5" t="s">
        <v>42</v>
      </c>
      <c r="D755" s="5" t="s">
        <v>2614</v>
      </c>
      <c r="E755" s="7" t="s">
        <v>4029</v>
      </c>
      <c r="F755" s="5" t="s">
        <v>4007</v>
      </c>
      <c r="G755" s="5" t="s">
        <v>4008</v>
      </c>
      <c r="H755" s="5">
        <v>2010.0</v>
      </c>
      <c r="I755" s="5">
        <v>0.0</v>
      </c>
      <c r="J755" s="5">
        <v>0.0</v>
      </c>
      <c r="K755" s="5">
        <v>3.0</v>
      </c>
      <c r="L755" s="54"/>
      <c r="M755" s="5" t="s">
        <v>4030</v>
      </c>
      <c r="N755" s="53" t="s">
        <v>2888</v>
      </c>
      <c r="O755">
        <v>24.088938</v>
      </c>
      <c r="P755">
        <v>32.899829</v>
      </c>
      <c r="Q755" s="5" t="s">
        <v>329</v>
      </c>
      <c r="R755" s="10">
        <f t="shared" si="10"/>
        <v>129</v>
      </c>
      <c r="S755" s="5" t="s">
        <v>4031</v>
      </c>
      <c r="T755" s="5"/>
      <c r="U755" s="5" t="s">
        <v>92</v>
      </c>
      <c r="V755" s="5" t="s">
        <v>4032</v>
      </c>
    </row>
    <row r="756" ht="12.75" customHeight="1">
      <c r="A756" s="5">
        <v>34102.0</v>
      </c>
      <c r="B756" s="5" t="s">
        <v>49</v>
      </c>
      <c r="C756" s="52" t="s">
        <v>50</v>
      </c>
      <c r="D756" s="5" t="s">
        <v>2614</v>
      </c>
      <c r="E756" s="7" t="s">
        <v>4029</v>
      </c>
      <c r="F756" s="5" t="s">
        <v>4007</v>
      </c>
      <c r="G756" s="5" t="s">
        <v>4008</v>
      </c>
      <c r="H756" s="5">
        <v>2010.0</v>
      </c>
      <c r="I756" s="5">
        <v>0.0</v>
      </c>
      <c r="J756" s="5">
        <v>0.0</v>
      </c>
      <c r="K756" s="5">
        <v>3.0</v>
      </c>
      <c r="L756" s="54"/>
      <c r="M756" s="5" t="s">
        <v>4033</v>
      </c>
      <c r="N756" s="53" t="s">
        <v>2766</v>
      </c>
      <c r="O756">
        <v>35.249299</v>
      </c>
      <c r="P756">
        <v>-3.937112</v>
      </c>
      <c r="Q756" s="5" t="s">
        <v>642</v>
      </c>
      <c r="R756" s="10">
        <f t="shared" si="10"/>
        <v>149</v>
      </c>
      <c r="S756" s="5" t="s">
        <v>4034</v>
      </c>
      <c r="T756" s="6" t="s">
        <v>72</v>
      </c>
      <c r="U756" s="5" t="s">
        <v>4035</v>
      </c>
      <c r="V756" s="5" t="s">
        <v>4036</v>
      </c>
    </row>
    <row r="757" ht="12.75" customHeight="1">
      <c r="A757" s="5">
        <v>34104.0</v>
      </c>
      <c r="B757" s="5" t="s">
        <v>68</v>
      </c>
      <c r="C757" s="5" t="s">
        <v>69</v>
      </c>
      <c r="D757" s="5" t="s">
        <v>2852</v>
      </c>
      <c r="E757" s="7" t="s">
        <v>4037</v>
      </c>
      <c r="F757" s="5" t="s">
        <v>4007</v>
      </c>
      <c r="G757" s="5" t="s">
        <v>4038</v>
      </c>
      <c r="H757" s="5">
        <v>2010.0</v>
      </c>
      <c r="I757" s="5">
        <v>0.0</v>
      </c>
      <c r="J757" s="5">
        <v>0.0</v>
      </c>
      <c r="K757" s="5">
        <v>2.0</v>
      </c>
      <c r="L757" s="54"/>
      <c r="M757" s="5" t="s">
        <v>4039</v>
      </c>
      <c r="N757" s="53" t="s">
        <v>2638</v>
      </c>
      <c r="O757">
        <v>35.888384</v>
      </c>
      <c r="P757">
        <v>-5.324636</v>
      </c>
      <c r="Q757" s="5" t="s">
        <v>717</v>
      </c>
      <c r="R757" s="10">
        <f t="shared" si="10"/>
        <v>213</v>
      </c>
      <c r="S757" s="5" t="s">
        <v>4040</v>
      </c>
      <c r="T757" s="6" t="s">
        <v>72</v>
      </c>
      <c r="U757" s="5" t="s">
        <v>4041</v>
      </c>
      <c r="V757" s="5"/>
    </row>
    <row r="758" ht="12.75" customHeight="1">
      <c r="A758" s="5">
        <v>34105.0</v>
      </c>
      <c r="B758" s="5" t="s">
        <v>49</v>
      </c>
      <c r="C758" s="52" t="s">
        <v>50</v>
      </c>
      <c r="D758" s="5" t="s">
        <v>2614</v>
      </c>
      <c r="E758" s="7" t="s">
        <v>4042</v>
      </c>
      <c r="F758" s="5" t="s">
        <v>4007</v>
      </c>
      <c r="G758" s="5" t="s">
        <v>4038</v>
      </c>
      <c r="H758" s="5">
        <v>2010.0</v>
      </c>
      <c r="I758" s="5">
        <v>0.0</v>
      </c>
      <c r="J758" s="5">
        <v>0.0</v>
      </c>
      <c r="K758" s="5">
        <v>2.0</v>
      </c>
      <c r="L758" s="54"/>
      <c r="M758" s="5" t="s">
        <v>4043</v>
      </c>
      <c r="N758" s="53" t="s">
        <v>4044</v>
      </c>
      <c r="O758">
        <v>40.120875</v>
      </c>
      <c r="P758">
        <v>9.012893</v>
      </c>
      <c r="Q758" s="5" t="s">
        <v>1120</v>
      </c>
      <c r="R758" s="10">
        <f t="shared" si="10"/>
        <v>81</v>
      </c>
      <c r="S758" s="5" t="s">
        <v>4045</v>
      </c>
      <c r="T758" s="6" t="s">
        <v>2130</v>
      </c>
      <c r="U758" s="5" t="s">
        <v>4046</v>
      </c>
      <c r="V758" s="5" t="s">
        <v>4047</v>
      </c>
    </row>
    <row r="759" ht="12.75" customHeight="1">
      <c r="A759" s="5">
        <v>34106.0</v>
      </c>
      <c r="B759" s="5" t="s">
        <v>49</v>
      </c>
      <c r="C759" s="52" t="s">
        <v>50</v>
      </c>
      <c r="D759" s="5" t="s">
        <v>2852</v>
      </c>
      <c r="E759" s="7" t="s">
        <v>4048</v>
      </c>
      <c r="F759" s="5" t="s">
        <v>4007</v>
      </c>
      <c r="G759" s="5" t="s">
        <v>4038</v>
      </c>
      <c r="H759" s="5">
        <v>2010.0</v>
      </c>
      <c r="I759" s="5">
        <v>0.0</v>
      </c>
      <c r="J759" s="5">
        <v>0.0</v>
      </c>
      <c r="K759" s="5">
        <v>2.0</v>
      </c>
      <c r="L759" s="54"/>
      <c r="M759" s="5" t="s">
        <v>4049</v>
      </c>
      <c r="N759" s="53" t="s">
        <v>2638</v>
      </c>
      <c r="O759">
        <v>35.888384</v>
      </c>
      <c r="P759">
        <v>-5.324636</v>
      </c>
      <c r="Q759" s="5" t="s">
        <v>717</v>
      </c>
      <c r="R759" s="10">
        <f t="shared" si="10"/>
        <v>213</v>
      </c>
      <c r="S759" s="5" t="s">
        <v>4050</v>
      </c>
      <c r="T759" s="6" t="s">
        <v>72</v>
      </c>
      <c r="U759" s="5" t="s">
        <v>4051</v>
      </c>
      <c r="V759" s="5"/>
    </row>
    <row r="760" ht="12.75" customHeight="1">
      <c r="A760" s="5">
        <v>34107.0</v>
      </c>
      <c r="B760" s="5" t="s">
        <v>49</v>
      </c>
      <c r="C760" s="52" t="s">
        <v>50</v>
      </c>
      <c r="D760" s="5" t="s">
        <v>2852</v>
      </c>
      <c r="E760" s="7" t="s">
        <v>4052</v>
      </c>
      <c r="F760" s="5" t="s">
        <v>4007</v>
      </c>
      <c r="G760" s="5" t="s">
        <v>4038</v>
      </c>
      <c r="H760" s="5">
        <v>2010.0</v>
      </c>
      <c r="I760" s="5">
        <v>0.0</v>
      </c>
      <c r="J760" s="5">
        <v>0.0</v>
      </c>
      <c r="K760" s="5">
        <v>37.0</v>
      </c>
      <c r="L760" s="54"/>
      <c r="M760" s="5" t="s">
        <v>4053</v>
      </c>
      <c r="N760" s="53" t="s">
        <v>4054</v>
      </c>
      <c r="O760">
        <v>35.964373</v>
      </c>
      <c r="P760">
        <v>-5.196533</v>
      </c>
      <c r="Q760" s="5" t="s">
        <v>744</v>
      </c>
      <c r="R760" s="10">
        <f t="shared" si="10"/>
        <v>63</v>
      </c>
      <c r="S760" s="5" t="s">
        <v>4055</v>
      </c>
      <c r="T760" s="6" t="s">
        <v>72</v>
      </c>
      <c r="U760" s="5" t="s">
        <v>4051</v>
      </c>
      <c r="V760" s="5"/>
    </row>
    <row r="761" ht="12.75" customHeight="1">
      <c r="A761" s="5">
        <v>34108.0</v>
      </c>
      <c r="B761" s="5" t="s">
        <v>49</v>
      </c>
      <c r="C761" s="52" t="s">
        <v>50</v>
      </c>
      <c r="D761" s="5" t="s">
        <v>2852</v>
      </c>
      <c r="E761" s="7" t="s">
        <v>4056</v>
      </c>
      <c r="F761" s="5" t="s">
        <v>4007</v>
      </c>
      <c r="G761" s="5" t="s">
        <v>4038</v>
      </c>
      <c r="H761" s="5">
        <v>2010.0</v>
      </c>
      <c r="I761" s="5">
        <v>0.0</v>
      </c>
      <c r="J761" s="5">
        <v>0.0</v>
      </c>
      <c r="K761" s="5">
        <v>1.0</v>
      </c>
      <c r="L761" s="54"/>
      <c r="M761" s="5" t="s">
        <v>4057</v>
      </c>
      <c r="N761" s="53" t="s">
        <v>2733</v>
      </c>
      <c r="O761">
        <v>39.308771</v>
      </c>
      <c r="P761">
        <v>16.346379</v>
      </c>
      <c r="Q761" s="5" t="s">
        <v>1075</v>
      </c>
      <c r="R761" s="10">
        <f t="shared" si="10"/>
        <v>57</v>
      </c>
      <c r="S761" s="5" t="s">
        <v>4058</v>
      </c>
      <c r="T761" s="6" t="s">
        <v>1963</v>
      </c>
      <c r="U761" s="5" t="s">
        <v>4059</v>
      </c>
      <c r="V761" s="5" t="s">
        <v>4060</v>
      </c>
    </row>
    <row r="762" ht="12.75" customHeight="1">
      <c r="A762" s="5">
        <v>34109.0</v>
      </c>
      <c r="B762" s="5" t="s">
        <v>1076</v>
      </c>
      <c r="C762" s="52" t="s">
        <v>50</v>
      </c>
      <c r="D762" s="5" t="s">
        <v>2614</v>
      </c>
      <c r="E762" s="7" t="s">
        <v>4061</v>
      </c>
      <c r="F762" s="5" t="s">
        <v>4007</v>
      </c>
      <c r="G762" s="5" t="s">
        <v>4038</v>
      </c>
      <c r="H762" s="5">
        <v>2010.0</v>
      </c>
      <c r="I762" s="5">
        <v>0.0</v>
      </c>
      <c r="J762" s="5">
        <v>0.0</v>
      </c>
      <c r="K762" s="5">
        <v>1.0</v>
      </c>
      <c r="L762" s="54"/>
      <c r="M762" s="5" t="s">
        <v>4062</v>
      </c>
      <c r="N762" s="53" t="s">
        <v>3131</v>
      </c>
      <c r="O762">
        <v>45.440847</v>
      </c>
      <c r="P762">
        <v>12.315515</v>
      </c>
      <c r="Q762" s="5" t="s">
        <v>1317</v>
      </c>
      <c r="R762" s="10">
        <f t="shared" si="10"/>
        <v>13</v>
      </c>
      <c r="S762" s="5" t="s">
        <v>4063</v>
      </c>
      <c r="T762" s="5"/>
      <c r="U762" s="5" t="s">
        <v>4064</v>
      </c>
      <c r="V762" s="5" t="s">
        <v>4065</v>
      </c>
    </row>
    <row r="763" ht="12.75" customHeight="1">
      <c r="A763" s="5">
        <v>34111.0</v>
      </c>
      <c r="B763" s="5" t="s">
        <v>491</v>
      </c>
      <c r="C763" s="52" t="s">
        <v>50</v>
      </c>
      <c r="D763" s="5" t="s">
        <v>2852</v>
      </c>
      <c r="E763" s="7" t="s">
        <v>4066</v>
      </c>
      <c r="F763" s="5" t="s">
        <v>4007</v>
      </c>
      <c r="G763" s="5" t="s">
        <v>4038</v>
      </c>
      <c r="H763" s="5">
        <v>2010.0</v>
      </c>
      <c r="I763" s="5">
        <v>0.0</v>
      </c>
      <c r="J763" s="5">
        <v>0.0</v>
      </c>
      <c r="K763" s="5">
        <v>6.0</v>
      </c>
      <c r="L763" s="54"/>
      <c r="M763" s="5" t="s">
        <v>4067</v>
      </c>
      <c r="N763" s="53" t="s">
        <v>4068</v>
      </c>
      <c r="O763">
        <v>22.785</v>
      </c>
      <c r="P763">
        <v>5.522778</v>
      </c>
      <c r="Q763" s="5" t="s">
        <v>316</v>
      </c>
      <c r="R763" s="10">
        <f t="shared" si="10"/>
        <v>6</v>
      </c>
      <c r="S763" s="5" t="s">
        <v>4069</v>
      </c>
      <c r="T763" s="5"/>
      <c r="U763" s="5" t="s">
        <v>4070</v>
      </c>
      <c r="V763" s="5" t="s">
        <v>4071</v>
      </c>
    </row>
    <row r="764" ht="12.75" customHeight="1">
      <c r="A764" s="5">
        <v>34110.0</v>
      </c>
      <c r="B764" s="5" t="s">
        <v>41</v>
      </c>
      <c r="C764" s="5" t="s">
        <v>42</v>
      </c>
      <c r="D764" s="5" t="s">
        <v>2614</v>
      </c>
      <c r="E764" s="7" t="s">
        <v>4066</v>
      </c>
      <c r="F764" s="5" t="s">
        <v>4007</v>
      </c>
      <c r="G764" s="5" t="s">
        <v>4038</v>
      </c>
      <c r="H764" s="5">
        <v>2010.0</v>
      </c>
      <c r="I764" s="5">
        <v>0.0</v>
      </c>
      <c r="J764" s="5">
        <v>0.0</v>
      </c>
      <c r="K764" s="5">
        <v>10.0</v>
      </c>
      <c r="L764" s="54"/>
      <c r="M764" s="5" t="s">
        <v>4072</v>
      </c>
      <c r="N764" s="53" t="s">
        <v>4073</v>
      </c>
      <c r="O764">
        <v>30.153994</v>
      </c>
      <c r="P764">
        <v>34.035645</v>
      </c>
      <c r="Q764" s="5" t="s">
        <v>412</v>
      </c>
      <c r="R764" s="10">
        <f t="shared" si="10"/>
        <v>10</v>
      </c>
      <c r="S764" s="5" t="s">
        <v>4074</v>
      </c>
      <c r="T764" s="5"/>
      <c r="U764" s="5" t="s">
        <v>92</v>
      </c>
      <c r="V764" s="5" t="s">
        <v>4075</v>
      </c>
    </row>
    <row r="765" ht="12.75" customHeight="1">
      <c r="A765" s="5">
        <v>34112.0</v>
      </c>
      <c r="B765" s="5" t="s">
        <v>41</v>
      </c>
      <c r="C765" s="5" t="s">
        <v>42</v>
      </c>
      <c r="D765" s="5" t="s">
        <v>2614</v>
      </c>
      <c r="E765" s="7" t="s">
        <v>4076</v>
      </c>
      <c r="F765" s="5" t="s">
        <v>4007</v>
      </c>
      <c r="G765" s="5" t="s">
        <v>4038</v>
      </c>
      <c r="H765" s="5">
        <v>2010.0</v>
      </c>
      <c r="I765" s="5">
        <v>0.0</v>
      </c>
      <c r="J765" s="5">
        <v>0.0</v>
      </c>
      <c r="K765" s="5">
        <v>6.0</v>
      </c>
      <c r="L765" s="54"/>
      <c r="M765" s="5" t="s">
        <v>4077</v>
      </c>
      <c r="N765" s="53" t="s">
        <v>2888</v>
      </c>
      <c r="O765">
        <v>24.088938</v>
      </c>
      <c r="P765">
        <v>32.899829</v>
      </c>
      <c r="Q765" s="5" t="s">
        <v>329</v>
      </c>
      <c r="R765" s="10">
        <f t="shared" si="10"/>
        <v>129</v>
      </c>
      <c r="S765" s="5" t="s">
        <v>4078</v>
      </c>
      <c r="T765" s="5"/>
      <c r="U765" s="5" t="s">
        <v>92</v>
      </c>
      <c r="V765" s="5" t="s">
        <v>4079</v>
      </c>
    </row>
    <row r="766" ht="12.75" customHeight="1">
      <c r="A766" s="5">
        <v>34113.0</v>
      </c>
      <c r="B766" s="5" t="s">
        <v>49</v>
      </c>
      <c r="C766" s="52" t="s">
        <v>50</v>
      </c>
      <c r="D766" s="5" t="s">
        <v>2852</v>
      </c>
      <c r="E766" s="7" t="s">
        <v>4080</v>
      </c>
      <c r="F766" s="5" t="s">
        <v>4007</v>
      </c>
      <c r="G766" s="5" t="s">
        <v>4038</v>
      </c>
      <c r="H766" s="5">
        <v>2010.0</v>
      </c>
      <c r="I766" s="5">
        <v>0.0</v>
      </c>
      <c r="J766" s="5">
        <v>0.0</v>
      </c>
      <c r="K766" s="5">
        <v>43.0</v>
      </c>
      <c r="L766" s="54"/>
      <c r="M766" s="5" t="s">
        <v>4081</v>
      </c>
      <c r="N766" s="53" t="s">
        <v>3940</v>
      </c>
      <c r="O766">
        <v>36.902859</v>
      </c>
      <c r="P766">
        <v>7.755543</v>
      </c>
      <c r="Q766" s="5" t="s">
        <v>880</v>
      </c>
      <c r="R766" s="10">
        <f t="shared" si="10"/>
        <v>107</v>
      </c>
      <c r="S766" s="5" t="s">
        <v>4082</v>
      </c>
      <c r="T766" s="6" t="s">
        <v>2130</v>
      </c>
      <c r="U766" s="5" t="s">
        <v>4083</v>
      </c>
      <c r="V766" s="5" t="s">
        <v>4084</v>
      </c>
    </row>
    <row r="767" ht="12.75" customHeight="1">
      <c r="A767" s="5">
        <v>34114.0</v>
      </c>
      <c r="B767" s="5" t="s">
        <v>49</v>
      </c>
      <c r="C767" s="52" t="s">
        <v>50</v>
      </c>
      <c r="D767" s="5" t="s">
        <v>2852</v>
      </c>
      <c r="E767" s="7" t="s">
        <v>4085</v>
      </c>
      <c r="F767" s="5" t="s">
        <v>4007</v>
      </c>
      <c r="G767" s="5" t="s">
        <v>4038</v>
      </c>
      <c r="H767" s="5">
        <v>2010.0</v>
      </c>
      <c r="I767" s="5">
        <v>0.0</v>
      </c>
      <c r="J767" s="5">
        <v>0.0</v>
      </c>
      <c r="K767" s="5">
        <v>4.0</v>
      </c>
      <c r="L767" s="54"/>
      <c r="M767" s="5" t="s">
        <v>4086</v>
      </c>
      <c r="N767" s="53" t="s">
        <v>2834</v>
      </c>
      <c r="O767">
        <v>41.244376</v>
      </c>
      <c r="P767">
        <v>26.135943</v>
      </c>
      <c r="Q767" s="5" t="s">
        <v>1214</v>
      </c>
      <c r="R767" s="10">
        <f t="shared" si="10"/>
        <v>188</v>
      </c>
      <c r="S767" s="5" t="s">
        <v>4087</v>
      </c>
      <c r="T767" s="6" t="s">
        <v>53</v>
      </c>
      <c r="U767" s="5" t="s">
        <v>3128</v>
      </c>
      <c r="V767" s="5" t="s">
        <v>4088</v>
      </c>
    </row>
    <row r="768" ht="12.75" customHeight="1">
      <c r="A768" s="5">
        <v>34115.0</v>
      </c>
      <c r="B768" s="5" t="s">
        <v>49</v>
      </c>
      <c r="C768" s="52" t="s">
        <v>50</v>
      </c>
      <c r="D768" s="5" t="s">
        <v>2614</v>
      </c>
      <c r="E768" s="7" t="s">
        <v>4089</v>
      </c>
      <c r="F768" s="5" t="s">
        <v>4007</v>
      </c>
      <c r="G768" s="5" t="s">
        <v>4038</v>
      </c>
      <c r="H768" s="5">
        <v>2010.0</v>
      </c>
      <c r="I768" s="5">
        <v>0.0</v>
      </c>
      <c r="J768" s="5">
        <v>0.0</v>
      </c>
      <c r="K768" s="5">
        <v>1.0</v>
      </c>
      <c r="L768" s="54"/>
      <c r="M768" s="5" t="s">
        <v>4090</v>
      </c>
      <c r="N768" s="53" t="s">
        <v>2733</v>
      </c>
      <c r="O768">
        <v>39.308771</v>
      </c>
      <c r="P768">
        <v>16.346379</v>
      </c>
      <c r="Q768" s="5" t="s">
        <v>1075</v>
      </c>
      <c r="R768" s="10">
        <f t="shared" si="10"/>
        <v>57</v>
      </c>
      <c r="S768" s="5" t="s">
        <v>4091</v>
      </c>
      <c r="T768" s="6" t="s">
        <v>1963</v>
      </c>
      <c r="U768" s="5" t="s">
        <v>3388</v>
      </c>
      <c r="V768" s="5" t="s">
        <v>4092</v>
      </c>
    </row>
    <row r="769" ht="12.75" customHeight="1">
      <c r="A769" s="5">
        <v>34116.0</v>
      </c>
      <c r="B769" s="5" t="s">
        <v>491</v>
      </c>
      <c r="C769" s="52" t="s">
        <v>50</v>
      </c>
      <c r="D769" s="5" t="s">
        <v>2852</v>
      </c>
      <c r="E769" s="7" t="s">
        <v>4093</v>
      </c>
      <c r="F769" s="5" t="s">
        <v>4007</v>
      </c>
      <c r="G769" s="5" t="s">
        <v>4038</v>
      </c>
      <c r="H769" s="5">
        <v>2010.0</v>
      </c>
      <c r="I769" s="5">
        <v>0.0</v>
      </c>
      <c r="J769" s="5">
        <v>0.0</v>
      </c>
      <c r="K769" s="5">
        <v>1.0</v>
      </c>
      <c r="L769" s="54"/>
      <c r="M769" s="5" t="s">
        <v>4094</v>
      </c>
      <c r="N769" s="53" t="s">
        <v>4095</v>
      </c>
      <c r="O769">
        <v>55.378051</v>
      </c>
      <c r="P769">
        <v>-3.435973</v>
      </c>
      <c r="Q769" s="5" t="s">
        <v>1882</v>
      </c>
      <c r="R769" s="10">
        <f t="shared" si="10"/>
        <v>23</v>
      </c>
      <c r="S769" s="5" t="s">
        <v>4096</v>
      </c>
      <c r="T769" s="5"/>
      <c r="U769" s="5" t="s">
        <v>4097</v>
      </c>
      <c r="V769" s="5"/>
    </row>
    <row r="770" ht="12.75" customHeight="1">
      <c r="A770" s="5">
        <v>34117.0</v>
      </c>
      <c r="B770" s="5" t="s">
        <v>41</v>
      </c>
      <c r="C770" s="5" t="s">
        <v>42</v>
      </c>
      <c r="D770" s="5" t="s">
        <v>2614</v>
      </c>
      <c r="E770" s="7" t="s">
        <v>4098</v>
      </c>
      <c r="F770" s="5" t="s">
        <v>4007</v>
      </c>
      <c r="G770" s="5" t="s">
        <v>4099</v>
      </c>
      <c r="H770" s="5">
        <v>2010.0</v>
      </c>
      <c r="I770" s="5">
        <v>0.0</v>
      </c>
      <c r="J770" s="5">
        <v>0.0</v>
      </c>
      <c r="K770" s="5">
        <v>2.0</v>
      </c>
      <c r="L770" s="54"/>
      <c r="M770" s="5" t="s">
        <v>4100</v>
      </c>
      <c r="N770" s="53" t="s">
        <v>2888</v>
      </c>
      <c r="O770">
        <v>24.088938</v>
      </c>
      <c r="P770">
        <v>32.899829</v>
      </c>
      <c r="Q770" s="5" t="s">
        <v>329</v>
      </c>
      <c r="R770" s="10">
        <f t="shared" si="10"/>
        <v>129</v>
      </c>
      <c r="S770" s="5" t="s">
        <v>4101</v>
      </c>
      <c r="T770" s="5"/>
      <c r="U770" s="5" t="s">
        <v>92</v>
      </c>
      <c r="V770" s="5" t="s">
        <v>4102</v>
      </c>
    </row>
    <row r="771" ht="12.75" customHeight="1">
      <c r="A771" s="5">
        <v>34118.0</v>
      </c>
      <c r="B771" s="5" t="s">
        <v>49</v>
      </c>
      <c r="C771" s="52" t="s">
        <v>50</v>
      </c>
      <c r="D771" s="5" t="s">
        <v>2852</v>
      </c>
      <c r="E771" s="7" t="s">
        <v>4103</v>
      </c>
      <c r="F771" s="5" t="s">
        <v>4007</v>
      </c>
      <c r="G771" s="5" t="s">
        <v>4099</v>
      </c>
      <c r="H771" s="5">
        <v>2010.0</v>
      </c>
      <c r="I771" s="5">
        <v>0.0</v>
      </c>
      <c r="J771" s="5">
        <v>0.0</v>
      </c>
      <c r="K771" s="5">
        <v>2.0</v>
      </c>
      <c r="L771" s="54"/>
      <c r="M771" s="5" t="s">
        <v>4104</v>
      </c>
      <c r="N771" s="53" t="s">
        <v>4105</v>
      </c>
      <c r="O771">
        <v>39.02001</v>
      </c>
      <c r="P771">
        <v>1.482148</v>
      </c>
      <c r="Q771" s="5" t="s">
        <v>1056</v>
      </c>
      <c r="R771" s="10">
        <f t="shared" si="10"/>
        <v>5</v>
      </c>
      <c r="S771" s="5" t="s">
        <v>4106</v>
      </c>
      <c r="T771" s="6" t="s">
        <v>72</v>
      </c>
      <c r="U771" s="5" t="s">
        <v>4107</v>
      </c>
      <c r="V771" s="5"/>
    </row>
    <row r="772" ht="12.75" customHeight="1">
      <c r="A772" s="5">
        <v>34119.0</v>
      </c>
      <c r="B772" s="5" t="s">
        <v>4108</v>
      </c>
      <c r="C772" s="5" t="s">
        <v>211</v>
      </c>
      <c r="D772" s="5" t="s">
        <v>2852</v>
      </c>
      <c r="E772" s="7" t="s">
        <v>4109</v>
      </c>
      <c r="F772" s="5" t="s">
        <v>4007</v>
      </c>
      <c r="G772" s="5" t="s">
        <v>4099</v>
      </c>
      <c r="H772" s="5">
        <v>2010.0</v>
      </c>
      <c r="I772" s="5">
        <v>0.0</v>
      </c>
      <c r="J772" s="5">
        <v>0.0</v>
      </c>
      <c r="K772" s="5">
        <v>1.0</v>
      </c>
      <c r="L772" s="54"/>
      <c r="M772" s="5" t="s">
        <v>4110</v>
      </c>
      <c r="N772" s="53" t="s">
        <v>4111</v>
      </c>
      <c r="O772">
        <v>52.954783</v>
      </c>
      <c r="P772">
        <v>-1.158109</v>
      </c>
      <c r="Q772" s="5" t="s">
        <v>1807</v>
      </c>
      <c r="R772" s="10">
        <f t="shared" si="10"/>
        <v>1</v>
      </c>
      <c r="S772" s="5" t="s">
        <v>4112</v>
      </c>
      <c r="T772" s="5"/>
      <c r="U772" s="5" t="s">
        <v>4113</v>
      </c>
      <c r="V772" s="5"/>
    </row>
    <row r="773" ht="12.75" customHeight="1">
      <c r="A773" s="5">
        <v>34120.0</v>
      </c>
      <c r="B773" s="5" t="s">
        <v>49</v>
      </c>
      <c r="C773" s="52" t="s">
        <v>50</v>
      </c>
      <c r="D773" s="5" t="s">
        <v>2614</v>
      </c>
      <c r="E773" s="7" t="s">
        <v>4114</v>
      </c>
      <c r="F773" s="5" t="s">
        <v>4007</v>
      </c>
      <c r="G773" s="5" t="s">
        <v>4099</v>
      </c>
      <c r="H773" s="5">
        <v>2010.0</v>
      </c>
      <c r="I773" s="5">
        <v>0.0</v>
      </c>
      <c r="J773" s="5">
        <v>0.0</v>
      </c>
      <c r="K773" s="5">
        <v>1.0</v>
      </c>
      <c r="L773" s="54"/>
      <c r="M773" s="5" t="s">
        <v>4115</v>
      </c>
      <c r="N773" s="53" t="s">
        <v>2733</v>
      </c>
      <c r="O773">
        <v>39.308771</v>
      </c>
      <c r="P773">
        <v>16.346379</v>
      </c>
      <c r="Q773" s="5" t="s">
        <v>1075</v>
      </c>
      <c r="R773" s="10">
        <f t="shared" si="10"/>
        <v>57</v>
      </c>
      <c r="S773" s="5" t="s">
        <v>4116</v>
      </c>
      <c r="T773" s="6" t="s">
        <v>1963</v>
      </c>
      <c r="U773" s="5" t="s">
        <v>2326</v>
      </c>
      <c r="V773" s="5" t="s">
        <v>4117</v>
      </c>
    </row>
    <row r="774" ht="12.75" customHeight="1">
      <c r="A774" s="5">
        <v>34121.0</v>
      </c>
      <c r="B774" s="5" t="s">
        <v>49</v>
      </c>
      <c r="C774" s="52" t="s">
        <v>50</v>
      </c>
      <c r="D774" s="5" t="s">
        <v>2852</v>
      </c>
      <c r="E774" s="7" t="s">
        <v>4118</v>
      </c>
      <c r="F774" s="5" t="s">
        <v>4007</v>
      </c>
      <c r="G774" s="5" t="s">
        <v>4099</v>
      </c>
      <c r="H774" s="5">
        <v>2010.0</v>
      </c>
      <c r="I774" s="5">
        <v>0.0</v>
      </c>
      <c r="J774" s="5">
        <v>0.0</v>
      </c>
      <c r="K774" s="5">
        <v>2.0</v>
      </c>
      <c r="L774" s="54"/>
      <c r="M774" s="5" t="s">
        <v>4119</v>
      </c>
      <c r="N774" s="53" t="s">
        <v>2834</v>
      </c>
      <c r="O774">
        <v>41.244376</v>
      </c>
      <c r="P774">
        <v>26.135943</v>
      </c>
      <c r="Q774" s="5" t="s">
        <v>1214</v>
      </c>
      <c r="R774" s="10">
        <f t="shared" si="10"/>
        <v>188</v>
      </c>
      <c r="S774" s="5" t="s">
        <v>4120</v>
      </c>
      <c r="T774" s="6" t="s">
        <v>53</v>
      </c>
      <c r="U774" s="5" t="s">
        <v>3419</v>
      </c>
      <c r="V774" s="5"/>
    </row>
    <row r="775" ht="12.75" customHeight="1">
      <c r="A775" s="5">
        <v>34122.0</v>
      </c>
      <c r="B775" s="5" t="s">
        <v>49</v>
      </c>
      <c r="C775" s="52" t="s">
        <v>50</v>
      </c>
      <c r="D775" s="5" t="s">
        <v>2852</v>
      </c>
      <c r="E775" s="7" t="s">
        <v>4121</v>
      </c>
      <c r="F775" s="5" t="s">
        <v>4007</v>
      </c>
      <c r="G775" s="5" t="s">
        <v>4099</v>
      </c>
      <c r="H775" s="5">
        <v>2010.0</v>
      </c>
      <c r="I775" s="5">
        <v>0.0</v>
      </c>
      <c r="J775" s="5">
        <v>0.0</v>
      </c>
      <c r="K775" s="5">
        <v>1.0</v>
      </c>
      <c r="L775" s="54"/>
      <c r="M775" s="5" t="s">
        <v>4122</v>
      </c>
      <c r="N775" s="53" t="s">
        <v>4123</v>
      </c>
      <c r="O775">
        <v>39.469908</v>
      </c>
      <c r="P775">
        <v>-0.376288</v>
      </c>
      <c r="Q775" s="5" t="s">
        <v>1085</v>
      </c>
      <c r="R775" s="10">
        <f t="shared" si="10"/>
        <v>6</v>
      </c>
      <c r="S775" s="5" t="s">
        <v>4124</v>
      </c>
      <c r="T775" s="6" t="s">
        <v>72</v>
      </c>
      <c r="U775" s="5" t="s">
        <v>4125</v>
      </c>
      <c r="V775" s="5"/>
    </row>
    <row r="776" ht="12.75" customHeight="1">
      <c r="A776" s="5">
        <v>34124.0</v>
      </c>
      <c r="B776" s="5" t="s">
        <v>49</v>
      </c>
      <c r="C776" s="52" t="s">
        <v>50</v>
      </c>
      <c r="D776" s="5" t="s">
        <v>2852</v>
      </c>
      <c r="E776" s="7" t="s">
        <v>4126</v>
      </c>
      <c r="F776" s="5" t="s">
        <v>4007</v>
      </c>
      <c r="G776" s="5" t="s">
        <v>4099</v>
      </c>
      <c r="H776" s="5">
        <v>2010.0</v>
      </c>
      <c r="I776" s="5">
        <v>0.0</v>
      </c>
      <c r="J776" s="5">
        <v>0.0</v>
      </c>
      <c r="K776" s="5">
        <v>1.0</v>
      </c>
      <c r="L776" s="54"/>
      <c r="M776" s="5" t="s">
        <v>4127</v>
      </c>
      <c r="N776" s="53" t="s">
        <v>4105</v>
      </c>
      <c r="O776">
        <v>39.02001</v>
      </c>
      <c r="P776">
        <v>1.482148</v>
      </c>
      <c r="Q776" s="5" t="s">
        <v>1056</v>
      </c>
      <c r="R776" s="10">
        <f t="shared" si="10"/>
        <v>5</v>
      </c>
      <c r="S776" s="5" t="s">
        <v>4128</v>
      </c>
      <c r="T776" s="6" t="s">
        <v>72</v>
      </c>
      <c r="U776" s="5" t="s">
        <v>4129</v>
      </c>
      <c r="V776" s="5"/>
    </row>
    <row r="777" ht="12.75" customHeight="1">
      <c r="A777" s="5">
        <v>34123.0</v>
      </c>
      <c r="B777" s="5" t="s">
        <v>49</v>
      </c>
      <c r="C777" s="52" t="s">
        <v>50</v>
      </c>
      <c r="D777" s="5" t="s">
        <v>2852</v>
      </c>
      <c r="E777" s="7" t="s">
        <v>4126</v>
      </c>
      <c r="F777" s="5" t="s">
        <v>4007</v>
      </c>
      <c r="G777" s="5" t="s">
        <v>4099</v>
      </c>
      <c r="H777" s="5">
        <v>2010.0</v>
      </c>
      <c r="I777" s="5">
        <v>0.0</v>
      </c>
      <c r="J777" s="5">
        <v>0.0</v>
      </c>
      <c r="K777" s="5">
        <v>1.0</v>
      </c>
      <c r="L777" s="54"/>
      <c r="M777" s="5" t="s">
        <v>4130</v>
      </c>
      <c r="N777" s="53" t="s">
        <v>4105</v>
      </c>
      <c r="O777">
        <v>39.02001</v>
      </c>
      <c r="P777">
        <v>1.482148</v>
      </c>
      <c r="Q777" s="5" t="s">
        <v>1056</v>
      </c>
      <c r="R777" s="10">
        <f t="shared" si="10"/>
        <v>5</v>
      </c>
      <c r="S777" s="5" t="s">
        <v>4128</v>
      </c>
      <c r="T777" s="6" t="s">
        <v>72</v>
      </c>
      <c r="U777" s="5" t="s">
        <v>4131</v>
      </c>
      <c r="V777" s="5"/>
    </row>
    <row r="778" ht="12.75" customHeight="1">
      <c r="A778" s="5">
        <v>34125.0</v>
      </c>
      <c r="B778" s="5" t="s">
        <v>49</v>
      </c>
      <c r="C778" s="52" t="s">
        <v>50</v>
      </c>
      <c r="D778" s="5" t="s">
        <v>2614</v>
      </c>
      <c r="E778" s="7" t="s">
        <v>4132</v>
      </c>
      <c r="F778" s="5" t="s">
        <v>4007</v>
      </c>
      <c r="G778" s="5" t="s">
        <v>4099</v>
      </c>
      <c r="H778" s="5">
        <v>2010.0</v>
      </c>
      <c r="I778" s="5">
        <v>0.0</v>
      </c>
      <c r="J778" s="5">
        <v>0.0</v>
      </c>
      <c r="K778" s="5">
        <v>2.0</v>
      </c>
      <c r="L778" s="54"/>
      <c r="M778" s="5" t="s">
        <v>4133</v>
      </c>
      <c r="N778" s="53" t="s">
        <v>2834</v>
      </c>
      <c r="O778">
        <v>41.244376</v>
      </c>
      <c r="P778">
        <v>26.135943</v>
      </c>
      <c r="Q778" s="5" t="s">
        <v>1214</v>
      </c>
      <c r="R778" s="10">
        <f t="shared" si="10"/>
        <v>188</v>
      </c>
      <c r="S778" s="5" t="s">
        <v>4134</v>
      </c>
      <c r="T778" s="6" t="s">
        <v>53</v>
      </c>
      <c r="U778" s="5" t="s">
        <v>712</v>
      </c>
      <c r="V778" s="5" t="s">
        <v>4135</v>
      </c>
    </row>
    <row r="779" ht="12.75" customHeight="1">
      <c r="A779" s="5">
        <v>63097.0</v>
      </c>
      <c r="B779" s="5" t="s">
        <v>1995</v>
      </c>
      <c r="C779" s="52" t="s">
        <v>50</v>
      </c>
      <c r="D779" s="5"/>
      <c r="E779" s="7" t="s">
        <v>4136</v>
      </c>
      <c r="F779" s="5" t="s">
        <v>4007</v>
      </c>
      <c r="G779" s="5" t="s">
        <v>4099</v>
      </c>
      <c r="H779" s="5">
        <v>2010.0</v>
      </c>
      <c r="I779" s="5">
        <v>1.0</v>
      </c>
      <c r="J779" s="5">
        <v>0.0</v>
      </c>
      <c r="K779" s="5">
        <v>1.0</v>
      </c>
      <c r="L779" s="54"/>
      <c r="M779" s="5" t="s">
        <v>4137</v>
      </c>
      <c r="N779" s="53" t="s">
        <v>4138</v>
      </c>
      <c r="O779">
        <v>52.091667</v>
      </c>
      <c r="P779">
        <v>5.117778</v>
      </c>
      <c r="Q779" s="5" t="s">
        <v>1708</v>
      </c>
      <c r="R779" s="10">
        <f t="shared" si="10"/>
        <v>1</v>
      </c>
      <c r="S779" s="5" t="s">
        <v>4139</v>
      </c>
      <c r="T779" s="5"/>
      <c r="U779" s="5" t="s">
        <v>4140</v>
      </c>
      <c r="V779" s="5"/>
    </row>
    <row r="780" ht="12.75" customHeight="1">
      <c r="A780" s="5">
        <v>34126.0</v>
      </c>
      <c r="B780" s="5" t="s">
        <v>98</v>
      </c>
      <c r="C780" s="5" t="s">
        <v>62</v>
      </c>
      <c r="D780" s="5" t="s">
        <v>2852</v>
      </c>
      <c r="E780" s="7" t="s">
        <v>4136</v>
      </c>
      <c r="F780" s="5" t="s">
        <v>4007</v>
      </c>
      <c r="G780" s="5" t="s">
        <v>4099</v>
      </c>
      <c r="H780" s="5">
        <v>2010.0</v>
      </c>
      <c r="I780" s="5">
        <v>0.0</v>
      </c>
      <c r="J780" s="5">
        <v>0.0</v>
      </c>
      <c r="K780" s="5">
        <v>1.0</v>
      </c>
      <c r="L780" s="54"/>
      <c r="M780" s="5" t="s">
        <v>4141</v>
      </c>
      <c r="N780" s="53" t="s">
        <v>4142</v>
      </c>
      <c r="O780">
        <v>55.201389</v>
      </c>
      <c r="P780">
        <v>11.401944</v>
      </c>
      <c r="Q780" s="5" t="s">
        <v>1881</v>
      </c>
      <c r="R780" s="10">
        <f t="shared" si="10"/>
        <v>1</v>
      </c>
      <c r="S780" s="5" t="s">
        <v>4143</v>
      </c>
      <c r="T780" s="5"/>
      <c r="U780" s="5" t="s">
        <v>4144</v>
      </c>
      <c r="V780" s="5"/>
    </row>
    <row r="781" ht="12.75" customHeight="1">
      <c r="A781" s="5">
        <v>34127.0</v>
      </c>
      <c r="B781" s="5" t="s">
        <v>2962</v>
      </c>
      <c r="C781" s="5" t="s">
        <v>211</v>
      </c>
      <c r="D781" s="5" t="s">
        <v>2852</v>
      </c>
      <c r="E781" s="7" t="s">
        <v>4145</v>
      </c>
      <c r="F781" s="5" t="s">
        <v>4007</v>
      </c>
      <c r="G781" s="5" t="s">
        <v>4099</v>
      </c>
      <c r="H781" s="5">
        <v>2010.0</v>
      </c>
      <c r="I781" s="5">
        <v>0.0</v>
      </c>
      <c r="J781" s="5">
        <v>0.0</v>
      </c>
      <c r="K781" s="5">
        <v>1.0</v>
      </c>
      <c r="L781" s="54"/>
      <c r="M781" s="5" t="s">
        <v>4146</v>
      </c>
      <c r="N781" s="53" t="s">
        <v>4147</v>
      </c>
      <c r="O781">
        <v>53.551085</v>
      </c>
      <c r="P781">
        <v>9.993682</v>
      </c>
      <c r="Q781" s="5" t="s">
        <v>1846</v>
      </c>
      <c r="R781" s="10">
        <f t="shared" si="10"/>
        <v>7</v>
      </c>
      <c r="S781" s="5" t="s">
        <v>4148</v>
      </c>
      <c r="T781" s="5"/>
      <c r="U781" s="5" t="s">
        <v>4149</v>
      </c>
      <c r="V781" s="5"/>
    </row>
    <row r="782" ht="12.75" customHeight="1">
      <c r="A782" s="5">
        <v>34129.0</v>
      </c>
      <c r="B782" s="5" t="s">
        <v>4108</v>
      </c>
      <c r="C782" s="5" t="s">
        <v>211</v>
      </c>
      <c r="D782" s="5" t="s">
        <v>2852</v>
      </c>
      <c r="E782" s="7" t="s">
        <v>4145</v>
      </c>
      <c r="F782" s="5" t="s">
        <v>4007</v>
      </c>
      <c r="G782" s="5" t="s">
        <v>4099</v>
      </c>
      <c r="H782" s="5">
        <v>2010.0</v>
      </c>
      <c r="I782" s="5">
        <v>0.0</v>
      </c>
      <c r="J782" s="5">
        <v>0.0</v>
      </c>
      <c r="K782" s="5">
        <v>2.0</v>
      </c>
      <c r="L782" s="54"/>
      <c r="M782" s="5" t="s">
        <v>4150</v>
      </c>
      <c r="N782" s="53" t="s">
        <v>4151</v>
      </c>
      <c r="O782">
        <v>55.864237</v>
      </c>
      <c r="P782">
        <v>-4.251806</v>
      </c>
      <c r="Q782" s="5" t="s">
        <v>1895</v>
      </c>
      <c r="R782" s="10">
        <f t="shared" si="10"/>
        <v>6</v>
      </c>
      <c r="S782" s="5" t="s">
        <v>4152</v>
      </c>
      <c r="T782" s="5"/>
      <c r="U782" s="5" t="s">
        <v>4153</v>
      </c>
      <c r="V782" s="5"/>
    </row>
    <row r="783" ht="12.75" customHeight="1">
      <c r="A783" s="5">
        <v>34128.0</v>
      </c>
      <c r="B783" s="5" t="s">
        <v>4108</v>
      </c>
      <c r="C783" s="5" t="s">
        <v>211</v>
      </c>
      <c r="D783" s="5" t="s">
        <v>2852</v>
      </c>
      <c r="E783" s="7" t="s">
        <v>4145</v>
      </c>
      <c r="F783" s="5" t="s">
        <v>4007</v>
      </c>
      <c r="G783" s="5" t="s">
        <v>4099</v>
      </c>
      <c r="H783" s="5">
        <v>2010.0</v>
      </c>
      <c r="I783" s="5">
        <v>0.0</v>
      </c>
      <c r="J783" s="5">
        <v>0.0</v>
      </c>
      <c r="K783" s="5">
        <v>1.0</v>
      </c>
      <c r="L783" s="54"/>
      <c r="M783" s="5" t="s">
        <v>4154</v>
      </c>
      <c r="N783" s="53" t="s">
        <v>4151</v>
      </c>
      <c r="O783">
        <v>55.864237</v>
      </c>
      <c r="P783">
        <v>-4.251806</v>
      </c>
      <c r="Q783" s="5" t="s">
        <v>1895</v>
      </c>
      <c r="R783" s="10">
        <f t="shared" si="10"/>
        <v>6</v>
      </c>
      <c r="S783" s="5" t="s">
        <v>4152</v>
      </c>
      <c r="T783" s="5"/>
      <c r="U783" s="5" t="s">
        <v>4155</v>
      </c>
      <c r="V783" s="5"/>
    </row>
    <row r="784" ht="12.75" customHeight="1">
      <c r="A784" s="5">
        <v>34130.0</v>
      </c>
      <c r="B784" s="5" t="s">
        <v>49</v>
      </c>
      <c r="C784" s="52" t="s">
        <v>50</v>
      </c>
      <c r="D784" s="5" t="s">
        <v>2614</v>
      </c>
      <c r="E784" s="7" t="s">
        <v>4156</v>
      </c>
      <c r="F784" s="5" t="s">
        <v>4157</v>
      </c>
      <c r="G784" s="5" t="s">
        <v>4158</v>
      </c>
      <c r="H784" s="5">
        <v>2010.0</v>
      </c>
      <c r="I784" s="5">
        <v>0.0</v>
      </c>
      <c r="J784" s="5">
        <v>0.0</v>
      </c>
      <c r="K784" s="5">
        <v>18.0</v>
      </c>
      <c r="L784" s="54"/>
      <c r="M784" s="5" t="s">
        <v>4159</v>
      </c>
      <c r="N784" s="53" t="s">
        <v>2834</v>
      </c>
      <c r="O784">
        <v>41.244376</v>
      </c>
      <c r="P784">
        <v>26.135943</v>
      </c>
      <c r="Q784" s="5" t="s">
        <v>1214</v>
      </c>
      <c r="R784" s="10">
        <f t="shared" si="10"/>
        <v>188</v>
      </c>
      <c r="S784" s="5" t="s">
        <v>4160</v>
      </c>
      <c r="T784" s="6" t="s">
        <v>53</v>
      </c>
      <c r="U784" s="5" t="s">
        <v>4161</v>
      </c>
      <c r="V784" s="5" t="s">
        <v>4162</v>
      </c>
    </row>
    <row r="785" ht="12.75" customHeight="1">
      <c r="A785" s="5">
        <v>34131.0</v>
      </c>
      <c r="B785" s="5" t="s">
        <v>41</v>
      </c>
      <c r="C785" s="5" t="s">
        <v>42</v>
      </c>
      <c r="D785" s="5" t="s">
        <v>2614</v>
      </c>
      <c r="E785" s="7" t="s">
        <v>4163</v>
      </c>
      <c r="F785" s="5" t="s">
        <v>4157</v>
      </c>
      <c r="G785" s="5" t="s">
        <v>4158</v>
      </c>
      <c r="H785" s="5">
        <v>2010.0</v>
      </c>
      <c r="I785" s="5">
        <v>0.0</v>
      </c>
      <c r="J785" s="5">
        <v>0.0</v>
      </c>
      <c r="K785" s="5">
        <v>1.0</v>
      </c>
      <c r="L785" s="54"/>
      <c r="M785" s="5" t="s">
        <v>4164</v>
      </c>
      <c r="N785" s="53" t="s">
        <v>2888</v>
      </c>
      <c r="O785">
        <v>24.088938</v>
      </c>
      <c r="P785">
        <v>32.899829</v>
      </c>
      <c r="Q785" s="5" t="s">
        <v>329</v>
      </c>
      <c r="R785" s="10">
        <f t="shared" si="10"/>
        <v>129</v>
      </c>
      <c r="S785" s="5" t="s">
        <v>4165</v>
      </c>
      <c r="T785" s="5"/>
      <c r="U785" s="5" t="s">
        <v>92</v>
      </c>
      <c r="V785" s="5" t="s">
        <v>4166</v>
      </c>
    </row>
    <row r="786" ht="12.75" customHeight="1">
      <c r="A786" s="5">
        <v>34132.0</v>
      </c>
      <c r="B786" s="5" t="s">
        <v>1995</v>
      </c>
      <c r="C786" s="52" t="s">
        <v>50</v>
      </c>
      <c r="D786" s="5" t="s">
        <v>2852</v>
      </c>
      <c r="E786" s="7" t="s">
        <v>4167</v>
      </c>
      <c r="F786" s="5" t="s">
        <v>4157</v>
      </c>
      <c r="G786" s="5" t="s">
        <v>4158</v>
      </c>
      <c r="H786" s="5">
        <v>2010.0</v>
      </c>
      <c r="I786" s="5">
        <v>0.0</v>
      </c>
      <c r="J786" s="5">
        <v>0.0</v>
      </c>
      <c r="K786" s="5">
        <v>1.0</v>
      </c>
      <c r="L786" s="54"/>
      <c r="M786" s="5" t="s">
        <v>4168</v>
      </c>
      <c r="N786" s="53" t="s">
        <v>4169</v>
      </c>
      <c r="O786">
        <v>52.012058</v>
      </c>
      <c r="P786">
        <v>5.429548</v>
      </c>
      <c r="Q786" s="5" t="s">
        <v>1704</v>
      </c>
      <c r="R786" s="10">
        <f t="shared" si="10"/>
        <v>1</v>
      </c>
      <c r="S786" s="5" t="s">
        <v>4170</v>
      </c>
      <c r="T786" s="5"/>
      <c r="U786" s="5" t="s">
        <v>4171</v>
      </c>
      <c r="V786" s="5"/>
    </row>
    <row r="787" ht="12.75" customHeight="1">
      <c r="A787" s="5">
        <v>34133.0</v>
      </c>
      <c r="B787" s="5" t="s">
        <v>49</v>
      </c>
      <c r="C787" s="52" t="s">
        <v>50</v>
      </c>
      <c r="D787" s="5" t="s">
        <v>2852</v>
      </c>
      <c r="E787" s="7" t="s">
        <v>4172</v>
      </c>
      <c r="F787" s="5" t="s">
        <v>4157</v>
      </c>
      <c r="G787" s="5" t="s">
        <v>4158</v>
      </c>
      <c r="H787" s="5">
        <v>2010.0</v>
      </c>
      <c r="I787" s="5">
        <v>0.0</v>
      </c>
      <c r="J787" s="5">
        <v>0.0</v>
      </c>
      <c r="K787" s="5">
        <v>2.0</v>
      </c>
      <c r="L787" s="54"/>
      <c r="M787" s="5" t="s">
        <v>4173</v>
      </c>
      <c r="N787" s="53" t="s">
        <v>2834</v>
      </c>
      <c r="O787">
        <v>41.244376</v>
      </c>
      <c r="P787">
        <v>26.135943</v>
      </c>
      <c r="Q787" s="5" t="s">
        <v>1214</v>
      </c>
      <c r="R787" s="10">
        <f t="shared" si="10"/>
        <v>188</v>
      </c>
      <c r="S787" s="5" t="s">
        <v>4174</v>
      </c>
      <c r="T787" s="6" t="s">
        <v>53</v>
      </c>
      <c r="U787" s="5" t="s">
        <v>4175</v>
      </c>
      <c r="V787" s="5"/>
    </row>
    <row r="788" ht="12.75" customHeight="1">
      <c r="A788" s="5">
        <v>34134.0</v>
      </c>
      <c r="B788" s="5" t="s">
        <v>98</v>
      </c>
      <c r="C788" s="5" t="s">
        <v>62</v>
      </c>
      <c r="D788" s="5" t="s">
        <v>2852</v>
      </c>
      <c r="E788" s="7" t="s">
        <v>4172</v>
      </c>
      <c r="F788" s="5" t="s">
        <v>4157</v>
      </c>
      <c r="G788" s="5" t="s">
        <v>4158</v>
      </c>
      <c r="H788" s="5">
        <v>2010.0</v>
      </c>
      <c r="I788" s="5">
        <v>0.0</v>
      </c>
      <c r="J788" s="5">
        <v>0.0</v>
      </c>
      <c r="K788" s="5">
        <v>1.0</v>
      </c>
      <c r="L788" s="54"/>
      <c r="M788" s="5" t="s">
        <v>4176</v>
      </c>
      <c r="N788" s="53" t="s">
        <v>4177</v>
      </c>
      <c r="O788">
        <v>56.89921</v>
      </c>
      <c r="P788">
        <v>14.556001</v>
      </c>
      <c r="Q788" s="5" t="s">
        <v>1905</v>
      </c>
      <c r="R788" s="10">
        <f t="shared" si="10"/>
        <v>1</v>
      </c>
      <c r="S788" s="5" t="s">
        <v>4178</v>
      </c>
      <c r="T788" s="5"/>
      <c r="U788" s="5" t="s">
        <v>4179</v>
      </c>
      <c r="V788" s="5"/>
    </row>
    <row r="789" ht="12.75" customHeight="1">
      <c r="A789" s="5">
        <v>34135.0</v>
      </c>
      <c r="B789" s="5" t="s">
        <v>4180</v>
      </c>
      <c r="C789" s="5" t="s">
        <v>62</v>
      </c>
      <c r="D789" s="5" t="s">
        <v>2852</v>
      </c>
      <c r="E789" s="7" t="s">
        <v>4181</v>
      </c>
      <c r="F789" s="5" t="s">
        <v>4157</v>
      </c>
      <c r="G789" s="5" t="s">
        <v>4182</v>
      </c>
      <c r="H789" s="5">
        <v>2010.0</v>
      </c>
      <c r="I789" s="5">
        <v>0.0</v>
      </c>
      <c r="J789" s="5">
        <v>0.0</v>
      </c>
      <c r="K789" s="5">
        <v>20.0</v>
      </c>
      <c r="L789" s="54"/>
      <c r="M789" s="5" t="s">
        <v>4183</v>
      </c>
      <c r="N789" s="53" t="s">
        <v>2917</v>
      </c>
      <c r="O789">
        <v>32.876174</v>
      </c>
      <c r="P789">
        <v>13.187507</v>
      </c>
      <c r="Q789" s="5" t="s">
        <v>481</v>
      </c>
      <c r="R789" s="10">
        <f t="shared" si="10"/>
        <v>1281</v>
      </c>
      <c r="S789" s="5" t="s">
        <v>4184</v>
      </c>
      <c r="T789" s="6" t="s">
        <v>2130</v>
      </c>
      <c r="U789" s="5" t="s">
        <v>3490</v>
      </c>
      <c r="V789" s="5"/>
    </row>
    <row r="790" ht="12.75" customHeight="1">
      <c r="A790" s="5">
        <v>34136.0</v>
      </c>
      <c r="B790" s="5" t="s">
        <v>49</v>
      </c>
      <c r="C790" s="52" t="s">
        <v>50</v>
      </c>
      <c r="D790" s="5" t="s">
        <v>2614</v>
      </c>
      <c r="E790" s="7" t="s">
        <v>4185</v>
      </c>
      <c r="F790" s="5" t="s">
        <v>4157</v>
      </c>
      <c r="G790" s="5" t="s">
        <v>4182</v>
      </c>
      <c r="H790" s="5">
        <v>2010.0</v>
      </c>
      <c r="I790" s="5">
        <v>0.0</v>
      </c>
      <c r="J790" s="5">
        <v>0.0</v>
      </c>
      <c r="K790" s="5">
        <v>2.0</v>
      </c>
      <c r="L790" s="54"/>
      <c r="M790" s="5" t="s">
        <v>4186</v>
      </c>
      <c r="N790" s="53" t="s">
        <v>2834</v>
      </c>
      <c r="O790">
        <v>41.244376</v>
      </c>
      <c r="P790">
        <v>26.135943</v>
      </c>
      <c r="Q790" s="5" t="s">
        <v>1214</v>
      </c>
      <c r="R790" s="10">
        <f t="shared" si="10"/>
        <v>188</v>
      </c>
      <c r="S790" s="5" t="s">
        <v>4187</v>
      </c>
      <c r="T790" s="6" t="s">
        <v>53</v>
      </c>
      <c r="U790" s="5" t="s">
        <v>712</v>
      </c>
      <c r="V790" s="5" t="s">
        <v>4088</v>
      </c>
    </row>
    <row r="791" ht="12.75" customHeight="1">
      <c r="A791" s="5">
        <v>34137.0</v>
      </c>
      <c r="B791" s="5" t="s">
        <v>2962</v>
      </c>
      <c r="C791" s="5" t="s">
        <v>211</v>
      </c>
      <c r="D791" s="5" t="s">
        <v>2852</v>
      </c>
      <c r="E791" s="7" t="s">
        <v>4188</v>
      </c>
      <c r="F791" s="5" t="s">
        <v>4157</v>
      </c>
      <c r="G791" s="5" t="s">
        <v>4182</v>
      </c>
      <c r="H791" s="5">
        <v>2010.0</v>
      </c>
      <c r="I791" s="5">
        <v>0.0</v>
      </c>
      <c r="J791" s="5">
        <v>0.0</v>
      </c>
      <c r="K791" s="5">
        <v>1.0</v>
      </c>
      <c r="L791" s="54"/>
      <c r="M791" s="5" t="s">
        <v>4189</v>
      </c>
      <c r="N791" s="53" t="s">
        <v>3062</v>
      </c>
      <c r="O791">
        <v>41.385064</v>
      </c>
      <c r="P791">
        <v>2.173403</v>
      </c>
      <c r="Q791" s="5" t="s">
        <v>1220</v>
      </c>
      <c r="R791" s="10">
        <f t="shared" si="10"/>
        <v>4</v>
      </c>
      <c r="S791" s="5" t="s">
        <v>4190</v>
      </c>
      <c r="T791" s="6" t="s">
        <v>72</v>
      </c>
      <c r="U791" s="5" t="s">
        <v>4191</v>
      </c>
      <c r="V791" s="5"/>
    </row>
    <row r="792" ht="12.75" customHeight="1">
      <c r="A792" s="5">
        <v>34138.0</v>
      </c>
      <c r="B792" s="5" t="s">
        <v>2007</v>
      </c>
      <c r="C792" s="5" t="s">
        <v>124</v>
      </c>
      <c r="D792" s="5" t="s">
        <v>2614</v>
      </c>
      <c r="E792" s="7" t="s">
        <v>4192</v>
      </c>
      <c r="F792" s="5" t="s">
        <v>4157</v>
      </c>
      <c r="G792" s="5" t="s">
        <v>4193</v>
      </c>
      <c r="H792" s="5">
        <v>2010.0</v>
      </c>
      <c r="I792" s="5">
        <v>0.0</v>
      </c>
      <c r="J792" s="5">
        <v>0.0</v>
      </c>
      <c r="K792" s="5">
        <v>1.0</v>
      </c>
      <c r="L792" s="54"/>
      <c r="M792" s="5" t="s">
        <v>4194</v>
      </c>
      <c r="N792" s="53" t="s">
        <v>4195</v>
      </c>
      <c r="O792">
        <v>51.03456</v>
      </c>
      <c r="P792">
        <v>2.375202</v>
      </c>
      <c r="Q792" s="5" t="s">
        <v>1575</v>
      </c>
      <c r="R792" s="10">
        <f t="shared" si="10"/>
        <v>3</v>
      </c>
      <c r="S792" s="5" t="s">
        <v>4196</v>
      </c>
      <c r="T792" s="5"/>
      <c r="U792" s="5" t="s">
        <v>4197</v>
      </c>
      <c r="V792" s="5" t="s">
        <v>4198</v>
      </c>
    </row>
    <row r="793" ht="12.75" customHeight="1">
      <c r="A793" s="5">
        <v>34139.0</v>
      </c>
      <c r="B793" s="5" t="s">
        <v>41</v>
      </c>
      <c r="C793" s="5" t="s">
        <v>42</v>
      </c>
      <c r="D793" s="5" t="s">
        <v>2614</v>
      </c>
      <c r="E793" s="7" t="s">
        <v>4199</v>
      </c>
      <c r="F793" s="5" t="s">
        <v>4157</v>
      </c>
      <c r="G793" s="5" t="s">
        <v>4193</v>
      </c>
      <c r="H793" s="5">
        <v>2010.0</v>
      </c>
      <c r="I793" s="5">
        <v>0.0</v>
      </c>
      <c r="J793" s="5">
        <v>0.0</v>
      </c>
      <c r="K793" s="5">
        <v>1.0</v>
      </c>
      <c r="L793" s="54"/>
      <c r="M793" s="5" t="s">
        <v>4200</v>
      </c>
      <c r="N793" s="53" t="s">
        <v>2888</v>
      </c>
      <c r="O793">
        <v>24.088938</v>
      </c>
      <c r="P793">
        <v>32.899829</v>
      </c>
      <c r="Q793" s="5" t="s">
        <v>329</v>
      </c>
      <c r="R793" s="10">
        <f t="shared" si="10"/>
        <v>129</v>
      </c>
      <c r="S793" s="5" t="s">
        <v>4201</v>
      </c>
      <c r="T793" s="5"/>
      <c r="U793" s="5" t="s">
        <v>92</v>
      </c>
      <c r="V793" s="5" t="s">
        <v>4202</v>
      </c>
    </row>
    <row r="794" ht="12.75" customHeight="1">
      <c r="A794" s="5">
        <v>54045.0</v>
      </c>
      <c r="B794" s="5" t="s">
        <v>1773</v>
      </c>
      <c r="C794" s="5" t="s">
        <v>124</v>
      </c>
      <c r="D794" s="5"/>
      <c r="E794" s="7" t="s">
        <v>4203</v>
      </c>
      <c r="F794" s="5" t="s">
        <v>4157</v>
      </c>
      <c r="G794" s="5" t="s">
        <v>4193</v>
      </c>
      <c r="H794" s="5">
        <v>2010.0</v>
      </c>
      <c r="I794" s="5">
        <v>1.0</v>
      </c>
      <c r="J794" s="5">
        <v>0.0</v>
      </c>
      <c r="K794" s="5">
        <v>1.0</v>
      </c>
      <c r="L794" s="54"/>
      <c r="M794" s="5" t="s">
        <v>4204</v>
      </c>
      <c r="N794" s="53" t="s">
        <v>4205</v>
      </c>
      <c r="O794">
        <v>47.43235</v>
      </c>
      <c r="P794">
        <v>8.76459</v>
      </c>
      <c r="Q794" s="5" t="s">
        <v>1379</v>
      </c>
      <c r="R794" s="10">
        <f t="shared" si="10"/>
        <v>1</v>
      </c>
      <c r="S794" s="5" t="s">
        <v>4206</v>
      </c>
      <c r="T794" s="5"/>
      <c r="U794" s="5" t="s">
        <v>3738</v>
      </c>
      <c r="V794" s="5" t="s">
        <v>4207</v>
      </c>
    </row>
    <row r="795" ht="12.75" customHeight="1">
      <c r="A795" s="5">
        <v>34141.0</v>
      </c>
      <c r="B795" s="5" t="s">
        <v>49</v>
      </c>
      <c r="C795" s="52" t="s">
        <v>50</v>
      </c>
      <c r="D795" s="5" t="s">
        <v>2852</v>
      </c>
      <c r="E795" s="7" t="s">
        <v>4208</v>
      </c>
      <c r="F795" s="5" t="s">
        <v>4157</v>
      </c>
      <c r="G795" s="5" t="s">
        <v>4193</v>
      </c>
      <c r="H795" s="5">
        <v>2010.0</v>
      </c>
      <c r="I795" s="5">
        <v>0.0</v>
      </c>
      <c r="J795" s="5">
        <v>0.0</v>
      </c>
      <c r="K795" s="5">
        <v>1.0</v>
      </c>
      <c r="L795" s="54"/>
      <c r="M795" s="5" t="s">
        <v>4209</v>
      </c>
      <c r="N795" s="53" t="s">
        <v>2638</v>
      </c>
      <c r="O795">
        <v>35.888384</v>
      </c>
      <c r="P795">
        <v>-5.324636</v>
      </c>
      <c r="Q795" s="5" t="s">
        <v>717</v>
      </c>
      <c r="R795" s="10">
        <f t="shared" si="10"/>
        <v>213</v>
      </c>
      <c r="S795" s="5" t="s">
        <v>4210</v>
      </c>
      <c r="T795" s="6" t="s">
        <v>72</v>
      </c>
      <c r="U795" s="5" t="s">
        <v>4211</v>
      </c>
      <c r="V795" s="5"/>
    </row>
    <row r="796" ht="12.75" customHeight="1">
      <c r="A796" s="5">
        <v>34140.0</v>
      </c>
      <c r="B796" s="5" t="s">
        <v>49</v>
      </c>
      <c r="C796" s="52" t="s">
        <v>50</v>
      </c>
      <c r="D796" s="5" t="s">
        <v>2852</v>
      </c>
      <c r="E796" s="7" t="s">
        <v>4208</v>
      </c>
      <c r="F796" s="5" t="s">
        <v>4157</v>
      </c>
      <c r="G796" s="5" t="s">
        <v>4193</v>
      </c>
      <c r="H796" s="5">
        <v>2010.0</v>
      </c>
      <c r="I796" s="5">
        <v>0.0</v>
      </c>
      <c r="J796" s="5">
        <v>0.0</v>
      </c>
      <c r="K796" s="5">
        <v>4.0</v>
      </c>
      <c r="L796" s="54"/>
      <c r="M796" s="5" t="s">
        <v>4212</v>
      </c>
      <c r="N796" s="53" t="s">
        <v>2834</v>
      </c>
      <c r="O796">
        <v>41.244376</v>
      </c>
      <c r="P796">
        <v>26.135943</v>
      </c>
      <c r="Q796" s="5" t="s">
        <v>1214</v>
      </c>
      <c r="R796" s="10">
        <f t="shared" si="10"/>
        <v>188</v>
      </c>
      <c r="S796" s="5" t="s">
        <v>4213</v>
      </c>
      <c r="T796" s="6" t="s">
        <v>53</v>
      </c>
      <c r="U796" s="5" t="s">
        <v>4214</v>
      </c>
      <c r="V796" s="5"/>
    </row>
    <row r="797" ht="12.75" customHeight="1">
      <c r="A797" s="5">
        <v>34142.0</v>
      </c>
      <c r="B797" s="5" t="s">
        <v>2962</v>
      </c>
      <c r="C797" s="5" t="s">
        <v>211</v>
      </c>
      <c r="D797" s="5" t="s">
        <v>2852</v>
      </c>
      <c r="E797" s="7" t="s">
        <v>4215</v>
      </c>
      <c r="F797" s="5" t="s">
        <v>4157</v>
      </c>
      <c r="G797" s="5" t="s">
        <v>4193</v>
      </c>
      <c r="H797" s="5">
        <v>2010.0</v>
      </c>
      <c r="I797" s="5">
        <v>0.0</v>
      </c>
      <c r="J797" s="5">
        <v>0.0</v>
      </c>
      <c r="K797" s="5">
        <v>1.0</v>
      </c>
      <c r="L797" s="54"/>
      <c r="M797" s="5" t="s">
        <v>4216</v>
      </c>
      <c r="N797" s="53" t="s">
        <v>4147</v>
      </c>
      <c r="O797">
        <v>53.551085</v>
      </c>
      <c r="P797">
        <v>9.993682</v>
      </c>
      <c r="Q797" s="5" t="s">
        <v>1846</v>
      </c>
      <c r="R797" s="10">
        <f t="shared" si="10"/>
        <v>7</v>
      </c>
      <c r="S797" s="5" t="s">
        <v>4217</v>
      </c>
      <c r="T797" s="5"/>
      <c r="U797" s="5" t="s">
        <v>4218</v>
      </c>
      <c r="V797" s="5"/>
    </row>
    <row r="798" ht="12.75" customHeight="1">
      <c r="A798" s="5">
        <v>34143.0</v>
      </c>
      <c r="B798" s="5" t="s">
        <v>1995</v>
      </c>
      <c r="C798" s="52" t="s">
        <v>50</v>
      </c>
      <c r="D798" s="5" t="s">
        <v>2852</v>
      </c>
      <c r="E798" s="7" t="s">
        <v>4219</v>
      </c>
      <c r="F798" s="5" t="s">
        <v>4157</v>
      </c>
      <c r="G798" s="5" t="s">
        <v>4193</v>
      </c>
      <c r="H798" s="5">
        <v>2010.0</v>
      </c>
      <c r="I798" s="5">
        <v>0.0</v>
      </c>
      <c r="J798" s="5">
        <v>0.0</v>
      </c>
      <c r="K798" s="5">
        <v>1.0</v>
      </c>
      <c r="L798" s="54"/>
      <c r="M798" s="5" t="s">
        <v>4220</v>
      </c>
      <c r="N798" s="53" t="s">
        <v>4221</v>
      </c>
      <c r="O798">
        <v>52.260094</v>
      </c>
      <c r="P798">
        <v>0.064304</v>
      </c>
      <c r="Q798" s="5" t="s">
        <v>1730</v>
      </c>
      <c r="R798" s="10">
        <f t="shared" si="10"/>
        <v>1</v>
      </c>
      <c r="S798" s="5" t="s">
        <v>4222</v>
      </c>
      <c r="T798" s="5"/>
      <c r="U798" s="5" t="s">
        <v>4223</v>
      </c>
      <c r="V798" s="5"/>
    </row>
    <row r="799" ht="12.75" customHeight="1">
      <c r="A799" s="5">
        <v>34144.0</v>
      </c>
      <c r="B799" s="5" t="s">
        <v>49</v>
      </c>
      <c r="C799" s="52" t="s">
        <v>50</v>
      </c>
      <c r="D799" s="5" t="s">
        <v>2852</v>
      </c>
      <c r="E799" s="7" t="s">
        <v>4224</v>
      </c>
      <c r="F799" s="5" t="s">
        <v>4157</v>
      </c>
      <c r="G799" s="5" t="s">
        <v>4193</v>
      </c>
      <c r="H799" s="5">
        <v>2010.0</v>
      </c>
      <c r="I799" s="5">
        <v>0.0</v>
      </c>
      <c r="J799" s="5">
        <v>0.0</v>
      </c>
      <c r="K799" s="5">
        <v>11.0</v>
      </c>
      <c r="L799" s="54"/>
      <c r="M799" s="5" t="s">
        <v>4225</v>
      </c>
      <c r="N799" s="53" t="s">
        <v>4226</v>
      </c>
      <c r="O799">
        <v>36.999117</v>
      </c>
      <c r="P799">
        <v>-1.892141</v>
      </c>
      <c r="Q799" s="5" t="s">
        <v>888</v>
      </c>
      <c r="R799" s="10">
        <f t="shared" si="10"/>
        <v>12</v>
      </c>
      <c r="S799" s="5" t="s">
        <v>4227</v>
      </c>
      <c r="T799" s="6" t="s">
        <v>72</v>
      </c>
      <c r="U799" s="5" t="s">
        <v>4228</v>
      </c>
      <c r="V799" s="5" t="s">
        <v>4229</v>
      </c>
    </row>
    <row r="800" ht="12.75" customHeight="1">
      <c r="A800" s="5">
        <v>34145.0</v>
      </c>
      <c r="B800" s="5" t="s">
        <v>49</v>
      </c>
      <c r="C800" s="52" t="s">
        <v>50</v>
      </c>
      <c r="D800" s="5" t="s">
        <v>2614</v>
      </c>
      <c r="E800" s="7" t="s">
        <v>4230</v>
      </c>
      <c r="F800" s="5" t="s">
        <v>4157</v>
      </c>
      <c r="G800" s="5" t="s">
        <v>4193</v>
      </c>
      <c r="H800" s="5">
        <v>2010.0</v>
      </c>
      <c r="I800" s="5">
        <v>0.0</v>
      </c>
      <c r="J800" s="5">
        <v>0.0</v>
      </c>
      <c r="K800" s="5">
        <v>2.0</v>
      </c>
      <c r="L800" s="54"/>
      <c r="M800" s="5" t="s">
        <v>4231</v>
      </c>
      <c r="N800" s="53" t="s">
        <v>2700</v>
      </c>
      <c r="O800">
        <v>35.508622</v>
      </c>
      <c r="P800">
        <v>12.59292</v>
      </c>
      <c r="Q800" s="5" t="s">
        <v>669</v>
      </c>
      <c r="R800" s="10">
        <f t="shared" si="10"/>
        <v>3843</v>
      </c>
      <c r="S800" s="5" t="s">
        <v>4232</v>
      </c>
      <c r="T800" s="6" t="s">
        <v>2130</v>
      </c>
      <c r="U800" s="5"/>
      <c r="V800" s="5" t="s">
        <v>4233</v>
      </c>
    </row>
    <row r="801" ht="12.75" customHeight="1">
      <c r="A801" s="5">
        <v>34147.0</v>
      </c>
      <c r="B801" s="5" t="s">
        <v>49</v>
      </c>
      <c r="C801" s="52" t="s">
        <v>50</v>
      </c>
      <c r="D801" s="5" t="s">
        <v>2852</v>
      </c>
      <c r="E801" s="7" t="s">
        <v>4234</v>
      </c>
      <c r="F801" s="5" t="s">
        <v>4235</v>
      </c>
      <c r="G801" s="5" t="s">
        <v>4236</v>
      </c>
      <c r="H801" s="5">
        <v>2010.0</v>
      </c>
      <c r="I801" s="5">
        <v>0.0</v>
      </c>
      <c r="J801" s="5">
        <v>0.0</v>
      </c>
      <c r="K801" s="5">
        <v>19.0</v>
      </c>
      <c r="L801" s="54"/>
      <c r="M801" s="5" t="s">
        <v>4237</v>
      </c>
      <c r="N801" s="53" t="s">
        <v>3856</v>
      </c>
      <c r="O801">
        <v>40.845719</v>
      </c>
      <c r="P801">
        <v>25.873962</v>
      </c>
      <c r="Q801" s="5" t="s">
        <v>1167</v>
      </c>
      <c r="R801" s="10">
        <f t="shared" si="10"/>
        <v>63</v>
      </c>
      <c r="S801" s="5" t="s">
        <v>4238</v>
      </c>
      <c r="T801" s="6" t="s">
        <v>53</v>
      </c>
      <c r="U801" s="5" t="s">
        <v>4011</v>
      </c>
      <c r="V801" s="5" t="s">
        <v>4239</v>
      </c>
    </row>
    <row r="802" ht="12.75" customHeight="1">
      <c r="A802" s="5">
        <v>34146.0</v>
      </c>
      <c r="B802" s="5" t="s">
        <v>1995</v>
      </c>
      <c r="C802" s="52" t="s">
        <v>50</v>
      </c>
      <c r="D802" s="5" t="s">
        <v>2852</v>
      </c>
      <c r="E802" s="7" t="s">
        <v>4234</v>
      </c>
      <c r="F802" s="5" t="s">
        <v>4235</v>
      </c>
      <c r="G802" s="5" t="s">
        <v>4236</v>
      </c>
      <c r="H802" s="5">
        <v>2010.0</v>
      </c>
      <c r="I802" s="5">
        <v>0.0</v>
      </c>
      <c r="J802" s="5">
        <v>0.0</v>
      </c>
      <c r="K802" s="5">
        <v>1.0</v>
      </c>
      <c r="L802" s="54"/>
      <c r="M802" s="5" t="s">
        <v>4240</v>
      </c>
      <c r="N802" s="53" t="s">
        <v>4241</v>
      </c>
      <c r="O802">
        <v>50.671046</v>
      </c>
      <c r="P802">
        <v>5.57847</v>
      </c>
      <c r="Q802" s="5" t="s">
        <v>1505</v>
      </c>
      <c r="R802" s="10">
        <f t="shared" si="10"/>
        <v>2</v>
      </c>
      <c r="S802" s="5" t="s">
        <v>4242</v>
      </c>
      <c r="T802" s="5"/>
      <c r="U802" s="5" t="s">
        <v>4243</v>
      </c>
      <c r="V802" s="5"/>
    </row>
    <row r="803" ht="12.75" customHeight="1">
      <c r="A803" s="5">
        <v>34148.0</v>
      </c>
      <c r="B803" s="5" t="s">
        <v>49</v>
      </c>
      <c r="C803" s="52" t="s">
        <v>50</v>
      </c>
      <c r="D803" s="5" t="s">
        <v>2852</v>
      </c>
      <c r="E803" s="7" t="s">
        <v>4244</v>
      </c>
      <c r="F803" s="5" t="s">
        <v>4235</v>
      </c>
      <c r="G803" s="5" t="s">
        <v>4236</v>
      </c>
      <c r="H803" s="5">
        <v>2010.0</v>
      </c>
      <c r="I803" s="5">
        <v>0.0</v>
      </c>
      <c r="J803" s="5">
        <v>0.0</v>
      </c>
      <c r="K803" s="5">
        <v>2.0</v>
      </c>
      <c r="L803" s="54"/>
      <c r="M803" s="5" t="s">
        <v>4245</v>
      </c>
      <c r="N803" s="53" t="s">
        <v>4246</v>
      </c>
      <c r="O803">
        <v>31.558247</v>
      </c>
      <c r="P803">
        <v>31.085148</v>
      </c>
      <c r="Q803" s="5" t="s">
        <v>436</v>
      </c>
      <c r="R803" s="10">
        <f t="shared" si="10"/>
        <v>3</v>
      </c>
      <c r="S803" s="5" t="s">
        <v>4247</v>
      </c>
      <c r="T803" s="5"/>
      <c r="U803" s="5" t="s">
        <v>4248</v>
      </c>
      <c r="V803" s="5" t="s">
        <v>4249</v>
      </c>
    </row>
    <row r="804" ht="12.75" customHeight="1">
      <c r="A804" s="5">
        <v>34149.0</v>
      </c>
      <c r="B804" s="5" t="s">
        <v>4250</v>
      </c>
      <c r="C804" s="5" t="s">
        <v>75</v>
      </c>
      <c r="D804" s="5" t="s">
        <v>2852</v>
      </c>
      <c r="E804" s="7" t="s">
        <v>4251</v>
      </c>
      <c r="F804" s="5" t="s">
        <v>4235</v>
      </c>
      <c r="G804" s="5" t="s">
        <v>4236</v>
      </c>
      <c r="H804" s="5">
        <v>2010.0</v>
      </c>
      <c r="I804" s="5">
        <v>0.0</v>
      </c>
      <c r="J804" s="5">
        <v>0.0</v>
      </c>
      <c r="K804" s="5">
        <v>1.0</v>
      </c>
      <c r="L804" s="54"/>
      <c r="M804" s="5" t="s">
        <v>4252</v>
      </c>
      <c r="N804" s="53" t="s">
        <v>4253</v>
      </c>
      <c r="O804">
        <v>37.983716</v>
      </c>
      <c r="P804">
        <v>23.72931</v>
      </c>
      <c r="Q804" s="5" t="s">
        <v>974</v>
      </c>
      <c r="R804" s="10">
        <f t="shared" si="10"/>
        <v>13</v>
      </c>
      <c r="S804" s="5" t="s">
        <v>4254</v>
      </c>
      <c r="T804" s="6" t="s">
        <v>53</v>
      </c>
      <c r="U804" s="5" t="s">
        <v>4255</v>
      </c>
      <c r="V804" s="5"/>
    </row>
    <row r="805" ht="12.75" customHeight="1">
      <c r="A805" s="5">
        <v>34150.0</v>
      </c>
      <c r="B805" s="5" t="s">
        <v>41</v>
      </c>
      <c r="C805" s="5" t="s">
        <v>42</v>
      </c>
      <c r="D805" s="5" t="s">
        <v>2614</v>
      </c>
      <c r="E805" s="7" t="s">
        <v>4256</v>
      </c>
      <c r="F805" s="5" t="s">
        <v>4235</v>
      </c>
      <c r="G805" s="5" t="s">
        <v>4236</v>
      </c>
      <c r="H805" s="5">
        <v>2010.0</v>
      </c>
      <c r="I805" s="5">
        <v>0.0</v>
      </c>
      <c r="J805" s="5">
        <v>0.0</v>
      </c>
      <c r="K805" s="5">
        <v>2.0</v>
      </c>
      <c r="L805" s="54"/>
      <c r="M805" s="5" t="s">
        <v>4257</v>
      </c>
      <c r="N805" s="53" t="s">
        <v>2888</v>
      </c>
      <c r="O805">
        <v>24.088938</v>
      </c>
      <c r="P805">
        <v>32.899829</v>
      </c>
      <c r="Q805" s="5" t="s">
        <v>329</v>
      </c>
      <c r="R805" s="10">
        <f t="shared" si="10"/>
        <v>129</v>
      </c>
      <c r="S805" s="5" t="s">
        <v>4258</v>
      </c>
      <c r="T805" s="5"/>
      <c r="U805" s="5" t="s">
        <v>92</v>
      </c>
      <c r="V805" s="5" t="s">
        <v>4259</v>
      </c>
    </row>
    <row r="806" ht="12.75" customHeight="1">
      <c r="A806" s="5">
        <v>34151.0</v>
      </c>
      <c r="B806" s="5" t="s">
        <v>68</v>
      </c>
      <c r="C806" s="5" t="s">
        <v>69</v>
      </c>
      <c r="D806" s="5" t="s">
        <v>2852</v>
      </c>
      <c r="E806" s="7" t="s">
        <v>4260</v>
      </c>
      <c r="F806" s="5" t="s">
        <v>4235</v>
      </c>
      <c r="G806" s="5" t="s">
        <v>4236</v>
      </c>
      <c r="H806" s="5">
        <v>2010.0</v>
      </c>
      <c r="I806" s="5">
        <v>0.0</v>
      </c>
      <c r="J806" s="5">
        <v>0.0</v>
      </c>
      <c r="K806" s="5">
        <v>3.0</v>
      </c>
      <c r="L806" s="54"/>
      <c r="M806" s="5" t="s">
        <v>4261</v>
      </c>
      <c r="N806" s="53" t="s">
        <v>2700</v>
      </c>
      <c r="O806">
        <v>35.508622</v>
      </c>
      <c r="P806">
        <v>12.59292</v>
      </c>
      <c r="Q806" s="5" t="s">
        <v>669</v>
      </c>
      <c r="R806" s="10">
        <f t="shared" si="10"/>
        <v>3843</v>
      </c>
      <c r="S806" s="5" t="s">
        <v>4262</v>
      </c>
      <c r="T806" s="6" t="s">
        <v>2130</v>
      </c>
      <c r="U806" s="5" t="s">
        <v>2993</v>
      </c>
      <c r="V806" s="5" t="s">
        <v>4263</v>
      </c>
    </row>
    <row r="807" ht="12.75" customHeight="1">
      <c r="A807" s="5">
        <v>34152.0</v>
      </c>
      <c r="B807" s="5" t="s">
        <v>4264</v>
      </c>
      <c r="C807" s="5" t="s">
        <v>211</v>
      </c>
      <c r="D807" s="5" t="s">
        <v>2852</v>
      </c>
      <c r="E807" s="7" t="s">
        <v>4265</v>
      </c>
      <c r="F807" s="5" t="s">
        <v>4235</v>
      </c>
      <c r="G807" s="5" t="s">
        <v>4236</v>
      </c>
      <c r="H807" s="5">
        <v>2010.0</v>
      </c>
      <c r="I807" s="6">
        <v>1.0</v>
      </c>
      <c r="J807" s="5">
        <v>0.0</v>
      </c>
      <c r="K807" s="6">
        <v>1.0</v>
      </c>
      <c r="L807" s="54"/>
      <c r="M807" s="5" t="s">
        <v>4266</v>
      </c>
      <c r="N807" s="53" t="s">
        <v>3724</v>
      </c>
      <c r="O807">
        <v>47.36865</v>
      </c>
      <c r="P807">
        <v>8.539183</v>
      </c>
      <c r="Q807" s="5" t="s">
        <v>1377</v>
      </c>
      <c r="R807" s="10">
        <f t="shared" si="10"/>
        <v>9</v>
      </c>
      <c r="S807" s="5" t="s">
        <v>4267</v>
      </c>
      <c r="T807" s="5"/>
      <c r="U807" s="5" t="s">
        <v>4268</v>
      </c>
      <c r="V807" s="5"/>
    </row>
    <row r="808" ht="12.75" customHeight="1">
      <c r="A808" s="5">
        <v>34153.0</v>
      </c>
      <c r="B808" s="5" t="s">
        <v>1995</v>
      </c>
      <c r="C808" s="52" t="s">
        <v>50</v>
      </c>
      <c r="D808" s="5" t="s">
        <v>2852</v>
      </c>
      <c r="E808" s="7" t="s">
        <v>4269</v>
      </c>
      <c r="F808" s="5" t="s">
        <v>4235</v>
      </c>
      <c r="G808" s="5" t="s">
        <v>4236</v>
      </c>
      <c r="H808" s="5">
        <v>2010.0</v>
      </c>
      <c r="I808" s="5">
        <v>0.0</v>
      </c>
      <c r="J808" s="5">
        <v>0.0</v>
      </c>
      <c r="K808" s="5">
        <v>1.0</v>
      </c>
      <c r="L808" s="54"/>
      <c r="M808" s="5" t="s">
        <v>4270</v>
      </c>
      <c r="N808" s="53" t="s">
        <v>4271</v>
      </c>
      <c r="O808">
        <v>50.41081</v>
      </c>
      <c r="P808">
        <v>4.444643</v>
      </c>
      <c r="Q808" s="5" t="s">
        <v>1492</v>
      </c>
      <c r="R808" s="10">
        <f t="shared" si="10"/>
        <v>1</v>
      </c>
      <c r="S808" s="5" t="s">
        <v>4272</v>
      </c>
      <c r="T808" s="5"/>
      <c r="U808" s="5" t="s">
        <v>4273</v>
      </c>
      <c r="V808" s="5"/>
    </row>
    <row r="809" ht="12.75" customHeight="1">
      <c r="A809" s="5">
        <v>34154.0</v>
      </c>
      <c r="B809" s="5" t="s">
        <v>763</v>
      </c>
      <c r="C809" s="5" t="s">
        <v>124</v>
      </c>
      <c r="D809" s="5" t="s">
        <v>2852</v>
      </c>
      <c r="E809" s="7" t="s">
        <v>4274</v>
      </c>
      <c r="F809" s="5" t="s">
        <v>4235</v>
      </c>
      <c r="G809" s="5" t="s">
        <v>4236</v>
      </c>
      <c r="H809" s="5">
        <v>2010.0</v>
      </c>
      <c r="I809" s="5">
        <v>0.0</v>
      </c>
      <c r="J809" s="5">
        <v>0.0</v>
      </c>
      <c r="K809" s="5">
        <v>1.0</v>
      </c>
      <c r="L809" s="54"/>
      <c r="M809" s="5" t="s">
        <v>4275</v>
      </c>
      <c r="N809" s="53" t="s">
        <v>2638</v>
      </c>
      <c r="O809">
        <v>35.888384</v>
      </c>
      <c r="P809">
        <v>-5.324636</v>
      </c>
      <c r="Q809" s="5" t="s">
        <v>717</v>
      </c>
      <c r="R809" s="10">
        <f t="shared" si="10"/>
        <v>213</v>
      </c>
      <c r="S809" s="5" t="s">
        <v>4276</v>
      </c>
      <c r="T809" s="6" t="s">
        <v>72</v>
      </c>
      <c r="U809" s="5" t="s">
        <v>4277</v>
      </c>
      <c r="V809" s="5"/>
    </row>
    <row r="810" ht="12.75" customHeight="1">
      <c r="A810" s="5">
        <v>34155.0</v>
      </c>
      <c r="B810" s="5" t="s">
        <v>1995</v>
      </c>
      <c r="C810" s="52" t="s">
        <v>50</v>
      </c>
      <c r="D810" s="5" t="s">
        <v>2852</v>
      </c>
      <c r="E810" s="7" t="s">
        <v>4278</v>
      </c>
      <c r="F810" s="5" t="s">
        <v>4235</v>
      </c>
      <c r="G810" s="5" t="s">
        <v>4236</v>
      </c>
      <c r="H810" s="5">
        <v>2010.0</v>
      </c>
      <c r="I810" s="5">
        <v>0.0</v>
      </c>
      <c r="J810" s="5">
        <v>0.0</v>
      </c>
      <c r="K810" s="5">
        <v>1.0</v>
      </c>
      <c r="L810" s="54"/>
      <c r="M810" s="5" t="s">
        <v>4279</v>
      </c>
      <c r="N810" s="53" t="s">
        <v>4280</v>
      </c>
      <c r="O810">
        <v>45.450072</v>
      </c>
      <c r="P810">
        <v>9.177592</v>
      </c>
      <c r="Q810" s="5" t="s">
        <v>1321</v>
      </c>
      <c r="R810" s="10">
        <f t="shared" si="10"/>
        <v>1</v>
      </c>
      <c r="S810" s="5" t="s">
        <v>4281</v>
      </c>
      <c r="T810" s="5"/>
      <c r="U810" s="5" t="s">
        <v>4282</v>
      </c>
      <c r="V810" s="5"/>
    </row>
    <row r="811" ht="12.75" customHeight="1">
      <c r="A811" s="5">
        <v>34156.0</v>
      </c>
      <c r="B811" s="5" t="s">
        <v>41</v>
      </c>
      <c r="C811" s="5" t="s">
        <v>42</v>
      </c>
      <c r="D811" s="5" t="s">
        <v>2614</v>
      </c>
      <c r="E811" s="7" t="s">
        <v>4283</v>
      </c>
      <c r="F811" s="5" t="s">
        <v>4235</v>
      </c>
      <c r="G811" s="5" t="s">
        <v>4284</v>
      </c>
      <c r="H811" s="5">
        <v>2010.0</v>
      </c>
      <c r="I811" s="5">
        <v>0.0</v>
      </c>
      <c r="J811" s="5">
        <v>0.0</v>
      </c>
      <c r="K811" s="5">
        <v>1.0</v>
      </c>
      <c r="L811" s="54"/>
      <c r="M811" s="5" t="s">
        <v>4285</v>
      </c>
      <c r="N811" s="53" t="s">
        <v>2888</v>
      </c>
      <c r="O811">
        <v>24.088938</v>
      </c>
      <c r="P811">
        <v>32.899829</v>
      </c>
      <c r="Q811" s="5" t="s">
        <v>329</v>
      </c>
      <c r="R811" s="10">
        <f t="shared" si="10"/>
        <v>129</v>
      </c>
      <c r="S811" s="5" t="s">
        <v>4286</v>
      </c>
      <c r="T811" s="5"/>
      <c r="U811" s="5" t="s">
        <v>92</v>
      </c>
      <c r="V811" s="5" t="s">
        <v>4287</v>
      </c>
    </row>
    <row r="812" ht="12.75" customHeight="1">
      <c r="A812" s="5">
        <v>34157.0</v>
      </c>
      <c r="B812" s="5" t="s">
        <v>49</v>
      </c>
      <c r="C812" s="52" t="s">
        <v>50</v>
      </c>
      <c r="D812" s="5" t="s">
        <v>2852</v>
      </c>
      <c r="E812" s="7" t="s">
        <v>4288</v>
      </c>
      <c r="F812" s="5" t="s">
        <v>4235</v>
      </c>
      <c r="G812" s="5" t="s">
        <v>4284</v>
      </c>
      <c r="H812" s="5">
        <v>2010.0</v>
      </c>
      <c r="I812" s="5">
        <v>0.0</v>
      </c>
      <c r="J812" s="5">
        <v>0.0</v>
      </c>
      <c r="K812" s="5">
        <v>5.0</v>
      </c>
      <c r="L812" s="54"/>
      <c r="M812" s="5" t="s">
        <v>4289</v>
      </c>
      <c r="N812" s="53" t="s">
        <v>4290</v>
      </c>
      <c r="O812">
        <v>38.158524</v>
      </c>
      <c r="P812">
        <v>14.742693</v>
      </c>
      <c r="Q812" s="5" t="s">
        <v>1001</v>
      </c>
      <c r="R812" s="10">
        <f t="shared" si="10"/>
        <v>75</v>
      </c>
      <c r="S812" s="5" t="s">
        <v>4291</v>
      </c>
      <c r="T812" s="6" t="s">
        <v>2130</v>
      </c>
      <c r="U812" s="5" t="s">
        <v>4292</v>
      </c>
      <c r="V812" s="5" t="s">
        <v>4293</v>
      </c>
    </row>
    <row r="813" ht="12.75" customHeight="1">
      <c r="A813" s="5">
        <v>34158.0</v>
      </c>
      <c r="B813" s="5" t="s">
        <v>2962</v>
      </c>
      <c r="C813" s="5" t="s">
        <v>211</v>
      </c>
      <c r="D813" s="5" t="s">
        <v>2852</v>
      </c>
      <c r="E813" s="7" t="s">
        <v>4294</v>
      </c>
      <c r="F813" s="5" t="s">
        <v>4235</v>
      </c>
      <c r="G813" s="5" t="s">
        <v>4284</v>
      </c>
      <c r="H813" s="5">
        <v>2010.0</v>
      </c>
      <c r="I813" s="5">
        <v>0.0</v>
      </c>
      <c r="J813" s="5">
        <v>0.0</v>
      </c>
      <c r="K813" s="5">
        <v>1.0</v>
      </c>
      <c r="L813" s="54"/>
      <c r="M813" s="5" t="s">
        <v>4295</v>
      </c>
      <c r="N813" s="53" t="s">
        <v>4296</v>
      </c>
      <c r="O813">
        <v>52.447828</v>
      </c>
      <c r="P813">
        <v>9.744931</v>
      </c>
      <c r="Q813" s="5" t="s">
        <v>1765</v>
      </c>
      <c r="R813" s="10">
        <f t="shared" si="10"/>
        <v>2</v>
      </c>
      <c r="S813" s="5" t="s">
        <v>4297</v>
      </c>
      <c r="T813" s="5"/>
      <c r="U813" s="5" t="s">
        <v>4298</v>
      </c>
      <c r="V813" s="5"/>
    </row>
    <row r="814" ht="12.75" customHeight="1">
      <c r="A814" s="5">
        <v>34159.0</v>
      </c>
      <c r="B814" s="5" t="s">
        <v>2962</v>
      </c>
      <c r="C814" s="5" t="s">
        <v>211</v>
      </c>
      <c r="D814" s="5" t="s">
        <v>2852</v>
      </c>
      <c r="E814" s="7" t="s">
        <v>4299</v>
      </c>
      <c r="F814" s="5" t="s">
        <v>4235</v>
      </c>
      <c r="G814" s="5" t="s">
        <v>4284</v>
      </c>
      <c r="H814" s="5">
        <v>2010.0</v>
      </c>
      <c r="I814" s="5">
        <v>0.0</v>
      </c>
      <c r="J814" s="5">
        <v>0.0</v>
      </c>
      <c r="K814" s="5">
        <v>1.0</v>
      </c>
      <c r="L814" s="54"/>
      <c r="M814" s="5" t="s">
        <v>4300</v>
      </c>
      <c r="N814" s="53" t="s">
        <v>4301</v>
      </c>
      <c r="O814">
        <v>53.408371</v>
      </c>
      <c r="P814">
        <v>-2.991573</v>
      </c>
      <c r="Q814" s="5" t="s">
        <v>1828</v>
      </c>
      <c r="R814" s="10">
        <f t="shared" si="10"/>
        <v>2</v>
      </c>
      <c r="S814" s="5" t="s">
        <v>4302</v>
      </c>
      <c r="T814" s="5"/>
      <c r="U814" s="5" t="s">
        <v>3219</v>
      </c>
      <c r="V814" s="5"/>
    </row>
    <row r="815" ht="12.75" customHeight="1">
      <c r="A815" s="5">
        <v>34160.0</v>
      </c>
      <c r="B815" s="5" t="s">
        <v>41</v>
      </c>
      <c r="C815" s="5" t="s">
        <v>42</v>
      </c>
      <c r="D815" s="5" t="s">
        <v>2614</v>
      </c>
      <c r="E815" s="7" t="s">
        <v>4303</v>
      </c>
      <c r="F815" s="5" t="s">
        <v>4235</v>
      </c>
      <c r="G815" s="5" t="s">
        <v>4284</v>
      </c>
      <c r="H815" s="5">
        <v>2010.0</v>
      </c>
      <c r="I815" s="5">
        <v>0.0</v>
      </c>
      <c r="J815" s="5">
        <v>0.0</v>
      </c>
      <c r="K815" s="5">
        <v>2.0</v>
      </c>
      <c r="L815" s="54"/>
      <c r="M815" s="5" t="s">
        <v>4304</v>
      </c>
      <c r="N815" s="53" t="s">
        <v>2888</v>
      </c>
      <c r="O815">
        <v>24.088938</v>
      </c>
      <c r="P815">
        <v>32.899829</v>
      </c>
      <c r="Q815" s="5" t="s">
        <v>329</v>
      </c>
      <c r="R815" s="10">
        <f t="shared" si="10"/>
        <v>129</v>
      </c>
      <c r="S815" s="5" t="s">
        <v>4305</v>
      </c>
      <c r="T815" s="5"/>
      <c r="U815" s="5" t="s">
        <v>92</v>
      </c>
      <c r="V815" s="5" t="s">
        <v>4306</v>
      </c>
    </row>
    <row r="816" ht="12.75" customHeight="1">
      <c r="A816" s="5">
        <v>34161.0</v>
      </c>
      <c r="B816" s="5" t="s">
        <v>98</v>
      </c>
      <c r="C816" s="5" t="s">
        <v>62</v>
      </c>
      <c r="D816" s="5" t="s">
        <v>2852</v>
      </c>
      <c r="E816" s="7" t="s">
        <v>4303</v>
      </c>
      <c r="F816" s="5" t="s">
        <v>4235</v>
      </c>
      <c r="G816" s="5" t="s">
        <v>4284</v>
      </c>
      <c r="H816" s="5">
        <v>2010.0</v>
      </c>
      <c r="I816" s="5">
        <v>0.0</v>
      </c>
      <c r="J816" s="5">
        <v>0.0</v>
      </c>
      <c r="K816" s="5">
        <v>1.0</v>
      </c>
      <c r="L816" s="54"/>
      <c r="M816" s="5" t="s">
        <v>4307</v>
      </c>
      <c r="N816" s="53" t="s">
        <v>4308</v>
      </c>
      <c r="O816">
        <v>48.132108</v>
      </c>
      <c r="P816">
        <v>15.137272</v>
      </c>
      <c r="Q816" s="5" t="s">
        <v>1409</v>
      </c>
      <c r="R816" s="10">
        <f t="shared" si="10"/>
        <v>1</v>
      </c>
      <c r="S816" s="5" t="s">
        <v>4309</v>
      </c>
      <c r="T816" s="5"/>
      <c r="U816" s="5" t="s">
        <v>4310</v>
      </c>
      <c r="V816" s="5"/>
    </row>
    <row r="817" ht="12.75" customHeight="1">
      <c r="A817" s="5">
        <v>34068.0</v>
      </c>
      <c r="B817" s="5" t="s">
        <v>763</v>
      </c>
      <c r="C817" s="5" t="s">
        <v>124</v>
      </c>
      <c r="D817" s="5" t="s">
        <v>2852</v>
      </c>
      <c r="E817" s="7" t="s">
        <v>4311</v>
      </c>
      <c r="F817" s="5" t="s">
        <v>4312</v>
      </c>
      <c r="G817" s="5" t="s">
        <v>4313</v>
      </c>
      <c r="H817" s="5">
        <v>2010.0</v>
      </c>
      <c r="I817" s="5">
        <v>0.0</v>
      </c>
      <c r="J817" s="5">
        <v>0.0</v>
      </c>
      <c r="K817" s="5">
        <v>1.0</v>
      </c>
      <c r="L817" s="54"/>
      <c r="M817" s="5" t="s">
        <v>4314</v>
      </c>
      <c r="N817" s="53" t="s">
        <v>2638</v>
      </c>
      <c r="O817">
        <v>35.888384</v>
      </c>
      <c r="P817">
        <v>-5.324636</v>
      </c>
      <c r="Q817" s="5" t="s">
        <v>717</v>
      </c>
      <c r="R817" s="10">
        <f t="shared" si="10"/>
        <v>213</v>
      </c>
      <c r="S817" s="5" t="s">
        <v>4315</v>
      </c>
      <c r="T817" s="6" t="s">
        <v>72</v>
      </c>
      <c r="U817" s="5" t="s">
        <v>4316</v>
      </c>
      <c r="V817" s="5"/>
    </row>
    <row r="818" ht="12.75" customHeight="1">
      <c r="A818" s="5">
        <v>34069.0</v>
      </c>
      <c r="B818" s="5" t="s">
        <v>2921</v>
      </c>
      <c r="C818" s="52" t="s">
        <v>50</v>
      </c>
      <c r="D818" s="5" t="s">
        <v>2852</v>
      </c>
      <c r="E818" s="7" t="s">
        <v>4317</v>
      </c>
      <c r="F818" s="5" t="s">
        <v>4312</v>
      </c>
      <c r="G818" s="5" t="s">
        <v>4313</v>
      </c>
      <c r="H818" s="5">
        <v>2010.0</v>
      </c>
      <c r="I818" s="5">
        <v>0.0</v>
      </c>
      <c r="J818" s="5">
        <v>0.0</v>
      </c>
      <c r="K818" s="5">
        <v>1.0</v>
      </c>
      <c r="L818" s="54"/>
      <c r="M818" s="5" t="s">
        <v>4318</v>
      </c>
      <c r="N818" s="53" t="s">
        <v>4319</v>
      </c>
      <c r="O818">
        <v>48.217686</v>
      </c>
      <c r="P818">
        <v>21.506965</v>
      </c>
      <c r="Q818" s="5" t="s">
        <v>1416</v>
      </c>
      <c r="R818" s="10">
        <f t="shared" si="10"/>
        <v>4</v>
      </c>
      <c r="S818" s="5" t="s">
        <v>4320</v>
      </c>
      <c r="T818" s="6" t="s">
        <v>1964</v>
      </c>
      <c r="U818" s="5" t="s">
        <v>4321</v>
      </c>
      <c r="V818" s="5"/>
    </row>
    <row r="819" ht="12.75" customHeight="1">
      <c r="A819" s="5">
        <v>34070.0</v>
      </c>
      <c r="B819" s="5" t="s">
        <v>2921</v>
      </c>
      <c r="C819" s="52" t="s">
        <v>50</v>
      </c>
      <c r="D819" s="5" t="s">
        <v>2852</v>
      </c>
      <c r="E819" s="7" t="s">
        <v>4322</v>
      </c>
      <c r="F819" s="5" t="s">
        <v>4312</v>
      </c>
      <c r="G819" s="5" t="s">
        <v>4313</v>
      </c>
      <c r="H819" s="5">
        <v>2010.0</v>
      </c>
      <c r="I819" s="5">
        <v>0.0</v>
      </c>
      <c r="J819" s="5">
        <v>0.0</v>
      </c>
      <c r="K819" s="5">
        <v>2.0</v>
      </c>
      <c r="L819" s="54"/>
      <c r="M819" s="5" t="s">
        <v>4323</v>
      </c>
      <c r="N819" s="53" t="s">
        <v>4319</v>
      </c>
      <c r="O819">
        <v>48.217686</v>
      </c>
      <c r="P819">
        <v>21.506965</v>
      </c>
      <c r="Q819" s="5" t="s">
        <v>1416</v>
      </c>
      <c r="R819" s="10">
        <f t="shared" si="10"/>
        <v>4</v>
      </c>
      <c r="S819" s="5" t="s">
        <v>4324</v>
      </c>
      <c r="T819" s="6" t="s">
        <v>1964</v>
      </c>
      <c r="U819" s="5" t="s">
        <v>4321</v>
      </c>
      <c r="V819" s="5" t="s">
        <v>4325</v>
      </c>
    </row>
    <row r="820" ht="12.75" customHeight="1">
      <c r="A820" s="5">
        <v>34071.0</v>
      </c>
      <c r="B820" s="5" t="s">
        <v>1995</v>
      </c>
      <c r="C820" s="52" t="s">
        <v>50</v>
      </c>
      <c r="D820" s="5" t="s">
        <v>2852</v>
      </c>
      <c r="E820" s="7" t="s">
        <v>4326</v>
      </c>
      <c r="F820" s="5" t="s">
        <v>4312</v>
      </c>
      <c r="G820" s="5" t="s">
        <v>4313</v>
      </c>
      <c r="H820" s="5">
        <v>2010.0</v>
      </c>
      <c r="I820" s="5">
        <v>0.0</v>
      </c>
      <c r="J820" s="5">
        <v>0.0</v>
      </c>
      <c r="K820" s="5">
        <v>1.0</v>
      </c>
      <c r="L820" s="54"/>
      <c r="M820" s="5" t="s">
        <v>4327</v>
      </c>
      <c r="N820" s="53" t="s">
        <v>4328</v>
      </c>
      <c r="O820">
        <v>45.472519</v>
      </c>
      <c r="P820">
        <v>10.531554</v>
      </c>
      <c r="Q820" s="5" t="s">
        <v>1325</v>
      </c>
      <c r="R820" s="10">
        <f t="shared" si="10"/>
        <v>1</v>
      </c>
      <c r="S820" s="5" t="s">
        <v>4329</v>
      </c>
      <c r="T820" s="5"/>
      <c r="U820" s="5" t="s">
        <v>4330</v>
      </c>
      <c r="V820" s="5"/>
    </row>
    <row r="821" ht="12.75" customHeight="1">
      <c r="A821" s="5">
        <v>34072.0</v>
      </c>
      <c r="B821" s="5" t="s">
        <v>215</v>
      </c>
      <c r="C821" s="5" t="s">
        <v>62</v>
      </c>
      <c r="D821" s="5" t="s">
        <v>2614</v>
      </c>
      <c r="E821" s="7" t="s">
        <v>4331</v>
      </c>
      <c r="F821" s="5" t="s">
        <v>4312</v>
      </c>
      <c r="G821" s="5" t="s">
        <v>4313</v>
      </c>
      <c r="H821" s="5">
        <v>2010.0</v>
      </c>
      <c r="I821" s="5">
        <v>0.0</v>
      </c>
      <c r="J821" s="5">
        <v>0.0</v>
      </c>
      <c r="K821" s="5">
        <v>2.0</v>
      </c>
      <c r="L821" s="54"/>
      <c r="M821" s="5" t="s">
        <v>4332</v>
      </c>
      <c r="N821" s="53" t="s">
        <v>2888</v>
      </c>
      <c r="O821">
        <v>24.088938</v>
      </c>
      <c r="P821">
        <v>32.899829</v>
      </c>
      <c r="Q821" s="5" t="s">
        <v>329</v>
      </c>
      <c r="R821" s="10">
        <f t="shared" si="10"/>
        <v>129</v>
      </c>
      <c r="S821" s="5" t="s">
        <v>4333</v>
      </c>
      <c r="T821" s="5"/>
      <c r="U821" s="5" t="s">
        <v>2619</v>
      </c>
      <c r="V821" s="5" t="s">
        <v>4334</v>
      </c>
    </row>
    <row r="822" ht="12.75" customHeight="1">
      <c r="A822" s="5">
        <v>34073.0</v>
      </c>
      <c r="B822" s="5" t="s">
        <v>1076</v>
      </c>
      <c r="C822" s="52" t="s">
        <v>50</v>
      </c>
      <c r="D822" s="5" t="s">
        <v>2852</v>
      </c>
      <c r="E822" s="7" t="s">
        <v>4335</v>
      </c>
      <c r="F822" s="5" t="s">
        <v>4312</v>
      </c>
      <c r="G822" s="5" t="s">
        <v>4313</v>
      </c>
      <c r="H822" s="5">
        <v>2010.0</v>
      </c>
      <c r="I822" s="5">
        <v>0.0</v>
      </c>
      <c r="J822" s="5">
        <v>0.0</v>
      </c>
      <c r="K822" s="5">
        <v>1.0</v>
      </c>
      <c r="L822" s="54"/>
      <c r="M822" s="5" t="s">
        <v>4336</v>
      </c>
      <c r="N822" s="53" t="s">
        <v>2893</v>
      </c>
      <c r="O822">
        <v>51.47238</v>
      </c>
      <c r="P822">
        <v>-0.45094</v>
      </c>
      <c r="Q822" s="5" t="s">
        <v>1635</v>
      </c>
      <c r="R822" s="10">
        <f t="shared" si="10"/>
        <v>13</v>
      </c>
      <c r="S822" s="5" t="s">
        <v>4337</v>
      </c>
      <c r="T822" s="5"/>
      <c r="U822" s="5" t="s">
        <v>4338</v>
      </c>
      <c r="V822" s="5" t="s">
        <v>4339</v>
      </c>
    </row>
    <row r="823" ht="12.75" customHeight="1">
      <c r="A823" s="5">
        <v>34074.0</v>
      </c>
      <c r="B823" s="5" t="s">
        <v>49</v>
      </c>
      <c r="C823" s="52" t="s">
        <v>50</v>
      </c>
      <c r="D823" s="5" t="s">
        <v>2852</v>
      </c>
      <c r="E823" s="7" t="s">
        <v>4340</v>
      </c>
      <c r="F823" s="5" t="s">
        <v>4312</v>
      </c>
      <c r="G823" s="5" t="s">
        <v>4313</v>
      </c>
      <c r="H823" s="5">
        <v>2010.0</v>
      </c>
      <c r="I823" s="5">
        <v>0.0</v>
      </c>
      <c r="J823" s="5">
        <v>0.0</v>
      </c>
      <c r="K823" s="5">
        <v>1.0</v>
      </c>
      <c r="L823" s="54"/>
      <c r="M823" s="5" t="s">
        <v>4341</v>
      </c>
      <c r="N823" s="53" t="s">
        <v>4342</v>
      </c>
      <c r="O823">
        <v>38.345996</v>
      </c>
      <c r="P823">
        <v>-0.490686</v>
      </c>
      <c r="Q823" s="5" t="s">
        <v>1018</v>
      </c>
      <c r="R823" s="10">
        <f t="shared" si="10"/>
        <v>9</v>
      </c>
      <c r="S823" s="5" t="s">
        <v>4343</v>
      </c>
      <c r="T823" s="6" t="s">
        <v>72</v>
      </c>
      <c r="U823" s="5" t="s">
        <v>4344</v>
      </c>
      <c r="V823" s="5" t="s">
        <v>4345</v>
      </c>
    </row>
    <row r="824" ht="12.75" customHeight="1">
      <c r="A824" s="5">
        <v>34075.0</v>
      </c>
      <c r="B824" s="5" t="s">
        <v>2333</v>
      </c>
      <c r="C824" s="5" t="s">
        <v>124</v>
      </c>
      <c r="D824" s="5" t="s">
        <v>2614</v>
      </c>
      <c r="E824" s="7" t="s">
        <v>4346</v>
      </c>
      <c r="F824" s="5" t="s">
        <v>4312</v>
      </c>
      <c r="G824" s="5" t="s">
        <v>4313</v>
      </c>
      <c r="H824" s="5">
        <v>2010.0</v>
      </c>
      <c r="I824" s="5">
        <v>0.0</v>
      </c>
      <c r="J824" s="5">
        <v>0.0</v>
      </c>
      <c r="K824" s="5">
        <v>1.0</v>
      </c>
      <c r="L824" s="54"/>
      <c r="M824" s="5" t="s">
        <v>4347</v>
      </c>
      <c r="N824" s="53" t="s">
        <v>3171</v>
      </c>
      <c r="O824">
        <v>38.24664</v>
      </c>
      <c r="P824">
        <v>21.734574</v>
      </c>
      <c r="Q824" s="5" t="s">
        <v>1010</v>
      </c>
      <c r="R824" s="10">
        <f t="shared" si="10"/>
        <v>7</v>
      </c>
      <c r="S824" s="5" t="s">
        <v>4348</v>
      </c>
      <c r="T824" s="5"/>
      <c r="U824" s="5" t="s">
        <v>3986</v>
      </c>
      <c r="V824" s="5" t="s">
        <v>4349</v>
      </c>
    </row>
    <row r="825" ht="12.75" customHeight="1">
      <c r="A825" s="5">
        <v>34076.0</v>
      </c>
      <c r="B825" s="5" t="s">
        <v>215</v>
      </c>
      <c r="C825" s="5" t="s">
        <v>62</v>
      </c>
      <c r="D825" s="5" t="s">
        <v>2614</v>
      </c>
      <c r="E825" s="7" t="s">
        <v>4350</v>
      </c>
      <c r="F825" s="5" t="s">
        <v>4312</v>
      </c>
      <c r="G825" s="5" t="s">
        <v>4351</v>
      </c>
      <c r="H825" s="5">
        <v>2010.0</v>
      </c>
      <c r="I825" s="5">
        <v>0.0</v>
      </c>
      <c r="J825" s="5">
        <v>0.0</v>
      </c>
      <c r="K825" s="5">
        <v>6.0</v>
      </c>
      <c r="L825" s="54"/>
      <c r="M825" s="5" t="s">
        <v>4352</v>
      </c>
      <c r="N825" s="53" t="s">
        <v>2888</v>
      </c>
      <c r="O825">
        <v>24.088938</v>
      </c>
      <c r="P825">
        <v>32.899829</v>
      </c>
      <c r="Q825" s="5" t="s">
        <v>329</v>
      </c>
      <c r="R825" s="10">
        <f t="shared" si="10"/>
        <v>129</v>
      </c>
      <c r="S825" s="5" t="s">
        <v>4353</v>
      </c>
      <c r="T825" s="5"/>
      <c r="U825" s="5" t="s">
        <v>2619</v>
      </c>
      <c r="V825" s="5" t="s">
        <v>4354</v>
      </c>
    </row>
    <row r="826" ht="12.75" customHeight="1">
      <c r="A826" s="5">
        <v>34077.0</v>
      </c>
      <c r="B826" s="5" t="s">
        <v>1555</v>
      </c>
      <c r="C826" s="5" t="s">
        <v>42</v>
      </c>
      <c r="D826" s="5" t="s">
        <v>2852</v>
      </c>
      <c r="E826" s="7" t="s">
        <v>4355</v>
      </c>
      <c r="F826" s="5" t="s">
        <v>4312</v>
      </c>
      <c r="G826" s="5" t="s">
        <v>4351</v>
      </c>
      <c r="H826" s="5">
        <v>2010.0</v>
      </c>
      <c r="I826" s="5">
        <v>0.0</v>
      </c>
      <c r="J826" s="5">
        <v>0.0</v>
      </c>
      <c r="K826" s="5">
        <v>1.0</v>
      </c>
      <c r="L826" s="54"/>
      <c r="M826" s="5" t="s">
        <v>4356</v>
      </c>
      <c r="N826" s="53" t="s">
        <v>4357</v>
      </c>
      <c r="O826">
        <v>48.922062</v>
      </c>
      <c r="P826">
        <v>2.253331</v>
      </c>
      <c r="Q826" s="5" t="s">
        <v>1451</v>
      </c>
      <c r="R826" s="10">
        <f t="shared" si="10"/>
        <v>1</v>
      </c>
      <c r="S826" s="5" t="s">
        <v>4358</v>
      </c>
      <c r="T826" s="5"/>
      <c r="U826" s="5" t="s">
        <v>4359</v>
      </c>
      <c r="V826" s="5"/>
    </row>
    <row r="827" ht="12.75" customHeight="1">
      <c r="A827" s="5">
        <v>34078.0</v>
      </c>
      <c r="B827" s="5" t="s">
        <v>763</v>
      </c>
      <c r="C827" s="5" t="s">
        <v>124</v>
      </c>
      <c r="D827" s="5" t="s">
        <v>2852</v>
      </c>
      <c r="E827" s="7" t="s">
        <v>4360</v>
      </c>
      <c r="F827" s="5" t="s">
        <v>4312</v>
      </c>
      <c r="G827" s="5" t="s">
        <v>4351</v>
      </c>
      <c r="H827" s="5">
        <v>2010.0</v>
      </c>
      <c r="I827" s="5">
        <v>0.0</v>
      </c>
      <c r="J827" s="5">
        <v>0.0</v>
      </c>
      <c r="K827" s="5">
        <v>1.0</v>
      </c>
      <c r="L827" s="54"/>
      <c r="M827" s="5" t="s">
        <v>4361</v>
      </c>
      <c r="N827" s="53" t="s">
        <v>3171</v>
      </c>
      <c r="O827">
        <v>38.24664</v>
      </c>
      <c r="P827">
        <v>21.734574</v>
      </c>
      <c r="Q827" s="5" t="s">
        <v>1010</v>
      </c>
      <c r="R827" s="10">
        <f t="shared" si="10"/>
        <v>7</v>
      </c>
      <c r="S827" s="5" t="s">
        <v>4362</v>
      </c>
      <c r="T827" s="5"/>
      <c r="U827" s="5" t="s">
        <v>4363</v>
      </c>
      <c r="V827" s="5"/>
    </row>
    <row r="828" ht="12.75" customHeight="1">
      <c r="A828" s="5">
        <v>34079.0</v>
      </c>
      <c r="B828" s="5" t="s">
        <v>1076</v>
      </c>
      <c r="C828" s="52" t="s">
        <v>50</v>
      </c>
      <c r="D828" s="5" t="s">
        <v>2852</v>
      </c>
      <c r="E828" s="7" t="s">
        <v>4364</v>
      </c>
      <c r="F828" s="5" t="s">
        <v>4312</v>
      </c>
      <c r="G828" s="5" t="s">
        <v>4351</v>
      </c>
      <c r="H828" s="5">
        <v>2010.0</v>
      </c>
      <c r="I828" s="5">
        <v>0.0</v>
      </c>
      <c r="J828" s="5">
        <v>0.0</v>
      </c>
      <c r="K828" s="5">
        <v>4.0</v>
      </c>
      <c r="L828" s="54"/>
      <c r="M828" s="5" t="s">
        <v>4365</v>
      </c>
      <c r="N828" s="53" t="s">
        <v>4366</v>
      </c>
      <c r="O828">
        <v>33.223191</v>
      </c>
      <c r="P828">
        <v>43.679291</v>
      </c>
      <c r="Q828" s="5" t="s">
        <v>523</v>
      </c>
      <c r="R828" s="10">
        <f t="shared" si="10"/>
        <v>13</v>
      </c>
      <c r="S828" s="5" t="s">
        <v>4367</v>
      </c>
      <c r="T828" s="5"/>
      <c r="U828" s="5" t="s">
        <v>4368</v>
      </c>
      <c r="V828" s="5" t="s">
        <v>4369</v>
      </c>
    </row>
    <row r="829" ht="12.75" customHeight="1">
      <c r="A829" s="5">
        <v>34080.0</v>
      </c>
      <c r="B829" s="5" t="s">
        <v>1161</v>
      </c>
      <c r="C829" s="5" t="s">
        <v>124</v>
      </c>
      <c r="D829" s="5" t="s">
        <v>2852</v>
      </c>
      <c r="E829" s="7" t="s">
        <v>4370</v>
      </c>
      <c r="F829" s="5" t="s">
        <v>4312</v>
      </c>
      <c r="G829" s="5" t="s">
        <v>4351</v>
      </c>
      <c r="H829" s="5">
        <v>2010.0</v>
      </c>
      <c r="I829" s="5">
        <v>0.0</v>
      </c>
      <c r="J829" s="5">
        <v>0.0</v>
      </c>
      <c r="K829" s="5">
        <v>2.0</v>
      </c>
      <c r="L829" s="54"/>
      <c r="M829" s="5" t="s">
        <v>4371</v>
      </c>
      <c r="N829" s="53" t="s">
        <v>4372</v>
      </c>
      <c r="O829">
        <v>43.328128</v>
      </c>
      <c r="P829">
        <v>-3.033659</v>
      </c>
      <c r="Q829" s="5" t="s">
        <v>1270</v>
      </c>
      <c r="R829" s="10">
        <f t="shared" si="10"/>
        <v>2</v>
      </c>
      <c r="S829" s="5" t="s">
        <v>4373</v>
      </c>
      <c r="T829" s="5"/>
      <c r="U829" s="5" t="s">
        <v>4374</v>
      </c>
      <c r="V829" s="5"/>
    </row>
    <row r="830" ht="12.75" customHeight="1">
      <c r="A830" s="5">
        <v>34081.0</v>
      </c>
      <c r="B830" s="5" t="s">
        <v>49</v>
      </c>
      <c r="C830" s="52" t="s">
        <v>50</v>
      </c>
      <c r="D830" s="5" t="s">
        <v>2852</v>
      </c>
      <c r="E830" s="7" t="s">
        <v>4375</v>
      </c>
      <c r="F830" s="5" t="s">
        <v>4312</v>
      </c>
      <c r="G830" s="5" t="s">
        <v>4351</v>
      </c>
      <c r="H830" s="5">
        <v>2010.0</v>
      </c>
      <c r="I830" s="5">
        <v>0.0</v>
      </c>
      <c r="J830" s="5">
        <v>0.0</v>
      </c>
      <c r="K830" s="5">
        <v>1.0</v>
      </c>
      <c r="L830" s="54"/>
      <c r="M830" s="5" t="s">
        <v>4376</v>
      </c>
      <c r="N830" s="53" t="s">
        <v>3608</v>
      </c>
      <c r="O830">
        <v>41.117143</v>
      </c>
      <c r="P830">
        <v>16.871871</v>
      </c>
      <c r="Q830" s="5" t="s">
        <v>1188</v>
      </c>
      <c r="R830" s="10">
        <f t="shared" si="10"/>
        <v>32</v>
      </c>
      <c r="S830" s="5" t="s">
        <v>4377</v>
      </c>
      <c r="T830" s="6" t="s">
        <v>1963</v>
      </c>
      <c r="U830" s="5" t="s">
        <v>3774</v>
      </c>
      <c r="V830" s="5" t="s">
        <v>4378</v>
      </c>
    </row>
    <row r="831" ht="12.75" customHeight="1">
      <c r="A831" s="5">
        <v>34082.0</v>
      </c>
      <c r="B831" s="5" t="s">
        <v>41</v>
      </c>
      <c r="C831" s="5" t="s">
        <v>42</v>
      </c>
      <c r="D831" s="5" t="s">
        <v>2614</v>
      </c>
      <c r="E831" s="7" t="s">
        <v>4379</v>
      </c>
      <c r="F831" s="5" t="s">
        <v>4312</v>
      </c>
      <c r="G831" s="5" t="s">
        <v>4351</v>
      </c>
      <c r="H831" s="5">
        <v>2010.0</v>
      </c>
      <c r="I831" s="5">
        <v>0.0</v>
      </c>
      <c r="J831" s="5">
        <v>0.0</v>
      </c>
      <c r="K831" s="5">
        <v>21.0</v>
      </c>
      <c r="L831" s="54"/>
      <c r="M831" s="5" t="s">
        <v>4380</v>
      </c>
      <c r="N831" s="53" t="s">
        <v>2888</v>
      </c>
      <c r="O831">
        <v>24.088938</v>
      </c>
      <c r="P831">
        <v>32.899829</v>
      </c>
      <c r="Q831" s="5" t="s">
        <v>329</v>
      </c>
      <c r="R831" s="10">
        <f t="shared" si="10"/>
        <v>129</v>
      </c>
      <c r="S831" s="5" t="s">
        <v>4381</v>
      </c>
      <c r="T831" s="5"/>
      <c r="U831" s="5" t="s">
        <v>4382</v>
      </c>
      <c r="V831" s="5" t="s">
        <v>4383</v>
      </c>
    </row>
    <row r="832" ht="12.75" customHeight="1">
      <c r="A832" s="5">
        <v>34084.0</v>
      </c>
      <c r="B832" s="5" t="s">
        <v>49</v>
      </c>
      <c r="C832" s="52" t="s">
        <v>50</v>
      </c>
      <c r="D832" s="5" t="s">
        <v>2852</v>
      </c>
      <c r="E832" s="7" t="s">
        <v>4384</v>
      </c>
      <c r="F832" s="5" t="s">
        <v>4312</v>
      </c>
      <c r="G832" s="5" t="s">
        <v>4351</v>
      </c>
      <c r="H832" s="5">
        <v>2010.0</v>
      </c>
      <c r="I832" s="5">
        <v>0.0</v>
      </c>
      <c r="J832" s="5">
        <v>0.0</v>
      </c>
      <c r="K832" s="5">
        <v>5.0</v>
      </c>
      <c r="L832" s="54"/>
      <c r="M832" s="5" t="s">
        <v>4385</v>
      </c>
      <c r="N832" s="53" t="s">
        <v>2944</v>
      </c>
      <c r="O832">
        <v>-12.8275</v>
      </c>
      <c r="P832">
        <v>45.166244</v>
      </c>
      <c r="Q832" s="5" t="s">
        <v>228</v>
      </c>
      <c r="R832" s="10">
        <f t="shared" si="10"/>
        <v>757</v>
      </c>
      <c r="S832" s="5" t="s">
        <v>4386</v>
      </c>
      <c r="T832" s="5"/>
      <c r="U832" s="5" t="s">
        <v>4387</v>
      </c>
      <c r="V832" s="5" t="s">
        <v>4388</v>
      </c>
    </row>
    <row r="833" ht="12.75" customHeight="1">
      <c r="A833" s="5">
        <v>34083.0</v>
      </c>
      <c r="B833" s="5" t="s">
        <v>49</v>
      </c>
      <c r="C833" s="52" t="s">
        <v>50</v>
      </c>
      <c r="D833" s="5" t="s">
        <v>2614</v>
      </c>
      <c r="E833" s="7" t="s">
        <v>4384</v>
      </c>
      <c r="F833" s="5" t="s">
        <v>4312</v>
      </c>
      <c r="G833" s="5" t="s">
        <v>4351</v>
      </c>
      <c r="H833" s="5">
        <v>2010.0</v>
      </c>
      <c r="I833" s="5">
        <v>0.0</v>
      </c>
      <c r="J833" s="5">
        <v>0.0</v>
      </c>
      <c r="K833" s="5">
        <v>1.0</v>
      </c>
      <c r="L833" s="54"/>
      <c r="M833" s="5" t="s">
        <v>4389</v>
      </c>
      <c r="N833" s="53" t="s">
        <v>2867</v>
      </c>
      <c r="O833">
        <v>35.939838</v>
      </c>
      <c r="P833">
        <v>0.089767</v>
      </c>
      <c r="Q833" s="5" t="s">
        <v>741</v>
      </c>
      <c r="R833" s="10">
        <f t="shared" si="10"/>
        <v>38</v>
      </c>
      <c r="S833" s="5" t="s">
        <v>4390</v>
      </c>
      <c r="T833" s="6" t="s">
        <v>72</v>
      </c>
      <c r="U833" s="5" t="s">
        <v>4391</v>
      </c>
      <c r="V833" s="5" t="s">
        <v>4392</v>
      </c>
    </row>
    <row r="834" ht="12.75" customHeight="1">
      <c r="A834" s="5">
        <v>34086.0</v>
      </c>
      <c r="B834" s="5" t="s">
        <v>49</v>
      </c>
      <c r="C834" s="52" t="s">
        <v>50</v>
      </c>
      <c r="D834" s="5" t="s">
        <v>2852</v>
      </c>
      <c r="E834" s="7" t="s">
        <v>4393</v>
      </c>
      <c r="F834" s="5" t="s">
        <v>4312</v>
      </c>
      <c r="G834" s="5" t="s">
        <v>4351</v>
      </c>
      <c r="H834" s="5">
        <v>2010.0</v>
      </c>
      <c r="I834" s="5">
        <v>0.0</v>
      </c>
      <c r="J834" s="5">
        <v>0.0</v>
      </c>
      <c r="K834" s="5">
        <v>2.0</v>
      </c>
      <c r="L834" s="54"/>
      <c r="M834" s="5" t="s">
        <v>4394</v>
      </c>
      <c r="N834" s="53" t="s">
        <v>3141</v>
      </c>
      <c r="O834">
        <v>36.140751</v>
      </c>
      <c r="P834">
        <v>-5.353585</v>
      </c>
      <c r="Q834" s="5" t="s">
        <v>774</v>
      </c>
      <c r="R834" s="10">
        <f t="shared" si="10"/>
        <v>107</v>
      </c>
      <c r="S834" s="5" t="s">
        <v>4395</v>
      </c>
      <c r="T834" s="6" t="s">
        <v>72</v>
      </c>
      <c r="U834" s="5" t="s">
        <v>4396</v>
      </c>
      <c r="V834" s="5"/>
    </row>
    <row r="835" ht="12.75" customHeight="1">
      <c r="A835" s="5">
        <v>34085.0</v>
      </c>
      <c r="B835" s="5" t="s">
        <v>49</v>
      </c>
      <c r="C835" s="52" t="s">
        <v>50</v>
      </c>
      <c r="D835" s="5" t="s">
        <v>2852</v>
      </c>
      <c r="E835" s="7" t="s">
        <v>4393</v>
      </c>
      <c r="F835" s="5" t="s">
        <v>4312</v>
      </c>
      <c r="G835" s="5" t="s">
        <v>4351</v>
      </c>
      <c r="H835" s="5">
        <v>2010.0</v>
      </c>
      <c r="I835" s="5">
        <v>0.0</v>
      </c>
      <c r="J835" s="5">
        <v>0.0</v>
      </c>
      <c r="K835" s="5">
        <v>8.0</v>
      </c>
      <c r="L835" s="54"/>
      <c r="M835" s="5" t="s">
        <v>4397</v>
      </c>
      <c r="N835" s="53" t="s">
        <v>4342</v>
      </c>
      <c r="O835">
        <v>38.345996</v>
      </c>
      <c r="P835">
        <v>-0.490686</v>
      </c>
      <c r="Q835" s="5" t="s">
        <v>1018</v>
      </c>
      <c r="R835" s="10">
        <f t="shared" si="10"/>
        <v>9</v>
      </c>
      <c r="S835" s="5" t="s">
        <v>4398</v>
      </c>
      <c r="T835" s="6" t="s">
        <v>72</v>
      </c>
      <c r="U835" s="5" t="s">
        <v>4399</v>
      </c>
      <c r="V835" s="5" t="s">
        <v>4400</v>
      </c>
    </row>
    <row r="836" ht="12.75" customHeight="1">
      <c r="A836" s="5">
        <v>34087.0</v>
      </c>
      <c r="B836" s="5" t="s">
        <v>49</v>
      </c>
      <c r="C836" s="52" t="s">
        <v>50</v>
      </c>
      <c r="D836" s="5" t="s">
        <v>2852</v>
      </c>
      <c r="E836" s="7" t="s">
        <v>4393</v>
      </c>
      <c r="F836" s="5" t="s">
        <v>4312</v>
      </c>
      <c r="G836" s="5" t="s">
        <v>4351</v>
      </c>
      <c r="H836" s="5">
        <v>2010.0</v>
      </c>
      <c r="I836" s="5">
        <v>0.0</v>
      </c>
      <c r="J836" s="5">
        <v>0.0</v>
      </c>
      <c r="K836" s="5">
        <v>1.0</v>
      </c>
      <c r="L836" s="54"/>
      <c r="M836" s="5" t="s">
        <v>4401</v>
      </c>
      <c r="N836" s="53" t="s">
        <v>4402</v>
      </c>
      <c r="O836">
        <v>39.557242</v>
      </c>
      <c r="P836">
        <v>2.75807</v>
      </c>
      <c r="Q836" s="5" t="s">
        <v>1096</v>
      </c>
      <c r="R836" s="10">
        <f t="shared" si="10"/>
        <v>1</v>
      </c>
      <c r="S836" s="5" t="s">
        <v>4403</v>
      </c>
      <c r="T836" s="6" t="s">
        <v>72</v>
      </c>
      <c r="U836" s="5" t="s">
        <v>4404</v>
      </c>
      <c r="V836" s="5"/>
    </row>
    <row r="837" ht="12.75" customHeight="1">
      <c r="A837" s="5">
        <v>34088.0</v>
      </c>
      <c r="B837" s="5" t="s">
        <v>49</v>
      </c>
      <c r="C837" s="52" t="s">
        <v>50</v>
      </c>
      <c r="D837" s="5" t="s">
        <v>2852</v>
      </c>
      <c r="E837" s="7" t="s">
        <v>4405</v>
      </c>
      <c r="F837" s="5" t="s">
        <v>4312</v>
      </c>
      <c r="G837" s="5" t="s">
        <v>4351</v>
      </c>
      <c r="H837" s="5">
        <v>2010.0</v>
      </c>
      <c r="I837" s="5">
        <v>0.0</v>
      </c>
      <c r="J837" s="5">
        <v>0.0</v>
      </c>
      <c r="K837" s="5">
        <v>5.0</v>
      </c>
      <c r="L837" s="54"/>
      <c r="M837" s="5" t="s">
        <v>4406</v>
      </c>
      <c r="N837" s="53" t="s">
        <v>3469</v>
      </c>
      <c r="O837">
        <v>37.177336</v>
      </c>
      <c r="P837">
        <v>-3.598557</v>
      </c>
      <c r="Q837" s="5" t="s">
        <v>909</v>
      </c>
      <c r="R837" s="10">
        <f t="shared" si="10"/>
        <v>38</v>
      </c>
      <c r="S837" s="5" t="s">
        <v>4407</v>
      </c>
      <c r="T837" s="6" t="s">
        <v>72</v>
      </c>
      <c r="U837" s="5" t="s">
        <v>4408</v>
      </c>
      <c r="V837" s="5" t="s">
        <v>4409</v>
      </c>
    </row>
    <row r="838" ht="12.75" customHeight="1">
      <c r="A838" s="5">
        <v>34089.0</v>
      </c>
      <c r="B838" s="5" t="s">
        <v>49</v>
      </c>
      <c r="C838" s="52" t="s">
        <v>50</v>
      </c>
      <c r="D838" s="5" t="s">
        <v>2614</v>
      </c>
      <c r="E838" s="7" t="s">
        <v>4410</v>
      </c>
      <c r="F838" s="5" t="s">
        <v>4312</v>
      </c>
      <c r="G838" s="5" t="s">
        <v>4351</v>
      </c>
      <c r="H838" s="5">
        <v>2010.0</v>
      </c>
      <c r="I838" s="5">
        <v>0.0</v>
      </c>
      <c r="J838" s="5">
        <v>0.0</v>
      </c>
      <c r="K838" s="5">
        <v>5.0</v>
      </c>
      <c r="L838" s="54"/>
      <c r="M838" s="5" t="s">
        <v>4411</v>
      </c>
      <c r="N838" s="53" t="s">
        <v>4412</v>
      </c>
      <c r="O838">
        <v>35.696944</v>
      </c>
      <c r="P838">
        <v>-0.633056</v>
      </c>
      <c r="Q838" s="5" t="s">
        <v>690</v>
      </c>
      <c r="R838" s="10">
        <f t="shared" si="10"/>
        <v>120</v>
      </c>
      <c r="S838" s="5" t="s">
        <v>4413</v>
      </c>
      <c r="T838" s="6" t="s">
        <v>72</v>
      </c>
      <c r="U838" s="5" t="s">
        <v>4414</v>
      </c>
      <c r="V838" s="5" t="s">
        <v>4415</v>
      </c>
    </row>
    <row r="839" ht="12.75" customHeight="1">
      <c r="A839" s="5">
        <v>34090.0</v>
      </c>
      <c r="B839" s="5" t="s">
        <v>763</v>
      </c>
      <c r="C839" s="5" t="s">
        <v>124</v>
      </c>
      <c r="D839" s="5" t="s">
        <v>2852</v>
      </c>
      <c r="E839" s="7" t="s">
        <v>4410</v>
      </c>
      <c r="F839" s="5" t="s">
        <v>4312</v>
      </c>
      <c r="G839" s="5" t="s">
        <v>4351</v>
      </c>
      <c r="H839" s="5">
        <v>2010.0</v>
      </c>
      <c r="I839" s="5">
        <v>0.0</v>
      </c>
      <c r="J839" s="5">
        <v>0.0</v>
      </c>
      <c r="K839" s="5">
        <v>1.0</v>
      </c>
      <c r="L839" s="54"/>
      <c r="M839" s="5" t="s">
        <v>4416</v>
      </c>
      <c r="N839" s="53" t="s">
        <v>4195</v>
      </c>
      <c r="O839">
        <v>51.03456</v>
      </c>
      <c r="P839">
        <v>2.375202</v>
      </c>
      <c r="Q839" s="5" t="s">
        <v>1575</v>
      </c>
      <c r="R839" s="10">
        <f t="shared" si="10"/>
        <v>3</v>
      </c>
      <c r="S839" s="5" t="s">
        <v>4417</v>
      </c>
      <c r="T839" s="5"/>
      <c r="U839" s="5" t="s">
        <v>4418</v>
      </c>
      <c r="V839" s="5"/>
    </row>
    <row r="840" ht="12.75" customHeight="1">
      <c r="A840" s="5">
        <v>34091.0</v>
      </c>
      <c r="B840" s="5" t="s">
        <v>98</v>
      </c>
      <c r="C840" s="5" t="s">
        <v>62</v>
      </c>
      <c r="D840" s="5" t="s">
        <v>2614</v>
      </c>
      <c r="E840" s="7" t="s">
        <v>4419</v>
      </c>
      <c r="F840" s="5" t="s">
        <v>4312</v>
      </c>
      <c r="G840" s="5" t="s">
        <v>4351</v>
      </c>
      <c r="H840" s="5">
        <v>2010.0</v>
      </c>
      <c r="I840" s="5">
        <v>0.0</v>
      </c>
      <c r="J840" s="5">
        <v>0.0</v>
      </c>
      <c r="K840" s="5">
        <v>1.0</v>
      </c>
      <c r="L840" s="54"/>
      <c r="M840" s="5" t="s">
        <v>4420</v>
      </c>
      <c r="N840" s="53" t="s">
        <v>4421</v>
      </c>
      <c r="O840">
        <v>36.752887</v>
      </c>
      <c r="P840">
        <v>3.042048</v>
      </c>
      <c r="Q840" s="5" t="s">
        <v>835</v>
      </c>
      <c r="R840" s="10">
        <f t="shared" si="10"/>
        <v>39</v>
      </c>
      <c r="S840" s="5" t="s">
        <v>4422</v>
      </c>
      <c r="T840" s="6" t="s">
        <v>72</v>
      </c>
      <c r="U840" s="5" t="s">
        <v>4423</v>
      </c>
      <c r="V840" s="5" t="s">
        <v>4424</v>
      </c>
    </row>
    <row r="841" ht="12.75" customHeight="1">
      <c r="A841" s="5">
        <v>34092.0</v>
      </c>
      <c r="B841" s="5" t="s">
        <v>49</v>
      </c>
      <c r="C841" s="52" t="s">
        <v>50</v>
      </c>
      <c r="D841" s="5" t="s">
        <v>2852</v>
      </c>
      <c r="E841" s="7" t="s">
        <v>4425</v>
      </c>
      <c r="F841" s="5" t="s">
        <v>4312</v>
      </c>
      <c r="G841" s="5" t="s">
        <v>4351</v>
      </c>
      <c r="H841" s="5">
        <v>2010.0</v>
      </c>
      <c r="I841" s="5">
        <v>0.0</v>
      </c>
      <c r="J841" s="5">
        <v>0.0</v>
      </c>
      <c r="K841" s="5">
        <v>8.0</v>
      </c>
      <c r="L841" s="54"/>
      <c r="M841" s="5" t="s">
        <v>4426</v>
      </c>
      <c r="N841" s="53" t="s">
        <v>3340</v>
      </c>
      <c r="O841">
        <v>37.743215</v>
      </c>
      <c r="P841">
        <v>26.820351</v>
      </c>
      <c r="Q841" s="5" t="s">
        <v>956</v>
      </c>
      <c r="R841" s="10">
        <f t="shared" si="10"/>
        <v>218</v>
      </c>
      <c r="S841" s="5" t="s">
        <v>4427</v>
      </c>
      <c r="T841" s="6" t="s">
        <v>53</v>
      </c>
      <c r="U841" s="5" t="s">
        <v>4428</v>
      </c>
      <c r="V841" s="5" t="s">
        <v>4429</v>
      </c>
    </row>
    <row r="842" ht="12.75" customHeight="1">
      <c r="A842" s="5">
        <v>34093.0</v>
      </c>
      <c r="B842" s="5" t="s">
        <v>41</v>
      </c>
      <c r="C842" s="5" t="s">
        <v>42</v>
      </c>
      <c r="D842" s="5" t="s">
        <v>2614</v>
      </c>
      <c r="E842" s="7" t="s">
        <v>4430</v>
      </c>
      <c r="F842" s="5" t="s">
        <v>4312</v>
      </c>
      <c r="G842" s="5" t="s">
        <v>4431</v>
      </c>
      <c r="H842" s="5">
        <v>2010.0</v>
      </c>
      <c r="I842" s="5">
        <v>0.0</v>
      </c>
      <c r="J842" s="5">
        <v>0.0</v>
      </c>
      <c r="K842" s="5">
        <v>1.0</v>
      </c>
      <c r="L842" s="54"/>
      <c r="M842" s="5" t="s">
        <v>4432</v>
      </c>
      <c r="N842" s="53" t="s">
        <v>2888</v>
      </c>
      <c r="O842">
        <v>24.088938</v>
      </c>
      <c r="P842">
        <v>32.899829</v>
      </c>
      <c r="Q842" s="5" t="s">
        <v>329</v>
      </c>
      <c r="R842" s="10">
        <f t="shared" si="10"/>
        <v>129</v>
      </c>
      <c r="S842" s="5" t="s">
        <v>4433</v>
      </c>
      <c r="T842" s="5"/>
      <c r="U842" s="5" t="s">
        <v>4434</v>
      </c>
      <c r="V842" s="5" t="s">
        <v>4435</v>
      </c>
    </row>
    <row r="843" ht="12.75" customHeight="1">
      <c r="A843" s="5">
        <v>34094.0</v>
      </c>
      <c r="B843" s="5" t="s">
        <v>68</v>
      </c>
      <c r="C843" s="5" t="s">
        <v>69</v>
      </c>
      <c r="D843" s="5" t="s">
        <v>2614</v>
      </c>
      <c r="E843" s="7" t="s">
        <v>4436</v>
      </c>
      <c r="F843" s="5" t="s">
        <v>4312</v>
      </c>
      <c r="G843" s="5" t="s">
        <v>4431</v>
      </c>
      <c r="H843" s="5">
        <v>2010.0</v>
      </c>
      <c r="I843" s="5">
        <v>0.0</v>
      </c>
      <c r="J843" s="5">
        <v>0.0</v>
      </c>
      <c r="K843" s="5">
        <v>1.0</v>
      </c>
      <c r="L843" s="54"/>
      <c r="M843" s="5" t="s">
        <v>4437</v>
      </c>
      <c r="N843" s="53" t="s">
        <v>3340</v>
      </c>
      <c r="O843">
        <v>37.743215</v>
      </c>
      <c r="P843">
        <v>26.820351</v>
      </c>
      <c r="Q843" s="5" t="s">
        <v>956</v>
      </c>
      <c r="R843" s="10">
        <f t="shared" si="10"/>
        <v>218</v>
      </c>
      <c r="S843" s="5" t="s">
        <v>4438</v>
      </c>
      <c r="T843" s="6" t="s">
        <v>53</v>
      </c>
      <c r="U843" s="5" t="s">
        <v>3318</v>
      </c>
      <c r="V843" s="5" t="s">
        <v>4439</v>
      </c>
    </row>
    <row r="844" ht="12.75" customHeight="1">
      <c r="A844" s="5">
        <v>34095.0</v>
      </c>
      <c r="B844" s="5" t="s">
        <v>98</v>
      </c>
      <c r="C844" s="5" t="s">
        <v>62</v>
      </c>
      <c r="D844" s="5" t="s">
        <v>2852</v>
      </c>
      <c r="E844" s="7" t="s">
        <v>4440</v>
      </c>
      <c r="F844" s="5" t="s">
        <v>4312</v>
      </c>
      <c r="G844" s="5" t="s">
        <v>4431</v>
      </c>
      <c r="H844" s="5">
        <v>2010.0</v>
      </c>
      <c r="I844" s="5">
        <v>0.0</v>
      </c>
      <c r="J844" s="5">
        <v>0.0</v>
      </c>
      <c r="K844" s="5">
        <v>1.0</v>
      </c>
      <c r="L844" s="54"/>
      <c r="M844" s="5" t="s">
        <v>4441</v>
      </c>
      <c r="N844" s="53" t="s">
        <v>3131</v>
      </c>
      <c r="O844">
        <v>45.440847</v>
      </c>
      <c r="P844">
        <v>12.315515</v>
      </c>
      <c r="Q844" s="5" t="s">
        <v>1317</v>
      </c>
      <c r="R844" s="10">
        <f t="shared" si="10"/>
        <v>13</v>
      </c>
      <c r="S844" s="5" t="s">
        <v>4442</v>
      </c>
      <c r="T844" s="5"/>
      <c r="U844" s="5" t="s">
        <v>4443</v>
      </c>
      <c r="V844" s="5"/>
    </row>
    <row r="845" ht="12.75" customHeight="1">
      <c r="A845" s="5">
        <v>34096.0</v>
      </c>
      <c r="B845" s="5" t="s">
        <v>1995</v>
      </c>
      <c r="C845" s="52" t="s">
        <v>50</v>
      </c>
      <c r="D845" s="5" t="s">
        <v>2852</v>
      </c>
      <c r="E845" s="7" t="s">
        <v>4444</v>
      </c>
      <c r="F845" s="5" t="s">
        <v>4312</v>
      </c>
      <c r="G845" s="5" t="s">
        <v>4431</v>
      </c>
      <c r="H845" s="5">
        <v>2010.0</v>
      </c>
      <c r="I845" s="5">
        <v>0.0</v>
      </c>
      <c r="J845" s="5">
        <v>0.0</v>
      </c>
      <c r="K845" s="5">
        <v>1.0</v>
      </c>
      <c r="L845" s="54"/>
      <c r="M845" s="5" t="s">
        <v>4445</v>
      </c>
      <c r="N845" s="53" t="s">
        <v>4095</v>
      </c>
      <c r="O845">
        <v>55.378051</v>
      </c>
      <c r="P845">
        <v>-3.435973</v>
      </c>
      <c r="Q845" s="5" t="s">
        <v>1882</v>
      </c>
      <c r="R845" s="10">
        <f t="shared" si="10"/>
        <v>23</v>
      </c>
      <c r="S845" s="5" t="s">
        <v>4446</v>
      </c>
      <c r="T845" s="5"/>
      <c r="U845" s="5" t="s">
        <v>4097</v>
      </c>
      <c r="V845" s="5"/>
    </row>
    <row r="846" ht="12.75" customHeight="1">
      <c r="A846" s="5">
        <v>34162.0</v>
      </c>
      <c r="B846" s="5" t="s">
        <v>2902</v>
      </c>
      <c r="C846" s="5" t="s">
        <v>211</v>
      </c>
      <c r="D846" s="5" t="s">
        <v>2852</v>
      </c>
      <c r="E846" s="7" t="s">
        <v>4447</v>
      </c>
      <c r="F846" s="5" t="s">
        <v>4235</v>
      </c>
      <c r="G846" s="5" t="s">
        <v>4448</v>
      </c>
      <c r="H846" s="5">
        <v>2010.0</v>
      </c>
      <c r="I846" s="5">
        <v>0.0</v>
      </c>
      <c r="J846" s="5">
        <v>0.0</v>
      </c>
      <c r="K846" s="5">
        <v>1.0</v>
      </c>
      <c r="L846" s="54"/>
      <c r="M846" s="5" t="s">
        <v>4449</v>
      </c>
      <c r="N846" s="53" t="s">
        <v>4450</v>
      </c>
      <c r="O846">
        <v>45.465454</v>
      </c>
      <c r="P846">
        <v>9.186516</v>
      </c>
      <c r="Q846" s="5" t="s">
        <v>1322</v>
      </c>
      <c r="R846" s="10">
        <f t="shared" si="10"/>
        <v>3</v>
      </c>
      <c r="S846" s="5" t="s">
        <v>4451</v>
      </c>
      <c r="T846" s="5"/>
      <c r="U846" s="5" t="s">
        <v>4452</v>
      </c>
      <c r="V846" s="5"/>
    </row>
    <row r="847" ht="12.75" customHeight="1">
      <c r="A847" s="5">
        <v>34163.0</v>
      </c>
      <c r="B847" s="5" t="s">
        <v>1076</v>
      </c>
      <c r="C847" s="52" t="s">
        <v>50</v>
      </c>
      <c r="D847" s="5" t="s">
        <v>2852</v>
      </c>
      <c r="E847" s="7" t="s">
        <v>4453</v>
      </c>
      <c r="F847" s="5" t="s">
        <v>4235</v>
      </c>
      <c r="G847" s="5" t="s">
        <v>4448</v>
      </c>
      <c r="H847" s="5">
        <v>2010.0</v>
      </c>
      <c r="I847" s="5">
        <v>0.0</v>
      </c>
      <c r="J847" s="5">
        <v>0.0</v>
      </c>
      <c r="K847" s="5">
        <v>1.0</v>
      </c>
      <c r="L847" s="54"/>
      <c r="M847" s="5" t="s">
        <v>4454</v>
      </c>
      <c r="N847" s="53" t="s">
        <v>2996</v>
      </c>
      <c r="O847">
        <v>43.61583</v>
      </c>
      <c r="P847">
        <v>13.518915</v>
      </c>
      <c r="Q847" s="5" t="s">
        <v>1284</v>
      </c>
      <c r="R847" s="10">
        <f t="shared" si="10"/>
        <v>16</v>
      </c>
      <c r="S847" s="5" t="s">
        <v>4455</v>
      </c>
      <c r="T847" s="5"/>
      <c r="U847" s="5" t="s">
        <v>4456</v>
      </c>
      <c r="V847" s="5" t="s">
        <v>4457</v>
      </c>
    </row>
    <row r="848" ht="12.75" customHeight="1">
      <c r="A848" s="5">
        <v>34165.0</v>
      </c>
      <c r="B848" s="5" t="s">
        <v>98</v>
      </c>
      <c r="C848" s="5" t="s">
        <v>62</v>
      </c>
      <c r="D848" s="5" t="s">
        <v>2852</v>
      </c>
      <c r="E848" s="7" t="s">
        <v>4458</v>
      </c>
      <c r="F848" s="5" t="s">
        <v>4235</v>
      </c>
      <c r="G848" s="5" t="s">
        <v>4448</v>
      </c>
      <c r="H848" s="5">
        <v>2010.0</v>
      </c>
      <c r="I848" s="5">
        <v>0.0</v>
      </c>
      <c r="J848" s="5">
        <v>0.0</v>
      </c>
      <c r="K848" s="5">
        <v>2.0</v>
      </c>
      <c r="L848" s="54"/>
      <c r="M848" s="5" t="s">
        <v>4459</v>
      </c>
      <c r="N848" s="53" t="s">
        <v>2888</v>
      </c>
      <c r="O848">
        <v>24.088938</v>
      </c>
      <c r="P848">
        <v>32.899829</v>
      </c>
      <c r="Q848" s="5" t="s">
        <v>329</v>
      </c>
      <c r="R848" s="10">
        <f t="shared" si="10"/>
        <v>129</v>
      </c>
      <c r="S848" s="5" t="s">
        <v>4460</v>
      </c>
      <c r="T848" s="5"/>
      <c r="U848" s="5" t="s">
        <v>4461</v>
      </c>
      <c r="V848" s="5"/>
    </row>
    <row r="849" ht="12.75" customHeight="1">
      <c r="A849" s="5">
        <v>34164.0</v>
      </c>
      <c r="B849" s="5" t="s">
        <v>98</v>
      </c>
      <c r="C849" s="5" t="s">
        <v>62</v>
      </c>
      <c r="D849" s="5" t="s">
        <v>2852</v>
      </c>
      <c r="E849" s="7" t="s">
        <v>4458</v>
      </c>
      <c r="F849" s="5" t="s">
        <v>4235</v>
      </c>
      <c r="G849" s="5" t="s">
        <v>4448</v>
      </c>
      <c r="H849" s="5">
        <v>2010.0</v>
      </c>
      <c r="I849" s="5">
        <v>0.0</v>
      </c>
      <c r="J849" s="5">
        <v>0.0</v>
      </c>
      <c r="K849" s="5">
        <v>6.0</v>
      </c>
      <c r="L849" s="54"/>
      <c r="M849" s="5" t="s">
        <v>4462</v>
      </c>
      <c r="N849" s="53" t="s">
        <v>2888</v>
      </c>
      <c r="O849">
        <v>24.088938</v>
      </c>
      <c r="P849">
        <v>32.899829</v>
      </c>
      <c r="Q849" s="5" t="s">
        <v>329</v>
      </c>
      <c r="R849" s="10">
        <f t="shared" si="10"/>
        <v>129</v>
      </c>
      <c r="S849" s="5" t="s">
        <v>4460</v>
      </c>
      <c r="T849" s="5"/>
      <c r="U849" s="5" t="s">
        <v>4463</v>
      </c>
      <c r="V849" s="5"/>
    </row>
    <row r="850" ht="12.75" customHeight="1">
      <c r="A850" s="5">
        <v>34167.0</v>
      </c>
      <c r="B850" s="5" t="s">
        <v>98</v>
      </c>
      <c r="C850" s="5" t="s">
        <v>62</v>
      </c>
      <c r="D850" s="5" t="s">
        <v>2852</v>
      </c>
      <c r="E850" s="7" t="s">
        <v>4464</v>
      </c>
      <c r="F850" s="5" t="s">
        <v>4235</v>
      </c>
      <c r="G850" s="5" t="s">
        <v>4448</v>
      </c>
      <c r="H850" s="5">
        <v>2010.0</v>
      </c>
      <c r="I850" s="5">
        <v>0.0</v>
      </c>
      <c r="J850" s="5">
        <v>0.0</v>
      </c>
      <c r="K850" s="5">
        <v>1.0</v>
      </c>
      <c r="L850" s="54"/>
      <c r="M850" s="5" t="s">
        <v>4465</v>
      </c>
      <c r="N850" s="53" t="s">
        <v>4466</v>
      </c>
      <c r="O850">
        <v>34.528455</v>
      </c>
      <c r="P850">
        <v>69.171703</v>
      </c>
      <c r="Q850" s="5" t="s">
        <v>579</v>
      </c>
      <c r="R850" s="10">
        <f t="shared" si="10"/>
        <v>1</v>
      </c>
      <c r="S850" s="5" t="s">
        <v>4467</v>
      </c>
      <c r="T850" s="5"/>
      <c r="U850" s="5" t="s">
        <v>4468</v>
      </c>
      <c r="V850" s="5"/>
    </row>
    <row r="851" ht="12.75" customHeight="1">
      <c r="A851" s="5">
        <v>34166.0</v>
      </c>
      <c r="B851" s="5" t="s">
        <v>68</v>
      </c>
      <c r="C851" s="5" t="s">
        <v>69</v>
      </c>
      <c r="D851" s="5" t="s">
        <v>2852</v>
      </c>
      <c r="E851" s="7" t="s">
        <v>4464</v>
      </c>
      <c r="F851" s="5" t="s">
        <v>4235</v>
      </c>
      <c r="G851" s="5" t="s">
        <v>4448</v>
      </c>
      <c r="H851" s="5">
        <v>2010.0</v>
      </c>
      <c r="I851" s="5">
        <v>0.0</v>
      </c>
      <c r="J851" s="5">
        <v>0.0</v>
      </c>
      <c r="K851" s="5">
        <v>3.0</v>
      </c>
      <c r="L851" s="54"/>
      <c r="M851" s="5" t="s">
        <v>4469</v>
      </c>
      <c r="N851" s="53" t="s">
        <v>4470</v>
      </c>
      <c r="O851">
        <v>35.950486</v>
      </c>
      <c r="P851">
        <v>-3.035088</v>
      </c>
      <c r="Q851" s="5" t="s">
        <v>743</v>
      </c>
      <c r="R851" s="10">
        <f t="shared" si="10"/>
        <v>10</v>
      </c>
      <c r="S851" s="5" t="s">
        <v>4471</v>
      </c>
      <c r="T851" s="6" t="s">
        <v>72</v>
      </c>
      <c r="U851" s="5" t="s">
        <v>3933</v>
      </c>
      <c r="V851" s="5"/>
    </row>
    <row r="852" ht="12.75" customHeight="1">
      <c r="A852" s="5">
        <v>34168.0</v>
      </c>
      <c r="B852" s="5" t="s">
        <v>49</v>
      </c>
      <c r="C852" s="52" t="s">
        <v>50</v>
      </c>
      <c r="D852" s="5" t="s">
        <v>2852</v>
      </c>
      <c r="E852" s="7" t="s">
        <v>4472</v>
      </c>
      <c r="F852" s="5" t="s">
        <v>4235</v>
      </c>
      <c r="G852" s="5" t="s">
        <v>4448</v>
      </c>
      <c r="H852" s="5">
        <v>2010.0</v>
      </c>
      <c r="I852" s="5">
        <v>0.0</v>
      </c>
      <c r="J852" s="5">
        <v>0.0</v>
      </c>
      <c r="K852" s="5">
        <v>1.0</v>
      </c>
      <c r="L852" s="54"/>
      <c r="M852" s="5" t="s">
        <v>4473</v>
      </c>
      <c r="N852" s="53" t="s">
        <v>4105</v>
      </c>
      <c r="O852">
        <v>39.02001</v>
      </c>
      <c r="P852">
        <v>1.482148</v>
      </c>
      <c r="Q852" s="5" t="s">
        <v>1056</v>
      </c>
      <c r="R852" s="10">
        <f t="shared" si="10"/>
        <v>5</v>
      </c>
      <c r="S852" s="5" t="s">
        <v>4474</v>
      </c>
      <c r="T852" s="6" t="s">
        <v>72</v>
      </c>
      <c r="U852" s="5" t="s">
        <v>4475</v>
      </c>
      <c r="V852" s="5"/>
    </row>
    <row r="853" ht="12.75" customHeight="1">
      <c r="A853" s="5">
        <v>34171.0</v>
      </c>
      <c r="B853" s="5" t="s">
        <v>68</v>
      </c>
      <c r="C853" s="5" t="s">
        <v>69</v>
      </c>
      <c r="D853" s="5" t="s">
        <v>2852</v>
      </c>
      <c r="E853" s="7" t="s">
        <v>4476</v>
      </c>
      <c r="F853" s="5" t="s">
        <v>4235</v>
      </c>
      <c r="G853" s="5" t="s">
        <v>4448</v>
      </c>
      <c r="H853" s="5">
        <v>2010.0</v>
      </c>
      <c r="I853" s="5">
        <v>0.0</v>
      </c>
      <c r="J853" s="5">
        <v>0.0</v>
      </c>
      <c r="K853" s="5">
        <v>1.0</v>
      </c>
      <c r="L853" s="54"/>
      <c r="M853" s="5" t="s">
        <v>4477</v>
      </c>
      <c r="N853" s="53" t="s">
        <v>2733</v>
      </c>
      <c r="O853">
        <v>39.308771</v>
      </c>
      <c r="P853">
        <v>16.346379</v>
      </c>
      <c r="Q853" s="5" t="s">
        <v>1075</v>
      </c>
      <c r="R853" s="10">
        <f t="shared" si="10"/>
        <v>57</v>
      </c>
      <c r="S853" s="5" t="s">
        <v>4478</v>
      </c>
      <c r="T853" s="6" t="s">
        <v>1963</v>
      </c>
      <c r="U853" s="5" t="s">
        <v>4059</v>
      </c>
      <c r="V853" s="5"/>
    </row>
    <row r="854" ht="12.75" customHeight="1">
      <c r="A854" s="5">
        <v>34169.0</v>
      </c>
      <c r="B854" s="5" t="s">
        <v>68</v>
      </c>
      <c r="C854" s="5" t="s">
        <v>69</v>
      </c>
      <c r="D854" s="5" t="s">
        <v>2852</v>
      </c>
      <c r="E854" s="7" t="s">
        <v>4476</v>
      </c>
      <c r="F854" s="5" t="s">
        <v>4235</v>
      </c>
      <c r="G854" s="5" t="s">
        <v>4448</v>
      </c>
      <c r="H854" s="5">
        <v>2010.0</v>
      </c>
      <c r="I854" s="5">
        <v>0.0</v>
      </c>
      <c r="J854" s="5">
        <v>0.0</v>
      </c>
      <c r="K854" s="5">
        <v>1.0</v>
      </c>
      <c r="L854" s="54"/>
      <c r="M854" s="5" t="s">
        <v>4479</v>
      </c>
      <c r="N854" s="53" t="s">
        <v>2733</v>
      </c>
      <c r="O854">
        <v>39.308771</v>
      </c>
      <c r="P854">
        <v>16.346379</v>
      </c>
      <c r="Q854" s="5" t="s">
        <v>1075</v>
      </c>
      <c r="R854" s="10">
        <f t="shared" si="10"/>
        <v>57</v>
      </c>
      <c r="S854" s="5" t="s">
        <v>4478</v>
      </c>
      <c r="T854" s="6" t="s">
        <v>1963</v>
      </c>
      <c r="U854" s="5" t="s">
        <v>4059</v>
      </c>
      <c r="V854" s="5"/>
    </row>
    <row r="855" ht="12.75" customHeight="1">
      <c r="A855" s="5">
        <v>34170.0</v>
      </c>
      <c r="B855" s="5" t="s">
        <v>49</v>
      </c>
      <c r="C855" s="52" t="s">
        <v>50</v>
      </c>
      <c r="D855" s="5" t="s">
        <v>2852</v>
      </c>
      <c r="E855" s="7" t="s">
        <v>4476</v>
      </c>
      <c r="F855" s="5" t="s">
        <v>4235</v>
      </c>
      <c r="G855" s="5" t="s">
        <v>4448</v>
      </c>
      <c r="H855" s="5">
        <v>2010.0</v>
      </c>
      <c r="I855" s="5">
        <v>0.0</v>
      </c>
      <c r="J855" s="5">
        <v>0.0</v>
      </c>
      <c r="K855" s="5">
        <v>1.0</v>
      </c>
      <c r="L855" s="54"/>
      <c r="M855" s="5" t="s">
        <v>4480</v>
      </c>
      <c r="N855" s="53" t="s">
        <v>3328</v>
      </c>
      <c r="O855">
        <v>48.856614</v>
      </c>
      <c r="P855">
        <v>2.352222</v>
      </c>
      <c r="Q855" s="5" t="s">
        <v>3329</v>
      </c>
      <c r="R855" s="10">
        <f t="shared" si="10"/>
        <v>30</v>
      </c>
      <c r="S855" s="5" t="s">
        <v>4481</v>
      </c>
      <c r="T855" s="5"/>
      <c r="U855" s="5" t="s">
        <v>4482</v>
      </c>
      <c r="V855" s="5"/>
    </row>
    <row r="856" ht="12.75" customHeight="1">
      <c r="A856" s="5">
        <v>34174.0</v>
      </c>
      <c r="B856" s="5" t="s">
        <v>49</v>
      </c>
      <c r="C856" s="52" t="s">
        <v>50</v>
      </c>
      <c r="D856" s="5" t="s">
        <v>2852</v>
      </c>
      <c r="E856" s="7" t="s">
        <v>4483</v>
      </c>
      <c r="F856" s="5" t="s">
        <v>4235</v>
      </c>
      <c r="G856" s="5" t="s">
        <v>4448</v>
      </c>
      <c r="H856" s="5">
        <v>2010.0</v>
      </c>
      <c r="I856" s="5">
        <v>0.0</v>
      </c>
      <c r="J856" s="5">
        <v>0.0</v>
      </c>
      <c r="K856" s="5">
        <v>3.0</v>
      </c>
      <c r="L856" s="54"/>
      <c r="M856" s="5" t="s">
        <v>4484</v>
      </c>
      <c r="N856" s="53" t="s">
        <v>2834</v>
      </c>
      <c r="O856">
        <v>41.244376</v>
      </c>
      <c r="P856">
        <v>26.135943</v>
      </c>
      <c r="Q856" s="5" t="s">
        <v>1214</v>
      </c>
      <c r="R856" s="10">
        <f t="shared" si="10"/>
        <v>188</v>
      </c>
      <c r="S856" s="5" t="s">
        <v>4485</v>
      </c>
      <c r="T856" s="6" t="s">
        <v>53</v>
      </c>
      <c r="U856" s="5" t="s">
        <v>4175</v>
      </c>
      <c r="V856" s="5"/>
    </row>
    <row r="857" ht="12.75" customHeight="1">
      <c r="A857" s="5">
        <v>34173.0</v>
      </c>
      <c r="B857" s="5" t="s">
        <v>49</v>
      </c>
      <c r="C857" s="52" t="s">
        <v>50</v>
      </c>
      <c r="D857" s="5" t="s">
        <v>2852</v>
      </c>
      <c r="E857" s="7" t="s">
        <v>4483</v>
      </c>
      <c r="F857" s="5" t="s">
        <v>4235</v>
      </c>
      <c r="G857" s="5" t="s">
        <v>4448</v>
      </c>
      <c r="H857" s="5">
        <v>2010.0</v>
      </c>
      <c r="I857" s="5">
        <v>0.0</v>
      </c>
      <c r="J857" s="5">
        <v>0.0</v>
      </c>
      <c r="K857" s="5">
        <v>8.0</v>
      </c>
      <c r="L857" s="54"/>
      <c r="M857" s="5" t="s">
        <v>4486</v>
      </c>
      <c r="N857" s="53" t="s">
        <v>2834</v>
      </c>
      <c r="O857">
        <v>41.244376</v>
      </c>
      <c r="P857">
        <v>26.135943</v>
      </c>
      <c r="Q857" s="5" t="s">
        <v>1214</v>
      </c>
      <c r="R857" s="10">
        <f t="shared" si="10"/>
        <v>188</v>
      </c>
      <c r="S857" s="5" t="s">
        <v>4485</v>
      </c>
      <c r="T857" s="6" t="s">
        <v>53</v>
      </c>
      <c r="U857" s="5" t="s">
        <v>4175</v>
      </c>
      <c r="V857" s="5"/>
    </row>
    <row r="858" ht="12.75" customHeight="1">
      <c r="A858" s="5">
        <v>34172.0</v>
      </c>
      <c r="B858" s="5" t="s">
        <v>49</v>
      </c>
      <c r="C858" s="52" t="s">
        <v>50</v>
      </c>
      <c r="D858" s="5" t="s">
        <v>2852</v>
      </c>
      <c r="E858" s="7" t="s">
        <v>4483</v>
      </c>
      <c r="F858" s="5" t="s">
        <v>4235</v>
      </c>
      <c r="G858" s="5" t="s">
        <v>4448</v>
      </c>
      <c r="H858" s="5">
        <v>2010.0</v>
      </c>
      <c r="I858" s="5">
        <v>0.0</v>
      </c>
      <c r="J858" s="5">
        <v>0.0</v>
      </c>
      <c r="K858" s="5">
        <v>5.0</v>
      </c>
      <c r="L858" s="54"/>
      <c r="M858" s="5" t="s">
        <v>4487</v>
      </c>
      <c r="N858" s="53" t="s">
        <v>2834</v>
      </c>
      <c r="O858">
        <v>41.244376</v>
      </c>
      <c r="P858">
        <v>26.135943</v>
      </c>
      <c r="Q858" s="5" t="s">
        <v>1214</v>
      </c>
      <c r="R858" s="10">
        <f t="shared" si="10"/>
        <v>188</v>
      </c>
      <c r="S858" s="5" t="s">
        <v>4485</v>
      </c>
      <c r="T858" s="6" t="s">
        <v>53</v>
      </c>
      <c r="U858" s="5" t="s">
        <v>4488</v>
      </c>
      <c r="V858" s="5"/>
    </row>
    <row r="859" ht="12.75" customHeight="1">
      <c r="A859" s="5">
        <v>34175.0</v>
      </c>
      <c r="B859" s="5" t="s">
        <v>49</v>
      </c>
      <c r="C859" s="52" t="s">
        <v>50</v>
      </c>
      <c r="D859" s="5" t="s">
        <v>2852</v>
      </c>
      <c r="E859" s="7" t="s">
        <v>4489</v>
      </c>
      <c r="F859" s="5" t="s">
        <v>4235</v>
      </c>
      <c r="G859" s="5" t="s">
        <v>4448</v>
      </c>
      <c r="H859" s="5">
        <v>2010.0</v>
      </c>
      <c r="I859" s="5">
        <v>0.0</v>
      </c>
      <c r="J859" s="5">
        <v>0.0</v>
      </c>
      <c r="K859" s="5">
        <v>1.0</v>
      </c>
      <c r="L859" s="54"/>
      <c r="M859" s="5" t="s">
        <v>4490</v>
      </c>
      <c r="N859" s="53" t="s">
        <v>3340</v>
      </c>
      <c r="O859">
        <v>37.743215</v>
      </c>
      <c r="P859">
        <v>26.820351</v>
      </c>
      <c r="Q859" s="5" t="s">
        <v>956</v>
      </c>
      <c r="R859" s="10">
        <f t="shared" si="10"/>
        <v>218</v>
      </c>
      <c r="S859" s="5" t="s">
        <v>4491</v>
      </c>
      <c r="T859" s="6" t="s">
        <v>53</v>
      </c>
      <c r="U859" s="5" t="s">
        <v>4492</v>
      </c>
      <c r="V859" s="5"/>
    </row>
    <row r="860" ht="12.75" customHeight="1">
      <c r="A860" s="5">
        <v>34176.0</v>
      </c>
      <c r="B860" s="5" t="s">
        <v>2902</v>
      </c>
      <c r="C860" s="5" t="s">
        <v>211</v>
      </c>
      <c r="D860" s="5" t="s">
        <v>2852</v>
      </c>
      <c r="E860" s="7" t="s">
        <v>4493</v>
      </c>
      <c r="F860" s="5" t="s">
        <v>4235</v>
      </c>
      <c r="G860" s="5" t="s">
        <v>4448</v>
      </c>
      <c r="H860" s="5">
        <v>2010.0</v>
      </c>
      <c r="I860" s="5">
        <v>0.0</v>
      </c>
      <c r="J860" s="5">
        <v>0.0</v>
      </c>
      <c r="K860" s="5">
        <v>1.0</v>
      </c>
      <c r="L860" s="54"/>
      <c r="M860" s="5" t="s">
        <v>4494</v>
      </c>
      <c r="N860" s="53" t="s">
        <v>4495</v>
      </c>
      <c r="O860">
        <v>60.128161</v>
      </c>
      <c r="P860">
        <v>18.643501</v>
      </c>
      <c r="Q860" s="5" t="s">
        <v>1915</v>
      </c>
      <c r="R860" s="10">
        <f t="shared" si="10"/>
        <v>5</v>
      </c>
      <c r="S860" s="5" t="s">
        <v>4496</v>
      </c>
      <c r="T860" s="5"/>
      <c r="U860" s="5" t="s">
        <v>4497</v>
      </c>
      <c r="V860" s="5"/>
    </row>
    <row r="861" ht="12.75" customHeight="1">
      <c r="A861" s="5">
        <v>34214.0</v>
      </c>
      <c r="B861" s="5" t="s">
        <v>49</v>
      </c>
      <c r="C861" s="52" t="s">
        <v>50</v>
      </c>
      <c r="D861" s="5" t="s">
        <v>2852</v>
      </c>
      <c r="E861" s="7" t="s">
        <v>4498</v>
      </c>
      <c r="F861" s="5" t="s">
        <v>4499</v>
      </c>
      <c r="G861" s="5" t="s">
        <v>4500</v>
      </c>
      <c r="H861" s="5">
        <v>2009.0</v>
      </c>
      <c r="I861" s="5">
        <v>0.0</v>
      </c>
      <c r="J861" s="5">
        <v>0.0</v>
      </c>
      <c r="K861" s="5">
        <v>4.0</v>
      </c>
      <c r="L861" s="54"/>
      <c r="M861" s="5" t="s">
        <v>4501</v>
      </c>
      <c r="N861" s="53" t="s">
        <v>4502</v>
      </c>
      <c r="O861">
        <v>14.497401</v>
      </c>
      <c r="P861">
        <v>-14.452362</v>
      </c>
      <c r="Q861" s="5" t="s">
        <v>258</v>
      </c>
      <c r="R861" s="10">
        <f t="shared" si="10"/>
        <v>200</v>
      </c>
      <c r="S861" s="5" t="s">
        <v>4503</v>
      </c>
      <c r="T861" s="5" t="s">
        <v>1040</v>
      </c>
      <c r="U861" s="5" t="s">
        <v>4504</v>
      </c>
      <c r="V861" s="5"/>
    </row>
    <row r="862" ht="12.75" customHeight="1">
      <c r="A862" s="5">
        <v>34215.0</v>
      </c>
      <c r="B862" s="5" t="s">
        <v>41</v>
      </c>
      <c r="C862" s="5" t="s">
        <v>42</v>
      </c>
      <c r="D862" s="5" t="s">
        <v>2614</v>
      </c>
      <c r="E862" s="7" t="s">
        <v>4505</v>
      </c>
      <c r="F862" s="5" t="s">
        <v>4499</v>
      </c>
      <c r="G862" s="5" t="s">
        <v>4500</v>
      </c>
      <c r="H862" s="5">
        <v>2009.0</v>
      </c>
      <c r="I862" s="5">
        <v>0.0</v>
      </c>
      <c r="J862" s="5">
        <v>0.0</v>
      </c>
      <c r="K862" s="5">
        <v>1.0</v>
      </c>
      <c r="L862" s="54"/>
      <c r="M862" s="5" t="s">
        <v>4506</v>
      </c>
      <c r="N862" s="53" t="s">
        <v>2888</v>
      </c>
      <c r="O862">
        <v>24.088938</v>
      </c>
      <c r="P862">
        <v>32.899829</v>
      </c>
      <c r="Q862" s="5" t="s">
        <v>329</v>
      </c>
      <c r="R862" s="10">
        <f t="shared" si="10"/>
        <v>129</v>
      </c>
      <c r="S862" s="5" t="s">
        <v>4507</v>
      </c>
      <c r="T862" s="5"/>
      <c r="U862" s="5" t="s">
        <v>92</v>
      </c>
      <c r="V862" s="5" t="s">
        <v>4508</v>
      </c>
    </row>
    <row r="863" ht="12.75" customHeight="1">
      <c r="A863" s="5">
        <v>34216.0</v>
      </c>
      <c r="B863" s="5" t="s">
        <v>49</v>
      </c>
      <c r="C863" s="52" t="s">
        <v>50</v>
      </c>
      <c r="D863" s="5" t="s">
        <v>2852</v>
      </c>
      <c r="E863" s="7" t="s">
        <v>4509</v>
      </c>
      <c r="F863" s="5" t="s">
        <v>4499</v>
      </c>
      <c r="G863" s="5" t="s">
        <v>4500</v>
      </c>
      <c r="H863" s="5">
        <v>2009.0</v>
      </c>
      <c r="I863" s="5">
        <v>0.0</v>
      </c>
      <c r="J863" s="5">
        <v>0.0</v>
      </c>
      <c r="K863" s="5">
        <v>28.0</v>
      </c>
      <c r="L863" s="54"/>
      <c r="M863" s="5" t="s">
        <v>4510</v>
      </c>
      <c r="N863" s="53" t="s">
        <v>4511</v>
      </c>
      <c r="O863">
        <v>35.913676</v>
      </c>
      <c r="P863">
        <v>-5.418174</v>
      </c>
      <c r="Q863" s="5" t="s">
        <v>732</v>
      </c>
      <c r="R863" s="10">
        <f t="shared" si="10"/>
        <v>28</v>
      </c>
      <c r="S863" s="5" t="s">
        <v>4512</v>
      </c>
      <c r="T863" s="6" t="s">
        <v>72</v>
      </c>
      <c r="U863" s="5" t="s">
        <v>4513</v>
      </c>
      <c r="V863" s="5" t="s">
        <v>4514</v>
      </c>
    </row>
    <row r="864" ht="12.75" customHeight="1">
      <c r="A864" s="5">
        <v>34217.0</v>
      </c>
      <c r="B864" s="5" t="s">
        <v>41</v>
      </c>
      <c r="C864" s="5" t="s">
        <v>42</v>
      </c>
      <c r="D864" s="5" t="s">
        <v>2614</v>
      </c>
      <c r="E864" s="7" t="s">
        <v>4515</v>
      </c>
      <c r="F864" s="5" t="s">
        <v>4499</v>
      </c>
      <c r="G864" s="5" t="s">
        <v>4500</v>
      </c>
      <c r="H864" s="5">
        <v>2009.0</v>
      </c>
      <c r="I864" s="5">
        <v>0.0</v>
      </c>
      <c r="J864" s="5">
        <v>0.0</v>
      </c>
      <c r="K864" s="5">
        <v>2.0</v>
      </c>
      <c r="L864" s="54"/>
      <c r="M864" s="5" t="s">
        <v>4516</v>
      </c>
      <c r="N864" s="53" t="s">
        <v>2888</v>
      </c>
      <c r="O864">
        <v>24.088938</v>
      </c>
      <c r="P864">
        <v>32.899829</v>
      </c>
      <c r="Q864" s="5" t="s">
        <v>329</v>
      </c>
      <c r="R864" s="10">
        <f t="shared" si="10"/>
        <v>129</v>
      </c>
      <c r="S864" s="5" t="s">
        <v>4517</v>
      </c>
      <c r="T864" s="5"/>
      <c r="U864" s="5" t="s">
        <v>92</v>
      </c>
      <c r="V864" s="5" t="s">
        <v>4518</v>
      </c>
    </row>
    <row r="865" ht="12.75" customHeight="1">
      <c r="A865" s="5">
        <v>34218.0</v>
      </c>
      <c r="B865" s="5" t="s">
        <v>4264</v>
      </c>
      <c r="C865" s="5" t="s">
        <v>211</v>
      </c>
      <c r="D865" s="5" t="s">
        <v>2852</v>
      </c>
      <c r="E865" s="7" t="s">
        <v>4519</v>
      </c>
      <c r="F865" s="5" t="s">
        <v>4499</v>
      </c>
      <c r="G865" s="5" t="s">
        <v>4500</v>
      </c>
      <c r="H865" s="5">
        <v>2009.0</v>
      </c>
      <c r="I865" s="5">
        <v>0.0</v>
      </c>
      <c r="J865" s="5">
        <v>0.0</v>
      </c>
      <c r="K865" s="5">
        <v>1.0</v>
      </c>
      <c r="L865" s="54"/>
      <c r="M865" s="5" t="s">
        <v>4520</v>
      </c>
      <c r="N865" s="53" t="s">
        <v>4521</v>
      </c>
      <c r="O865">
        <v>48.208174</v>
      </c>
      <c r="P865">
        <v>16.373819</v>
      </c>
      <c r="Q865" s="5" t="s">
        <v>1410</v>
      </c>
      <c r="R865" s="10">
        <f t="shared" si="10"/>
        <v>6</v>
      </c>
      <c r="S865" s="5" t="s">
        <v>4522</v>
      </c>
      <c r="T865" s="5"/>
      <c r="U865" s="5" t="s">
        <v>4523</v>
      </c>
      <c r="V865" s="5"/>
    </row>
    <row r="866" ht="12.75" customHeight="1">
      <c r="A866" s="5">
        <v>34219.0</v>
      </c>
      <c r="B866" s="5" t="s">
        <v>2921</v>
      </c>
      <c r="C866" s="52" t="s">
        <v>50</v>
      </c>
      <c r="D866" s="5" t="s">
        <v>2852</v>
      </c>
      <c r="E866" s="7" t="s">
        <v>4524</v>
      </c>
      <c r="F866" s="5" t="s">
        <v>4499</v>
      </c>
      <c r="G866" s="5" t="s">
        <v>4500</v>
      </c>
      <c r="H866" s="5">
        <v>2009.0</v>
      </c>
      <c r="I866" s="5">
        <v>0.0</v>
      </c>
      <c r="J866" s="5">
        <v>0.0</v>
      </c>
      <c r="K866" s="5">
        <v>1.0</v>
      </c>
      <c r="L866" s="54"/>
      <c r="M866" s="5" t="s">
        <v>4525</v>
      </c>
      <c r="N866" s="53" t="s">
        <v>4526</v>
      </c>
      <c r="O866">
        <v>35.766667</v>
      </c>
      <c r="P866">
        <v>-5.8</v>
      </c>
      <c r="Q866" s="5" t="s">
        <v>695</v>
      </c>
      <c r="R866" s="10">
        <f t="shared" si="10"/>
        <v>190</v>
      </c>
      <c r="S866" s="5" t="s">
        <v>4527</v>
      </c>
      <c r="T866" s="6" t="s">
        <v>72</v>
      </c>
      <c r="U866" s="5" t="s">
        <v>4528</v>
      </c>
      <c r="V866" s="5"/>
    </row>
    <row r="867" ht="12.75" customHeight="1">
      <c r="A867" s="5">
        <v>34220.0</v>
      </c>
      <c r="B867" s="5" t="s">
        <v>41</v>
      </c>
      <c r="C867" s="5" t="s">
        <v>42</v>
      </c>
      <c r="D867" s="5" t="s">
        <v>2614</v>
      </c>
      <c r="E867" s="7" t="s">
        <v>4529</v>
      </c>
      <c r="F867" s="5" t="s">
        <v>4499</v>
      </c>
      <c r="G867" s="5" t="s">
        <v>4500</v>
      </c>
      <c r="H867" s="5">
        <v>2009.0</v>
      </c>
      <c r="I867" s="5">
        <v>4.0</v>
      </c>
      <c r="J867" s="5">
        <v>0.0</v>
      </c>
      <c r="K867" s="5">
        <v>4.0</v>
      </c>
      <c r="L867" s="54"/>
      <c r="M867" s="5" t="s">
        <v>4530</v>
      </c>
      <c r="N867" s="53" t="s">
        <v>2888</v>
      </c>
      <c r="O867">
        <v>24.088938</v>
      </c>
      <c r="P867">
        <v>32.899829</v>
      </c>
      <c r="Q867" s="5" t="s">
        <v>329</v>
      </c>
      <c r="R867" s="10">
        <f t="shared" si="10"/>
        <v>129</v>
      </c>
      <c r="S867" s="5" t="s">
        <v>4531</v>
      </c>
      <c r="T867" s="5"/>
      <c r="U867" s="5" t="s">
        <v>92</v>
      </c>
      <c r="V867" s="5" t="s">
        <v>4532</v>
      </c>
    </row>
    <row r="868" ht="12.75" customHeight="1">
      <c r="A868" s="5">
        <v>34222.0</v>
      </c>
      <c r="B868" s="5" t="s">
        <v>1555</v>
      </c>
      <c r="C868" s="5" t="s">
        <v>42</v>
      </c>
      <c r="D868" s="5" t="s">
        <v>2852</v>
      </c>
      <c r="E868" s="7" t="s">
        <v>4533</v>
      </c>
      <c r="F868" s="5" t="s">
        <v>4499</v>
      </c>
      <c r="G868" s="5" t="s">
        <v>4500</v>
      </c>
      <c r="H868" s="5">
        <v>2009.0</v>
      </c>
      <c r="I868" s="5">
        <v>0.0</v>
      </c>
      <c r="J868" s="5">
        <v>0.0</v>
      </c>
      <c r="K868" s="5">
        <v>12.0</v>
      </c>
      <c r="L868" s="54"/>
      <c r="M868" s="5" t="s">
        <v>4534</v>
      </c>
      <c r="N868" s="53" t="s">
        <v>4535</v>
      </c>
      <c r="O868">
        <v>32.116667</v>
      </c>
      <c r="P868">
        <v>20.066667</v>
      </c>
      <c r="Q868" s="5" t="s">
        <v>451</v>
      </c>
      <c r="R868" s="10">
        <f t="shared" si="10"/>
        <v>58</v>
      </c>
      <c r="S868" s="5" t="s">
        <v>4536</v>
      </c>
      <c r="T868" s="5"/>
      <c r="U868" s="5" t="s">
        <v>4537</v>
      </c>
      <c r="V868" s="5"/>
    </row>
    <row r="869" ht="12.75" customHeight="1">
      <c r="A869" s="5">
        <v>34221.0</v>
      </c>
      <c r="B869" s="5" t="s">
        <v>1555</v>
      </c>
      <c r="C869" s="5" t="s">
        <v>42</v>
      </c>
      <c r="D869" s="5" t="s">
        <v>2852</v>
      </c>
      <c r="E869" s="7" t="s">
        <v>4533</v>
      </c>
      <c r="F869" s="5" t="s">
        <v>4499</v>
      </c>
      <c r="G869" s="5" t="s">
        <v>4500</v>
      </c>
      <c r="H869" s="5">
        <v>2009.0</v>
      </c>
      <c r="I869" s="5">
        <v>0.0</v>
      </c>
      <c r="J869" s="5">
        <v>0.0</v>
      </c>
      <c r="K869" s="5">
        <v>6.0</v>
      </c>
      <c r="L869" s="54"/>
      <c r="M869" s="5" t="s">
        <v>4538</v>
      </c>
      <c r="N869" s="53" t="s">
        <v>4535</v>
      </c>
      <c r="O869">
        <v>32.116667</v>
      </c>
      <c r="P869">
        <v>20.066667</v>
      </c>
      <c r="Q869" s="5" t="s">
        <v>451</v>
      </c>
      <c r="R869" s="10">
        <f t="shared" si="10"/>
        <v>58</v>
      </c>
      <c r="S869" s="5" t="s">
        <v>4536</v>
      </c>
      <c r="T869" s="5"/>
      <c r="U869" s="5" t="s">
        <v>4537</v>
      </c>
      <c r="V869" s="5"/>
    </row>
    <row r="870" ht="12.75" customHeight="1">
      <c r="A870" s="5">
        <v>34223.0</v>
      </c>
      <c r="B870" s="5" t="s">
        <v>1773</v>
      </c>
      <c r="C870" s="5" t="s">
        <v>124</v>
      </c>
      <c r="D870" s="5" t="s">
        <v>2852</v>
      </c>
      <c r="E870" s="7" t="s">
        <v>4533</v>
      </c>
      <c r="F870" s="5" t="s">
        <v>4499</v>
      </c>
      <c r="G870" s="5" t="s">
        <v>4500</v>
      </c>
      <c r="H870" s="5">
        <v>2009.0</v>
      </c>
      <c r="I870" s="5">
        <v>0.0</v>
      </c>
      <c r="J870" s="5">
        <v>0.0</v>
      </c>
      <c r="K870" s="5">
        <v>1.0</v>
      </c>
      <c r="L870" s="54"/>
      <c r="M870" s="5" t="s">
        <v>4539</v>
      </c>
      <c r="N870" s="53" t="s">
        <v>3846</v>
      </c>
      <c r="O870">
        <v>40.632728</v>
      </c>
      <c r="P870">
        <v>17.941762</v>
      </c>
      <c r="Q870" s="5" t="s">
        <v>1151</v>
      </c>
      <c r="R870" s="10">
        <f t="shared" si="10"/>
        <v>72</v>
      </c>
      <c r="S870" s="5" t="s">
        <v>4540</v>
      </c>
      <c r="T870" s="6" t="s">
        <v>1963</v>
      </c>
      <c r="U870" s="5" t="s">
        <v>4541</v>
      </c>
      <c r="V870" s="5"/>
    </row>
    <row r="871" ht="12.75" customHeight="1">
      <c r="A871" s="5">
        <v>34224.0</v>
      </c>
      <c r="B871" s="5" t="s">
        <v>2962</v>
      </c>
      <c r="C871" s="5" t="s">
        <v>211</v>
      </c>
      <c r="D871" s="5" t="s">
        <v>2852</v>
      </c>
      <c r="E871" s="7" t="s">
        <v>4533</v>
      </c>
      <c r="F871" s="5" t="s">
        <v>4499</v>
      </c>
      <c r="G871" s="5" t="s">
        <v>4500</v>
      </c>
      <c r="H871" s="5">
        <v>2009.0</v>
      </c>
      <c r="I871" s="5">
        <v>0.0</v>
      </c>
      <c r="J871" s="5">
        <v>0.0</v>
      </c>
      <c r="K871" s="5">
        <v>1.0</v>
      </c>
      <c r="L871" s="54"/>
      <c r="M871" s="5" t="s">
        <v>4542</v>
      </c>
      <c r="N871" s="53" t="s">
        <v>4543</v>
      </c>
      <c r="O871">
        <v>54.999424</v>
      </c>
      <c r="P871">
        <v>-1.427406</v>
      </c>
      <c r="Q871" s="5" t="s">
        <v>1878</v>
      </c>
      <c r="R871" s="10">
        <f t="shared" si="10"/>
        <v>1</v>
      </c>
      <c r="S871" s="5" t="s">
        <v>4544</v>
      </c>
      <c r="T871" s="5"/>
      <c r="U871" s="5" t="s">
        <v>4545</v>
      </c>
      <c r="V871" s="5"/>
    </row>
    <row r="872" ht="12.75" customHeight="1">
      <c r="A872" s="5">
        <v>34225.0</v>
      </c>
      <c r="B872" s="5" t="s">
        <v>41</v>
      </c>
      <c r="C872" s="5" t="s">
        <v>42</v>
      </c>
      <c r="D872" s="5" t="s">
        <v>2614</v>
      </c>
      <c r="E872" s="7" t="s">
        <v>4546</v>
      </c>
      <c r="F872" s="5" t="s">
        <v>4499</v>
      </c>
      <c r="G872" s="5" t="s">
        <v>4547</v>
      </c>
      <c r="H872" s="5">
        <v>2009.0</v>
      </c>
      <c r="I872" s="5">
        <v>0.0</v>
      </c>
      <c r="J872" s="5">
        <v>0.0</v>
      </c>
      <c r="K872" s="5">
        <v>1.0</v>
      </c>
      <c r="L872" s="54"/>
      <c r="M872" s="5" t="s">
        <v>4548</v>
      </c>
      <c r="N872" s="53" t="s">
        <v>2888</v>
      </c>
      <c r="O872">
        <v>24.088938</v>
      </c>
      <c r="P872">
        <v>32.899829</v>
      </c>
      <c r="Q872" s="5" t="s">
        <v>329</v>
      </c>
      <c r="R872" s="10">
        <f t="shared" si="10"/>
        <v>129</v>
      </c>
      <c r="S872" s="5" t="s">
        <v>4549</v>
      </c>
      <c r="T872" s="5"/>
      <c r="U872" s="5" t="s">
        <v>92</v>
      </c>
      <c r="V872" s="5" t="s">
        <v>4550</v>
      </c>
    </row>
    <row r="873" ht="12.75" customHeight="1">
      <c r="A873" s="5">
        <v>34226.0</v>
      </c>
      <c r="B873" s="5" t="s">
        <v>2007</v>
      </c>
      <c r="C873" s="5" t="s">
        <v>124</v>
      </c>
      <c r="D873" s="5" t="s">
        <v>2852</v>
      </c>
      <c r="E873" s="7" t="s">
        <v>4546</v>
      </c>
      <c r="F873" s="5" t="s">
        <v>4499</v>
      </c>
      <c r="G873" s="5" t="s">
        <v>4547</v>
      </c>
      <c r="H873" s="5">
        <v>2009.0</v>
      </c>
      <c r="I873" s="5">
        <v>0.0</v>
      </c>
      <c r="J873" s="5">
        <v>0.0</v>
      </c>
      <c r="K873" s="5">
        <v>3.0</v>
      </c>
      <c r="L873" s="54"/>
      <c r="M873" s="5" t="s">
        <v>4551</v>
      </c>
      <c r="N873" s="53" t="s">
        <v>2996</v>
      </c>
      <c r="O873">
        <v>43.61583</v>
      </c>
      <c r="P873">
        <v>13.518915</v>
      </c>
      <c r="Q873" s="5" t="s">
        <v>1284</v>
      </c>
      <c r="R873" s="10">
        <f t="shared" si="10"/>
        <v>16</v>
      </c>
      <c r="S873" s="5" t="s">
        <v>4552</v>
      </c>
      <c r="T873" s="5"/>
      <c r="U873" s="5" t="s">
        <v>4553</v>
      </c>
      <c r="V873" s="5"/>
    </row>
    <row r="874" ht="12.75" customHeight="1">
      <c r="A874" s="5">
        <v>34227.0</v>
      </c>
      <c r="B874" s="5" t="s">
        <v>68</v>
      </c>
      <c r="C874" s="5" t="s">
        <v>69</v>
      </c>
      <c r="D874" s="5" t="s">
        <v>2852</v>
      </c>
      <c r="E874" s="7" t="s">
        <v>4554</v>
      </c>
      <c r="F874" s="5" t="s">
        <v>4499</v>
      </c>
      <c r="G874" s="5" t="s">
        <v>4547</v>
      </c>
      <c r="H874" s="5">
        <v>2009.0</v>
      </c>
      <c r="I874" s="5">
        <v>0.0</v>
      </c>
      <c r="J874" s="5">
        <v>0.0</v>
      </c>
      <c r="K874" s="5">
        <v>1.0</v>
      </c>
      <c r="L874" s="54"/>
      <c r="M874" s="5" t="s">
        <v>4555</v>
      </c>
      <c r="N874" s="53" t="s">
        <v>4556</v>
      </c>
      <c r="O874">
        <v>28.291564</v>
      </c>
      <c r="P874">
        <v>-16.62913</v>
      </c>
      <c r="Q874" s="5" t="s">
        <v>382</v>
      </c>
      <c r="R874" s="10">
        <f t="shared" si="10"/>
        <v>1120</v>
      </c>
      <c r="S874" s="5" t="s">
        <v>4557</v>
      </c>
      <c r="T874" s="5" t="s">
        <v>1040</v>
      </c>
      <c r="U874" s="5" t="s">
        <v>4558</v>
      </c>
      <c r="V874" s="5" t="s">
        <v>4559</v>
      </c>
    </row>
    <row r="875" ht="12.75" customHeight="1">
      <c r="A875" s="5">
        <v>34228.0</v>
      </c>
      <c r="B875" s="5" t="s">
        <v>49</v>
      </c>
      <c r="C875" s="52" t="s">
        <v>50</v>
      </c>
      <c r="D875" s="5" t="s">
        <v>2852</v>
      </c>
      <c r="E875" s="7" t="s">
        <v>4560</v>
      </c>
      <c r="F875" s="5" t="s">
        <v>4499</v>
      </c>
      <c r="G875" s="5" t="s">
        <v>4547</v>
      </c>
      <c r="H875" s="5">
        <v>2009.0</v>
      </c>
      <c r="I875" s="5">
        <v>0.0</v>
      </c>
      <c r="J875" s="5">
        <v>0.0</v>
      </c>
      <c r="K875" s="5">
        <v>1.0</v>
      </c>
      <c r="L875" s="54"/>
      <c r="M875" s="5" t="s">
        <v>4561</v>
      </c>
      <c r="N875" s="53" t="s">
        <v>4562</v>
      </c>
      <c r="O875">
        <v>-8.783195</v>
      </c>
      <c r="P875">
        <v>34.508523</v>
      </c>
      <c r="Q875" s="5" t="s">
        <v>232</v>
      </c>
      <c r="R875" s="10">
        <f t="shared" si="10"/>
        <v>21</v>
      </c>
      <c r="S875" s="5" t="s">
        <v>4563</v>
      </c>
      <c r="T875" s="6" t="s">
        <v>2130</v>
      </c>
      <c r="U875" s="5" t="s">
        <v>4564</v>
      </c>
      <c r="V875" s="5" t="s">
        <v>4565</v>
      </c>
    </row>
    <row r="876" ht="12.75" customHeight="1">
      <c r="A876" s="5">
        <v>34229.0</v>
      </c>
      <c r="B876" s="5" t="s">
        <v>49</v>
      </c>
      <c r="C876" s="52" t="s">
        <v>50</v>
      </c>
      <c r="D876" s="5" t="s">
        <v>2614</v>
      </c>
      <c r="E876" s="7" t="s">
        <v>4566</v>
      </c>
      <c r="F876" s="5" t="s">
        <v>4499</v>
      </c>
      <c r="G876" s="5" t="s">
        <v>4547</v>
      </c>
      <c r="H876" s="5">
        <v>2009.0</v>
      </c>
      <c r="I876" s="5">
        <v>0.0</v>
      </c>
      <c r="J876" s="5">
        <v>0.0</v>
      </c>
      <c r="K876" s="5">
        <v>1.0</v>
      </c>
      <c r="L876" s="54"/>
      <c r="M876" s="5" t="s">
        <v>4567</v>
      </c>
      <c r="N876" s="53" t="s">
        <v>2938</v>
      </c>
      <c r="O876">
        <v>35.937496</v>
      </c>
      <c r="P876">
        <v>14.375416</v>
      </c>
      <c r="Q876" s="5" t="s">
        <v>740</v>
      </c>
      <c r="R876" s="10">
        <f t="shared" si="10"/>
        <v>655</v>
      </c>
      <c r="S876" s="5" t="s">
        <v>4568</v>
      </c>
      <c r="T876" s="6" t="s">
        <v>2130</v>
      </c>
      <c r="U876" s="5" t="s">
        <v>2326</v>
      </c>
      <c r="V876" s="5" t="s">
        <v>4569</v>
      </c>
    </row>
    <row r="877" ht="12.75" customHeight="1">
      <c r="A877" s="5">
        <v>34230.0</v>
      </c>
      <c r="B877" s="5" t="s">
        <v>2962</v>
      </c>
      <c r="C877" s="5" t="s">
        <v>211</v>
      </c>
      <c r="D877" s="5" t="s">
        <v>2852</v>
      </c>
      <c r="E877" s="7" t="s">
        <v>4570</v>
      </c>
      <c r="F877" s="5" t="s">
        <v>4499</v>
      </c>
      <c r="G877" s="5" t="s">
        <v>4547</v>
      </c>
      <c r="H877" s="5">
        <v>2009.0</v>
      </c>
      <c r="I877" s="5">
        <v>0.0</v>
      </c>
      <c r="J877" s="5">
        <v>0.0</v>
      </c>
      <c r="K877" s="5">
        <v>1.0</v>
      </c>
      <c r="L877" s="54"/>
      <c r="M877" s="5" t="s">
        <v>4571</v>
      </c>
      <c r="N877" s="53" t="s">
        <v>4572</v>
      </c>
      <c r="O877">
        <v>49.45203</v>
      </c>
      <c r="P877">
        <v>11.07675</v>
      </c>
      <c r="Q877" s="5" t="s">
        <v>1465</v>
      </c>
      <c r="R877" s="10">
        <f t="shared" si="10"/>
        <v>2</v>
      </c>
      <c r="S877" s="5" t="s">
        <v>4573</v>
      </c>
      <c r="T877" s="5"/>
      <c r="U877" s="5" t="s">
        <v>3219</v>
      </c>
      <c r="V877" s="5"/>
    </row>
    <row r="878" ht="12.75" customHeight="1">
      <c r="A878" s="5">
        <v>34231.0</v>
      </c>
      <c r="B878" s="5" t="s">
        <v>2902</v>
      </c>
      <c r="C878" s="5" t="s">
        <v>211</v>
      </c>
      <c r="D878" s="5" t="s">
        <v>2852</v>
      </c>
      <c r="E878" s="7" t="s">
        <v>4574</v>
      </c>
      <c r="F878" s="5" t="s">
        <v>4499</v>
      </c>
      <c r="G878" s="5" t="s">
        <v>4547</v>
      </c>
      <c r="H878" s="5">
        <v>2009.0</v>
      </c>
      <c r="I878" s="5">
        <v>0.0</v>
      </c>
      <c r="J878" s="5">
        <v>0.0</v>
      </c>
      <c r="K878" s="5">
        <v>1.0</v>
      </c>
      <c r="L878" s="54"/>
      <c r="M878" s="5" t="s">
        <v>4575</v>
      </c>
      <c r="N878" s="53" t="s">
        <v>4576</v>
      </c>
      <c r="O878">
        <v>50.985315</v>
      </c>
      <c r="P878">
        <v>12.974056</v>
      </c>
      <c r="Q878" s="5" t="s">
        <v>1564</v>
      </c>
      <c r="R878" s="10">
        <f t="shared" si="10"/>
        <v>1</v>
      </c>
      <c r="S878" s="5" t="s">
        <v>4577</v>
      </c>
      <c r="T878" s="5"/>
      <c r="U878" s="5" t="s">
        <v>4578</v>
      </c>
      <c r="V878" s="5"/>
    </row>
    <row r="879" ht="12.75" customHeight="1">
      <c r="A879" s="5">
        <v>34232.0</v>
      </c>
      <c r="B879" s="5" t="s">
        <v>68</v>
      </c>
      <c r="C879" s="5" t="s">
        <v>69</v>
      </c>
      <c r="D879" s="5" t="s">
        <v>2614</v>
      </c>
      <c r="E879" s="7" t="s">
        <v>4579</v>
      </c>
      <c r="F879" s="5" t="s">
        <v>4499</v>
      </c>
      <c r="G879" s="5" t="s">
        <v>4547</v>
      </c>
      <c r="H879" s="5">
        <v>2009.0</v>
      </c>
      <c r="I879" s="5">
        <v>0.0</v>
      </c>
      <c r="J879" s="5">
        <v>0.0</v>
      </c>
      <c r="K879" s="5">
        <v>1.0</v>
      </c>
      <c r="L879" s="54"/>
      <c r="M879" s="5" t="s">
        <v>4580</v>
      </c>
      <c r="N879" s="53" t="s">
        <v>2700</v>
      </c>
      <c r="O879">
        <v>35.508622</v>
      </c>
      <c r="P879">
        <v>12.59292</v>
      </c>
      <c r="Q879" s="5" t="s">
        <v>669</v>
      </c>
      <c r="R879" s="10">
        <f t="shared" si="10"/>
        <v>3843</v>
      </c>
      <c r="S879" s="5" t="s">
        <v>4581</v>
      </c>
      <c r="T879" s="6" t="s">
        <v>2130</v>
      </c>
      <c r="U879" s="5" t="s">
        <v>2619</v>
      </c>
      <c r="V879" s="5" t="s">
        <v>4582</v>
      </c>
    </row>
    <row r="880" ht="12.75" customHeight="1">
      <c r="A880" s="5">
        <v>34234.0</v>
      </c>
      <c r="B880" s="5" t="s">
        <v>491</v>
      </c>
      <c r="C880" s="52" t="s">
        <v>50</v>
      </c>
      <c r="D880" s="5" t="s">
        <v>2852</v>
      </c>
      <c r="E880" s="7" t="s">
        <v>4583</v>
      </c>
      <c r="F880" s="5" t="s">
        <v>4499</v>
      </c>
      <c r="G880" s="5" t="s">
        <v>4547</v>
      </c>
      <c r="H880" s="5">
        <v>2009.0</v>
      </c>
      <c r="I880" s="5">
        <v>0.0</v>
      </c>
      <c r="J880" s="5">
        <v>0.0</v>
      </c>
      <c r="K880" s="5">
        <v>72.0</v>
      </c>
      <c r="L880" s="54"/>
      <c r="M880" s="5" t="s">
        <v>4584</v>
      </c>
      <c r="N880" s="53" t="s">
        <v>2700</v>
      </c>
      <c r="O880">
        <v>35.508622</v>
      </c>
      <c r="P880">
        <v>12.59292</v>
      </c>
      <c r="Q880" s="5" t="s">
        <v>669</v>
      </c>
      <c r="R880" s="10">
        <f t="shared" si="10"/>
        <v>3843</v>
      </c>
      <c r="S880" s="5" t="s">
        <v>4585</v>
      </c>
      <c r="T880" s="6" t="s">
        <v>2130</v>
      </c>
      <c r="U880" s="5" t="s">
        <v>4586</v>
      </c>
      <c r="V880" s="5" t="s">
        <v>4587</v>
      </c>
    </row>
    <row r="881" ht="12.75" customHeight="1">
      <c r="A881" s="5">
        <v>34233.0</v>
      </c>
      <c r="B881" s="5" t="s">
        <v>1773</v>
      </c>
      <c r="C881" s="5" t="s">
        <v>124</v>
      </c>
      <c r="D881" s="5" t="s">
        <v>2614</v>
      </c>
      <c r="E881" s="7" t="s">
        <v>4583</v>
      </c>
      <c r="F881" s="5" t="s">
        <v>4499</v>
      </c>
      <c r="G881" s="5" t="s">
        <v>4547</v>
      </c>
      <c r="H881" s="5">
        <v>2009.0</v>
      </c>
      <c r="I881" s="5">
        <v>0.0</v>
      </c>
      <c r="J881" s="5">
        <v>0.0</v>
      </c>
      <c r="K881" s="5">
        <v>1.0</v>
      </c>
      <c r="L881" s="54"/>
      <c r="M881" s="5" t="s">
        <v>4588</v>
      </c>
      <c r="N881" s="53" t="s">
        <v>3846</v>
      </c>
      <c r="O881">
        <v>40.632728</v>
      </c>
      <c r="P881">
        <v>17.941762</v>
      </c>
      <c r="Q881" s="5" t="s">
        <v>1151</v>
      </c>
      <c r="R881" s="10">
        <f t="shared" si="10"/>
        <v>72</v>
      </c>
      <c r="S881" s="5" t="s">
        <v>4589</v>
      </c>
      <c r="T881" s="6" t="s">
        <v>1963</v>
      </c>
      <c r="U881" s="5" t="s">
        <v>2326</v>
      </c>
      <c r="V881" s="5" t="s">
        <v>4590</v>
      </c>
    </row>
    <row r="882" ht="12.75" customHeight="1">
      <c r="A882" s="5">
        <v>34235.0</v>
      </c>
      <c r="B882" s="5" t="s">
        <v>49</v>
      </c>
      <c r="C882" s="52" t="s">
        <v>50</v>
      </c>
      <c r="D882" s="5" t="s">
        <v>2852</v>
      </c>
      <c r="E882" s="7" t="s">
        <v>4591</v>
      </c>
      <c r="F882" s="5" t="s">
        <v>4499</v>
      </c>
      <c r="G882" s="5" t="s">
        <v>4547</v>
      </c>
      <c r="H882" s="5">
        <v>2009.0</v>
      </c>
      <c r="I882" s="5">
        <v>0.0</v>
      </c>
      <c r="J882" s="5">
        <v>0.0</v>
      </c>
      <c r="K882" s="5">
        <v>27.0</v>
      </c>
      <c r="L882" s="54"/>
      <c r="M882" s="5" t="s">
        <v>4592</v>
      </c>
      <c r="N882" s="53" t="s">
        <v>4593</v>
      </c>
      <c r="O882">
        <v>36.697645</v>
      </c>
      <c r="P882">
        <v>-4.443222</v>
      </c>
      <c r="Q882" s="5" t="s">
        <v>819</v>
      </c>
      <c r="R882" s="10">
        <f t="shared" si="10"/>
        <v>27</v>
      </c>
      <c r="S882" s="5" t="s">
        <v>4594</v>
      </c>
      <c r="T882" s="6" t="s">
        <v>72</v>
      </c>
      <c r="U882" s="5" t="s">
        <v>4595</v>
      </c>
      <c r="V882" s="5"/>
    </row>
    <row r="883" ht="12.75" customHeight="1">
      <c r="A883" s="5">
        <v>34236.0</v>
      </c>
      <c r="B883" s="5" t="s">
        <v>1773</v>
      </c>
      <c r="C883" s="5" t="s">
        <v>124</v>
      </c>
      <c r="D883" s="5" t="s">
        <v>2852</v>
      </c>
      <c r="E883" s="7" t="s">
        <v>4596</v>
      </c>
      <c r="F883" s="5" t="s">
        <v>4499</v>
      </c>
      <c r="G883" s="5" t="s">
        <v>4547</v>
      </c>
      <c r="H883" s="5">
        <v>2009.0</v>
      </c>
      <c r="I883" s="5">
        <v>0.0</v>
      </c>
      <c r="J883" s="5">
        <v>0.0</v>
      </c>
      <c r="K883" s="5">
        <v>1.0</v>
      </c>
      <c r="L883" s="54"/>
      <c r="M883" s="5" t="s">
        <v>4597</v>
      </c>
      <c r="N883" s="53" t="s">
        <v>4095</v>
      </c>
      <c r="O883">
        <v>55.378051</v>
      </c>
      <c r="P883">
        <v>-3.435973</v>
      </c>
      <c r="Q883" s="5" t="s">
        <v>1882</v>
      </c>
      <c r="R883" s="10">
        <f t="shared" si="10"/>
        <v>23</v>
      </c>
      <c r="S883" s="5" t="s">
        <v>4598</v>
      </c>
      <c r="T883" s="5"/>
      <c r="U883" s="5" t="s">
        <v>3219</v>
      </c>
      <c r="V883" s="5"/>
    </row>
    <row r="884" ht="12.75" customHeight="1">
      <c r="A884" s="5">
        <v>34237.0</v>
      </c>
      <c r="B884" s="5" t="s">
        <v>68</v>
      </c>
      <c r="C884" s="5" t="s">
        <v>69</v>
      </c>
      <c r="D884" s="5" t="s">
        <v>2614</v>
      </c>
      <c r="E884" s="7" t="s">
        <v>4599</v>
      </c>
      <c r="F884" s="5" t="s">
        <v>4499</v>
      </c>
      <c r="G884" s="5" t="s">
        <v>4547</v>
      </c>
      <c r="H884" s="5">
        <v>2009.0</v>
      </c>
      <c r="I884" s="5">
        <v>2.0</v>
      </c>
      <c r="J884" s="5">
        <v>0.0</v>
      </c>
      <c r="K884" s="5">
        <v>2.0</v>
      </c>
      <c r="L884" s="54"/>
      <c r="M884" s="5" t="s">
        <v>4600</v>
      </c>
      <c r="N884" s="53" t="s">
        <v>2705</v>
      </c>
      <c r="O884">
        <v>36.799851</v>
      </c>
      <c r="P884">
        <v>27.102943</v>
      </c>
      <c r="Q884" s="5" t="s">
        <v>848</v>
      </c>
      <c r="R884" s="10">
        <f t="shared" si="10"/>
        <v>119</v>
      </c>
      <c r="S884" s="5" t="s">
        <v>4601</v>
      </c>
      <c r="T884" s="6" t="s">
        <v>53</v>
      </c>
      <c r="U884" s="5" t="s">
        <v>3318</v>
      </c>
      <c r="V884" s="5" t="s">
        <v>4602</v>
      </c>
    </row>
    <row r="885" ht="12.75" customHeight="1">
      <c r="A885" s="5">
        <v>34238.0</v>
      </c>
      <c r="B885" s="5" t="s">
        <v>68</v>
      </c>
      <c r="C885" s="5" t="s">
        <v>69</v>
      </c>
      <c r="D885" s="5" t="s">
        <v>2614</v>
      </c>
      <c r="E885" s="7" t="s">
        <v>4603</v>
      </c>
      <c r="F885" s="5" t="s">
        <v>4499</v>
      </c>
      <c r="G885" s="5" t="s">
        <v>4547</v>
      </c>
      <c r="H885" s="5">
        <v>2009.0</v>
      </c>
      <c r="I885" s="5">
        <v>1.0</v>
      </c>
      <c r="J885" s="5">
        <v>0.0</v>
      </c>
      <c r="K885" s="5">
        <v>1.0</v>
      </c>
      <c r="L885" s="54"/>
      <c r="M885" s="5" t="s">
        <v>4604</v>
      </c>
      <c r="N885" s="53" t="s">
        <v>4605</v>
      </c>
      <c r="O885">
        <v>37.625683</v>
      </c>
      <c r="P885">
        <v>-0.996584</v>
      </c>
      <c r="Q885" s="5" t="s">
        <v>953</v>
      </c>
      <c r="R885" s="10">
        <f t="shared" si="10"/>
        <v>8</v>
      </c>
      <c r="S885" s="5" t="s">
        <v>4606</v>
      </c>
      <c r="T885" s="6" t="s">
        <v>72</v>
      </c>
      <c r="U885" s="5" t="s">
        <v>4607</v>
      </c>
      <c r="V885" s="5" t="s">
        <v>4608</v>
      </c>
    </row>
    <row r="886" ht="12.75" customHeight="1">
      <c r="A886" s="5">
        <v>34239.0</v>
      </c>
      <c r="B886" s="5" t="s">
        <v>68</v>
      </c>
      <c r="C886" s="5" t="s">
        <v>69</v>
      </c>
      <c r="D886" s="5" t="s">
        <v>2614</v>
      </c>
      <c r="E886" s="7" t="s">
        <v>4609</v>
      </c>
      <c r="F886" s="5" t="s">
        <v>4499</v>
      </c>
      <c r="G886" s="5" t="s">
        <v>4547</v>
      </c>
      <c r="H886" s="5">
        <v>2009.0</v>
      </c>
      <c r="I886" s="5">
        <v>0.0</v>
      </c>
      <c r="J886" s="5">
        <v>0.0</v>
      </c>
      <c r="K886" s="5">
        <v>1.0</v>
      </c>
      <c r="L886" s="54"/>
      <c r="M886" s="5" t="s">
        <v>4610</v>
      </c>
      <c r="N886" s="53" t="s">
        <v>3570</v>
      </c>
      <c r="O886">
        <v>36.828221</v>
      </c>
      <c r="P886">
        <v>11.940496</v>
      </c>
      <c r="Q886" s="5" t="s">
        <v>857</v>
      </c>
      <c r="R886" s="10">
        <f t="shared" si="10"/>
        <v>37</v>
      </c>
      <c r="S886" s="5" t="s">
        <v>4611</v>
      </c>
      <c r="T886" s="6" t="s">
        <v>2130</v>
      </c>
      <c r="U886" s="5" t="s">
        <v>2326</v>
      </c>
      <c r="V886" s="5" t="s">
        <v>4612</v>
      </c>
    </row>
    <row r="887" ht="12.75" customHeight="1">
      <c r="A887" s="5">
        <v>34240.0</v>
      </c>
      <c r="B887" s="5" t="s">
        <v>1555</v>
      </c>
      <c r="C887" s="5" t="s">
        <v>42</v>
      </c>
      <c r="D887" s="5" t="s">
        <v>2614</v>
      </c>
      <c r="E887" s="7" t="s">
        <v>4613</v>
      </c>
      <c r="F887" s="5" t="s">
        <v>4499</v>
      </c>
      <c r="G887" s="5" t="s">
        <v>4547</v>
      </c>
      <c r="H887" s="5">
        <v>2009.0</v>
      </c>
      <c r="I887" s="5">
        <v>0.0</v>
      </c>
      <c r="J887" s="5">
        <v>0.0</v>
      </c>
      <c r="K887" s="5">
        <v>20.0</v>
      </c>
      <c r="L887" s="54"/>
      <c r="M887" s="5" t="s">
        <v>4614</v>
      </c>
      <c r="N887" s="53" t="s">
        <v>4535</v>
      </c>
      <c r="O887">
        <v>32.116667</v>
      </c>
      <c r="P887">
        <v>20.066667</v>
      </c>
      <c r="Q887" s="5" t="s">
        <v>451</v>
      </c>
      <c r="R887" s="10">
        <f t="shared" si="10"/>
        <v>58</v>
      </c>
      <c r="S887" s="5" t="s">
        <v>4615</v>
      </c>
      <c r="T887" s="5"/>
      <c r="U887" s="5" t="s">
        <v>3540</v>
      </c>
      <c r="V887" s="5" t="s">
        <v>4616</v>
      </c>
    </row>
    <row r="888" ht="12.75" customHeight="1">
      <c r="A888" s="5">
        <v>34241.0</v>
      </c>
      <c r="B888" s="5" t="s">
        <v>49</v>
      </c>
      <c r="C888" s="52" t="s">
        <v>50</v>
      </c>
      <c r="D888" s="5" t="s">
        <v>2852</v>
      </c>
      <c r="E888" s="7" t="s">
        <v>4617</v>
      </c>
      <c r="F888" s="5" t="s">
        <v>4499</v>
      </c>
      <c r="G888" s="5" t="s">
        <v>4547</v>
      </c>
      <c r="H888" s="5">
        <v>2009.0</v>
      </c>
      <c r="I888" s="5">
        <v>0.0</v>
      </c>
      <c r="J888" s="5">
        <v>0.0</v>
      </c>
      <c r="K888" s="5">
        <v>12.0</v>
      </c>
      <c r="L888" s="54"/>
      <c r="M888" s="5" t="s">
        <v>4618</v>
      </c>
      <c r="N888" s="53" t="s">
        <v>3940</v>
      </c>
      <c r="O888">
        <v>36.902859</v>
      </c>
      <c r="P888">
        <v>7.755543</v>
      </c>
      <c r="Q888" s="5" t="s">
        <v>880</v>
      </c>
      <c r="R888" s="10">
        <f t="shared" si="10"/>
        <v>107</v>
      </c>
      <c r="S888" s="5" t="s">
        <v>4619</v>
      </c>
      <c r="T888" s="6" t="s">
        <v>2130</v>
      </c>
      <c r="U888" s="5" t="s">
        <v>4620</v>
      </c>
      <c r="V888" s="5" t="s">
        <v>4621</v>
      </c>
    </row>
    <row r="889" ht="12.75" customHeight="1">
      <c r="A889" s="5">
        <v>34242.0</v>
      </c>
      <c r="B889" s="5" t="s">
        <v>1773</v>
      </c>
      <c r="C889" s="5" t="s">
        <v>124</v>
      </c>
      <c r="D889" s="5" t="s">
        <v>2614</v>
      </c>
      <c r="E889" s="7" t="s">
        <v>4622</v>
      </c>
      <c r="F889" s="5" t="s">
        <v>4499</v>
      </c>
      <c r="G889" s="5" t="s">
        <v>4547</v>
      </c>
      <c r="H889" s="5">
        <v>2009.0</v>
      </c>
      <c r="I889" s="5">
        <v>0.0</v>
      </c>
      <c r="J889" s="5">
        <v>0.0</v>
      </c>
      <c r="K889" s="5">
        <v>1.0</v>
      </c>
      <c r="L889" s="54"/>
      <c r="M889" s="5" t="s">
        <v>4623</v>
      </c>
      <c r="N889" s="53" t="s">
        <v>3020</v>
      </c>
      <c r="O889">
        <v>39.50615</v>
      </c>
      <c r="P889">
        <v>20.265534</v>
      </c>
      <c r="Q889" s="5" t="s">
        <v>1086</v>
      </c>
      <c r="R889" s="10">
        <f t="shared" si="10"/>
        <v>7</v>
      </c>
      <c r="S889" s="5" t="s">
        <v>4624</v>
      </c>
      <c r="T889" s="5"/>
      <c r="U889" s="5" t="s">
        <v>3318</v>
      </c>
      <c r="V889" s="5" t="s">
        <v>4625</v>
      </c>
    </row>
    <row r="890" ht="12.75" customHeight="1">
      <c r="A890" s="5">
        <v>34243.0</v>
      </c>
      <c r="B890" s="5" t="s">
        <v>41</v>
      </c>
      <c r="C890" s="5" t="s">
        <v>42</v>
      </c>
      <c r="D890" s="5" t="s">
        <v>2614</v>
      </c>
      <c r="E890" s="7" t="s">
        <v>4626</v>
      </c>
      <c r="F890" s="5" t="s">
        <v>4499</v>
      </c>
      <c r="G890" s="5" t="s">
        <v>4627</v>
      </c>
      <c r="H890" s="5">
        <v>2009.0</v>
      </c>
      <c r="I890" s="5">
        <v>1.0</v>
      </c>
      <c r="J890" s="5">
        <v>0.0</v>
      </c>
      <c r="K890" s="5">
        <v>1.0</v>
      </c>
      <c r="L890" s="54"/>
      <c r="M890" s="5" t="s">
        <v>4628</v>
      </c>
      <c r="N890" s="53" t="s">
        <v>2888</v>
      </c>
      <c r="O890">
        <v>24.088938</v>
      </c>
      <c r="P890">
        <v>32.899829</v>
      </c>
      <c r="Q890" s="5" t="s">
        <v>329</v>
      </c>
      <c r="R890" s="10">
        <f t="shared" si="10"/>
        <v>129</v>
      </c>
      <c r="S890" s="5" t="s">
        <v>4629</v>
      </c>
      <c r="T890" s="5"/>
      <c r="U890" s="5" t="s">
        <v>92</v>
      </c>
      <c r="V890" s="5" t="s">
        <v>4630</v>
      </c>
    </row>
    <row r="891" ht="12.75" customHeight="1">
      <c r="A891" s="5">
        <v>34246.0</v>
      </c>
      <c r="B891" s="5" t="s">
        <v>49</v>
      </c>
      <c r="C891" s="52" t="s">
        <v>50</v>
      </c>
      <c r="D891" s="5" t="s">
        <v>2852</v>
      </c>
      <c r="E891" s="7" t="s">
        <v>4631</v>
      </c>
      <c r="F891" s="5" t="s">
        <v>4499</v>
      </c>
      <c r="G891" s="5" t="s">
        <v>4627</v>
      </c>
      <c r="H891" s="5">
        <v>2009.0</v>
      </c>
      <c r="I891" s="5">
        <v>0.0</v>
      </c>
      <c r="J891" s="5">
        <v>0.0</v>
      </c>
      <c r="K891" s="5">
        <v>1.0</v>
      </c>
      <c r="L891" s="54"/>
      <c r="M891" s="5" t="s">
        <v>4632</v>
      </c>
      <c r="N891" s="53" t="s">
        <v>4633</v>
      </c>
      <c r="O891">
        <v>36.510071</v>
      </c>
      <c r="P891">
        <v>-4.882447</v>
      </c>
      <c r="Q891" s="5" t="s">
        <v>801</v>
      </c>
      <c r="R891" s="10">
        <f t="shared" si="10"/>
        <v>2</v>
      </c>
      <c r="S891" s="5" t="s">
        <v>4634</v>
      </c>
      <c r="T891" s="6" t="s">
        <v>72</v>
      </c>
      <c r="U891" s="5" t="s">
        <v>2885</v>
      </c>
      <c r="V891" s="5" t="s">
        <v>4635</v>
      </c>
    </row>
    <row r="892" ht="12.75" customHeight="1">
      <c r="A892" s="5">
        <v>34245.0</v>
      </c>
      <c r="B892" s="5" t="s">
        <v>1555</v>
      </c>
      <c r="C892" s="5" t="s">
        <v>42</v>
      </c>
      <c r="D892" s="5" t="s">
        <v>2852</v>
      </c>
      <c r="E892" s="7" t="s">
        <v>4631</v>
      </c>
      <c r="F892" s="5" t="s">
        <v>4499</v>
      </c>
      <c r="G892" s="5" t="s">
        <v>4627</v>
      </c>
      <c r="H892" s="5">
        <v>2009.0</v>
      </c>
      <c r="I892" s="5">
        <v>0.0</v>
      </c>
      <c r="J892" s="5">
        <v>0.0</v>
      </c>
      <c r="K892" s="5">
        <v>1.0</v>
      </c>
      <c r="L892" s="54"/>
      <c r="M892" s="5" t="s">
        <v>4636</v>
      </c>
      <c r="N892" s="53" t="s">
        <v>4637</v>
      </c>
      <c r="O892">
        <v>39.074208</v>
      </c>
      <c r="P892">
        <v>21.824312</v>
      </c>
      <c r="Q892" s="5" t="s">
        <v>1061</v>
      </c>
      <c r="R892" s="10">
        <f t="shared" si="10"/>
        <v>20</v>
      </c>
      <c r="S892" s="5" t="s">
        <v>4638</v>
      </c>
      <c r="T892" s="5"/>
      <c r="U892" s="5" t="s">
        <v>254</v>
      </c>
      <c r="V892" s="5"/>
    </row>
    <row r="893" ht="12.75" customHeight="1">
      <c r="A893" s="5">
        <v>34244.0</v>
      </c>
      <c r="B893" s="5" t="s">
        <v>1555</v>
      </c>
      <c r="C893" s="5" t="s">
        <v>42</v>
      </c>
      <c r="D893" s="5" t="s">
        <v>2614</v>
      </c>
      <c r="E893" s="7" t="s">
        <v>4631</v>
      </c>
      <c r="F893" s="5" t="s">
        <v>4499</v>
      </c>
      <c r="G893" s="5" t="s">
        <v>4627</v>
      </c>
      <c r="H893" s="5">
        <v>2009.0</v>
      </c>
      <c r="I893" s="5">
        <v>0.0</v>
      </c>
      <c r="J893" s="5">
        <v>0.0</v>
      </c>
      <c r="K893" s="5">
        <v>1.0</v>
      </c>
      <c r="L893" s="54"/>
      <c r="M893" s="5" t="s">
        <v>4639</v>
      </c>
      <c r="N893" s="53" t="s">
        <v>3020</v>
      </c>
      <c r="O893">
        <v>39.50615</v>
      </c>
      <c r="P893">
        <v>20.265534</v>
      </c>
      <c r="Q893" s="5" t="s">
        <v>1086</v>
      </c>
      <c r="R893" s="10">
        <f t="shared" si="10"/>
        <v>7</v>
      </c>
      <c r="S893" s="5" t="s">
        <v>4640</v>
      </c>
      <c r="T893" s="5"/>
      <c r="U893" s="5" t="s">
        <v>92</v>
      </c>
      <c r="V893" s="5" t="s">
        <v>4641</v>
      </c>
    </row>
    <row r="894" ht="12.75" customHeight="1">
      <c r="A894" s="5">
        <v>34247.0</v>
      </c>
      <c r="B894" s="5" t="s">
        <v>1857</v>
      </c>
      <c r="C894" s="52" t="s">
        <v>50</v>
      </c>
      <c r="D894" s="5" t="s">
        <v>2852</v>
      </c>
      <c r="E894" s="7" t="s">
        <v>4642</v>
      </c>
      <c r="F894" s="5" t="s">
        <v>4499</v>
      </c>
      <c r="G894" s="5" t="s">
        <v>4627</v>
      </c>
      <c r="H894" s="5">
        <v>2009.0</v>
      </c>
      <c r="I894" s="5">
        <v>0.0</v>
      </c>
      <c r="J894" s="5">
        <v>0.0</v>
      </c>
      <c r="K894" s="5">
        <v>1.0</v>
      </c>
      <c r="L894" s="54"/>
      <c r="M894" s="5" t="s">
        <v>4643</v>
      </c>
      <c r="N894" s="53" t="s">
        <v>4556</v>
      </c>
      <c r="O894">
        <v>28.291564</v>
      </c>
      <c r="P894">
        <v>-16.62913</v>
      </c>
      <c r="Q894" s="5" t="s">
        <v>382</v>
      </c>
      <c r="R894" s="10">
        <f t="shared" si="10"/>
        <v>1120</v>
      </c>
      <c r="S894" s="5" t="s">
        <v>4644</v>
      </c>
      <c r="T894" s="5" t="s">
        <v>1040</v>
      </c>
      <c r="U894" s="5" t="s">
        <v>4645</v>
      </c>
      <c r="V894" s="5"/>
    </row>
    <row r="895" ht="12.75" customHeight="1">
      <c r="A895" s="5">
        <v>34248.0</v>
      </c>
      <c r="B895" s="5" t="s">
        <v>68</v>
      </c>
      <c r="C895" s="5" t="s">
        <v>69</v>
      </c>
      <c r="D895" s="5" t="s">
        <v>2614</v>
      </c>
      <c r="E895" s="7" t="s">
        <v>4646</v>
      </c>
      <c r="F895" s="5" t="s">
        <v>4499</v>
      </c>
      <c r="G895" s="5" t="s">
        <v>4627</v>
      </c>
      <c r="H895" s="5">
        <v>2009.0</v>
      </c>
      <c r="I895" s="5">
        <v>0.0</v>
      </c>
      <c r="J895" s="5">
        <v>0.0</v>
      </c>
      <c r="K895" s="5">
        <v>1.0</v>
      </c>
      <c r="L895" s="54"/>
      <c r="M895" s="5" t="s">
        <v>4647</v>
      </c>
      <c r="N895" s="53" t="s">
        <v>4648</v>
      </c>
      <c r="O895">
        <v>36.721261</v>
      </c>
      <c r="P895">
        <v>-4.421266</v>
      </c>
      <c r="Q895" s="5" t="s">
        <v>823</v>
      </c>
      <c r="R895" s="10">
        <f t="shared" si="10"/>
        <v>17</v>
      </c>
      <c r="S895" s="5" t="s">
        <v>4649</v>
      </c>
      <c r="T895" s="6" t="s">
        <v>72</v>
      </c>
      <c r="U895" s="5" t="s">
        <v>3193</v>
      </c>
      <c r="V895" s="5" t="s">
        <v>4650</v>
      </c>
    </row>
    <row r="896" ht="12.75" customHeight="1">
      <c r="A896" s="5">
        <v>34249.0</v>
      </c>
      <c r="B896" s="5" t="s">
        <v>763</v>
      </c>
      <c r="C896" s="5" t="s">
        <v>124</v>
      </c>
      <c r="D896" s="5" t="s">
        <v>2614</v>
      </c>
      <c r="E896" s="7" t="s">
        <v>4651</v>
      </c>
      <c r="F896" s="5" t="s">
        <v>4499</v>
      </c>
      <c r="G896" s="5" t="s">
        <v>4627</v>
      </c>
      <c r="H896" s="5">
        <v>2009.0</v>
      </c>
      <c r="I896" s="5">
        <v>0.0</v>
      </c>
      <c r="J896" s="5">
        <v>0.0</v>
      </c>
      <c r="K896" s="5">
        <v>3.0</v>
      </c>
      <c r="L896" s="54"/>
      <c r="M896" s="5" t="s">
        <v>4652</v>
      </c>
      <c r="N896" s="53" t="s">
        <v>4653</v>
      </c>
      <c r="O896">
        <v>37.91441</v>
      </c>
      <c r="P896">
        <v>40.230629</v>
      </c>
      <c r="Q896" s="5" t="s">
        <v>962</v>
      </c>
      <c r="R896" s="10">
        <f t="shared" si="10"/>
        <v>3</v>
      </c>
      <c r="S896" s="5" t="s">
        <v>4654</v>
      </c>
      <c r="T896" s="5"/>
      <c r="U896" s="5" t="s">
        <v>4655</v>
      </c>
      <c r="V896" s="5" t="s">
        <v>4656</v>
      </c>
    </row>
    <row r="897" ht="12.75" customHeight="1">
      <c r="A897" s="5">
        <v>34250.0</v>
      </c>
      <c r="B897" s="5" t="s">
        <v>68</v>
      </c>
      <c r="C897" s="5" t="s">
        <v>69</v>
      </c>
      <c r="D897" s="5" t="s">
        <v>2614</v>
      </c>
      <c r="E897" s="7" t="s">
        <v>4657</v>
      </c>
      <c r="F897" s="5" t="s">
        <v>4499</v>
      </c>
      <c r="G897" s="5" t="s">
        <v>4627</v>
      </c>
      <c r="H897" s="5">
        <v>2009.0</v>
      </c>
      <c r="I897" s="5">
        <v>0.0</v>
      </c>
      <c r="J897" s="5">
        <v>0.0</v>
      </c>
      <c r="K897" s="5">
        <v>1.0</v>
      </c>
      <c r="L897" s="54"/>
      <c r="M897" s="5" t="s">
        <v>4658</v>
      </c>
      <c r="N897" s="53" t="s">
        <v>4633</v>
      </c>
      <c r="O897">
        <v>36.510071</v>
      </c>
      <c r="P897">
        <v>-4.882447</v>
      </c>
      <c r="Q897" s="5" t="s">
        <v>801</v>
      </c>
      <c r="R897" s="10">
        <f t="shared" si="10"/>
        <v>2</v>
      </c>
      <c r="S897" s="5" t="s">
        <v>4659</v>
      </c>
      <c r="T897" s="6" t="s">
        <v>72</v>
      </c>
      <c r="U897" s="5" t="s">
        <v>3193</v>
      </c>
      <c r="V897" s="5" t="s">
        <v>4660</v>
      </c>
    </row>
    <row r="898" ht="12.75" customHeight="1">
      <c r="A898" s="5">
        <v>34251.0</v>
      </c>
      <c r="B898" s="5" t="s">
        <v>68</v>
      </c>
      <c r="C898" s="5" t="s">
        <v>69</v>
      </c>
      <c r="D898" s="5" t="s">
        <v>2614</v>
      </c>
      <c r="E898" s="7" t="s">
        <v>4661</v>
      </c>
      <c r="F898" s="5" t="s">
        <v>4499</v>
      </c>
      <c r="G898" s="5" t="s">
        <v>4627</v>
      </c>
      <c r="H898" s="5">
        <v>2009.0</v>
      </c>
      <c r="I898" s="5">
        <v>0.0</v>
      </c>
      <c r="J898" s="5">
        <v>0.0</v>
      </c>
      <c r="K898" s="5">
        <v>1.0</v>
      </c>
      <c r="L898" s="54"/>
      <c r="M898" s="5" t="s">
        <v>4662</v>
      </c>
      <c r="N898" s="53" t="s">
        <v>4663</v>
      </c>
      <c r="O898">
        <v>36.19002</v>
      </c>
      <c r="P898">
        <v>-5.92248</v>
      </c>
      <c r="Q898" s="5" t="s">
        <v>778</v>
      </c>
      <c r="R898" s="10">
        <f t="shared" si="10"/>
        <v>74</v>
      </c>
      <c r="S898" s="5" t="s">
        <v>4664</v>
      </c>
      <c r="T898" s="6" t="s">
        <v>72</v>
      </c>
      <c r="U898" s="5" t="s">
        <v>3193</v>
      </c>
      <c r="V898" s="5" t="s">
        <v>4665</v>
      </c>
    </row>
    <row r="899" ht="12.75" customHeight="1">
      <c r="A899" s="5">
        <v>34252.0</v>
      </c>
      <c r="B899" s="5" t="s">
        <v>2040</v>
      </c>
      <c r="C899" s="52" t="s">
        <v>50</v>
      </c>
      <c r="D899" s="5" t="s">
        <v>2614</v>
      </c>
      <c r="E899" s="7" t="s">
        <v>4666</v>
      </c>
      <c r="F899" s="5" t="s">
        <v>4499</v>
      </c>
      <c r="G899" s="5" t="s">
        <v>4627</v>
      </c>
      <c r="H899" s="5">
        <v>2009.0</v>
      </c>
      <c r="I899" s="5">
        <v>0.0</v>
      </c>
      <c r="J899" s="5">
        <v>0.0</v>
      </c>
      <c r="K899" s="5">
        <v>1.0</v>
      </c>
      <c r="L899" s="54"/>
      <c r="M899" s="5" t="s">
        <v>4667</v>
      </c>
      <c r="N899" s="53" t="s">
        <v>4668</v>
      </c>
      <c r="O899">
        <v>27.725499</v>
      </c>
      <c r="P899">
        <v>-18.024301</v>
      </c>
      <c r="Q899" s="5" t="s">
        <v>351</v>
      </c>
      <c r="R899" s="10">
        <f t="shared" si="10"/>
        <v>41</v>
      </c>
      <c r="S899" s="5" t="s">
        <v>4669</v>
      </c>
      <c r="T899" s="5" t="s">
        <v>1040</v>
      </c>
      <c r="U899" s="5" t="s">
        <v>4670</v>
      </c>
      <c r="V899" s="5" t="s">
        <v>4671</v>
      </c>
    </row>
    <row r="900" ht="12.75" customHeight="1">
      <c r="A900" s="5">
        <v>34253.0</v>
      </c>
      <c r="B900" s="5" t="s">
        <v>68</v>
      </c>
      <c r="C900" s="5" t="s">
        <v>69</v>
      </c>
      <c r="D900" s="5" t="s">
        <v>2852</v>
      </c>
      <c r="E900" s="7" t="s">
        <v>4672</v>
      </c>
      <c r="F900" s="5" t="s">
        <v>4499</v>
      </c>
      <c r="G900" s="5" t="s">
        <v>4627</v>
      </c>
      <c r="H900" s="5">
        <v>2009.0</v>
      </c>
      <c r="I900" s="5">
        <v>0.0</v>
      </c>
      <c r="J900" s="5">
        <v>0.0</v>
      </c>
      <c r="K900" s="5">
        <v>1.0</v>
      </c>
      <c r="L900" s="54"/>
      <c r="M900" s="5" t="s">
        <v>4673</v>
      </c>
      <c r="N900" s="53" t="s">
        <v>4668</v>
      </c>
      <c r="O900">
        <v>27.725499</v>
      </c>
      <c r="P900">
        <v>-18.024301</v>
      </c>
      <c r="Q900" s="5" t="s">
        <v>351</v>
      </c>
      <c r="R900" s="10">
        <f t="shared" si="10"/>
        <v>41</v>
      </c>
      <c r="S900" s="5" t="s">
        <v>4674</v>
      </c>
      <c r="T900" s="5" t="s">
        <v>1040</v>
      </c>
      <c r="U900" s="5" t="s">
        <v>4675</v>
      </c>
      <c r="V900" s="5" t="s">
        <v>4676</v>
      </c>
    </row>
    <row r="901" ht="12.75" customHeight="1">
      <c r="A901" s="5">
        <v>34254.0</v>
      </c>
      <c r="B901" s="5" t="s">
        <v>98</v>
      </c>
      <c r="C901" s="5" t="s">
        <v>62</v>
      </c>
      <c r="D901" s="5" t="s">
        <v>2852</v>
      </c>
      <c r="E901" s="7" t="s">
        <v>4672</v>
      </c>
      <c r="F901" s="5" t="s">
        <v>4499</v>
      </c>
      <c r="G901" s="5" t="s">
        <v>4627</v>
      </c>
      <c r="H901" s="5">
        <v>2009.0</v>
      </c>
      <c r="I901" s="5">
        <v>0.0</v>
      </c>
      <c r="J901" s="5">
        <v>0.0</v>
      </c>
      <c r="K901" s="5">
        <v>1.0</v>
      </c>
      <c r="L901" s="54"/>
      <c r="M901" s="5" t="s">
        <v>4677</v>
      </c>
      <c r="N901" s="53" t="s">
        <v>4678</v>
      </c>
      <c r="O901">
        <v>50.900875</v>
      </c>
      <c r="P901">
        <v>12.765471</v>
      </c>
      <c r="Q901" s="5" t="s">
        <v>1535</v>
      </c>
      <c r="R901" s="10">
        <f t="shared" si="10"/>
        <v>1</v>
      </c>
      <c r="S901" s="5" t="s">
        <v>4679</v>
      </c>
      <c r="T901" s="5"/>
      <c r="U901" s="5" t="s">
        <v>2502</v>
      </c>
      <c r="V901" s="5"/>
    </row>
    <row r="902" ht="12.75" customHeight="1">
      <c r="A902" s="5">
        <v>34255.0</v>
      </c>
      <c r="B902" s="5" t="s">
        <v>2902</v>
      </c>
      <c r="C902" s="5" t="s">
        <v>211</v>
      </c>
      <c r="D902" s="5" t="s">
        <v>2852</v>
      </c>
      <c r="E902" s="7" t="s">
        <v>4680</v>
      </c>
      <c r="F902" s="5" t="s">
        <v>4499</v>
      </c>
      <c r="G902" s="5" t="s">
        <v>4627</v>
      </c>
      <c r="H902" s="5">
        <v>2009.0</v>
      </c>
      <c r="I902" s="5">
        <v>0.0</v>
      </c>
      <c r="J902" s="5">
        <v>0.0</v>
      </c>
      <c r="K902" s="5">
        <v>1.0</v>
      </c>
      <c r="L902" s="54"/>
      <c r="M902" s="5" t="s">
        <v>4681</v>
      </c>
      <c r="N902" s="53" t="s">
        <v>4682</v>
      </c>
      <c r="O902">
        <v>41.892916</v>
      </c>
      <c r="P902">
        <v>12.48252</v>
      </c>
      <c r="Q902" s="5" t="s">
        <v>1244</v>
      </c>
      <c r="R902" s="10">
        <f t="shared" si="10"/>
        <v>2</v>
      </c>
      <c r="S902" s="5" t="s">
        <v>4683</v>
      </c>
      <c r="T902" s="5"/>
      <c r="U902" s="5" t="s">
        <v>4684</v>
      </c>
      <c r="V902" s="5"/>
    </row>
    <row r="903" ht="12.75" customHeight="1">
      <c r="A903" s="5">
        <v>34256.0</v>
      </c>
      <c r="B903" s="5" t="s">
        <v>41</v>
      </c>
      <c r="C903" s="5" t="s">
        <v>42</v>
      </c>
      <c r="D903" s="5" t="s">
        <v>2614</v>
      </c>
      <c r="E903" s="7" t="s">
        <v>4685</v>
      </c>
      <c r="F903" s="5" t="s">
        <v>4499</v>
      </c>
      <c r="G903" s="5" t="s">
        <v>4627</v>
      </c>
      <c r="H903" s="5">
        <v>2009.0</v>
      </c>
      <c r="I903" s="5">
        <v>0.0</v>
      </c>
      <c r="J903" s="5">
        <v>0.0</v>
      </c>
      <c r="K903" s="5">
        <v>2.0</v>
      </c>
      <c r="L903" s="54"/>
      <c r="M903" s="5" t="s">
        <v>4686</v>
      </c>
      <c r="N903" s="53" t="s">
        <v>2888</v>
      </c>
      <c r="O903">
        <v>24.088938</v>
      </c>
      <c r="P903">
        <v>32.899829</v>
      </c>
      <c r="Q903" s="5" t="s">
        <v>329</v>
      </c>
      <c r="R903" s="10">
        <f t="shared" si="10"/>
        <v>129</v>
      </c>
      <c r="S903" s="5" t="s">
        <v>4687</v>
      </c>
      <c r="T903" s="5"/>
      <c r="U903" s="5" t="s">
        <v>92</v>
      </c>
      <c r="V903" s="5" t="s">
        <v>4688</v>
      </c>
    </row>
    <row r="904" ht="12.75" customHeight="1">
      <c r="A904" s="5">
        <v>34257.0</v>
      </c>
      <c r="B904" s="5" t="s">
        <v>68</v>
      </c>
      <c r="C904" s="5" t="s">
        <v>69</v>
      </c>
      <c r="D904" s="5" t="s">
        <v>2852</v>
      </c>
      <c r="E904" s="7" t="s">
        <v>4689</v>
      </c>
      <c r="F904" s="5" t="s">
        <v>4690</v>
      </c>
      <c r="G904" s="5" t="s">
        <v>4691</v>
      </c>
      <c r="H904" s="5">
        <v>2009.0</v>
      </c>
      <c r="I904" s="5">
        <v>0.0</v>
      </c>
      <c r="J904" s="5">
        <v>0.0</v>
      </c>
      <c r="K904" s="5">
        <v>1.0</v>
      </c>
      <c r="L904" s="54"/>
      <c r="M904" s="5" t="s">
        <v>4692</v>
      </c>
      <c r="N904" s="53" t="s">
        <v>3909</v>
      </c>
      <c r="O904">
        <v>50.95129</v>
      </c>
      <c r="P904">
        <v>1.858686</v>
      </c>
      <c r="Q904" s="5" t="s">
        <v>1551</v>
      </c>
      <c r="R904" s="10">
        <f t="shared" si="10"/>
        <v>30</v>
      </c>
      <c r="S904" s="5" t="s">
        <v>4693</v>
      </c>
      <c r="T904" s="5"/>
      <c r="U904" s="5" t="s">
        <v>4694</v>
      </c>
      <c r="V904" s="5"/>
    </row>
    <row r="905" ht="12.75" customHeight="1">
      <c r="A905" s="5">
        <v>34258.0</v>
      </c>
      <c r="B905" s="5" t="s">
        <v>49</v>
      </c>
      <c r="C905" s="52" t="s">
        <v>50</v>
      </c>
      <c r="D905" s="5" t="s">
        <v>2852</v>
      </c>
      <c r="E905" s="7" t="s">
        <v>4695</v>
      </c>
      <c r="F905" s="5" t="s">
        <v>4690</v>
      </c>
      <c r="G905" s="5" t="s">
        <v>4691</v>
      </c>
      <c r="H905" s="5">
        <v>2009.0</v>
      </c>
      <c r="I905" s="5">
        <v>0.0</v>
      </c>
      <c r="J905" s="5">
        <v>0.0</v>
      </c>
      <c r="K905" s="5">
        <v>9.0</v>
      </c>
      <c r="L905" s="54"/>
      <c r="M905" s="5" t="s">
        <v>4696</v>
      </c>
      <c r="N905" s="53" t="s">
        <v>4663</v>
      </c>
      <c r="O905">
        <v>36.19002</v>
      </c>
      <c r="P905">
        <v>-5.92248</v>
      </c>
      <c r="Q905" s="5" t="s">
        <v>778</v>
      </c>
      <c r="R905" s="10">
        <f t="shared" si="10"/>
        <v>74</v>
      </c>
      <c r="S905" s="5" t="s">
        <v>4697</v>
      </c>
      <c r="T905" s="6" t="s">
        <v>72</v>
      </c>
      <c r="U905" s="5" t="s">
        <v>4698</v>
      </c>
      <c r="V905" s="5" t="s">
        <v>4699</v>
      </c>
    </row>
    <row r="906" ht="12.75" customHeight="1">
      <c r="A906" s="5">
        <v>34259.0</v>
      </c>
      <c r="B906" s="5" t="s">
        <v>68</v>
      </c>
      <c r="C906" s="5" t="s">
        <v>69</v>
      </c>
      <c r="D906" s="5" t="s">
        <v>2614</v>
      </c>
      <c r="E906" s="7" t="s">
        <v>4700</v>
      </c>
      <c r="F906" s="5" t="s">
        <v>4690</v>
      </c>
      <c r="G906" s="5" t="s">
        <v>4691</v>
      </c>
      <c r="H906" s="5">
        <v>2009.0</v>
      </c>
      <c r="I906" s="5">
        <v>0.0</v>
      </c>
      <c r="J906" s="5">
        <v>0.0</v>
      </c>
      <c r="K906" s="5">
        <v>1.0</v>
      </c>
      <c r="L906" s="54"/>
      <c r="M906" s="5" t="s">
        <v>4701</v>
      </c>
      <c r="N906" s="53" t="s">
        <v>2888</v>
      </c>
      <c r="O906">
        <v>24.088938</v>
      </c>
      <c r="P906">
        <v>32.899829</v>
      </c>
      <c r="Q906" s="5" t="s">
        <v>329</v>
      </c>
      <c r="R906" s="10">
        <f t="shared" si="10"/>
        <v>129</v>
      </c>
      <c r="S906" s="5" t="s">
        <v>4702</v>
      </c>
      <c r="T906" s="5"/>
      <c r="U906" s="5" t="s">
        <v>92</v>
      </c>
      <c r="V906" s="5" t="s">
        <v>4703</v>
      </c>
    </row>
    <row r="907" ht="12.75" customHeight="1">
      <c r="A907" s="5">
        <v>34260.0</v>
      </c>
      <c r="B907" s="5" t="s">
        <v>68</v>
      </c>
      <c r="C907" s="5" t="s">
        <v>69</v>
      </c>
      <c r="D907" s="5" t="s">
        <v>2614</v>
      </c>
      <c r="E907" s="7" t="s">
        <v>4704</v>
      </c>
      <c r="F907" s="5" t="s">
        <v>4690</v>
      </c>
      <c r="G907" s="5" t="s">
        <v>4691</v>
      </c>
      <c r="H907" s="5">
        <v>2009.0</v>
      </c>
      <c r="I907" s="5">
        <v>0.0</v>
      </c>
      <c r="J907" s="5">
        <v>0.0</v>
      </c>
      <c r="K907" s="5">
        <v>1.0</v>
      </c>
      <c r="L907" s="54"/>
      <c r="M907" s="5" t="s">
        <v>4705</v>
      </c>
      <c r="N907" s="53" t="s">
        <v>2888</v>
      </c>
      <c r="O907">
        <v>24.088938</v>
      </c>
      <c r="P907">
        <v>32.899829</v>
      </c>
      <c r="Q907" s="5" t="s">
        <v>329</v>
      </c>
      <c r="R907" s="10">
        <f t="shared" si="10"/>
        <v>129</v>
      </c>
      <c r="S907" s="5" t="s">
        <v>4706</v>
      </c>
      <c r="T907" s="5"/>
      <c r="U907" s="5" t="s">
        <v>92</v>
      </c>
      <c r="V907" s="5" t="s">
        <v>4707</v>
      </c>
    </row>
    <row r="908" ht="12.75" customHeight="1">
      <c r="A908" s="5">
        <v>34261.0</v>
      </c>
      <c r="B908" s="5" t="s">
        <v>763</v>
      </c>
      <c r="C908" s="5" t="s">
        <v>124</v>
      </c>
      <c r="D908" s="5" t="s">
        <v>2852</v>
      </c>
      <c r="E908" s="7" t="s">
        <v>4708</v>
      </c>
      <c r="F908" s="5" t="s">
        <v>4690</v>
      </c>
      <c r="G908" s="5" t="s">
        <v>4691</v>
      </c>
      <c r="H908" s="5">
        <v>2009.0</v>
      </c>
      <c r="I908" s="5">
        <v>0.0</v>
      </c>
      <c r="J908" s="5">
        <v>0.0</v>
      </c>
      <c r="K908" s="5">
        <v>1.0</v>
      </c>
      <c r="L908" s="54"/>
      <c r="M908" s="5" t="s">
        <v>4709</v>
      </c>
      <c r="N908" s="53" t="s">
        <v>2996</v>
      </c>
      <c r="O908">
        <v>43.61583</v>
      </c>
      <c r="P908">
        <v>13.518915</v>
      </c>
      <c r="Q908" s="5" t="s">
        <v>1284</v>
      </c>
      <c r="R908" s="10">
        <f t="shared" si="10"/>
        <v>16</v>
      </c>
      <c r="S908" s="5" t="s">
        <v>4710</v>
      </c>
      <c r="T908" s="5"/>
      <c r="U908" s="5" t="s">
        <v>4711</v>
      </c>
      <c r="V908" s="5" t="s">
        <v>4712</v>
      </c>
    </row>
    <row r="909" ht="12.75" customHeight="1">
      <c r="A909" s="5">
        <v>34262.0</v>
      </c>
      <c r="B909" s="5" t="s">
        <v>2962</v>
      </c>
      <c r="C909" s="5" t="s">
        <v>211</v>
      </c>
      <c r="D909" s="5" t="s">
        <v>2852</v>
      </c>
      <c r="E909" s="7" t="s">
        <v>4713</v>
      </c>
      <c r="F909" s="5" t="s">
        <v>4690</v>
      </c>
      <c r="G909" s="5" t="s">
        <v>4691</v>
      </c>
      <c r="H909" s="5">
        <v>2009.0</v>
      </c>
      <c r="I909" s="5">
        <v>0.0</v>
      </c>
      <c r="J909" s="5">
        <v>0.0</v>
      </c>
      <c r="K909" s="5">
        <v>1.0</v>
      </c>
      <c r="L909" s="54"/>
      <c r="M909" s="5" t="s">
        <v>4714</v>
      </c>
      <c r="N909" s="53" t="s">
        <v>3062</v>
      </c>
      <c r="O909">
        <v>41.385064</v>
      </c>
      <c r="P909">
        <v>2.173403</v>
      </c>
      <c r="Q909" s="5" t="s">
        <v>1220</v>
      </c>
      <c r="R909" s="10">
        <f t="shared" si="10"/>
        <v>4</v>
      </c>
      <c r="S909" s="5" t="s">
        <v>4715</v>
      </c>
      <c r="T909" s="6" t="s">
        <v>72</v>
      </c>
      <c r="U909" s="5" t="s">
        <v>4716</v>
      </c>
      <c r="V909" s="5"/>
    </row>
    <row r="910" ht="12.75" customHeight="1">
      <c r="A910" s="5">
        <v>34264.0</v>
      </c>
      <c r="B910" s="5" t="s">
        <v>49</v>
      </c>
      <c r="C910" s="52" t="s">
        <v>50</v>
      </c>
      <c r="D910" s="5" t="s">
        <v>2852</v>
      </c>
      <c r="E910" s="7" t="s">
        <v>4717</v>
      </c>
      <c r="F910" s="5" t="s">
        <v>4690</v>
      </c>
      <c r="G910" s="5" t="s">
        <v>4691</v>
      </c>
      <c r="H910" s="5">
        <v>2009.0</v>
      </c>
      <c r="I910" s="5">
        <v>0.0</v>
      </c>
      <c r="J910" s="5">
        <v>0.0</v>
      </c>
      <c r="K910" s="5">
        <v>2.0</v>
      </c>
      <c r="L910" s="54"/>
      <c r="M910" s="5" t="s">
        <v>4718</v>
      </c>
      <c r="N910" s="53" t="s">
        <v>4605</v>
      </c>
      <c r="O910">
        <v>37.625683</v>
      </c>
      <c r="P910">
        <v>-0.996584</v>
      </c>
      <c r="Q910" s="5" t="s">
        <v>953</v>
      </c>
      <c r="R910" s="10">
        <f t="shared" si="10"/>
        <v>8</v>
      </c>
      <c r="S910" s="5" t="s">
        <v>4719</v>
      </c>
      <c r="T910" s="6" t="s">
        <v>72</v>
      </c>
      <c r="U910" s="5" t="s">
        <v>4720</v>
      </c>
      <c r="V910" s="5"/>
    </row>
    <row r="911" ht="12.75" customHeight="1">
      <c r="A911" s="5">
        <v>34263.0</v>
      </c>
      <c r="B911" s="5" t="s">
        <v>68</v>
      </c>
      <c r="C911" s="5" t="s">
        <v>69</v>
      </c>
      <c r="D911" s="5" t="s">
        <v>2614</v>
      </c>
      <c r="E911" s="7" t="s">
        <v>4717</v>
      </c>
      <c r="F911" s="5" t="s">
        <v>4690</v>
      </c>
      <c r="G911" s="5" t="s">
        <v>4691</v>
      </c>
      <c r="H911" s="5">
        <v>2009.0</v>
      </c>
      <c r="I911" s="5">
        <v>0.0</v>
      </c>
      <c r="J911" s="5">
        <v>0.0</v>
      </c>
      <c r="K911" s="5">
        <v>2.0</v>
      </c>
      <c r="L911" s="54"/>
      <c r="M911" s="5" t="s">
        <v>4721</v>
      </c>
      <c r="N911" s="53" t="s">
        <v>4722</v>
      </c>
      <c r="O911">
        <v>37.992331</v>
      </c>
      <c r="P911">
        <v>-1.130458</v>
      </c>
      <c r="Q911" s="5" t="s">
        <v>982</v>
      </c>
      <c r="R911" s="10">
        <f t="shared" si="10"/>
        <v>14</v>
      </c>
      <c r="S911" s="5" t="s">
        <v>4723</v>
      </c>
      <c r="T911" s="6" t="s">
        <v>72</v>
      </c>
      <c r="U911" s="5" t="s">
        <v>2326</v>
      </c>
      <c r="V911" s="5" t="s">
        <v>4724</v>
      </c>
    </row>
    <row r="912" ht="12.75" customHeight="1">
      <c r="A912" s="5">
        <v>54537.0</v>
      </c>
      <c r="B912" s="5" t="s">
        <v>49</v>
      </c>
      <c r="C912" s="52" t="s">
        <v>50</v>
      </c>
      <c r="D912" s="5"/>
      <c r="E912" s="7" t="s">
        <v>4725</v>
      </c>
      <c r="F912" s="5" t="s">
        <v>4690</v>
      </c>
      <c r="G912" s="5" t="s">
        <v>4691</v>
      </c>
      <c r="H912" s="5">
        <v>2009.0</v>
      </c>
      <c r="I912" s="5">
        <v>1.0</v>
      </c>
      <c r="J912" s="5">
        <v>0.0</v>
      </c>
      <c r="K912" s="5">
        <v>1.0</v>
      </c>
      <c r="L912" s="54"/>
      <c r="M912" s="5" t="s">
        <v>4726</v>
      </c>
      <c r="N912" s="53" t="s">
        <v>2427</v>
      </c>
      <c r="O912">
        <v>50.95129</v>
      </c>
      <c r="P912">
        <v>1.858686</v>
      </c>
      <c r="Q912" s="5" t="s">
        <v>1551</v>
      </c>
      <c r="R912" s="10">
        <f t="shared" si="10"/>
        <v>30</v>
      </c>
      <c r="S912" s="5" t="s">
        <v>4727</v>
      </c>
      <c r="T912" s="5"/>
      <c r="U912" s="5" t="s">
        <v>2526</v>
      </c>
      <c r="V912" s="5" t="s">
        <v>4728</v>
      </c>
    </row>
    <row r="913" ht="12.75" customHeight="1">
      <c r="A913" s="5">
        <v>34265.0</v>
      </c>
      <c r="B913" s="5" t="s">
        <v>49</v>
      </c>
      <c r="C913" s="52" t="s">
        <v>50</v>
      </c>
      <c r="D913" s="5" t="s">
        <v>2852</v>
      </c>
      <c r="E913" s="7" t="s">
        <v>4729</v>
      </c>
      <c r="F913" s="5" t="s">
        <v>4690</v>
      </c>
      <c r="G913" s="5" t="s">
        <v>4691</v>
      </c>
      <c r="H913" s="5">
        <v>2009.0</v>
      </c>
      <c r="I913" s="5">
        <v>0.0</v>
      </c>
      <c r="J913" s="5">
        <v>0.0</v>
      </c>
      <c r="K913" s="5">
        <v>6.0</v>
      </c>
      <c r="L913" s="54"/>
      <c r="M913" s="5" t="s">
        <v>4730</v>
      </c>
      <c r="N913" s="53" t="s">
        <v>948</v>
      </c>
      <c r="O913">
        <v>37.035339</v>
      </c>
      <c r="P913">
        <v>27.43029</v>
      </c>
      <c r="Q913" s="5" t="s">
        <v>892</v>
      </c>
      <c r="R913" s="10">
        <f t="shared" si="10"/>
        <v>57</v>
      </c>
      <c r="S913" s="5" t="s">
        <v>4731</v>
      </c>
      <c r="T913" s="6" t="s">
        <v>53</v>
      </c>
      <c r="U913" s="5" t="s">
        <v>4732</v>
      </c>
      <c r="V913" s="5"/>
    </row>
    <row r="914" ht="12.75" customHeight="1">
      <c r="A914" s="5">
        <v>34266.0</v>
      </c>
      <c r="B914" s="5" t="s">
        <v>2896</v>
      </c>
      <c r="C914" s="5" t="s">
        <v>211</v>
      </c>
      <c r="D914" s="5" t="s">
        <v>2852</v>
      </c>
      <c r="E914" s="7" t="s">
        <v>4729</v>
      </c>
      <c r="F914" s="5" t="s">
        <v>4690</v>
      </c>
      <c r="G914" s="5" t="s">
        <v>4691</v>
      </c>
      <c r="H914" s="5">
        <v>2009.0</v>
      </c>
      <c r="I914" s="5">
        <v>0.0</v>
      </c>
      <c r="J914" s="5">
        <v>0.0</v>
      </c>
      <c r="K914" s="6">
        <v>1.0</v>
      </c>
      <c r="L914" s="54"/>
      <c r="M914" s="5" t="s">
        <v>4733</v>
      </c>
      <c r="N914" s="53" t="s">
        <v>4734</v>
      </c>
      <c r="O914">
        <v>43.263013</v>
      </c>
      <c r="P914">
        <v>-2.934985</v>
      </c>
      <c r="Q914" s="5" t="s">
        <v>1266</v>
      </c>
      <c r="R914" s="10">
        <f t="shared" si="10"/>
        <v>1</v>
      </c>
      <c r="S914" s="5" t="s">
        <v>4735</v>
      </c>
      <c r="T914" s="5"/>
      <c r="U914" s="5" t="s">
        <v>4736</v>
      </c>
      <c r="V914" s="5"/>
    </row>
    <row r="915" ht="12.75" customHeight="1">
      <c r="A915" s="5">
        <v>34267.0</v>
      </c>
      <c r="B915" s="5" t="s">
        <v>49</v>
      </c>
      <c r="C915" s="52" t="s">
        <v>50</v>
      </c>
      <c r="D915" s="5" t="s">
        <v>2852</v>
      </c>
      <c r="E915" s="7" t="s">
        <v>4737</v>
      </c>
      <c r="F915" s="5" t="s">
        <v>4690</v>
      </c>
      <c r="G915" s="5" t="s">
        <v>4691</v>
      </c>
      <c r="H915" s="5">
        <v>2009.0</v>
      </c>
      <c r="I915" s="5">
        <v>0.0</v>
      </c>
      <c r="J915" s="5">
        <v>0.0</v>
      </c>
      <c r="K915" s="5">
        <v>7.0</v>
      </c>
      <c r="L915" s="54"/>
      <c r="M915" s="5" t="s">
        <v>4738</v>
      </c>
      <c r="N915" s="53" t="s">
        <v>4739</v>
      </c>
      <c r="O915">
        <v>37.074153</v>
      </c>
      <c r="P915">
        <v>14.240354</v>
      </c>
      <c r="Q915" s="5" t="s">
        <v>894</v>
      </c>
      <c r="R915" s="10">
        <f t="shared" si="10"/>
        <v>59</v>
      </c>
      <c r="S915" s="5" t="s">
        <v>4740</v>
      </c>
      <c r="T915" s="6" t="s">
        <v>2130</v>
      </c>
      <c r="U915" s="5" t="s">
        <v>4741</v>
      </c>
      <c r="V915" s="5"/>
    </row>
    <row r="916" ht="12.75" customHeight="1">
      <c r="A916" s="5">
        <v>34268.0</v>
      </c>
      <c r="B916" s="5" t="s">
        <v>1995</v>
      </c>
      <c r="C916" s="52" t="s">
        <v>50</v>
      </c>
      <c r="D916" s="5" t="s">
        <v>2852</v>
      </c>
      <c r="E916" s="7" t="s">
        <v>4737</v>
      </c>
      <c r="F916" s="5" t="s">
        <v>4690</v>
      </c>
      <c r="G916" s="5" t="s">
        <v>4691</v>
      </c>
      <c r="H916" s="5">
        <v>2009.0</v>
      </c>
      <c r="I916" s="5">
        <v>0.0</v>
      </c>
      <c r="J916" s="5">
        <v>0.0</v>
      </c>
      <c r="K916" s="5">
        <v>1.0</v>
      </c>
      <c r="L916" s="54"/>
      <c r="M916" s="5" t="s">
        <v>4742</v>
      </c>
      <c r="N916" s="53" t="s">
        <v>4743</v>
      </c>
      <c r="O916">
        <v>42.675931</v>
      </c>
      <c r="P916">
        <v>23.433222</v>
      </c>
      <c r="Q916" s="5" t="s">
        <v>1260</v>
      </c>
      <c r="R916" s="10">
        <f t="shared" si="10"/>
        <v>2</v>
      </c>
      <c r="S916" s="5" t="s">
        <v>4744</v>
      </c>
      <c r="T916" s="6" t="s">
        <v>53</v>
      </c>
      <c r="U916" s="5" t="s">
        <v>3219</v>
      </c>
      <c r="V916" s="5" t="s">
        <v>4745</v>
      </c>
    </row>
    <row r="917" ht="12.75" customHeight="1">
      <c r="A917" s="5">
        <v>34269.0</v>
      </c>
      <c r="B917" s="5" t="s">
        <v>2896</v>
      </c>
      <c r="C917" s="5" t="s">
        <v>211</v>
      </c>
      <c r="D917" s="5" t="s">
        <v>2852</v>
      </c>
      <c r="E917" s="7" t="s">
        <v>4746</v>
      </c>
      <c r="F917" s="5" t="s">
        <v>4690</v>
      </c>
      <c r="G917" s="5" t="s">
        <v>4691</v>
      </c>
      <c r="H917" s="5">
        <v>2009.0</v>
      </c>
      <c r="I917" s="5">
        <v>0.0</v>
      </c>
      <c r="J917" s="5">
        <v>0.0</v>
      </c>
      <c r="K917" s="5">
        <v>1.0</v>
      </c>
      <c r="L917" s="54"/>
      <c r="M917" s="5" t="s">
        <v>4747</v>
      </c>
      <c r="N917" s="53" t="s">
        <v>4748</v>
      </c>
      <c r="O917">
        <v>45.698264</v>
      </c>
      <c r="P917">
        <v>9.67727</v>
      </c>
      <c r="Q917" s="5" t="s">
        <v>1336</v>
      </c>
      <c r="R917" s="10">
        <f t="shared" si="10"/>
        <v>1</v>
      </c>
      <c r="S917" s="5" t="s">
        <v>4749</v>
      </c>
      <c r="T917" s="5"/>
      <c r="U917" s="5" t="s">
        <v>4452</v>
      </c>
      <c r="V917" s="5"/>
    </row>
    <row r="918" ht="12.75" customHeight="1">
      <c r="A918" s="5">
        <v>34270.0</v>
      </c>
      <c r="B918" s="5" t="s">
        <v>49</v>
      </c>
      <c r="C918" s="52" t="s">
        <v>50</v>
      </c>
      <c r="D918" s="5" t="s">
        <v>2614</v>
      </c>
      <c r="E918" s="7" t="s">
        <v>4750</v>
      </c>
      <c r="F918" s="5" t="s">
        <v>4690</v>
      </c>
      <c r="G918" s="5" t="s">
        <v>4691</v>
      </c>
      <c r="H918" s="5">
        <v>2009.0</v>
      </c>
      <c r="I918" s="5">
        <v>0.0</v>
      </c>
      <c r="J918" s="5">
        <v>0.0</v>
      </c>
      <c r="K918" s="5">
        <v>18.0</v>
      </c>
      <c r="L918" s="54"/>
      <c r="M918" s="5" t="s">
        <v>4751</v>
      </c>
      <c r="N918" s="53" t="s">
        <v>2680</v>
      </c>
      <c r="O918">
        <v>36.018776</v>
      </c>
      <c r="P918">
        <v>-5.600819</v>
      </c>
      <c r="Q918" s="5" t="s">
        <v>761</v>
      </c>
      <c r="R918" s="10">
        <f t="shared" si="10"/>
        <v>492</v>
      </c>
      <c r="S918" s="5" t="s">
        <v>4752</v>
      </c>
      <c r="T918" s="6" t="s">
        <v>72</v>
      </c>
      <c r="U918" s="5" t="s">
        <v>2785</v>
      </c>
      <c r="V918" s="5" t="s">
        <v>4753</v>
      </c>
    </row>
    <row r="919" ht="12.75" customHeight="1">
      <c r="A919" s="5">
        <v>34272.0</v>
      </c>
      <c r="B919" s="5" t="s">
        <v>4754</v>
      </c>
      <c r="C919" s="5" t="s">
        <v>75</v>
      </c>
      <c r="D919" s="5" t="s">
        <v>2852</v>
      </c>
      <c r="E919" s="7" t="s">
        <v>4755</v>
      </c>
      <c r="F919" s="5" t="s">
        <v>4690</v>
      </c>
      <c r="G919" s="5" t="s">
        <v>4691</v>
      </c>
      <c r="H919" s="5">
        <v>2009.0</v>
      </c>
      <c r="I919" s="5">
        <v>0.0</v>
      </c>
      <c r="J919" s="5">
        <v>0.0</v>
      </c>
      <c r="K919" s="5">
        <v>1.0</v>
      </c>
      <c r="L919" s="54"/>
      <c r="M919" s="5" t="s">
        <v>4756</v>
      </c>
      <c r="N919" s="53" t="s">
        <v>2638</v>
      </c>
      <c r="O919">
        <v>35.888384</v>
      </c>
      <c r="P919">
        <v>-5.324636</v>
      </c>
      <c r="Q919" s="5" t="s">
        <v>717</v>
      </c>
      <c r="R919" s="10">
        <f t="shared" si="10"/>
        <v>213</v>
      </c>
      <c r="S919" s="5" t="s">
        <v>4757</v>
      </c>
      <c r="T919" s="6" t="s">
        <v>72</v>
      </c>
      <c r="U919" s="5" t="s">
        <v>4758</v>
      </c>
      <c r="V919" s="5"/>
    </row>
    <row r="920" ht="12.75" customHeight="1">
      <c r="A920" s="5">
        <v>34271.0</v>
      </c>
      <c r="B920" s="5" t="s">
        <v>68</v>
      </c>
      <c r="C920" s="5" t="s">
        <v>69</v>
      </c>
      <c r="D920" s="5" t="s">
        <v>2614</v>
      </c>
      <c r="E920" s="7" t="s">
        <v>4755</v>
      </c>
      <c r="F920" s="5" t="s">
        <v>4690</v>
      </c>
      <c r="G920" s="5" t="s">
        <v>4691</v>
      </c>
      <c r="H920" s="5">
        <v>2009.0</v>
      </c>
      <c r="I920" s="5">
        <v>0.0</v>
      </c>
      <c r="J920" s="5">
        <v>0.0</v>
      </c>
      <c r="K920" s="5">
        <v>1.0</v>
      </c>
      <c r="L920" s="54"/>
      <c r="M920" s="5" t="s">
        <v>4759</v>
      </c>
      <c r="N920" s="53" t="s">
        <v>4760</v>
      </c>
      <c r="O920">
        <v>38.77474</v>
      </c>
      <c r="P920">
        <v>0.08519</v>
      </c>
      <c r="Q920" s="5" t="s">
        <v>1035</v>
      </c>
      <c r="R920" s="10">
        <f t="shared" si="10"/>
        <v>52</v>
      </c>
      <c r="S920" s="5" t="s">
        <v>4761</v>
      </c>
      <c r="T920" s="6" t="s">
        <v>72</v>
      </c>
      <c r="U920" s="5" t="s">
        <v>4762</v>
      </c>
      <c r="V920" s="5" t="s">
        <v>4763</v>
      </c>
    </row>
    <row r="921" ht="12.75" customHeight="1">
      <c r="A921" s="5">
        <v>34273.0</v>
      </c>
      <c r="B921" s="5" t="s">
        <v>41</v>
      </c>
      <c r="C921" s="5" t="s">
        <v>42</v>
      </c>
      <c r="D921" s="5" t="s">
        <v>2614</v>
      </c>
      <c r="E921" s="7" t="s">
        <v>4764</v>
      </c>
      <c r="F921" s="5" t="s">
        <v>4690</v>
      </c>
      <c r="G921" s="5" t="s">
        <v>4691</v>
      </c>
      <c r="H921" s="5">
        <v>2009.0</v>
      </c>
      <c r="I921" s="5">
        <v>0.0</v>
      </c>
      <c r="J921" s="5">
        <v>0.0</v>
      </c>
      <c r="K921" s="5">
        <v>1.0</v>
      </c>
      <c r="L921" s="54"/>
      <c r="M921" s="5" t="s">
        <v>4765</v>
      </c>
      <c r="N921" s="53" t="s">
        <v>2888</v>
      </c>
      <c r="O921">
        <v>24.088938</v>
      </c>
      <c r="P921">
        <v>32.899829</v>
      </c>
      <c r="Q921" s="5" t="s">
        <v>329</v>
      </c>
      <c r="R921" s="10">
        <f t="shared" si="10"/>
        <v>129</v>
      </c>
      <c r="S921" s="5" t="s">
        <v>4766</v>
      </c>
      <c r="T921" s="5"/>
      <c r="U921" s="5" t="s">
        <v>92</v>
      </c>
      <c r="V921" s="5" t="s">
        <v>4767</v>
      </c>
    </row>
    <row r="922" ht="12.75" customHeight="1">
      <c r="A922" s="5">
        <v>34274.0</v>
      </c>
      <c r="B922" s="5" t="s">
        <v>2902</v>
      </c>
      <c r="C922" s="5" t="s">
        <v>211</v>
      </c>
      <c r="D922" s="5" t="s">
        <v>2852</v>
      </c>
      <c r="E922" s="7" t="s">
        <v>4768</v>
      </c>
      <c r="F922" s="5" t="s">
        <v>4690</v>
      </c>
      <c r="G922" s="5" t="s">
        <v>4769</v>
      </c>
      <c r="H922" s="5">
        <v>2009.0</v>
      </c>
      <c r="I922" s="5">
        <v>0.0</v>
      </c>
      <c r="J922" s="5">
        <v>0.0</v>
      </c>
      <c r="K922" s="5">
        <v>1.0</v>
      </c>
      <c r="L922" s="54"/>
      <c r="M922" s="5" t="s">
        <v>4770</v>
      </c>
      <c r="N922" s="53" t="s">
        <v>4771</v>
      </c>
      <c r="O922">
        <v>60.67488</v>
      </c>
      <c r="P922">
        <v>17.141273</v>
      </c>
      <c r="Q922" s="5" t="s">
        <v>1923</v>
      </c>
      <c r="R922" s="10">
        <f t="shared" si="10"/>
        <v>1</v>
      </c>
      <c r="S922" s="5" t="s">
        <v>4772</v>
      </c>
      <c r="T922" s="5"/>
      <c r="U922" s="5" t="s">
        <v>4773</v>
      </c>
      <c r="V922" s="5"/>
    </row>
    <row r="923" ht="12.75" customHeight="1">
      <c r="A923" s="5">
        <v>34275.0</v>
      </c>
      <c r="B923" s="5" t="s">
        <v>49</v>
      </c>
      <c r="C923" s="52" t="s">
        <v>50</v>
      </c>
      <c r="D923" s="5" t="s">
        <v>2614</v>
      </c>
      <c r="E923" s="7" t="s">
        <v>4774</v>
      </c>
      <c r="F923" s="5" t="s">
        <v>4690</v>
      </c>
      <c r="G923" s="5" t="s">
        <v>4769</v>
      </c>
      <c r="H923" s="5">
        <v>2009.0</v>
      </c>
      <c r="I923" s="5">
        <v>0.0</v>
      </c>
      <c r="J923" s="5">
        <v>0.0</v>
      </c>
      <c r="K923" s="5">
        <v>1.0</v>
      </c>
      <c r="L923" s="54"/>
      <c r="M923" s="5" t="s">
        <v>4775</v>
      </c>
      <c r="N923" s="53" t="s">
        <v>4044</v>
      </c>
      <c r="O923">
        <v>40.120875</v>
      </c>
      <c r="P923">
        <v>9.012893</v>
      </c>
      <c r="Q923" s="5" t="s">
        <v>1120</v>
      </c>
      <c r="R923" s="10">
        <f t="shared" si="10"/>
        <v>81</v>
      </c>
      <c r="S923" s="5" t="s">
        <v>4776</v>
      </c>
      <c r="T923" s="6" t="s">
        <v>2130</v>
      </c>
      <c r="U923" s="5" t="s">
        <v>2326</v>
      </c>
      <c r="V923" s="5" t="s">
        <v>4777</v>
      </c>
    </row>
    <row r="924" ht="12.75" customHeight="1">
      <c r="A924" s="5">
        <v>34276.0</v>
      </c>
      <c r="B924" s="5" t="s">
        <v>2902</v>
      </c>
      <c r="C924" s="5" t="s">
        <v>211</v>
      </c>
      <c r="D924" s="5" t="s">
        <v>2852</v>
      </c>
      <c r="E924" s="7" t="s">
        <v>4778</v>
      </c>
      <c r="F924" s="5" t="s">
        <v>4690</v>
      </c>
      <c r="G924" s="5" t="s">
        <v>4769</v>
      </c>
      <c r="H924" s="5">
        <v>2009.0</v>
      </c>
      <c r="I924" s="5">
        <v>0.0</v>
      </c>
      <c r="J924" s="5">
        <v>0.0</v>
      </c>
      <c r="K924" s="5">
        <v>1.0</v>
      </c>
      <c r="L924" s="54"/>
      <c r="M924" s="5" t="s">
        <v>4779</v>
      </c>
      <c r="N924" s="53" t="s">
        <v>3062</v>
      </c>
      <c r="O924">
        <v>41.385064</v>
      </c>
      <c r="P924">
        <v>2.173403</v>
      </c>
      <c r="Q924" s="5" t="s">
        <v>1220</v>
      </c>
      <c r="R924" s="10">
        <f t="shared" si="10"/>
        <v>4</v>
      </c>
      <c r="S924" s="5" t="s">
        <v>4780</v>
      </c>
      <c r="T924" s="6" t="s">
        <v>72</v>
      </c>
      <c r="U924" s="5" t="s">
        <v>4781</v>
      </c>
      <c r="V924" s="5"/>
    </row>
    <row r="925" ht="12.75" customHeight="1">
      <c r="A925" s="5">
        <v>34277.0</v>
      </c>
      <c r="B925" s="5" t="s">
        <v>763</v>
      </c>
      <c r="C925" s="5" t="s">
        <v>124</v>
      </c>
      <c r="D925" s="5" t="s">
        <v>2852</v>
      </c>
      <c r="E925" s="7" t="s">
        <v>4778</v>
      </c>
      <c r="F925" s="5" t="s">
        <v>4690</v>
      </c>
      <c r="G925" s="5" t="s">
        <v>4769</v>
      </c>
      <c r="H925" s="5">
        <v>2009.0</v>
      </c>
      <c r="I925" s="5">
        <v>0.0</v>
      </c>
      <c r="J925" s="5">
        <v>0.0</v>
      </c>
      <c r="K925" s="5">
        <v>1.0</v>
      </c>
      <c r="L925" s="54"/>
      <c r="M925" s="5" t="s">
        <v>4782</v>
      </c>
      <c r="N925" s="53" t="s">
        <v>4783</v>
      </c>
      <c r="O925">
        <v>51.01792</v>
      </c>
      <c r="P925">
        <v>2.440483</v>
      </c>
      <c r="Q925" s="5" t="s">
        <v>1569</v>
      </c>
      <c r="R925" s="10">
        <f t="shared" si="10"/>
        <v>1</v>
      </c>
      <c r="S925" s="5" t="s">
        <v>4784</v>
      </c>
      <c r="T925" s="5"/>
      <c r="U925" s="5" t="s">
        <v>4785</v>
      </c>
      <c r="V925" s="5"/>
    </row>
    <row r="926" ht="12.75" customHeight="1">
      <c r="A926" s="5">
        <v>34278.0</v>
      </c>
      <c r="B926" s="5" t="s">
        <v>98</v>
      </c>
      <c r="C926" s="5" t="s">
        <v>62</v>
      </c>
      <c r="D926" s="5" t="s">
        <v>2852</v>
      </c>
      <c r="E926" s="7" t="s">
        <v>4786</v>
      </c>
      <c r="F926" s="5" t="s">
        <v>4690</v>
      </c>
      <c r="G926" s="5" t="s">
        <v>4769</v>
      </c>
      <c r="H926" s="5">
        <v>2009.0</v>
      </c>
      <c r="I926" s="5">
        <v>0.0</v>
      </c>
      <c r="J926" s="5">
        <v>0.0</v>
      </c>
      <c r="K926" s="5">
        <v>1.0</v>
      </c>
      <c r="L926" s="54"/>
      <c r="M926" s="5" t="s">
        <v>4787</v>
      </c>
      <c r="N926" s="53" t="s">
        <v>3328</v>
      </c>
      <c r="O926">
        <v>48.856614</v>
      </c>
      <c r="P926">
        <v>2.352222</v>
      </c>
      <c r="Q926" s="5" t="s">
        <v>3329</v>
      </c>
      <c r="R926" s="10">
        <f t="shared" si="10"/>
        <v>30</v>
      </c>
      <c r="S926" s="5" t="s">
        <v>4788</v>
      </c>
      <c r="T926" s="5"/>
      <c r="U926" s="5" t="s">
        <v>4789</v>
      </c>
      <c r="V926" s="5"/>
    </row>
    <row r="927" ht="12.75" customHeight="1">
      <c r="A927" s="5">
        <v>34279.0</v>
      </c>
      <c r="B927" s="5" t="s">
        <v>153</v>
      </c>
      <c r="C927" s="52" t="s">
        <v>50</v>
      </c>
      <c r="D927" s="5" t="s">
        <v>2614</v>
      </c>
      <c r="E927" s="7" t="s">
        <v>4790</v>
      </c>
      <c r="F927" s="5" t="s">
        <v>4690</v>
      </c>
      <c r="G927" s="5" t="s">
        <v>4769</v>
      </c>
      <c r="H927" s="5">
        <v>2009.0</v>
      </c>
      <c r="I927" s="5">
        <v>0.0</v>
      </c>
      <c r="J927" s="5">
        <v>0.0</v>
      </c>
      <c r="K927" s="5">
        <v>1.0</v>
      </c>
      <c r="L927" s="54"/>
      <c r="M927" s="5" t="s">
        <v>4791</v>
      </c>
      <c r="N927" s="53" t="s">
        <v>4792</v>
      </c>
      <c r="O927">
        <v>37.490112</v>
      </c>
      <c r="P927">
        <v>14.062893</v>
      </c>
      <c r="Q927" s="5" t="s">
        <v>940</v>
      </c>
      <c r="R927" s="10">
        <f t="shared" si="10"/>
        <v>3</v>
      </c>
      <c r="S927" s="5" t="s">
        <v>4793</v>
      </c>
      <c r="T927" s="6" t="s">
        <v>2130</v>
      </c>
      <c r="U927" s="5" t="s">
        <v>2326</v>
      </c>
      <c r="V927" s="5" t="s">
        <v>4794</v>
      </c>
    </row>
    <row r="928" ht="12.75" customHeight="1">
      <c r="A928" s="5">
        <v>34280.0</v>
      </c>
      <c r="B928" s="5" t="s">
        <v>68</v>
      </c>
      <c r="C928" s="5" t="s">
        <v>69</v>
      </c>
      <c r="D928" s="5" t="s">
        <v>2852</v>
      </c>
      <c r="E928" s="7" t="s">
        <v>4795</v>
      </c>
      <c r="F928" s="5" t="s">
        <v>4690</v>
      </c>
      <c r="G928" s="5" t="s">
        <v>4796</v>
      </c>
      <c r="H928" s="5">
        <v>2009.0</v>
      </c>
      <c r="I928" s="5">
        <v>0.0</v>
      </c>
      <c r="J928" s="5">
        <v>0.0</v>
      </c>
      <c r="K928" s="5">
        <v>1.0</v>
      </c>
      <c r="L928" s="54"/>
      <c r="M928" s="5" t="s">
        <v>4797</v>
      </c>
      <c r="N928" s="53" t="s">
        <v>2680</v>
      </c>
      <c r="O928">
        <v>36.018776</v>
      </c>
      <c r="P928">
        <v>-5.600819</v>
      </c>
      <c r="Q928" s="5" t="s">
        <v>761</v>
      </c>
      <c r="R928" s="10">
        <f t="shared" si="10"/>
        <v>492</v>
      </c>
      <c r="S928" s="5" t="s">
        <v>4798</v>
      </c>
      <c r="T928" s="6" t="s">
        <v>72</v>
      </c>
      <c r="U928" s="5" t="s">
        <v>4799</v>
      </c>
      <c r="V928" s="5" t="s">
        <v>4800</v>
      </c>
    </row>
    <row r="929" ht="12.75" customHeight="1">
      <c r="A929" s="5">
        <v>34283.0</v>
      </c>
      <c r="B929" s="5" t="s">
        <v>49</v>
      </c>
      <c r="C929" s="52" t="s">
        <v>50</v>
      </c>
      <c r="D929" s="5" t="s">
        <v>2852</v>
      </c>
      <c r="E929" s="7" t="s">
        <v>4801</v>
      </c>
      <c r="F929" s="5" t="s">
        <v>4690</v>
      </c>
      <c r="G929" s="5" t="s">
        <v>4796</v>
      </c>
      <c r="H929" s="5">
        <v>2009.0</v>
      </c>
      <c r="I929" s="5">
        <v>0.0</v>
      </c>
      <c r="J929" s="5">
        <v>0.0</v>
      </c>
      <c r="K929" s="5">
        <v>20.0</v>
      </c>
      <c r="L929" s="54"/>
      <c r="M929" s="5" t="s">
        <v>4802</v>
      </c>
      <c r="N929" s="53" t="s">
        <v>4803</v>
      </c>
      <c r="O929">
        <v>12.8</v>
      </c>
      <c r="P929">
        <v>45.033333</v>
      </c>
      <c r="Q929" s="5" t="s">
        <v>242</v>
      </c>
      <c r="R929" s="10">
        <f t="shared" si="10"/>
        <v>55</v>
      </c>
      <c r="S929" s="5" t="s">
        <v>4804</v>
      </c>
      <c r="T929" s="5"/>
      <c r="U929" s="5" t="s">
        <v>4805</v>
      </c>
      <c r="V929" s="5"/>
    </row>
    <row r="930" ht="12.75" customHeight="1">
      <c r="A930" s="5">
        <v>34282.0</v>
      </c>
      <c r="B930" s="5" t="s">
        <v>49</v>
      </c>
      <c r="C930" s="52" t="s">
        <v>50</v>
      </c>
      <c r="D930" s="5" t="s">
        <v>2852</v>
      </c>
      <c r="E930" s="7" t="s">
        <v>4801</v>
      </c>
      <c r="F930" s="5" t="s">
        <v>4690</v>
      </c>
      <c r="G930" s="5" t="s">
        <v>4796</v>
      </c>
      <c r="H930" s="5">
        <v>2009.0</v>
      </c>
      <c r="I930" s="5">
        <v>0.0</v>
      </c>
      <c r="J930" s="5">
        <v>0.0</v>
      </c>
      <c r="K930" s="5">
        <v>35.0</v>
      </c>
      <c r="L930" s="54"/>
      <c r="M930" s="5" t="s">
        <v>4806</v>
      </c>
      <c r="N930" s="53" t="s">
        <v>4803</v>
      </c>
      <c r="O930">
        <v>12.8</v>
      </c>
      <c r="P930">
        <v>45.033333</v>
      </c>
      <c r="Q930" s="5" t="s">
        <v>242</v>
      </c>
      <c r="R930" s="10">
        <f t="shared" si="10"/>
        <v>55</v>
      </c>
      <c r="S930" s="5" t="s">
        <v>4804</v>
      </c>
      <c r="T930" s="5"/>
      <c r="U930" s="5" t="s">
        <v>4805</v>
      </c>
      <c r="V930" s="5"/>
    </row>
    <row r="931" ht="12.75" customHeight="1">
      <c r="A931" s="5">
        <v>34284.0</v>
      </c>
      <c r="B931" s="5" t="s">
        <v>2921</v>
      </c>
      <c r="C931" s="52" t="s">
        <v>50</v>
      </c>
      <c r="D931" s="5" t="s">
        <v>2852</v>
      </c>
      <c r="E931" s="7" t="s">
        <v>4801</v>
      </c>
      <c r="F931" s="5" t="s">
        <v>4690</v>
      </c>
      <c r="G931" s="5" t="s">
        <v>4796</v>
      </c>
      <c r="H931" s="5">
        <v>2009.0</v>
      </c>
      <c r="I931" s="5">
        <v>0.0</v>
      </c>
      <c r="J931" s="5">
        <v>0.0</v>
      </c>
      <c r="K931" s="5">
        <v>2.0</v>
      </c>
      <c r="L931" s="54"/>
      <c r="M931" s="5" t="s">
        <v>4807</v>
      </c>
      <c r="N931" s="53" t="s">
        <v>3141</v>
      </c>
      <c r="O931">
        <v>36.140751</v>
      </c>
      <c r="P931">
        <v>-5.353585</v>
      </c>
      <c r="Q931" s="5" t="s">
        <v>774</v>
      </c>
      <c r="R931" s="10">
        <f t="shared" si="10"/>
        <v>107</v>
      </c>
      <c r="S931" s="5" t="s">
        <v>4808</v>
      </c>
      <c r="T931" s="6" t="s">
        <v>72</v>
      </c>
      <c r="U931" s="5" t="s">
        <v>4809</v>
      </c>
      <c r="V931" s="5"/>
    </row>
    <row r="932" ht="12.75" customHeight="1">
      <c r="A932" s="5">
        <v>34281.0</v>
      </c>
      <c r="B932" s="5" t="s">
        <v>68</v>
      </c>
      <c r="C932" s="5" t="s">
        <v>69</v>
      </c>
      <c r="D932" s="5" t="s">
        <v>2614</v>
      </c>
      <c r="E932" s="7" t="s">
        <v>4801</v>
      </c>
      <c r="F932" s="5" t="s">
        <v>4690</v>
      </c>
      <c r="G932" s="5" t="s">
        <v>4796</v>
      </c>
      <c r="H932" s="5">
        <v>2009.0</v>
      </c>
      <c r="I932" s="5">
        <v>0.0</v>
      </c>
      <c r="J932" s="5">
        <v>0.0</v>
      </c>
      <c r="K932" s="5">
        <v>2.0</v>
      </c>
      <c r="L932" s="54"/>
      <c r="M932" s="5" t="s">
        <v>4810</v>
      </c>
      <c r="N932" s="53" t="s">
        <v>3141</v>
      </c>
      <c r="O932">
        <v>36.140751</v>
      </c>
      <c r="P932">
        <v>-5.353585</v>
      </c>
      <c r="Q932" s="5" t="s">
        <v>774</v>
      </c>
      <c r="R932" s="10">
        <f t="shared" si="10"/>
        <v>107</v>
      </c>
      <c r="S932" s="5" t="s">
        <v>4808</v>
      </c>
      <c r="T932" s="6" t="s">
        <v>72</v>
      </c>
      <c r="U932" s="5" t="s">
        <v>4670</v>
      </c>
      <c r="V932" s="5" t="s">
        <v>4811</v>
      </c>
    </row>
    <row r="933" ht="12.75" customHeight="1">
      <c r="A933" s="5">
        <v>34285.0</v>
      </c>
      <c r="B933" s="5" t="s">
        <v>49</v>
      </c>
      <c r="C933" s="52" t="s">
        <v>50</v>
      </c>
      <c r="D933" s="5" t="s">
        <v>2852</v>
      </c>
      <c r="E933" s="7" t="s">
        <v>4812</v>
      </c>
      <c r="F933" s="5" t="s">
        <v>4690</v>
      </c>
      <c r="G933" s="5" t="s">
        <v>4796</v>
      </c>
      <c r="H933" s="5">
        <v>2009.0</v>
      </c>
      <c r="I933" s="5">
        <v>0.0</v>
      </c>
      <c r="J933" s="5">
        <v>0.0</v>
      </c>
      <c r="K933" s="5">
        <v>1.0</v>
      </c>
      <c r="L933" s="54"/>
      <c r="M933" s="5" t="s">
        <v>4813</v>
      </c>
      <c r="N933" s="53" t="s">
        <v>4814</v>
      </c>
      <c r="O933">
        <v>20.942518</v>
      </c>
      <c r="P933">
        <v>-17.036227</v>
      </c>
      <c r="Q933" s="5" t="s">
        <v>309</v>
      </c>
      <c r="R933" s="10">
        <f t="shared" si="10"/>
        <v>83</v>
      </c>
      <c r="S933" s="5" t="s">
        <v>4815</v>
      </c>
      <c r="T933" s="5" t="s">
        <v>1040</v>
      </c>
      <c r="U933" s="5" t="s">
        <v>4816</v>
      </c>
      <c r="V933" s="5" t="s">
        <v>4817</v>
      </c>
    </row>
    <row r="934" ht="12.75" customHeight="1">
      <c r="A934" s="5">
        <v>34286.0</v>
      </c>
      <c r="B934" s="5" t="s">
        <v>49</v>
      </c>
      <c r="C934" s="52" t="s">
        <v>50</v>
      </c>
      <c r="D934" s="5" t="s">
        <v>2852</v>
      </c>
      <c r="E934" s="7" t="s">
        <v>4818</v>
      </c>
      <c r="F934" s="5" t="s">
        <v>4690</v>
      </c>
      <c r="G934" s="5" t="s">
        <v>4796</v>
      </c>
      <c r="H934" s="5">
        <v>2009.0</v>
      </c>
      <c r="I934" s="5" t="s">
        <v>4819</v>
      </c>
      <c r="J934" s="5">
        <v>0.0</v>
      </c>
      <c r="K934" s="5">
        <v>1.0</v>
      </c>
      <c r="L934" s="54"/>
      <c r="M934" s="5" t="s">
        <v>4820</v>
      </c>
      <c r="N934" s="53" t="s">
        <v>3314</v>
      </c>
      <c r="O934">
        <v>37.599994</v>
      </c>
      <c r="P934">
        <v>14.015356</v>
      </c>
      <c r="Q934" s="5" t="s">
        <v>949</v>
      </c>
      <c r="R934" s="10">
        <f t="shared" si="10"/>
        <v>363</v>
      </c>
      <c r="S934" s="5" t="s">
        <v>4821</v>
      </c>
      <c r="T934" s="6" t="s">
        <v>2130</v>
      </c>
      <c r="U934" s="5" t="s">
        <v>4822</v>
      </c>
      <c r="V934" s="5" t="s">
        <v>4823</v>
      </c>
    </row>
    <row r="935" ht="12.75" customHeight="1">
      <c r="A935" s="5">
        <v>34287.0</v>
      </c>
      <c r="B935" s="5" t="s">
        <v>68</v>
      </c>
      <c r="C935" s="5" t="s">
        <v>69</v>
      </c>
      <c r="D935" s="5" t="s">
        <v>2614</v>
      </c>
      <c r="E935" s="7" t="s">
        <v>4824</v>
      </c>
      <c r="F935" s="5" t="s">
        <v>4690</v>
      </c>
      <c r="G935" s="5" t="s">
        <v>4796</v>
      </c>
      <c r="H935" s="5">
        <v>2009.0</v>
      </c>
      <c r="I935" s="5">
        <v>0.0</v>
      </c>
      <c r="J935" s="5">
        <v>0.0</v>
      </c>
      <c r="K935" s="5">
        <v>3.0</v>
      </c>
      <c r="L935" s="54"/>
      <c r="M935" s="5" t="s">
        <v>4825</v>
      </c>
      <c r="N935" s="53" t="s">
        <v>4826</v>
      </c>
      <c r="O935">
        <v>23.14632</v>
      </c>
      <c r="P935">
        <v>58.825119</v>
      </c>
      <c r="Q935" s="5" t="s">
        <v>319</v>
      </c>
      <c r="R935" s="10">
        <f t="shared" si="10"/>
        <v>5</v>
      </c>
      <c r="S935" s="5" t="s">
        <v>4827</v>
      </c>
      <c r="T935" s="5"/>
      <c r="U935" s="5" t="s">
        <v>2326</v>
      </c>
      <c r="V935" s="5" t="s">
        <v>4828</v>
      </c>
    </row>
    <row r="936" ht="12.75" customHeight="1">
      <c r="A936" s="5">
        <v>36504.0</v>
      </c>
      <c r="B936" s="5" t="s">
        <v>68</v>
      </c>
      <c r="C936" s="5" t="s">
        <v>69</v>
      </c>
      <c r="D936" s="5"/>
      <c r="E936" s="7" t="s">
        <v>4824</v>
      </c>
      <c r="F936" s="5" t="s">
        <v>4690</v>
      </c>
      <c r="G936" s="5" t="s">
        <v>4796</v>
      </c>
      <c r="H936" s="5">
        <v>2009.0</v>
      </c>
      <c r="I936" s="5">
        <v>0.0</v>
      </c>
      <c r="J936" s="5">
        <v>0.0</v>
      </c>
      <c r="K936" s="5">
        <v>1.0</v>
      </c>
      <c r="L936" s="54"/>
      <c r="M936" s="5" t="s">
        <v>4829</v>
      </c>
      <c r="N936" s="53" t="s">
        <v>3328</v>
      </c>
      <c r="O936">
        <v>48.856614</v>
      </c>
      <c r="P936">
        <v>2.352222</v>
      </c>
      <c r="Q936" s="5" t="s">
        <v>3329</v>
      </c>
      <c r="R936" s="10">
        <f t="shared" si="10"/>
        <v>30</v>
      </c>
      <c r="S936" s="5" t="s">
        <v>4830</v>
      </c>
      <c r="T936" s="6" t="s">
        <v>72</v>
      </c>
      <c r="U936" s="5" t="s">
        <v>327</v>
      </c>
      <c r="V936" s="5" t="s">
        <v>4831</v>
      </c>
    </row>
    <row r="937" ht="12.75" customHeight="1">
      <c r="A937" s="5">
        <v>34288.0</v>
      </c>
      <c r="B937" s="5" t="s">
        <v>68</v>
      </c>
      <c r="C937" s="5" t="s">
        <v>69</v>
      </c>
      <c r="D937" s="5" t="s">
        <v>2852</v>
      </c>
      <c r="E937" s="7" t="s">
        <v>4832</v>
      </c>
      <c r="F937" s="5" t="s">
        <v>4690</v>
      </c>
      <c r="G937" s="5" t="s">
        <v>4796</v>
      </c>
      <c r="H937" s="5">
        <v>2009.0</v>
      </c>
      <c r="I937" s="5">
        <v>0.0</v>
      </c>
      <c r="J937" s="5">
        <v>0.0</v>
      </c>
      <c r="K937" s="5">
        <v>25.0</v>
      </c>
      <c r="L937" s="54"/>
      <c r="M937" s="5" t="s">
        <v>4833</v>
      </c>
      <c r="N937" s="53" t="s">
        <v>2680</v>
      </c>
      <c r="O937">
        <v>36.018776</v>
      </c>
      <c r="P937">
        <v>-5.600819</v>
      </c>
      <c r="Q937" s="5" t="s">
        <v>761</v>
      </c>
      <c r="R937" s="10">
        <f t="shared" si="10"/>
        <v>492</v>
      </c>
      <c r="S937" s="5" t="s">
        <v>4834</v>
      </c>
      <c r="T937" s="6" t="s">
        <v>72</v>
      </c>
      <c r="U937" s="5" t="s">
        <v>4835</v>
      </c>
      <c r="V937" s="5"/>
    </row>
    <row r="938" ht="12.75" customHeight="1">
      <c r="A938" s="5">
        <v>34289.0</v>
      </c>
      <c r="B938" s="5" t="s">
        <v>1773</v>
      </c>
      <c r="C938" s="5" t="s">
        <v>124</v>
      </c>
      <c r="D938" s="5" t="s">
        <v>2614</v>
      </c>
      <c r="E938" s="7" t="s">
        <v>4836</v>
      </c>
      <c r="F938" s="5" t="s">
        <v>4690</v>
      </c>
      <c r="G938" s="5" t="s">
        <v>4796</v>
      </c>
      <c r="H938" s="5">
        <v>2009.0</v>
      </c>
      <c r="I938" s="5">
        <v>0.0</v>
      </c>
      <c r="J938" s="5">
        <v>0.0</v>
      </c>
      <c r="K938" s="5">
        <v>1.0</v>
      </c>
      <c r="L938" s="54"/>
      <c r="M938" s="5" t="s">
        <v>4837</v>
      </c>
      <c r="N938" s="53" t="s">
        <v>4838</v>
      </c>
      <c r="O938">
        <v>52.355518</v>
      </c>
      <c r="P938">
        <v>-1.17432</v>
      </c>
      <c r="Q938" s="5" t="s">
        <v>1746</v>
      </c>
      <c r="R938" s="10">
        <f t="shared" si="10"/>
        <v>6</v>
      </c>
      <c r="S938" s="5" t="s">
        <v>4839</v>
      </c>
      <c r="T938" s="5"/>
      <c r="U938" s="5" t="s">
        <v>327</v>
      </c>
      <c r="V938" s="5" t="s">
        <v>4840</v>
      </c>
    </row>
    <row r="939" ht="12.75" customHeight="1">
      <c r="A939" s="5">
        <v>34290.0</v>
      </c>
      <c r="B939" s="5" t="s">
        <v>68</v>
      </c>
      <c r="C939" s="5" t="s">
        <v>69</v>
      </c>
      <c r="D939" s="5" t="s">
        <v>2614</v>
      </c>
      <c r="E939" s="7" t="s">
        <v>4841</v>
      </c>
      <c r="F939" s="5" t="s">
        <v>4690</v>
      </c>
      <c r="G939" s="5" t="s">
        <v>4796</v>
      </c>
      <c r="H939" s="5">
        <v>2009.0</v>
      </c>
      <c r="I939" s="5">
        <v>0.0</v>
      </c>
      <c r="J939" s="5">
        <v>0.0</v>
      </c>
      <c r="K939" s="5">
        <v>2.0</v>
      </c>
      <c r="L939" s="54"/>
      <c r="M939" s="5" t="s">
        <v>4842</v>
      </c>
      <c r="N939" s="53" t="s">
        <v>2700</v>
      </c>
      <c r="O939">
        <v>35.508622</v>
      </c>
      <c r="P939">
        <v>12.59292</v>
      </c>
      <c r="Q939" s="5" t="s">
        <v>669</v>
      </c>
      <c r="R939" s="10">
        <f t="shared" si="10"/>
        <v>3843</v>
      </c>
      <c r="S939" s="5" t="s">
        <v>4843</v>
      </c>
      <c r="T939" s="6" t="s">
        <v>2130</v>
      </c>
      <c r="U939" s="5" t="s">
        <v>4844</v>
      </c>
      <c r="V939" s="5" t="s">
        <v>4845</v>
      </c>
    </row>
    <row r="940" ht="12.75" customHeight="1">
      <c r="A940" s="5">
        <v>34293.0</v>
      </c>
      <c r="B940" s="5" t="s">
        <v>49</v>
      </c>
      <c r="C940" s="52" t="s">
        <v>50</v>
      </c>
      <c r="D940" s="5" t="s">
        <v>2852</v>
      </c>
      <c r="E940" s="7" t="s">
        <v>4846</v>
      </c>
      <c r="F940" s="5" t="s">
        <v>4847</v>
      </c>
      <c r="G940" s="5" t="s">
        <v>4848</v>
      </c>
      <c r="H940" s="5">
        <v>2009.0</v>
      </c>
      <c r="I940" s="5">
        <v>0.0</v>
      </c>
      <c r="J940" s="5">
        <v>0.0</v>
      </c>
      <c r="K940" s="5">
        <v>500.0</v>
      </c>
      <c r="L940" s="54"/>
      <c r="M940" s="5" t="s">
        <v>4849</v>
      </c>
      <c r="N940" s="53" t="s">
        <v>2917</v>
      </c>
      <c r="O940">
        <v>32.876174</v>
      </c>
      <c r="P940">
        <v>13.187507</v>
      </c>
      <c r="Q940" s="5" t="s">
        <v>481</v>
      </c>
      <c r="R940" s="10">
        <f t="shared" si="10"/>
        <v>1281</v>
      </c>
      <c r="S940" s="5" t="s">
        <v>4850</v>
      </c>
      <c r="T940" s="6" t="s">
        <v>2130</v>
      </c>
      <c r="U940" s="5" t="s">
        <v>4851</v>
      </c>
      <c r="V940" s="5"/>
    </row>
    <row r="941" ht="12.75" customHeight="1">
      <c r="A941" s="5">
        <v>34292.0</v>
      </c>
      <c r="B941" s="5" t="s">
        <v>49</v>
      </c>
      <c r="C941" s="52" t="s">
        <v>50</v>
      </c>
      <c r="D941" s="5" t="s">
        <v>2852</v>
      </c>
      <c r="E941" s="7" t="s">
        <v>4846</v>
      </c>
      <c r="F941" s="5" t="s">
        <v>4847</v>
      </c>
      <c r="G941" s="5" t="s">
        <v>4848</v>
      </c>
      <c r="H941" s="5">
        <v>2009.0</v>
      </c>
      <c r="I941" s="5">
        <v>0.0</v>
      </c>
      <c r="J941" s="5">
        <v>0.0</v>
      </c>
      <c r="K941" s="5">
        <v>300.0</v>
      </c>
      <c r="L941" s="54"/>
      <c r="M941" s="5" t="s">
        <v>4852</v>
      </c>
      <c r="N941" s="53" t="s">
        <v>2917</v>
      </c>
      <c r="O941">
        <v>32.876174</v>
      </c>
      <c r="P941">
        <v>13.187507</v>
      </c>
      <c r="Q941" s="5" t="s">
        <v>481</v>
      </c>
      <c r="R941" s="10">
        <f t="shared" si="10"/>
        <v>1281</v>
      </c>
      <c r="S941" s="5" t="s">
        <v>4850</v>
      </c>
      <c r="T941" s="6" t="s">
        <v>2130</v>
      </c>
      <c r="U941" s="5" t="s">
        <v>4853</v>
      </c>
      <c r="V941" s="5" t="s">
        <v>4854</v>
      </c>
    </row>
    <row r="942" ht="12.75" customHeight="1">
      <c r="A942" s="5">
        <v>34291.0</v>
      </c>
      <c r="B942" s="5" t="s">
        <v>763</v>
      </c>
      <c r="C942" s="5" t="s">
        <v>124</v>
      </c>
      <c r="D942" s="5" t="s">
        <v>2614</v>
      </c>
      <c r="E942" s="7" t="s">
        <v>4846</v>
      </c>
      <c r="F942" s="5" t="s">
        <v>4847</v>
      </c>
      <c r="G942" s="5" t="s">
        <v>4848</v>
      </c>
      <c r="H942" s="5">
        <v>2009.0</v>
      </c>
      <c r="I942" s="5">
        <v>0.0</v>
      </c>
      <c r="J942" s="5">
        <v>0.0</v>
      </c>
      <c r="K942" s="5">
        <v>1.0</v>
      </c>
      <c r="L942" s="54"/>
      <c r="M942" s="5" t="s">
        <v>4855</v>
      </c>
      <c r="N942" s="53" t="s">
        <v>3171</v>
      </c>
      <c r="O942">
        <v>38.24664</v>
      </c>
      <c r="P942">
        <v>21.734574</v>
      </c>
      <c r="Q942" s="5" t="s">
        <v>1010</v>
      </c>
      <c r="R942" s="10">
        <f t="shared" si="10"/>
        <v>7</v>
      </c>
      <c r="S942" s="5" t="s">
        <v>4856</v>
      </c>
      <c r="T942" s="5"/>
      <c r="U942" s="5" t="s">
        <v>2326</v>
      </c>
      <c r="V942" s="5" t="s">
        <v>4857</v>
      </c>
    </row>
    <row r="943" ht="12.75" customHeight="1">
      <c r="A943" s="5">
        <v>34294.0</v>
      </c>
      <c r="B943" s="5" t="s">
        <v>763</v>
      </c>
      <c r="C943" s="5" t="s">
        <v>124</v>
      </c>
      <c r="D943" s="5" t="s">
        <v>2852</v>
      </c>
      <c r="E943" s="7" t="s">
        <v>4846</v>
      </c>
      <c r="F943" s="5" t="s">
        <v>4847</v>
      </c>
      <c r="G943" s="5" t="s">
        <v>4848</v>
      </c>
      <c r="H943" s="5">
        <v>2009.0</v>
      </c>
      <c r="I943" s="5">
        <v>0.0</v>
      </c>
      <c r="J943" s="5">
        <v>0.0</v>
      </c>
      <c r="K943" s="5">
        <v>1.0</v>
      </c>
      <c r="L943" s="54"/>
      <c r="M943" s="5" t="s">
        <v>4858</v>
      </c>
      <c r="N943" s="53" t="s">
        <v>2996</v>
      </c>
      <c r="O943">
        <v>43.61583</v>
      </c>
      <c r="P943">
        <v>13.518915</v>
      </c>
      <c r="Q943" s="5" t="s">
        <v>1284</v>
      </c>
      <c r="R943" s="10">
        <f t="shared" si="10"/>
        <v>16</v>
      </c>
      <c r="S943" s="5" t="s">
        <v>4859</v>
      </c>
      <c r="T943" s="5"/>
      <c r="U943" s="5" t="s">
        <v>4541</v>
      </c>
      <c r="V943" s="5"/>
    </row>
    <row r="944" ht="12.75" customHeight="1">
      <c r="A944" s="5">
        <v>34295.0</v>
      </c>
      <c r="B944" s="5" t="s">
        <v>68</v>
      </c>
      <c r="C944" s="5" t="s">
        <v>69</v>
      </c>
      <c r="D944" s="5" t="s">
        <v>2614</v>
      </c>
      <c r="E944" s="7" t="s">
        <v>4860</v>
      </c>
      <c r="F944" s="5" t="s">
        <v>4847</v>
      </c>
      <c r="G944" s="5" t="s">
        <v>4848</v>
      </c>
      <c r="H944" s="5">
        <v>2009.0</v>
      </c>
      <c r="I944" s="5">
        <v>14.0</v>
      </c>
      <c r="J944" s="5">
        <v>0.0</v>
      </c>
      <c r="K944" s="5">
        <v>14.0</v>
      </c>
      <c r="L944" s="54"/>
      <c r="M944" s="5" t="s">
        <v>4861</v>
      </c>
      <c r="N944" s="53" t="s">
        <v>4421</v>
      </c>
      <c r="O944">
        <v>36.752887</v>
      </c>
      <c r="P944">
        <v>3.042048</v>
      </c>
      <c r="Q944" s="5" t="s">
        <v>835</v>
      </c>
      <c r="R944" s="10">
        <f t="shared" si="10"/>
        <v>39</v>
      </c>
      <c r="S944" s="5" t="s">
        <v>4862</v>
      </c>
      <c r="T944" s="6" t="s">
        <v>72</v>
      </c>
      <c r="U944" s="5" t="s">
        <v>4863</v>
      </c>
      <c r="V944" s="5" t="s">
        <v>4864</v>
      </c>
    </row>
    <row r="945" ht="12.75" customHeight="1">
      <c r="A945" s="5">
        <v>34296.0</v>
      </c>
      <c r="B945" s="5" t="s">
        <v>763</v>
      </c>
      <c r="C945" s="5" t="s">
        <v>124</v>
      </c>
      <c r="D945" s="5" t="s">
        <v>2852</v>
      </c>
      <c r="E945" s="7" t="s">
        <v>4860</v>
      </c>
      <c r="F945" s="5" t="s">
        <v>4847</v>
      </c>
      <c r="G945" s="5" t="s">
        <v>4848</v>
      </c>
      <c r="H945" s="5">
        <v>2009.0</v>
      </c>
      <c r="I945" s="5">
        <v>0.0</v>
      </c>
      <c r="J945" s="5">
        <v>0.0</v>
      </c>
      <c r="K945" s="5">
        <v>1.0</v>
      </c>
      <c r="L945" s="54"/>
      <c r="M945" s="5" t="s">
        <v>4865</v>
      </c>
      <c r="N945" s="53" t="s">
        <v>3131</v>
      </c>
      <c r="O945">
        <v>45.440847</v>
      </c>
      <c r="P945">
        <v>12.315515</v>
      </c>
      <c r="Q945" s="5" t="s">
        <v>1317</v>
      </c>
      <c r="R945" s="10">
        <f t="shared" si="10"/>
        <v>13</v>
      </c>
      <c r="S945" s="5" t="s">
        <v>4866</v>
      </c>
      <c r="T945" s="5"/>
      <c r="U945" s="5" t="s">
        <v>4867</v>
      </c>
      <c r="V945" s="5" t="s">
        <v>4868</v>
      </c>
    </row>
    <row r="946" ht="12.75" customHeight="1">
      <c r="A946" s="5">
        <v>34297.0</v>
      </c>
      <c r="B946" s="5" t="s">
        <v>68</v>
      </c>
      <c r="C946" s="5" t="s">
        <v>69</v>
      </c>
      <c r="D946" s="5" t="s">
        <v>2852</v>
      </c>
      <c r="E946" s="7" t="s">
        <v>4869</v>
      </c>
      <c r="F946" s="5" t="s">
        <v>4847</v>
      </c>
      <c r="G946" s="5" t="s">
        <v>4848</v>
      </c>
      <c r="H946" s="5">
        <v>2009.0</v>
      </c>
      <c r="I946" s="5">
        <v>0.0</v>
      </c>
      <c r="J946" s="5">
        <v>0.0</v>
      </c>
      <c r="K946" s="5">
        <v>1.0</v>
      </c>
      <c r="L946" s="54"/>
      <c r="M946" s="5" t="s">
        <v>4870</v>
      </c>
      <c r="N946" s="53" t="s">
        <v>4871</v>
      </c>
      <c r="O946">
        <v>37.982394</v>
      </c>
      <c r="P946">
        <v>23.696198</v>
      </c>
      <c r="Q946" s="5" t="s">
        <v>972</v>
      </c>
      <c r="R946" s="10">
        <f t="shared" si="10"/>
        <v>2</v>
      </c>
      <c r="S946" s="5" t="s">
        <v>4872</v>
      </c>
      <c r="T946" s="6" t="s">
        <v>53</v>
      </c>
      <c r="U946" s="5" t="s">
        <v>4873</v>
      </c>
      <c r="V946" s="5"/>
    </row>
    <row r="947" ht="12.75" customHeight="1">
      <c r="A947" s="5">
        <v>34299.0</v>
      </c>
      <c r="B947" s="5" t="s">
        <v>68</v>
      </c>
      <c r="C947" s="5" t="s">
        <v>69</v>
      </c>
      <c r="D947" s="5" t="s">
        <v>2852</v>
      </c>
      <c r="E947" s="7" t="s">
        <v>4874</v>
      </c>
      <c r="F947" s="5" t="s">
        <v>4847</v>
      </c>
      <c r="G947" s="5" t="s">
        <v>4848</v>
      </c>
      <c r="H947" s="5">
        <v>2009.0</v>
      </c>
      <c r="I947" s="5">
        <v>0.0</v>
      </c>
      <c r="J947" s="5">
        <v>0.0</v>
      </c>
      <c r="K947" s="5">
        <v>2.0</v>
      </c>
      <c r="L947" s="54"/>
      <c r="M947" s="5" t="s">
        <v>4875</v>
      </c>
      <c r="N947" s="53" t="s">
        <v>4760</v>
      </c>
      <c r="O947">
        <v>38.77474</v>
      </c>
      <c r="P947">
        <v>0.08519</v>
      </c>
      <c r="Q947" s="5" t="s">
        <v>1035</v>
      </c>
      <c r="R947" s="10">
        <f t="shared" si="10"/>
        <v>52</v>
      </c>
      <c r="S947" s="5" t="s">
        <v>4876</v>
      </c>
      <c r="T947" s="6" t="s">
        <v>72</v>
      </c>
      <c r="U947" s="5" t="s">
        <v>4877</v>
      </c>
      <c r="V947" s="5"/>
    </row>
    <row r="948" ht="12.75" customHeight="1">
      <c r="A948" s="5">
        <v>34298.0</v>
      </c>
      <c r="B948" s="5" t="s">
        <v>68</v>
      </c>
      <c r="C948" s="5" t="s">
        <v>69</v>
      </c>
      <c r="D948" s="5" t="s">
        <v>2614</v>
      </c>
      <c r="E948" s="7" t="s">
        <v>4874</v>
      </c>
      <c r="F948" s="5" t="s">
        <v>4847</v>
      </c>
      <c r="G948" s="5" t="s">
        <v>4848</v>
      </c>
      <c r="H948" s="5">
        <v>2009.0</v>
      </c>
      <c r="I948" s="5">
        <v>0.0</v>
      </c>
      <c r="J948" s="5">
        <v>2.0</v>
      </c>
      <c r="K948" s="5">
        <v>2.0</v>
      </c>
      <c r="L948" s="54"/>
      <c r="M948" s="5" t="s">
        <v>4878</v>
      </c>
      <c r="N948" s="53" t="s">
        <v>4760</v>
      </c>
      <c r="O948">
        <v>38.77474</v>
      </c>
      <c r="P948">
        <v>0.08519</v>
      </c>
      <c r="Q948" s="5" t="s">
        <v>1035</v>
      </c>
      <c r="R948" s="10">
        <f t="shared" si="10"/>
        <v>52</v>
      </c>
      <c r="S948" s="5" t="s">
        <v>4876</v>
      </c>
      <c r="T948" s="6" t="s">
        <v>72</v>
      </c>
      <c r="U948" s="5" t="s">
        <v>4879</v>
      </c>
      <c r="V948" s="5" t="s">
        <v>4880</v>
      </c>
    </row>
    <row r="949" ht="12.75" customHeight="1">
      <c r="A949" s="5">
        <v>34300.0</v>
      </c>
      <c r="B949" s="5" t="s">
        <v>49</v>
      </c>
      <c r="C949" s="52" t="s">
        <v>50</v>
      </c>
      <c r="D949" s="5" t="s">
        <v>2852</v>
      </c>
      <c r="E949" s="7" t="s">
        <v>4881</v>
      </c>
      <c r="F949" s="5" t="s">
        <v>4847</v>
      </c>
      <c r="G949" s="5" t="s">
        <v>4848</v>
      </c>
      <c r="H949" s="5">
        <v>2009.0</v>
      </c>
      <c r="I949" s="5">
        <v>0.0</v>
      </c>
      <c r="J949" s="5">
        <v>0.0</v>
      </c>
      <c r="K949" s="5">
        <v>67.0</v>
      </c>
      <c r="L949" s="54"/>
      <c r="M949" s="5" t="s">
        <v>4882</v>
      </c>
      <c r="N949" s="53" t="s">
        <v>2700</v>
      </c>
      <c r="O949">
        <v>35.508622</v>
      </c>
      <c r="P949">
        <v>12.59292</v>
      </c>
      <c r="Q949" s="5" t="s">
        <v>669</v>
      </c>
      <c r="R949" s="10">
        <f t="shared" si="10"/>
        <v>3843</v>
      </c>
      <c r="S949" s="5" t="s">
        <v>4883</v>
      </c>
      <c r="T949" s="6" t="s">
        <v>2130</v>
      </c>
      <c r="U949" s="5" t="s">
        <v>4884</v>
      </c>
      <c r="V949" s="5" t="s">
        <v>4885</v>
      </c>
    </row>
    <row r="950" ht="12.75" customHeight="1">
      <c r="A950" s="5">
        <v>34301.0</v>
      </c>
      <c r="B950" s="5" t="s">
        <v>2693</v>
      </c>
      <c r="C950" s="5" t="s">
        <v>62</v>
      </c>
      <c r="D950" s="5" t="s">
        <v>2852</v>
      </c>
      <c r="E950" s="7" t="s">
        <v>4881</v>
      </c>
      <c r="F950" s="5" t="s">
        <v>4847</v>
      </c>
      <c r="G950" s="5" t="s">
        <v>4848</v>
      </c>
      <c r="H950" s="5">
        <v>2009.0</v>
      </c>
      <c r="I950" s="5">
        <v>0.0</v>
      </c>
      <c r="J950" s="5">
        <v>0.0</v>
      </c>
      <c r="K950" s="5">
        <v>1.0</v>
      </c>
      <c r="L950" s="54"/>
      <c r="M950" s="5" t="s">
        <v>4886</v>
      </c>
      <c r="N950" s="53" t="s">
        <v>4682</v>
      </c>
      <c r="O950">
        <v>41.892916</v>
      </c>
      <c r="P950">
        <v>12.48252</v>
      </c>
      <c r="Q950" s="5" t="s">
        <v>1244</v>
      </c>
      <c r="R950" s="10">
        <f t="shared" si="10"/>
        <v>2</v>
      </c>
      <c r="S950" s="5" t="s">
        <v>4887</v>
      </c>
      <c r="T950" s="5"/>
      <c r="U950" s="5" t="s">
        <v>4888</v>
      </c>
      <c r="V950" s="5"/>
    </row>
    <row r="951" ht="12.75" customHeight="1">
      <c r="A951" s="5">
        <v>34302.0</v>
      </c>
      <c r="B951" s="5" t="s">
        <v>49</v>
      </c>
      <c r="C951" s="52" t="s">
        <v>50</v>
      </c>
      <c r="D951" s="5" t="s">
        <v>2852</v>
      </c>
      <c r="E951" s="7" t="s">
        <v>4889</v>
      </c>
      <c r="F951" s="5" t="s">
        <v>4847</v>
      </c>
      <c r="G951" s="5" t="s">
        <v>4848</v>
      </c>
      <c r="H951" s="5">
        <v>2009.0</v>
      </c>
      <c r="I951" s="5">
        <v>0.0</v>
      </c>
      <c r="J951" s="5">
        <v>0.0</v>
      </c>
      <c r="K951" s="5">
        <v>1.0</v>
      </c>
      <c r="L951" s="54"/>
      <c r="M951" s="5" t="s">
        <v>4890</v>
      </c>
      <c r="N951" s="53" t="s">
        <v>2857</v>
      </c>
      <c r="O951">
        <v>36.527061</v>
      </c>
      <c r="P951">
        <v>-6.288596</v>
      </c>
      <c r="Q951" s="5" t="s">
        <v>802</v>
      </c>
      <c r="R951" s="10">
        <f t="shared" si="10"/>
        <v>185</v>
      </c>
      <c r="S951" s="5" t="s">
        <v>4891</v>
      </c>
      <c r="T951" s="6" t="s">
        <v>72</v>
      </c>
      <c r="U951" s="5" t="s">
        <v>4892</v>
      </c>
      <c r="V951" s="5" t="s">
        <v>4893</v>
      </c>
    </row>
    <row r="952" ht="12.75" customHeight="1">
      <c r="A952" s="5">
        <v>34303.0</v>
      </c>
      <c r="B952" s="5" t="s">
        <v>491</v>
      </c>
      <c r="C952" s="52" t="s">
        <v>50</v>
      </c>
      <c r="D952" s="5" t="s">
        <v>2852</v>
      </c>
      <c r="E952" s="7" t="s">
        <v>4894</v>
      </c>
      <c r="F952" s="5" t="s">
        <v>4847</v>
      </c>
      <c r="G952" s="5" t="s">
        <v>4848</v>
      </c>
      <c r="H952" s="5">
        <v>2009.0</v>
      </c>
      <c r="I952" s="5">
        <v>0.0</v>
      </c>
      <c r="J952" s="5">
        <v>0.0</v>
      </c>
      <c r="K952" s="5">
        <v>11.0</v>
      </c>
      <c r="L952" s="54"/>
      <c r="M952" s="5" t="s">
        <v>4895</v>
      </c>
      <c r="N952" s="53" t="s">
        <v>3295</v>
      </c>
      <c r="O952">
        <v>26.3351</v>
      </c>
      <c r="P952">
        <v>17.228331</v>
      </c>
      <c r="Q952" s="5" t="s">
        <v>337</v>
      </c>
      <c r="R952" s="10">
        <f t="shared" si="10"/>
        <v>1371</v>
      </c>
      <c r="S952" s="5" t="s">
        <v>4896</v>
      </c>
      <c r="T952" s="6" t="s">
        <v>2130</v>
      </c>
      <c r="U952" s="5" t="s">
        <v>4897</v>
      </c>
      <c r="V952" s="5"/>
    </row>
    <row r="953" ht="12.75" customHeight="1">
      <c r="A953" s="5">
        <v>34304.0</v>
      </c>
      <c r="B953" s="5" t="s">
        <v>49</v>
      </c>
      <c r="C953" s="52" t="s">
        <v>50</v>
      </c>
      <c r="D953" s="5" t="s">
        <v>2852</v>
      </c>
      <c r="E953" s="7" t="s">
        <v>4898</v>
      </c>
      <c r="F953" s="5" t="s">
        <v>4847</v>
      </c>
      <c r="G953" s="5" t="s">
        <v>4848</v>
      </c>
      <c r="H953" s="5">
        <v>2009.0</v>
      </c>
      <c r="I953" s="5">
        <v>0.0</v>
      </c>
      <c r="J953" s="5">
        <v>0.0</v>
      </c>
      <c r="K953" s="5">
        <v>12.0</v>
      </c>
      <c r="L953" s="54"/>
      <c r="M953" s="5" t="s">
        <v>4899</v>
      </c>
      <c r="N953" s="53" t="s">
        <v>3281</v>
      </c>
      <c r="O953">
        <v>37.22813</v>
      </c>
      <c r="P953">
        <v>-6.890386</v>
      </c>
      <c r="Q953" s="5" t="s">
        <v>913</v>
      </c>
      <c r="R953" s="10">
        <f t="shared" si="10"/>
        <v>13</v>
      </c>
      <c r="S953" s="5" t="s">
        <v>4900</v>
      </c>
      <c r="T953" s="6" t="s">
        <v>72</v>
      </c>
      <c r="U953" s="5" t="s">
        <v>4901</v>
      </c>
      <c r="V953" s="5"/>
    </row>
    <row r="954" ht="12.75" customHeight="1">
      <c r="A954" s="5">
        <v>34305.0</v>
      </c>
      <c r="B954" s="5" t="s">
        <v>4754</v>
      </c>
      <c r="C954" s="5" t="s">
        <v>75</v>
      </c>
      <c r="D954" s="5" t="s">
        <v>2614</v>
      </c>
      <c r="E954" s="7" t="s">
        <v>4902</v>
      </c>
      <c r="F954" s="5" t="s">
        <v>4847</v>
      </c>
      <c r="G954" s="5" t="s">
        <v>4848</v>
      </c>
      <c r="H954" s="5">
        <v>2009.0</v>
      </c>
      <c r="I954" s="5">
        <v>0.0</v>
      </c>
      <c r="J954" s="5">
        <v>0.0</v>
      </c>
      <c r="K954" s="5">
        <v>1.0</v>
      </c>
      <c r="L954" s="54"/>
      <c r="M954" s="5" t="s">
        <v>4903</v>
      </c>
      <c r="N954" s="53" t="s">
        <v>2638</v>
      </c>
      <c r="O954">
        <v>35.888384</v>
      </c>
      <c r="P954">
        <v>-5.324636</v>
      </c>
      <c r="Q954" s="5" t="s">
        <v>717</v>
      </c>
      <c r="R954" s="10">
        <f t="shared" si="10"/>
        <v>213</v>
      </c>
      <c r="S954" s="5" t="s">
        <v>4904</v>
      </c>
      <c r="T954" s="6" t="s">
        <v>72</v>
      </c>
      <c r="U954" s="5" t="s">
        <v>2635</v>
      </c>
      <c r="V954" s="5" t="s">
        <v>4905</v>
      </c>
    </row>
    <row r="955" ht="12.75" customHeight="1">
      <c r="A955" s="5">
        <v>34307.0</v>
      </c>
      <c r="B955" s="5" t="s">
        <v>49</v>
      </c>
      <c r="C955" s="52" t="s">
        <v>50</v>
      </c>
      <c r="D955" s="5" t="s">
        <v>2852</v>
      </c>
      <c r="E955" s="7" t="s">
        <v>4906</v>
      </c>
      <c r="F955" s="5" t="s">
        <v>4847</v>
      </c>
      <c r="G955" s="5" t="s">
        <v>4848</v>
      </c>
      <c r="H955" s="5">
        <v>2009.0</v>
      </c>
      <c r="I955" s="5">
        <v>0.0</v>
      </c>
      <c r="J955" s="5">
        <v>0.0</v>
      </c>
      <c r="K955" s="5">
        <v>34.0</v>
      </c>
      <c r="L955" s="54"/>
      <c r="M955" s="5" t="s">
        <v>4907</v>
      </c>
      <c r="N955" s="53" t="s">
        <v>2944</v>
      </c>
      <c r="O955">
        <v>-12.8275</v>
      </c>
      <c r="P955">
        <v>45.166244</v>
      </c>
      <c r="Q955" s="5" t="s">
        <v>228</v>
      </c>
      <c r="R955" s="10">
        <f t="shared" si="10"/>
        <v>757</v>
      </c>
      <c r="S955" s="5" t="s">
        <v>4908</v>
      </c>
      <c r="T955" s="5"/>
      <c r="U955" s="5" t="s">
        <v>4909</v>
      </c>
      <c r="V955" s="5"/>
    </row>
    <row r="956" ht="12.75" customHeight="1">
      <c r="A956" s="5">
        <v>34306.0</v>
      </c>
      <c r="B956" s="5" t="s">
        <v>49</v>
      </c>
      <c r="C956" s="52" t="s">
        <v>50</v>
      </c>
      <c r="D956" s="5" t="s">
        <v>2852</v>
      </c>
      <c r="E956" s="7" t="s">
        <v>4906</v>
      </c>
      <c r="F956" s="5" t="s">
        <v>4847</v>
      </c>
      <c r="G956" s="5" t="s">
        <v>4848</v>
      </c>
      <c r="H956" s="5">
        <v>2009.0</v>
      </c>
      <c r="I956" s="5">
        <v>0.0</v>
      </c>
      <c r="J956" s="5">
        <v>0.0</v>
      </c>
      <c r="K956" s="5">
        <v>2.0</v>
      </c>
      <c r="L956" s="54"/>
      <c r="M956" s="5" t="s">
        <v>4910</v>
      </c>
      <c r="N956" s="53" t="s">
        <v>2944</v>
      </c>
      <c r="O956">
        <v>-12.8275</v>
      </c>
      <c r="P956">
        <v>45.166244</v>
      </c>
      <c r="Q956" s="5" t="s">
        <v>228</v>
      </c>
      <c r="R956" s="10">
        <f t="shared" si="10"/>
        <v>757</v>
      </c>
      <c r="S956" s="5" t="s">
        <v>4908</v>
      </c>
      <c r="T956" s="5"/>
      <c r="U956" s="5" t="s">
        <v>4909</v>
      </c>
      <c r="V956" s="5"/>
    </row>
    <row r="957" ht="12.75" customHeight="1">
      <c r="A957" s="5">
        <v>34308.0</v>
      </c>
      <c r="B957" s="5" t="s">
        <v>68</v>
      </c>
      <c r="C957" s="5" t="s">
        <v>69</v>
      </c>
      <c r="D957" s="5" t="s">
        <v>2852</v>
      </c>
      <c r="E957" s="7" t="s">
        <v>4911</v>
      </c>
      <c r="F957" s="5" t="s">
        <v>4847</v>
      </c>
      <c r="G957" s="5" t="s">
        <v>4848</v>
      </c>
      <c r="H957" s="5">
        <v>2009.0</v>
      </c>
      <c r="I957" s="5">
        <v>0.0</v>
      </c>
      <c r="J957" s="5">
        <v>0.0</v>
      </c>
      <c r="K957" s="5">
        <v>2.0</v>
      </c>
      <c r="L957" s="54"/>
      <c r="M957" s="5" t="s">
        <v>4912</v>
      </c>
      <c r="N957" s="53" t="s">
        <v>2700</v>
      </c>
      <c r="O957">
        <v>35.508622</v>
      </c>
      <c r="P957">
        <v>12.59292</v>
      </c>
      <c r="Q957" s="5" t="s">
        <v>669</v>
      </c>
      <c r="R957" s="10">
        <f t="shared" si="10"/>
        <v>3843</v>
      </c>
      <c r="S957" s="5" t="s">
        <v>4913</v>
      </c>
      <c r="T957" s="6" t="s">
        <v>2130</v>
      </c>
      <c r="U957" s="5" t="s">
        <v>4914</v>
      </c>
      <c r="V957" s="5"/>
    </row>
    <row r="958" ht="12.75" customHeight="1">
      <c r="A958" s="5">
        <v>34309.0</v>
      </c>
      <c r="B958" s="5" t="s">
        <v>68</v>
      </c>
      <c r="C958" s="5" t="s">
        <v>69</v>
      </c>
      <c r="D958" s="5" t="s">
        <v>2852</v>
      </c>
      <c r="E958" s="7" t="s">
        <v>4915</v>
      </c>
      <c r="F958" s="5" t="s">
        <v>4847</v>
      </c>
      <c r="G958" s="5" t="s">
        <v>4916</v>
      </c>
      <c r="H958" s="5">
        <v>2009.0</v>
      </c>
      <c r="I958" s="5">
        <v>0.0</v>
      </c>
      <c r="J958" s="5">
        <v>0.0</v>
      </c>
      <c r="K958" s="5">
        <v>1.0</v>
      </c>
      <c r="L958" s="54"/>
      <c r="M958" s="5" t="s">
        <v>4917</v>
      </c>
      <c r="N958" s="53" t="s">
        <v>4871</v>
      </c>
      <c r="O958">
        <v>37.982394</v>
      </c>
      <c r="P958">
        <v>23.696198</v>
      </c>
      <c r="Q958" s="5" t="s">
        <v>972</v>
      </c>
      <c r="R958" s="10">
        <f t="shared" si="10"/>
        <v>2</v>
      </c>
      <c r="S958" s="5" t="s">
        <v>4918</v>
      </c>
      <c r="T958" s="6" t="s">
        <v>53</v>
      </c>
      <c r="U958" s="5" t="s">
        <v>4919</v>
      </c>
      <c r="V958" s="5"/>
    </row>
    <row r="959" ht="12.75" customHeight="1">
      <c r="A959" s="5">
        <v>34310.0</v>
      </c>
      <c r="B959" s="5" t="s">
        <v>68</v>
      </c>
      <c r="C959" s="5" t="s">
        <v>69</v>
      </c>
      <c r="D959" s="5" t="s">
        <v>2614</v>
      </c>
      <c r="E959" s="7" t="s">
        <v>4920</v>
      </c>
      <c r="F959" s="5" t="s">
        <v>4847</v>
      </c>
      <c r="G959" s="5" t="s">
        <v>4916</v>
      </c>
      <c r="H959" s="5">
        <v>2009.0</v>
      </c>
      <c r="I959" s="5">
        <v>0.0</v>
      </c>
      <c r="J959" s="5">
        <v>0.0</v>
      </c>
      <c r="K959" s="5">
        <v>1.0</v>
      </c>
      <c r="L959" s="54"/>
      <c r="M959" s="5" t="s">
        <v>4921</v>
      </c>
      <c r="N959" s="53" t="s">
        <v>4195</v>
      </c>
      <c r="O959">
        <v>51.03456</v>
      </c>
      <c r="P959">
        <v>2.375202</v>
      </c>
      <c r="Q959" s="5" t="s">
        <v>1575</v>
      </c>
      <c r="R959" s="10">
        <f t="shared" si="10"/>
        <v>3</v>
      </c>
      <c r="S959" s="5" t="s">
        <v>4922</v>
      </c>
      <c r="T959" s="5"/>
      <c r="U959" s="5" t="s">
        <v>4923</v>
      </c>
      <c r="V959" s="5" t="s">
        <v>4924</v>
      </c>
    </row>
    <row r="960" ht="12.75" customHeight="1">
      <c r="A960" s="5">
        <v>34312.0</v>
      </c>
      <c r="B960" s="5" t="s">
        <v>68</v>
      </c>
      <c r="C960" s="5" t="s">
        <v>69</v>
      </c>
      <c r="D960" s="5" t="s">
        <v>2852</v>
      </c>
      <c r="E960" s="7" t="s">
        <v>4925</v>
      </c>
      <c r="F960" s="5" t="s">
        <v>4847</v>
      </c>
      <c r="G960" s="5" t="s">
        <v>4916</v>
      </c>
      <c r="H960" s="5">
        <v>2009.0</v>
      </c>
      <c r="I960" s="5">
        <v>0.0</v>
      </c>
      <c r="J960" s="5">
        <v>0.0</v>
      </c>
      <c r="K960" s="5">
        <v>1.0</v>
      </c>
      <c r="L960" s="54"/>
      <c r="M960" s="5" t="s">
        <v>4926</v>
      </c>
      <c r="N960" s="53" t="s">
        <v>4927</v>
      </c>
      <c r="O960">
        <v>36.748374</v>
      </c>
      <c r="P960">
        <v>-3.516861</v>
      </c>
      <c r="Q960" s="5" t="s">
        <v>832</v>
      </c>
      <c r="R960" s="10">
        <f t="shared" si="10"/>
        <v>69</v>
      </c>
      <c r="S960" s="5" t="s">
        <v>4928</v>
      </c>
      <c r="T960" s="6" t="s">
        <v>72</v>
      </c>
      <c r="U960" s="5" t="s">
        <v>4929</v>
      </c>
      <c r="V960" s="5"/>
    </row>
    <row r="961" ht="12.75" customHeight="1">
      <c r="A961" s="5">
        <v>34311.0</v>
      </c>
      <c r="B961" s="5" t="s">
        <v>68</v>
      </c>
      <c r="C961" s="5" t="s">
        <v>69</v>
      </c>
      <c r="D961" s="5" t="s">
        <v>2614</v>
      </c>
      <c r="E961" s="7" t="s">
        <v>4925</v>
      </c>
      <c r="F961" s="5" t="s">
        <v>4847</v>
      </c>
      <c r="G961" s="5" t="s">
        <v>4916</v>
      </c>
      <c r="H961" s="5">
        <v>2009.0</v>
      </c>
      <c r="I961" s="5">
        <v>0.0</v>
      </c>
      <c r="J961" s="5">
        <v>0.0</v>
      </c>
      <c r="K961" s="5">
        <v>1.0</v>
      </c>
      <c r="L961" s="54"/>
      <c r="M961" s="5" t="s">
        <v>4930</v>
      </c>
      <c r="N961" s="53" t="s">
        <v>3469</v>
      </c>
      <c r="O961">
        <v>37.177336</v>
      </c>
      <c r="P961">
        <v>-3.598557</v>
      </c>
      <c r="Q961" s="5" t="s">
        <v>909</v>
      </c>
      <c r="R961" s="10">
        <f t="shared" si="10"/>
        <v>38</v>
      </c>
      <c r="S961" s="5" t="s">
        <v>4931</v>
      </c>
      <c r="T961" s="6" t="s">
        <v>72</v>
      </c>
      <c r="U961" s="5" t="s">
        <v>4932</v>
      </c>
      <c r="V961" s="5" t="s">
        <v>4933</v>
      </c>
    </row>
    <row r="962" ht="12.75" customHeight="1">
      <c r="A962" s="5">
        <v>34314.0</v>
      </c>
      <c r="B962" s="5" t="s">
        <v>68</v>
      </c>
      <c r="C962" s="5" t="s">
        <v>69</v>
      </c>
      <c r="D962" s="5" t="s">
        <v>2852</v>
      </c>
      <c r="E962" s="7" t="s">
        <v>4934</v>
      </c>
      <c r="F962" s="5" t="s">
        <v>4847</v>
      </c>
      <c r="G962" s="5" t="s">
        <v>4916</v>
      </c>
      <c r="H962" s="5">
        <v>2009.0</v>
      </c>
      <c r="I962" s="5">
        <v>0.0</v>
      </c>
      <c r="J962" s="5">
        <v>0.0</v>
      </c>
      <c r="K962" s="5">
        <v>1.0</v>
      </c>
      <c r="L962" s="54"/>
      <c r="M962" s="5" t="s">
        <v>4935</v>
      </c>
      <c r="N962" s="53" t="s">
        <v>3151</v>
      </c>
      <c r="O962">
        <v>29.046854</v>
      </c>
      <c r="P962">
        <v>-13.589973</v>
      </c>
      <c r="Q962" s="5" t="s">
        <v>400</v>
      </c>
      <c r="R962" s="10">
        <f t="shared" si="10"/>
        <v>74</v>
      </c>
      <c r="S962" s="5" t="s">
        <v>4936</v>
      </c>
      <c r="T962" s="5" t="s">
        <v>1040</v>
      </c>
      <c r="U962" s="5" t="s">
        <v>4937</v>
      </c>
      <c r="V962" s="5"/>
    </row>
    <row r="963" ht="12.75" customHeight="1">
      <c r="A963" s="5">
        <v>34313.0</v>
      </c>
      <c r="B963" s="5" t="s">
        <v>49</v>
      </c>
      <c r="C963" s="52" t="s">
        <v>50</v>
      </c>
      <c r="D963" s="5" t="s">
        <v>2852</v>
      </c>
      <c r="E963" s="7" t="s">
        <v>4934</v>
      </c>
      <c r="F963" s="5" t="s">
        <v>4847</v>
      </c>
      <c r="G963" s="5" t="s">
        <v>4916</v>
      </c>
      <c r="H963" s="5">
        <v>2009.0</v>
      </c>
      <c r="I963" s="5">
        <v>0.0</v>
      </c>
      <c r="J963" s="5">
        <v>0.0</v>
      </c>
      <c r="K963" s="5">
        <v>25.0</v>
      </c>
      <c r="L963" s="54"/>
      <c r="M963" s="5" t="s">
        <v>4938</v>
      </c>
      <c r="N963" s="53" t="s">
        <v>3151</v>
      </c>
      <c r="O963">
        <v>29.046854</v>
      </c>
      <c r="P963">
        <v>-13.589973</v>
      </c>
      <c r="Q963" s="5" t="s">
        <v>400</v>
      </c>
      <c r="R963" s="10">
        <f t="shared" si="10"/>
        <v>74</v>
      </c>
      <c r="S963" s="5" t="s">
        <v>4936</v>
      </c>
      <c r="T963" s="5" t="s">
        <v>1040</v>
      </c>
      <c r="U963" s="5" t="s">
        <v>4937</v>
      </c>
      <c r="V963" s="5"/>
    </row>
    <row r="964" ht="12.75" customHeight="1">
      <c r="A964" s="5">
        <v>34315.0</v>
      </c>
      <c r="B964" s="5" t="s">
        <v>491</v>
      </c>
      <c r="C964" s="52" t="s">
        <v>50</v>
      </c>
      <c r="D964" s="5" t="s">
        <v>2852</v>
      </c>
      <c r="E964" s="7" t="s">
        <v>4939</v>
      </c>
      <c r="F964" s="5" t="s">
        <v>4847</v>
      </c>
      <c r="G964" s="5" t="s">
        <v>4916</v>
      </c>
      <c r="H964" s="5">
        <v>2009.0</v>
      </c>
      <c r="I964" s="5">
        <v>0.0</v>
      </c>
      <c r="J964" s="5">
        <v>0.0</v>
      </c>
      <c r="K964" s="5">
        <v>3.0</v>
      </c>
      <c r="L964" s="54"/>
      <c r="M964" s="5" t="s">
        <v>4940</v>
      </c>
      <c r="N964" s="53" t="s">
        <v>4941</v>
      </c>
      <c r="O964">
        <v>28.291564</v>
      </c>
      <c r="P964">
        <v>-16.62913</v>
      </c>
      <c r="Q964" s="5" t="s">
        <v>382</v>
      </c>
      <c r="R964" s="10">
        <f t="shared" si="10"/>
        <v>1120</v>
      </c>
      <c r="S964" s="5" t="s">
        <v>4942</v>
      </c>
      <c r="T964" s="5" t="s">
        <v>1040</v>
      </c>
      <c r="U964" s="5" t="s">
        <v>4943</v>
      </c>
      <c r="V964" s="5" t="s">
        <v>4944</v>
      </c>
    </row>
    <row r="965" ht="12.75" customHeight="1">
      <c r="A965" s="5">
        <v>34179.0</v>
      </c>
      <c r="B965" s="5" t="s">
        <v>49</v>
      </c>
      <c r="C965" s="52" t="s">
        <v>50</v>
      </c>
      <c r="D965" s="5" t="s">
        <v>2852</v>
      </c>
      <c r="E965" s="7" t="s">
        <v>4945</v>
      </c>
      <c r="F965" s="5" t="s">
        <v>4946</v>
      </c>
      <c r="G965" s="5" t="s">
        <v>4947</v>
      </c>
      <c r="H965" s="5">
        <v>2009.0</v>
      </c>
      <c r="I965" s="5">
        <v>0.0</v>
      </c>
      <c r="J965" s="5">
        <v>0.0</v>
      </c>
      <c r="K965" s="5">
        <v>2.0</v>
      </c>
      <c r="L965" s="54"/>
      <c r="M965" s="5" t="s">
        <v>4948</v>
      </c>
      <c r="N965" s="53" t="s">
        <v>3346</v>
      </c>
      <c r="O965">
        <v>37.544271</v>
      </c>
      <c r="P965">
        <v>-4.727753</v>
      </c>
      <c r="Q965" s="5" t="s">
        <v>944</v>
      </c>
      <c r="R965" s="10">
        <f t="shared" si="10"/>
        <v>30</v>
      </c>
      <c r="S965" s="5" t="s">
        <v>4949</v>
      </c>
      <c r="T965" s="6" t="s">
        <v>72</v>
      </c>
      <c r="U965" s="5" t="s">
        <v>4950</v>
      </c>
      <c r="V965" s="5"/>
    </row>
    <row r="966" ht="12.75" customHeight="1">
      <c r="A966" s="5">
        <v>34177.0</v>
      </c>
      <c r="B966" s="5" t="s">
        <v>49</v>
      </c>
      <c r="C966" s="52" t="s">
        <v>50</v>
      </c>
      <c r="D966" s="5" t="s">
        <v>2852</v>
      </c>
      <c r="E966" s="7" t="s">
        <v>4945</v>
      </c>
      <c r="F966" s="5" t="s">
        <v>4946</v>
      </c>
      <c r="G966" s="5" t="s">
        <v>4947</v>
      </c>
      <c r="H966" s="5">
        <v>2009.0</v>
      </c>
      <c r="I966" s="5">
        <v>0.0</v>
      </c>
      <c r="J966" s="5">
        <v>0.0</v>
      </c>
      <c r="K966" s="5">
        <v>13.0</v>
      </c>
      <c r="L966" s="54"/>
      <c r="M966" s="5" t="s">
        <v>4951</v>
      </c>
      <c r="N966" s="53" t="s">
        <v>3346</v>
      </c>
      <c r="O966">
        <v>37.544271</v>
      </c>
      <c r="P966">
        <v>-4.727753</v>
      </c>
      <c r="Q966" s="5" t="s">
        <v>944</v>
      </c>
      <c r="R966" s="10">
        <f t="shared" si="10"/>
        <v>30</v>
      </c>
      <c r="S966" s="5" t="s">
        <v>4949</v>
      </c>
      <c r="T966" s="6" t="s">
        <v>72</v>
      </c>
      <c r="U966" s="5" t="s">
        <v>4950</v>
      </c>
      <c r="V966" s="5"/>
    </row>
    <row r="967" ht="12.75" customHeight="1">
      <c r="A967" s="5">
        <v>34178.0</v>
      </c>
      <c r="B967" s="5" t="s">
        <v>49</v>
      </c>
      <c r="C967" s="52" t="s">
        <v>50</v>
      </c>
      <c r="D967" s="5" t="s">
        <v>2852</v>
      </c>
      <c r="E967" s="7" t="s">
        <v>4945</v>
      </c>
      <c r="F967" s="5" t="s">
        <v>4946</v>
      </c>
      <c r="G967" s="5" t="s">
        <v>4947</v>
      </c>
      <c r="H967" s="5">
        <v>2009.0</v>
      </c>
      <c r="I967" s="5">
        <v>0.0</v>
      </c>
      <c r="J967" s="5">
        <v>0.0</v>
      </c>
      <c r="K967" s="5">
        <v>5.0</v>
      </c>
      <c r="L967" s="54"/>
      <c r="M967" s="5" t="s">
        <v>4952</v>
      </c>
      <c r="N967" s="53" t="s">
        <v>4123</v>
      </c>
      <c r="O967">
        <v>39.469908</v>
      </c>
      <c r="P967">
        <v>-0.376288</v>
      </c>
      <c r="Q967" s="5" t="s">
        <v>1085</v>
      </c>
      <c r="R967" s="10">
        <f t="shared" si="10"/>
        <v>6</v>
      </c>
      <c r="S967" s="5" t="s">
        <v>4953</v>
      </c>
      <c r="T967" s="6" t="s">
        <v>72</v>
      </c>
      <c r="U967" s="5" t="s">
        <v>4950</v>
      </c>
      <c r="V967" s="5"/>
    </row>
    <row r="968" ht="12.75" customHeight="1">
      <c r="A968" s="5">
        <v>34180.0</v>
      </c>
      <c r="B968" s="5" t="s">
        <v>3993</v>
      </c>
      <c r="C968" s="5" t="s">
        <v>211</v>
      </c>
      <c r="D968" s="5" t="s">
        <v>2852</v>
      </c>
      <c r="E968" s="7" t="s">
        <v>4945</v>
      </c>
      <c r="F968" s="5" t="s">
        <v>4946</v>
      </c>
      <c r="G968" s="5" t="s">
        <v>4947</v>
      </c>
      <c r="H968" s="5">
        <v>2009.0</v>
      </c>
      <c r="I968" s="5">
        <v>0.0</v>
      </c>
      <c r="J968" s="5">
        <v>0.0</v>
      </c>
      <c r="K968" s="5">
        <v>1.0</v>
      </c>
      <c r="L968" s="54"/>
      <c r="M968" s="5" t="s">
        <v>4954</v>
      </c>
      <c r="N968" s="53" t="s">
        <v>4147</v>
      </c>
      <c r="O968">
        <v>53.551085</v>
      </c>
      <c r="P968">
        <v>9.993682</v>
      </c>
      <c r="Q968" s="5" t="s">
        <v>1846</v>
      </c>
      <c r="R968" s="10">
        <f t="shared" si="10"/>
        <v>7</v>
      </c>
      <c r="S968" s="5" t="s">
        <v>4955</v>
      </c>
      <c r="T968" s="5"/>
      <c r="U968" s="5" t="s">
        <v>4956</v>
      </c>
      <c r="V968" s="5"/>
    </row>
    <row r="969" ht="12.75" customHeight="1">
      <c r="A969" s="5">
        <v>34181.0</v>
      </c>
      <c r="B969" s="5" t="s">
        <v>49</v>
      </c>
      <c r="C969" s="52" t="s">
        <v>50</v>
      </c>
      <c r="D969" s="5" t="s">
        <v>2852</v>
      </c>
      <c r="E969" s="7" t="s">
        <v>4957</v>
      </c>
      <c r="F969" s="5" t="s">
        <v>4946</v>
      </c>
      <c r="G969" s="5" t="s">
        <v>4947</v>
      </c>
      <c r="H969" s="5">
        <v>2009.0</v>
      </c>
      <c r="I969" s="5">
        <v>0.0</v>
      </c>
      <c r="J969" s="5">
        <v>0.0</v>
      </c>
      <c r="K969" s="5">
        <v>22.0</v>
      </c>
      <c r="L969" s="54"/>
      <c r="M969" s="5" t="s">
        <v>4958</v>
      </c>
      <c r="N969" s="53" t="s">
        <v>3856</v>
      </c>
      <c r="O969">
        <v>40.845719</v>
      </c>
      <c r="P969">
        <v>25.873962</v>
      </c>
      <c r="Q969" s="5" t="s">
        <v>1167</v>
      </c>
      <c r="R969" s="10">
        <f t="shared" si="10"/>
        <v>63</v>
      </c>
      <c r="S969" s="5" t="s">
        <v>4959</v>
      </c>
      <c r="T969" s="6" t="s">
        <v>53</v>
      </c>
      <c r="U969" s="5" t="s">
        <v>4960</v>
      </c>
      <c r="V969" s="5"/>
    </row>
    <row r="970" ht="12.75" customHeight="1">
      <c r="A970" s="5">
        <v>34182.0</v>
      </c>
      <c r="B970" s="5" t="s">
        <v>2962</v>
      </c>
      <c r="C970" s="5" t="s">
        <v>211</v>
      </c>
      <c r="D970" s="5" t="s">
        <v>2852</v>
      </c>
      <c r="E970" s="7" t="s">
        <v>4961</v>
      </c>
      <c r="F970" s="5" t="s">
        <v>4946</v>
      </c>
      <c r="G970" s="5" t="s">
        <v>4947</v>
      </c>
      <c r="H970" s="5">
        <v>2009.0</v>
      </c>
      <c r="I970" s="5">
        <v>0.0</v>
      </c>
      <c r="J970" s="5">
        <v>0.0</v>
      </c>
      <c r="K970" s="5">
        <v>1.0</v>
      </c>
      <c r="L970" s="54"/>
      <c r="M970" s="5" t="s">
        <v>4962</v>
      </c>
      <c r="N970" s="53" t="s">
        <v>4450</v>
      </c>
      <c r="O970">
        <v>45.465454</v>
      </c>
      <c r="P970">
        <v>9.186516</v>
      </c>
      <c r="Q970" s="5" t="s">
        <v>1322</v>
      </c>
      <c r="R970" s="10">
        <f t="shared" si="10"/>
        <v>3</v>
      </c>
      <c r="S970" s="5" t="s">
        <v>4963</v>
      </c>
      <c r="T970" s="5"/>
      <c r="U970" s="5" t="s">
        <v>4964</v>
      </c>
      <c r="V970" s="5"/>
    </row>
    <row r="971" ht="12.75" customHeight="1">
      <c r="A971" s="5">
        <v>34183.0</v>
      </c>
      <c r="B971" s="5" t="s">
        <v>41</v>
      </c>
      <c r="C971" s="5" t="s">
        <v>42</v>
      </c>
      <c r="D971" s="5" t="s">
        <v>2614</v>
      </c>
      <c r="E971" s="7" t="s">
        <v>4965</v>
      </c>
      <c r="F971" s="5" t="s">
        <v>4946</v>
      </c>
      <c r="G971" s="5" t="s">
        <v>4947</v>
      </c>
      <c r="H971" s="5">
        <v>2009.0</v>
      </c>
      <c r="I971" s="5">
        <v>0.0</v>
      </c>
      <c r="J971" s="5">
        <v>0.0</v>
      </c>
      <c r="K971" s="5">
        <v>2.0</v>
      </c>
      <c r="L971" s="54"/>
      <c r="M971" s="5" t="s">
        <v>4966</v>
      </c>
      <c r="N971" s="53" t="s">
        <v>2888</v>
      </c>
      <c r="O971">
        <v>24.088938</v>
      </c>
      <c r="P971">
        <v>32.899829</v>
      </c>
      <c r="Q971" s="5" t="s">
        <v>329</v>
      </c>
      <c r="R971" s="10">
        <f t="shared" si="10"/>
        <v>129</v>
      </c>
      <c r="S971" s="5" t="s">
        <v>4967</v>
      </c>
      <c r="T971" s="5"/>
      <c r="U971" s="5" t="s">
        <v>92</v>
      </c>
      <c r="V971" s="5" t="s">
        <v>4968</v>
      </c>
    </row>
    <row r="972" ht="12.75" customHeight="1">
      <c r="A972" s="5">
        <v>34184.0</v>
      </c>
      <c r="B972" s="5" t="s">
        <v>49</v>
      </c>
      <c r="C972" s="52" t="s">
        <v>50</v>
      </c>
      <c r="D972" s="5" t="s">
        <v>2614</v>
      </c>
      <c r="E972" s="7" t="s">
        <v>4969</v>
      </c>
      <c r="F972" s="5" t="s">
        <v>4946</v>
      </c>
      <c r="G972" s="5" t="s">
        <v>4947</v>
      </c>
      <c r="H972" s="5">
        <v>2009.0</v>
      </c>
      <c r="I972" s="5">
        <v>0.0</v>
      </c>
      <c r="J972" s="5">
        <v>0.0</v>
      </c>
      <c r="K972" s="5">
        <v>1.0</v>
      </c>
      <c r="L972" s="54"/>
      <c r="M972" s="5" t="s">
        <v>4970</v>
      </c>
      <c r="N972" s="53" t="s">
        <v>4971</v>
      </c>
      <c r="O972">
        <v>47.162494</v>
      </c>
      <c r="P972">
        <v>19.503304</v>
      </c>
      <c r="Q972" s="5" t="s">
        <v>1370</v>
      </c>
      <c r="R972" s="10">
        <f t="shared" si="10"/>
        <v>3</v>
      </c>
      <c r="S972" s="5" t="s">
        <v>4972</v>
      </c>
      <c r="T972" s="6" t="s">
        <v>65</v>
      </c>
      <c r="U972" s="5" t="s">
        <v>92</v>
      </c>
      <c r="V972" s="5" t="s">
        <v>4973</v>
      </c>
    </row>
    <row r="973" ht="12.75" customHeight="1">
      <c r="A973" s="5">
        <v>34185.0</v>
      </c>
      <c r="B973" s="5" t="s">
        <v>763</v>
      </c>
      <c r="C973" s="5" t="s">
        <v>124</v>
      </c>
      <c r="D973" s="5" t="s">
        <v>2852</v>
      </c>
      <c r="E973" s="7" t="s">
        <v>4969</v>
      </c>
      <c r="F973" s="5" t="s">
        <v>4946</v>
      </c>
      <c r="G973" s="5" t="s">
        <v>4947</v>
      </c>
      <c r="H973" s="5">
        <v>2009.0</v>
      </c>
      <c r="I973" s="5">
        <v>0.0</v>
      </c>
      <c r="J973" s="5">
        <v>0.0</v>
      </c>
      <c r="K973" s="5">
        <v>1.0</v>
      </c>
      <c r="L973" s="54"/>
      <c r="M973" s="5" t="s">
        <v>4974</v>
      </c>
      <c r="N973" s="53" t="s">
        <v>3909</v>
      </c>
      <c r="O973">
        <v>50.95129</v>
      </c>
      <c r="P973">
        <v>1.858686</v>
      </c>
      <c r="Q973" s="5" t="s">
        <v>1551</v>
      </c>
      <c r="R973" s="10">
        <f t="shared" si="10"/>
        <v>30</v>
      </c>
      <c r="S973" s="5" t="s">
        <v>4975</v>
      </c>
      <c r="T973" s="5"/>
      <c r="U973" s="5" t="s">
        <v>4504</v>
      </c>
      <c r="V973" s="5" t="s">
        <v>4976</v>
      </c>
    </row>
    <row r="974" ht="12.75" customHeight="1">
      <c r="A974" s="5">
        <v>34186.0</v>
      </c>
      <c r="B974" s="5" t="s">
        <v>68</v>
      </c>
      <c r="C974" s="5" t="s">
        <v>69</v>
      </c>
      <c r="D974" s="5" t="s">
        <v>2614</v>
      </c>
      <c r="E974" s="7" t="s">
        <v>4977</v>
      </c>
      <c r="F974" s="5" t="s">
        <v>4946</v>
      </c>
      <c r="G974" s="5" t="s">
        <v>4947</v>
      </c>
      <c r="H974" s="5">
        <v>2009.0</v>
      </c>
      <c r="I974" s="5">
        <v>0.0</v>
      </c>
      <c r="J974" s="5">
        <v>0.0</v>
      </c>
      <c r="K974" s="5">
        <v>16.0</v>
      </c>
      <c r="L974" s="54"/>
      <c r="M974" s="5" t="s">
        <v>4978</v>
      </c>
      <c r="N974" s="53" t="s">
        <v>2867</v>
      </c>
      <c r="O974">
        <v>35.939838</v>
      </c>
      <c r="P974">
        <v>0.089767</v>
      </c>
      <c r="Q974" s="5" t="s">
        <v>741</v>
      </c>
      <c r="R974" s="10">
        <f t="shared" si="10"/>
        <v>38</v>
      </c>
      <c r="S974" s="5" t="s">
        <v>4979</v>
      </c>
      <c r="T974" s="6" t="s">
        <v>72</v>
      </c>
      <c r="U974" s="5" t="s">
        <v>2326</v>
      </c>
      <c r="V974" s="5" t="s">
        <v>4980</v>
      </c>
    </row>
    <row r="975" ht="12.75" customHeight="1">
      <c r="A975" s="5">
        <v>34187.0</v>
      </c>
      <c r="B975" s="5" t="s">
        <v>49</v>
      </c>
      <c r="C975" s="52" t="s">
        <v>50</v>
      </c>
      <c r="D975" s="5" t="s">
        <v>2852</v>
      </c>
      <c r="E975" s="7" t="s">
        <v>4981</v>
      </c>
      <c r="F975" s="5" t="s">
        <v>4946</v>
      </c>
      <c r="G975" s="5" t="s">
        <v>4947</v>
      </c>
      <c r="H975" s="5">
        <v>2009.0</v>
      </c>
      <c r="I975" s="5">
        <v>0.0</v>
      </c>
      <c r="J975" s="5">
        <v>0.0</v>
      </c>
      <c r="K975" s="5">
        <v>2.0</v>
      </c>
      <c r="L975" s="54"/>
      <c r="M975" s="5" t="s">
        <v>4982</v>
      </c>
      <c r="N975" s="53" t="s">
        <v>4983</v>
      </c>
      <c r="O975">
        <v>37.140914</v>
      </c>
      <c r="P975">
        <v>26.848843</v>
      </c>
      <c r="Q975" s="5" t="s">
        <v>904</v>
      </c>
      <c r="R975" s="10">
        <f t="shared" si="10"/>
        <v>5</v>
      </c>
      <c r="S975" s="5" t="s">
        <v>4984</v>
      </c>
      <c r="T975" s="6" t="s">
        <v>53</v>
      </c>
      <c r="U975" s="5" t="s">
        <v>4985</v>
      </c>
      <c r="V975" s="5" t="s">
        <v>4986</v>
      </c>
    </row>
    <row r="976" ht="12.75" customHeight="1">
      <c r="A976" s="5">
        <v>34188.0</v>
      </c>
      <c r="B976" s="5" t="s">
        <v>4108</v>
      </c>
      <c r="C976" s="5" t="s">
        <v>211</v>
      </c>
      <c r="D976" s="5" t="s">
        <v>2852</v>
      </c>
      <c r="E976" s="7" t="s">
        <v>4987</v>
      </c>
      <c r="F976" s="5" t="s">
        <v>4946</v>
      </c>
      <c r="G976" s="5" t="s">
        <v>4947</v>
      </c>
      <c r="H976" s="5">
        <v>2009.0</v>
      </c>
      <c r="I976" s="5">
        <v>0.0</v>
      </c>
      <c r="J976" s="5">
        <v>0.0</v>
      </c>
      <c r="K976" s="5">
        <v>1.0</v>
      </c>
      <c r="L976" s="54"/>
      <c r="M976" s="5" t="s">
        <v>4988</v>
      </c>
      <c r="N976" s="53" t="s">
        <v>2893</v>
      </c>
      <c r="O976">
        <v>51.47238</v>
      </c>
      <c r="P976">
        <v>-0.45094</v>
      </c>
      <c r="Q976" s="5" t="s">
        <v>1635</v>
      </c>
      <c r="R976" s="10">
        <f t="shared" si="10"/>
        <v>13</v>
      </c>
      <c r="S976" s="5" t="s">
        <v>4989</v>
      </c>
      <c r="T976" s="5"/>
      <c r="U976" s="5" t="s">
        <v>4990</v>
      </c>
      <c r="V976" s="5"/>
    </row>
    <row r="977" ht="12.75" customHeight="1">
      <c r="A977" s="5">
        <v>34189.0</v>
      </c>
      <c r="B977" s="5" t="s">
        <v>49</v>
      </c>
      <c r="C977" s="52" t="s">
        <v>50</v>
      </c>
      <c r="D977" s="5" t="s">
        <v>2852</v>
      </c>
      <c r="E977" s="7" t="s">
        <v>4991</v>
      </c>
      <c r="F977" s="5" t="s">
        <v>4946</v>
      </c>
      <c r="G977" s="5" t="s">
        <v>4947</v>
      </c>
      <c r="H977" s="5">
        <v>2009.0</v>
      </c>
      <c r="I977" s="5">
        <v>0.0</v>
      </c>
      <c r="J977" s="5">
        <v>0.0</v>
      </c>
      <c r="K977" s="5">
        <v>7.0</v>
      </c>
      <c r="L977" s="54"/>
      <c r="M977" s="5" t="s">
        <v>4992</v>
      </c>
      <c r="N977" s="53" t="s">
        <v>2944</v>
      </c>
      <c r="O977">
        <v>-12.8275</v>
      </c>
      <c r="P977">
        <v>45.166244</v>
      </c>
      <c r="Q977" s="5" t="s">
        <v>228</v>
      </c>
      <c r="R977" s="10">
        <f t="shared" si="10"/>
        <v>757</v>
      </c>
      <c r="S977" s="5" t="s">
        <v>4993</v>
      </c>
      <c r="T977" s="5"/>
      <c r="U977" s="5" t="s">
        <v>4994</v>
      </c>
      <c r="V977" s="5"/>
    </row>
    <row r="978" ht="12.75" customHeight="1">
      <c r="A978" s="5">
        <v>34190.0</v>
      </c>
      <c r="B978" s="5" t="s">
        <v>68</v>
      </c>
      <c r="C978" s="5" t="s">
        <v>69</v>
      </c>
      <c r="D978" s="5" t="s">
        <v>2614</v>
      </c>
      <c r="E978" s="7" t="s">
        <v>4995</v>
      </c>
      <c r="F978" s="5" t="s">
        <v>4946</v>
      </c>
      <c r="G978" s="5" t="s">
        <v>4947</v>
      </c>
      <c r="H978" s="5">
        <v>2009.0</v>
      </c>
      <c r="I978" s="5">
        <v>0.0</v>
      </c>
      <c r="J978" s="5">
        <v>0.0</v>
      </c>
      <c r="K978" s="5">
        <v>1.0</v>
      </c>
      <c r="L978" s="54"/>
      <c r="M978" s="5" t="s">
        <v>4996</v>
      </c>
      <c r="N978" s="53" t="s">
        <v>3201</v>
      </c>
      <c r="O978">
        <v>35.766667</v>
      </c>
      <c r="P978">
        <v>-5.8</v>
      </c>
      <c r="Q978" s="5" t="s">
        <v>695</v>
      </c>
      <c r="R978" s="10">
        <f t="shared" si="10"/>
        <v>190</v>
      </c>
      <c r="S978" s="5" t="s">
        <v>4997</v>
      </c>
      <c r="T978" s="6" t="s">
        <v>72</v>
      </c>
      <c r="U978" s="5" t="s">
        <v>950</v>
      </c>
      <c r="V978" s="5" t="s">
        <v>4998</v>
      </c>
    </row>
    <row r="979" ht="12.75" customHeight="1">
      <c r="A979" s="5">
        <v>34191.0</v>
      </c>
      <c r="B979" s="5" t="s">
        <v>49</v>
      </c>
      <c r="C979" s="52" t="s">
        <v>50</v>
      </c>
      <c r="D979" s="5" t="s">
        <v>2852</v>
      </c>
      <c r="E979" s="7" t="s">
        <v>4999</v>
      </c>
      <c r="F979" s="5" t="s">
        <v>4946</v>
      </c>
      <c r="G979" s="5" t="s">
        <v>4947</v>
      </c>
      <c r="H979" s="5">
        <v>2009.0</v>
      </c>
      <c r="I979" s="5">
        <v>0.0</v>
      </c>
      <c r="J979" s="5">
        <v>0.0</v>
      </c>
      <c r="K979" s="5">
        <v>2.0</v>
      </c>
      <c r="L979" s="54"/>
      <c r="M979" s="5" t="s">
        <v>5000</v>
      </c>
      <c r="N979" s="53" t="s">
        <v>2705</v>
      </c>
      <c r="O979">
        <v>36.799851</v>
      </c>
      <c r="P979">
        <v>27.102943</v>
      </c>
      <c r="Q979" s="5" t="s">
        <v>848</v>
      </c>
      <c r="R979" s="10">
        <f t="shared" si="10"/>
        <v>119</v>
      </c>
      <c r="S979" s="5" t="s">
        <v>5001</v>
      </c>
      <c r="T979" s="6" t="s">
        <v>53</v>
      </c>
      <c r="U979" s="5" t="s">
        <v>5002</v>
      </c>
      <c r="V979" s="5"/>
    </row>
    <row r="980" ht="12.75" customHeight="1">
      <c r="A980" s="5">
        <v>34192.0</v>
      </c>
      <c r="B980" s="5" t="s">
        <v>2040</v>
      </c>
      <c r="C980" s="52" t="s">
        <v>50</v>
      </c>
      <c r="D980" s="5" t="s">
        <v>2852</v>
      </c>
      <c r="E980" s="7" t="s">
        <v>5003</v>
      </c>
      <c r="F980" s="5" t="s">
        <v>4946</v>
      </c>
      <c r="G980" s="5" t="s">
        <v>4947</v>
      </c>
      <c r="H980" s="5">
        <v>2009.0</v>
      </c>
      <c r="I980" s="5">
        <v>0.0</v>
      </c>
      <c r="J980" s="5">
        <v>0.0</v>
      </c>
      <c r="K980" s="5">
        <v>2.0</v>
      </c>
      <c r="L980" s="54"/>
      <c r="M980" s="5" t="s">
        <v>5004</v>
      </c>
      <c r="N980" s="53" t="s">
        <v>4668</v>
      </c>
      <c r="O980">
        <v>27.725499</v>
      </c>
      <c r="P980">
        <v>-18.024301</v>
      </c>
      <c r="Q980" s="5" t="s">
        <v>351</v>
      </c>
      <c r="R980" s="10">
        <f t="shared" si="10"/>
        <v>41</v>
      </c>
      <c r="S980" s="5" t="s">
        <v>5005</v>
      </c>
      <c r="T980" s="5" t="s">
        <v>1040</v>
      </c>
      <c r="U980" s="5" t="s">
        <v>5006</v>
      </c>
      <c r="V980" s="5"/>
    </row>
    <row r="981" ht="12.75" customHeight="1">
      <c r="A981" s="5">
        <v>34193.0</v>
      </c>
      <c r="B981" s="5" t="s">
        <v>41</v>
      </c>
      <c r="C981" s="5" t="s">
        <v>42</v>
      </c>
      <c r="D981" s="5" t="s">
        <v>2614</v>
      </c>
      <c r="E981" s="7" t="s">
        <v>5007</v>
      </c>
      <c r="F981" s="5" t="s">
        <v>4946</v>
      </c>
      <c r="G981" s="5" t="s">
        <v>5008</v>
      </c>
      <c r="H981" s="5">
        <v>2009.0</v>
      </c>
      <c r="I981" s="5">
        <v>0.0</v>
      </c>
      <c r="J981" s="5">
        <v>0.0</v>
      </c>
      <c r="K981" s="5">
        <v>1.0</v>
      </c>
      <c r="L981" s="54"/>
      <c r="M981" s="5" t="s">
        <v>5009</v>
      </c>
      <c r="N981" s="53" t="s">
        <v>2888</v>
      </c>
      <c r="O981">
        <v>24.088938</v>
      </c>
      <c r="P981">
        <v>32.899829</v>
      </c>
      <c r="Q981" s="5" t="s">
        <v>329</v>
      </c>
      <c r="R981" s="10">
        <f t="shared" si="10"/>
        <v>129</v>
      </c>
      <c r="S981" s="5" t="s">
        <v>5010</v>
      </c>
      <c r="T981" s="5"/>
      <c r="U981" s="5" t="s">
        <v>92</v>
      </c>
      <c r="V981" s="5" t="s">
        <v>5011</v>
      </c>
    </row>
    <row r="982" ht="12.75" customHeight="1">
      <c r="A982" s="5">
        <v>34195.0</v>
      </c>
      <c r="B982" s="5" t="s">
        <v>49</v>
      </c>
      <c r="C982" s="52" t="s">
        <v>50</v>
      </c>
      <c r="D982" s="5" t="s">
        <v>2852</v>
      </c>
      <c r="E982" s="7" t="s">
        <v>5012</v>
      </c>
      <c r="F982" s="5" t="s">
        <v>4946</v>
      </c>
      <c r="G982" s="5" t="s">
        <v>5008</v>
      </c>
      <c r="H982" s="5">
        <v>2009.0</v>
      </c>
      <c r="I982" s="5">
        <v>0.0</v>
      </c>
      <c r="J982" s="5">
        <v>0.0</v>
      </c>
      <c r="K982" s="5">
        <v>23.0</v>
      </c>
      <c r="L982" s="54"/>
      <c r="M982" s="5" t="s">
        <v>5013</v>
      </c>
      <c r="N982" s="53" t="s">
        <v>2944</v>
      </c>
      <c r="O982">
        <v>-12.8275</v>
      </c>
      <c r="P982">
        <v>45.166244</v>
      </c>
      <c r="Q982" s="5" t="s">
        <v>228</v>
      </c>
      <c r="R982" s="10">
        <f t="shared" si="10"/>
        <v>757</v>
      </c>
      <c r="S982" s="5" t="s">
        <v>5014</v>
      </c>
      <c r="T982" s="5"/>
      <c r="U982" s="5" t="s">
        <v>5015</v>
      </c>
      <c r="V982" s="5"/>
    </row>
    <row r="983" ht="12.75" customHeight="1">
      <c r="A983" s="5">
        <v>34194.0</v>
      </c>
      <c r="B983" s="5" t="s">
        <v>98</v>
      </c>
      <c r="C983" s="5" t="s">
        <v>62</v>
      </c>
      <c r="D983" s="5" t="s">
        <v>2852</v>
      </c>
      <c r="E983" s="7" t="s">
        <v>5012</v>
      </c>
      <c r="F983" s="5" t="s">
        <v>4946</v>
      </c>
      <c r="G983" s="5" t="s">
        <v>5008</v>
      </c>
      <c r="H983" s="5">
        <v>2009.0</v>
      </c>
      <c r="I983" s="5">
        <v>0.0</v>
      </c>
      <c r="J983" s="5">
        <v>0.0</v>
      </c>
      <c r="K983" s="5">
        <v>1.0</v>
      </c>
      <c r="L983" s="54"/>
      <c r="M983" s="5" t="s">
        <v>5016</v>
      </c>
      <c r="N983" s="53" t="s">
        <v>5017</v>
      </c>
      <c r="O983">
        <v>45.320227</v>
      </c>
      <c r="P983">
        <v>8.418573</v>
      </c>
      <c r="Q983" s="5" t="s">
        <v>1315</v>
      </c>
      <c r="R983" s="10">
        <f t="shared" si="10"/>
        <v>1</v>
      </c>
      <c r="S983" s="5" t="s">
        <v>5018</v>
      </c>
      <c r="T983" s="5"/>
      <c r="U983" s="5" t="s">
        <v>5019</v>
      </c>
      <c r="V983" s="5"/>
    </row>
    <row r="984" ht="12.75" customHeight="1">
      <c r="A984" s="5">
        <v>34196.0</v>
      </c>
      <c r="B984" s="5" t="s">
        <v>68</v>
      </c>
      <c r="C984" s="5" t="s">
        <v>69</v>
      </c>
      <c r="D984" s="5" t="s">
        <v>2852</v>
      </c>
      <c r="E984" s="7" t="s">
        <v>5020</v>
      </c>
      <c r="F984" s="5" t="s">
        <v>4946</v>
      </c>
      <c r="G984" s="5" t="s">
        <v>5008</v>
      </c>
      <c r="H984" s="5">
        <v>2009.0</v>
      </c>
      <c r="I984" s="5">
        <v>0.0</v>
      </c>
      <c r="J984" s="5">
        <v>0.0</v>
      </c>
      <c r="K984" s="5">
        <v>1.0</v>
      </c>
      <c r="L984" s="54"/>
      <c r="M984" s="5" t="s">
        <v>5021</v>
      </c>
      <c r="N984" s="53" t="s">
        <v>4648</v>
      </c>
      <c r="O984">
        <v>36.721261</v>
      </c>
      <c r="P984">
        <v>-4.421266</v>
      </c>
      <c r="Q984" s="5" t="s">
        <v>823</v>
      </c>
      <c r="R984" s="10">
        <f t="shared" si="10"/>
        <v>17</v>
      </c>
      <c r="S984" s="5" t="s">
        <v>5022</v>
      </c>
      <c r="T984" s="6" t="s">
        <v>72</v>
      </c>
      <c r="U984" s="5" t="s">
        <v>3193</v>
      </c>
      <c r="V984" s="5"/>
    </row>
    <row r="985" ht="12.75" customHeight="1">
      <c r="A985" s="5">
        <v>34197.0</v>
      </c>
      <c r="B985" s="5" t="s">
        <v>49</v>
      </c>
      <c r="C985" s="52" t="s">
        <v>50</v>
      </c>
      <c r="D985" s="5" t="s">
        <v>2852</v>
      </c>
      <c r="E985" s="7" t="s">
        <v>5023</v>
      </c>
      <c r="F985" s="5" t="s">
        <v>4946</v>
      </c>
      <c r="G985" s="5" t="s">
        <v>5008</v>
      </c>
      <c r="H985" s="5">
        <v>2009.0</v>
      </c>
      <c r="I985" s="5">
        <v>0.0</v>
      </c>
      <c r="J985" s="5">
        <v>0.0</v>
      </c>
      <c r="K985" s="5">
        <v>1.0</v>
      </c>
      <c r="L985" s="54"/>
      <c r="M985" s="5" t="s">
        <v>5024</v>
      </c>
      <c r="N985" s="53" t="s">
        <v>2680</v>
      </c>
      <c r="O985">
        <v>36.018776</v>
      </c>
      <c r="P985">
        <v>-5.600819</v>
      </c>
      <c r="Q985" s="5" t="s">
        <v>761</v>
      </c>
      <c r="R985" s="10">
        <f t="shared" si="10"/>
        <v>492</v>
      </c>
      <c r="S985" s="5" t="s">
        <v>5025</v>
      </c>
      <c r="T985" s="6" t="s">
        <v>72</v>
      </c>
      <c r="U985" s="5" t="s">
        <v>5026</v>
      </c>
      <c r="V985" s="5" t="s">
        <v>5027</v>
      </c>
    </row>
    <row r="986" ht="12.75" customHeight="1">
      <c r="A986" s="5">
        <v>34198.0</v>
      </c>
      <c r="B986" s="5" t="s">
        <v>68</v>
      </c>
      <c r="C986" s="5" t="s">
        <v>69</v>
      </c>
      <c r="D986" s="5" t="s">
        <v>2614</v>
      </c>
      <c r="E986" s="7" t="s">
        <v>5028</v>
      </c>
      <c r="F986" s="5" t="s">
        <v>4946</v>
      </c>
      <c r="G986" s="5" t="s">
        <v>5008</v>
      </c>
      <c r="H986" s="5">
        <v>2009.0</v>
      </c>
      <c r="I986" s="5">
        <v>0.0</v>
      </c>
      <c r="J986" s="5">
        <v>0.0</v>
      </c>
      <c r="K986" s="5">
        <v>10.0</v>
      </c>
      <c r="L986" s="54"/>
      <c r="M986" s="5" t="s">
        <v>5029</v>
      </c>
      <c r="N986" s="53" t="s">
        <v>5030</v>
      </c>
      <c r="O986">
        <v>35.88301</v>
      </c>
      <c r="P986">
        <v>14.493757</v>
      </c>
      <c r="Q986" s="5" t="s">
        <v>716</v>
      </c>
      <c r="R986" s="10">
        <f t="shared" si="10"/>
        <v>11</v>
      </c>
      <c r="S986" s="5" t="s">
        <v>5031</v>
      </c>
      <c r="T986" s="6" t="s">
        <v>2130</v>
      </c>
      <c r="U986" s="5" t="s">
        <v>5032</v>
      </c>
      <c r="V986" s="5" t="s">
        <v>5033</v>
      </c>
    </row>
    <row r="987" ht="12.75" customHeight="1">
      <c r="A987" s="5">
        <v>34199.0</v>
      </c>
      <c r="B987" s="5" t="s">
        <v>41</v>
      </c>
      <c r="C987" s="5" t="s">
        <v>42</v>
      </c>
      <c r="D987" s="5" t="s">
        <v>2614</v>
      </c>
      <c r="E987" s="7" t="s">
        <v>5034</v>
      </c>
      <c r="F987" s="5" t="s">
        <v>4946</v>
      </c>
      <c r="G987" s="5" t="s">
        <v>5008</v>
      </c>
      <c r="H987" s="5">
        <v>2009.0</v>
      </c>
      <c r="I987" s="5">
        <v>0.0</v>
      </c>
      <c r="J987" s="5">
        <v>0.0</v>
      </c>
      <c r="K987" s="5">
        <v>1.0</v>
      </c>
      <c r="L987" s="54"/>
      <c r="M987" s="5" t="s">
        <v>5035</v>
      </c>
      <c r="N987" s="53" t="s">
        <v>2888</v>
      </c>
      <c r="O987">
        <v>24.088938</v>
      </c>
      <c r="P987">
        <v>32.899829</v>
      </c>
      <c r="Q987" s="5" t="s">
        <v>329</v>
      </c>
      <c r="R987" s="10">
        <f t="shared" si="10"/>
        <v>129</v>
      </c>
      <c r="S987" s="5" t="s">
        <v>5036</v>
      </c>
      <c r="T987" s="5"/>
      <c r="U987" s="5" t="s">
        <v>92</v>
      </c>
      <c r="V987" s="5" t="s">
        <v>5037</v>
      </c>
    </row>
    <row r="988" ht="12.75" customHeight="1">
      <c r="A988" s="5">
        <v>34200.0</v>
      </c>
      <c r="B988" s="5" t="s">
        <v>68</v>
      </c>
      <c r="C988" s="5" t="s">
        <v>69</v>
      </c>
      <c r="D988" s="5" t="s">
        <v>2614</v>
      </c>
      <c r="E988" s="7" t="s">
        <v>5038</v>
      </c>
      <c r="F988" s="5" t="s">
        <v>4946</v>
      </c>
      <c r="G988" s="5" t="s">
        <v>5008</v>
      </c>
      <c r="H988" s="5">
        <v>2009.0</v>
      </c>
      <c r="I988" s="5">
        <v>0.0</v>
      </c>
      <c r="J988" s="5">
        <v>0.0</v>
      </c>
      <c r="K988" s="5">
        <v>7.0</v>
      </c>
      <c r="L988" s="54"/>
      <c r="M988" s="5" t="s">
        <v>5039</v>
      </c>
      <c r="N988" s="53" t="s">
        <v>948</v>
      </c>
      <c r="O988">
        <v>37.035339</v>
      </c>
      <c r="P988">
        <v>27.43029</v>
      </c>
      <c r="Q988" s="5" t="s">
        <v>892</v>
      </c>
      <c r="R988" s="10">
        <f t="shared" si="10"/>
        <v>57</v>
      </c>
      <c r="S988" s="5" t="s">
        <v>5040</v>
      </c>
      <c r="T988" s="6" t="s">
        <v>53</v>
      </c>
      <c r="U988" s="5" t="s">
        <v>5032</v>
      </c>
      <c r="V988" s="5" t="s">
        <v>5041</v>
      </c>
    </row>
    <row r="989" ht="12.75" customHeight="1">
      <c r="A989" s="5">
        <v>34201.0</v>
      </c>
      <c r="B989" s="5" t="s">
        <v>68</v>
      </c>
      <c r="C989" s="5" t="s">
        <v>69</v>
      </c>
      <c r="D989" s="5" t="s">
        <v>2614</v>
      </c>
      <c r="E989" s="7" t="s">
        <v>5042</v>
      </c>
      <c r="F989" s="5" t="s">
        <v>4946</v>
      </c>
      <c r="G989" s="5" t="s">
        <v>5008</v>
      </c>
      <c r="H989" s="5">
        <v>2009.0</v>
      </c>
      <c r="I989" s="5">
        <v>0.0</v>
      </c>
      <c r="J989" s="5">
        <v>0.0</v>
      </c>
      <c r="K989" s="5">
        <v>1.0</v>
      </c>
      <c r="L989" s="54"/>
      <c r="M989" s="5" t="s">
        <v>5043</v>
      </c>
      <c r="N989" s="53" t="s">
        <v>3146</v>
      </c>
      <c r="O989">
        <v>39.16408</v>
      </c>
      <c r="P989">
        <v>26.372171</v>
      </c>
      <c r="Q989" s="5" t="s">
        <v>1068</v>
      </c>
      <c r="R989" s="10">
        <f t="shared" si="10"/>
        <v>101</v>
      </c>
      <c r="S989" s="5" t="s">
        <v>5044</v>
      </c>
      <c r="T989" s="6" t="s">
        <v>53</v>
      </c>
      <c r="U989" s="5" t="s">
        <v>2326</v>
      </c>
      <c r="V989" s="5" t="s">
        <v>5045</v>
      </c>
    </row>
    <row r="990" ht="12.75" customHeight="1">
      <c r="A990" s="5">
        <v>34203.0</v>
      </c>
      <c r="B990" s="5" t="s">
        <v>1076</v>
      </c>
      <c r="C990" s="52" t="s">
        <v>50</v>
      </c>
      <c r="D990" s="5" t="s">
        <v>2852</v>
      </c>
      <c r="E990" s="7" t="s">
        <v>5046</v>
      </c>
      <c r="F990" s="5" t="s">
        <v>4946</v>
      </c>
      <c r="G990" s="5" t="s">
        <v>5047</v>
      </c>
      <c r="H990" s="5">
        <v>2009.0</v>
      </c>
      <c r="I990" s="5">
        <v>0.0</v>
      </c>
      <c r="J990" s="5">
        <v>0.0</v>
      </c>
      <c r="K990" s="5">
        <v>1.0</v>
      </c>
      <c r="L990" s="54"/>
      <c r="M990" s="5" t="s">
        <v>5048</v>
      </c>
      <c r="N990" s="53" t="s">
        <v>3909</v>
      </c>
      <c r="O990">
        <v>50.95129</v>
      </c>
      <c r="P990">
        <v>1.858686</v>
      </c>
      <c r="Q990" s="5" t="s">
        <v>1551</v>
      </c>
      <c r="R990" s="10">
        <f t="shared" si="10"/>
        <v>30</v>
      </c>
      <c r="S990" s="5" t="s">
        <v>5049</v>
      </c>
      <c r="T990" s="5"/>
      <c r="U990" s="5" t="s">
        <v>5050</v>
      </c>
      <c r="V990" s="5" t="s">
        <v>5051</v>
      </c>
    </row>
    <row r="991" ht="12.75" customHeight="1">
      <c r="A991" s="5">
        <v>34202.0</v>
      </c>
      <c r="B991" s="5" t="s">
        <v>2896</v>
      </c>
      <c r="C991" s="5" t="s">
        <v>211</v>
      </c>
      <c r="D991" s="5" t="s">
        <v>2852</v>
      </c>
      <c r="E991" s="7" t="s">
        <v>5046</v>
      </c>
      <c r="F991" s="5" t="s">
        <v>4946</v>
      </c>
      <c r="G991" s="5" t="s">
        <v>5047</v>
      </c>
      <c r="H991" s="5">
        <v>2009.0</v>
      </c>
      <c r="I991" s="5">
        <v>0.0</v>
      </c>
      <c r="J991" s="5">
        <v>0.0</v>
      </c>
      <c r="K991" s="5">
        <v>1.0</v>
      </c>
      <c r="L991" s="54"/>
      <c r="M991" s="5" t="s">
        <v>5052</v>
      </c>
      <c r="N991" s="53" t="s">
        <v>2899</v>
      </c>
      <c r="O991">
        <v>51.488623</v>
      </c>
      <c r="P991">
        <v>0.461426</v>
      </c>
      <c r="Q991" s="5" t="s">
        <v>1659</v>
      </c>
      <c r="R991" s="10">
        <f t="shared" si="10"/>
        <v>2</v>
      </c>
      <c r="S991" s="5" t="s">
        <v>5053</v>
      </c>
      <c r="T991" s="5"/>
      <c r="U991" s="5" t="s">
        <v>3219</v>
      </c>
      <c r="V991" s="5"/>
    </row>
    <row r="992" ht="12.75" customHeight="1">
      <c r="A992" s="5">
        <v>34204.0</v>
      </c>
      <c r="B992" s="5" t="s">
        <v>68</v>
      </c>
      <c r="C992" s="5" t="s">
        <v>69</v>
      </c>
      <c r="D992" s="5" t="s">
        <v>2852</v>
      </c>
      <c r="E992" s="7" t="s">
        <v>5054</v>
      </c>
      <c r="F992" s="5" t="s">
        <v>4946</v>
      </c>
      <c r="G992" s="5" t="s">
        <v>5047</v>
      </c>
      <c r="H992" s="5">
        <v>2009.0</v>
      </c>
      <c r="I992" s="5">
        <v>0.0</v>
      </c>
      <c r="J992" s="5">
        <v>0.0</v>
      </c>
      <c r="K992" s="5">
        <v>3.0</v>
      </c>
      <c r="L992" s="54"/>
      <c r="M992" s="5" t="s">
        <v>5055</v>
      </c>
      <c r="N992" s="53" t="s">
        <v>4605</v>
      </c>
      <c r="O992">
        <v>37.625683</v>
      </c>
      <c r="P992">
        <v>-0.996584</v>
      </c>
      <c r="Q992" s="5" t="s">
        <v>953</v>
      </c>
      <c r="R992" s="10">
        <f t="shared" si="10"/>
        <v>8</v>
      </c>
      <c r="S992" s="5" t="s">
        <v>5056</v>
      </c>
      <c r="T992" s="6" t="s">
        <v>72</v>
      </c>
      <c r="U992" s="5" t="s">
        <v>5057</v>
      </c>
      <c r="V992" s="5"/>
    </row>
    <row r="993" ht="12.75" customHeight="1">
      <c r="A993" s="5">
        <v>34207.0</v>
      </c>
      <c r="B993" s="5" t="s">
        <v>68</v>
      </c>
      <c r="C993" s="5" t="s">
        <v>69</v>
      </c>
      <c r="D993" s="5" t="s">
        <v>2852</v>
      </c>
      <c r="E993" s="7" t="s">
        <v>5058</v>
      </c>
      <c r="F993" s="5" t="s">
        <v>4946</v>
      </c>
      <c r="G993" s="5" t="s">
        <v>5047</v>
      </c>
      <c r="H993" s="5">
        <v>2009.0</v>
      </c>
      <c r="I993" s="5">
        <v>0.0</v>
      </c>
      <c r="J993" s="5">
        <v>0.0</v>
      </c>
      <c r="K993" s="5">
        <v>1.0</v>
      </c>
      <c r="L993" s="54"/>
      <c r="M993" s="5" t="s">
        <v>5059</v>
      </c>
      <c r="N993" s="53" t="s">
        <v>3314</v>
      </c>
      <c r="O993">
        <v>37.599994</v>
      </c>
      <c r="P993">
        <v>14.015356</v>
      </c>
      <c r="Q993" s="5" t="s">
        <v>949</v>
      </c>
      <c r="R993" s="10">
        <f t="shared" si="10"/>
        <v>363</v>
      </c>
      <c r="S993" s="5" t="s">
        <v>5060</v>
      </c>
      <c r="T993" s="6" t="s">
        <v>2130</v>
      </c>
      <c r="U993" s="5" t="s">
        <v>5061</v>
      </c>
      <c r="V993" s="5"/>
    </row>
    <row r="994" ht="12.75" customHeight="1">
      <c r="A994" s="5">
        <v>34206.0</v>
      </c>
      <c r="B994" s="5" t="s">
        <v>49</v>
      </c>
      <c r="C994" s="52" t="s">
        <v>50</v>
      </c>
      <c r="D994" s="5" t="s">
        <v>2852</v>
      </c>
      <c r="E994" s="7" t="s">
        <v>5058</v>
      </c>
      <c r="F994" s="5" t="s">
        <v>4946</v>
      </c>
      <c r="G994" s="5" t="s">
        <v>5047</v>
      </c>
      <c r="H994" s="5">
        <v>2009.0</v>
      </c>
      <c r="I994" s="5">
        <v>0.0</v>
      </c>
      <c r="J994" s="5">
        <v>0.0</v>
      </c>
      <c r="K994" s="5">
        <v>9.0</v>
      </c>
      <c r="L994" s="54"/>
      <c r="M994" s="5" t="s">
        <v>5062</v>
      </c>
      <c r="N994" s="53" t="s">
        <v>5063</v>
      </c>
      <c r="O994">
        <v>39.106738</v>
      </c>
      <c r="P994">
        <v>26.557275</v>
      </c>
      <c r="Q994" s="5" t="s">
        <v>1067</v>
      </c>
      <c r="R994" s="10">
        <f t="shared" si="10"/>
        <v>9</v>
      </c>
      <c r="S994" s="5" t="s">
        <v>5064</v>
      </c>
      <c r="T994" s="6" t="s">
        <v>53</v>
      </c>
      <c r="U994" s="5" t="s">
        <v>5065</v>
      </c>
      <c r="V994" s="5"/>
    </row>
    <row r="995" ht="12.75" customHeight="1">
      <c r="A995" s="5">
        <v>34205.0</v>
      </c>
      <c r="B995" s="5" t="s">
        <v>49</v>
      </c>
      <c r="C995" s="52" t="s">
        <v>50</v>
      </c>
      <c r="D995" s="5" t="s">
        <v>2614</v>
      </c>
      <c r="E995" s="7" t="s">
        <v>5058</v>
      </c>
      <c r="F995" s="5" t="s">
        <v>4946</v>
      </c>
      <c r="G995" s="5" t="s">
        <v>5047</v>
      </c>
      <c r="H995" s="5">
        <v>2009.0</v>
      </c>
      <c r="I995" s="5">
        <v>0.0</v>
      </c>
      <c r="J995" s="5">
        <v>0.0</v>
      </c>
      <c r="K995" s="5">
        <v>8.0</v>
      </c>
      <c r="L995" s="54"/>
      <c r="M995" s="5" t="s">
        <v>5066</v>
      </c>
      <c r="N995" s="53" t="s">
        <v>3146</v>
      </c>
      <c r="O995">
        <v>39.16408</v>
      </c>
      <c r="P995">
        <v>26.372171</v>
      </c>
      <c r="Q995" s="5" t="s">
        <v>1068</v>
      </c>
      <c r="R995" s="10">
        <f t="shared" si="10"/>
        <v>101</v>
      </c>
      <c r="S995" s="5" t="s">
        <v>5067</v>
      </c>
      <c r="T995" s="6" t="s">
        <v>53</v>
      </c>
      <c r="U995" s="5" t="s">
        <v>950</v>
      </c>
      <c r="V995" s="5" t="s">
        <v>5068</v>
      </c>
    </row>
    <row r="996" ht="12.75" customHeight="1">
      <c r="A996" s="5">
        <v>34208.0</v>
      </c>
      <c r="B996" s="5" t="s">
        <v>68</v>
      </c>
      <c r="C996" s="5" t="s">
        <v>69</v>
      </c>
      <c r="D996" s="5" t="s">
        <v>2614</v>
      </c>
      <c r="E996" s="7" t="s">
        <v>5069</v>
      </c>
      <c r="F996" s="5" t="s">
        <v>4946</v>
      </c>
      <c r="G996" s="5" t="s">
        <v>5047</v>
      </c>
      <c r="H996" s="5">
        <v>2009.0</v>
      </c>
      <c r="I996" s="5">
        <v>0.0</v>
      </c>
      <c r="J996" s="5">
        <v>0.0</v>
      </c>
      <c r="K996" s="5">
        <v>1.0</v>
      </c>
      <c r="L996" s="54"/>
      <c r="M996" s="5" t="s">
        <v>5070</v>
      </c>
      <c r="N996" s="53" t="s">
        <v>5071</v>
      </c>
      <c r="O996">
        <v>36.729861</v>
      </c>
      <c r="P996">
        <v>14.849113</v>
      </c>
      <c r="Q996" s="5" t="s">
        <v>828</v>
      </c>
      <c r="R996" s="10">
        <f t="shared" si="10"/>
        <v>1</v>
      </c>
      <c r="S996" s="5" t="s">
        <v>5072</v>
      </c>
      <c r="T996" s="6" t="s">
        <v>2130</v>
      </c>
      <c r="U996" s="5" t="s">
        <v>2619</v>
      </c>
      <c r="V996" s="5" t="s">
        <v>5073</v>
      </c>
    </row>
    <row r="997" ht="12.75" customHeight="1">
      <c r="A997" s="5">
        <v>34209.0</v>
      </c>
      <c r="B997" s="5" t="s">
        <v>49</v>
      </c>
      <c r="C997" s="52" t="s">
        <v>50</v>
      </c>
      <c r="D997" s="5" t="s">
        <v>2852</v>
      </c>
      <c r="E997" s="7" t="s">
        <v>5074</v>
      </c>
      <c r="F997" s="5" t="s">
        <v>4946</v>
      </c>
      <c r="G997" s="5" t="s">
        <v>5047</v>
      </c>
      <c r="H997" s="5">
        <v>2009.0</v>
      </c>
      <c r="I997" s="5">
        <v>0.0</v>
      </c>
      <c r="J997" s="5">
        <v>0.0</v>
      </c>
      <c r="K997" s="5">
        <v>16.0</v>
      </c>
      <c r="L997" s="54"/>
      <c r="M997" s="5" t="s">
        <v>5075</v>
      </c>
      <c r="N997" s="53" t="s">
        <v>5076</v>
      </c>
      <c r="O997">
        <v>48.241408</v>
      </c>
      <c r="P997">
        <v>22.415221</v>
      </c>
      <c r="Q997" s="5" t="s">
        <v>1418</v>
      </c>
      <c r="R997" s="10">
        <f t="shared" si="10"/>
        <v>16</v>
      </c>
      <c r="S997" s="5" t="s">
        <v>5077</v>
      </c>
      <c r="T997" s="6" t="s">
        <v>1964</v>
      </c>
      <c r="U997" s="5" t="s">
        <v>5078</v>
      </c>
      <c r="V997" s="5"/>
    </row>
    <row r="998" ht="12.75" customHeight="1">
      <c r="A998" s="5">
        <v>34210.0</v>
      </c>
      <c r="B998" s="5" t="s">
        <v>1555</v>
      </c>
      <c r="C998" s="5" t="s">
        <v>42</v>
      </c>
      <c r="D998" s="5" t="s">
        <v>2852</v>
      </c>
      <c r="E998" s="7" t="s">
        <v>5079</v>
      </c>
      <c r="F998" s="5" t="s">
        <v>4946</v>
      </c>
      <c r="G998" s="5" t="s">
        <v>5047</v>
      </c>
      <c r="H998" s="5">
        <v>2009.0</v>
      </c>
      <c r="I998" s="5">
        <v>0.0</v>
      </c>
      <c r="J998" s="5">
        <v>0.0</v>
      </c>
      <c r="K998" s="5">
        <v>1.0</v>
      </c>
      <c r="L998" s="54"/>
      <c r="M998" s="5" t="s">
        <v>5080</v>
      </c>
      <c r="N998" s="53" t="s">
        <v>5081</v>
      </c>
      <c r="O998">
        <v>37.970112</v>
      </c>
      <c r="P998">
        <v>23.642364</v>
      </c>
      <c r="Q998" s="5" t="s">
        <v>969</v>
      </c>
      <c r="R998" s="10">
        <f t="shared" si="10"/>
        <v>1</v>
      </c>
      <c r="S998" s="5" t="s">
        <v>5082</v>
      </c>
      <c r="T998" s="6" t="s">
        <v>53</v>
      </c>
      <c r="U998" s="5" t="s">
        <v>5083</v>
      </c>
      <c r="V998" s="5"/>
    </row>
    <row r="999" ht="12.75" customHeight="1">
      <c r="A999" s="5">
        <v>34211.0</v>
      </c>
      <c r="B999" s="5" t="s">
        <v>2962</v>
      </c>
      <c r="C999" s="5" t="s">
        <v>211</v>
      </c>
      <c r="D999" s="5" t="s">
        <v>2852</v>
      </c>
      <c r="E999" s="7" t="s">
        <v>5084</v>
      </c>
      <c r="F999" s="5" t="s">
        <v>4946</v>
      </c>
      <c r="G999" s="5" t="s">
        <v>5047</v>
      </c>
      <c r="H999" s="5">
        <v>2009.0</v>
      </c>
      <c r="I999" s="5">
        <v>0.0</v>
      </c>
      <c r="J999" s="5">
        <v>0.0</v>
      </c>
      <c r="K999" s="5">
        <v>1.0</v>
      </c>
      <c r="L999" s="54"/>
      <c r="M999" s="5" t="s">
        <v>5085</v>
      </c>
      <c r="N999" s="53" t="s">
        <v>5086</v>
      </c>
      <c r="O999">
        <v>51.511214</v>
      </c>
      <c r="P999">
        <v>-0.119824</v>
      </c>
      <c r="Q999" s="5" t="s">
        <v>1662</v>
      </c>
      <c r="R999" s="10">
        <f t="shared" si="10"/>
        <v>9</v>
      </c>
      <c r="S999" s="5" t="s">
        <v>5087</v>
      </c>
      <c r="T999" s="5"/>
      <c r="U999" s="5" t="s">
        <v>3219</v>
      </c>
      <c r="V999" s="5"/>
    </row>
    <row r="1000" ht="12.75" customHeight="1">
      <c r="A1000" s="5">
        <v>34212.0</v>
      </c>
      <c r="B1000" s="5" t="s">
        <v>41</v>
      </c>
      <c r="C1000" s="5" t="s">
        <v>42</v>
      </c>
      <c r="D1000" s="5" t="s">
        <v>2852</v>
      </c>
      <c r="E1000" s="7" t="s">
        <v>5088</v>
      </c>
      <c r="F1000" s="5" t="s">
        <v>4946</v>
      </c>
      <c r="G1000" s="5" t="s">
        <v>5047</v>
      </c>
      <c r="H1000" s="5">
        <v>2009.0</v>
      </c>
      <c r="I1000" s="5">
        <v>0.0</v>
      </c>
      <c r="J1000" s="5">
        <v>0.0</v>
      </c>
      <c r="K1000" s="5">
        <v>20.0</v>
      </c>
      <c r="L1000" s="54"/>
      <c r="M1000" s="5" t="s">
        <v>5089</v>
      </c>
      <c r="N1000" s="53" t="s">
        <v>5090</v>
      </c>
      <c r="O1000">
        <v>32.116667</v>
      </c>
      <c r="P1000">
        <v>20.066667</v>
      </c>
      <c r="Q1000" s="5" t="s">
        <v>451</v>
      </c>
      <c r="R1000" s="10">
        <f t="shared" si="10"/>
        <v>58</v>
      </c>
      <c r="S1000" s="5" t="s">
        <v>5091</v>
      </c>
      <c r="T1000" s="5"/>
      <c r="U1000" s="5" t="s">
        <v>5092</v>
      </c>
      <c r="V1000" s="5"/>
    </row>
    <row r="1001" ht="12.75" customHeight="1">
      <c r="A1001" s="5">
        <v>34213.0</v>
      </c>
      <c r="B1001" s="5" t="s">
        <v>68</v>
      </c>
      <c r="C1001" s="5" t="s">
        <v>69</v>
      </c>
      <c r="D1001" s="5" t="s">
        <v>2614</v>
      </c>
      <c r="E1001" s="7" t="s">
        <v>5093</v>
      </c>
      <c r="F1001" s="5" t="s">
        <v>4946</v>
      </c>
      <c r="G1001" s="5" t="s">
        <v>5047</v>
      </c>
      <c r="H1001" s="5">
        <v>2009.0</v>
      </c>
      <c r="I1001" s="5">
        <v>0.0</v>
      </c>
      <c r="J1001" s="5">
        <v>0.0</v>
      </c>
      <c r="K1001" s="5">
        <v>6.0</v>
      </c>
      <c r="L1001" s="54"/>
      <c r="M1001" s="5" t="s">
        <v>5094</v>
      </c>
      <c r="N1001" s="53" t="s">
        <v>4739</v>
      </c>
      <c r="O1001">
        <v>37.074153</v>
      </c>
      <c r="P1001">
        <v>14.240354</v>
      </c>
      <c r="Q1001" s="5" t="s">
        <v>894</v>
      </c>
      <c r="R1001" s="10">
        <f t="shared" si="10"/>
        <v>59</v>
      </c>
      <c r="S1001" s="5" t="s">
        <v>5095</v>
      </c>
      <c r="T1001" s="6" t="s">
        <v>2130</v>
      </c>
      <c r="U1001" s="5" t="s">
        <v>2326</v>
      </c>
      <c r="V1001" s="5" t="s">
        <v>5096</v>
      </c>
    </row>
    <row r="1002" ht="12.75" customHeight="1">
      <c r="A1002" s="5">
        <v>34316.0</v>
      </c>
      <c r="B1002" s="5" t="s">
        <v>68</v>
      </c>
      <c r="C1002" s="5" t="s">
        <v>69</v>
      </c>
      <c r="D1002" s="5" t="s">
        <v>2852</v>
      </c>
      <c r="E1002" s="7" t="s">
        <v>5097</v>
      </c>
      <c r="F1002" s="5" t="s">
        <v>4847</v>
      </c>
      <c r="G1002" s="5" t="s">
        <v>5098</v>
      </c>
      <c r="H1002" s="5">
        <v>2009.0</v>
      </c>
      <c r="I1002" s="5">
        <v>1.0</v>
      </c>
      <c r="J1002" s="5">
        <v>0.0</v>
      </c>
      <c r="K1002" s="5">
        <v>1.0</v>
      </c>
      <c r="L1002" s="54"/>
      <c r="M1002" s="5" t="s">
        <v>5099</v>
      </c>
      <c r="N1002" s="53" t="s">
        <v>2766</v>
      </c>
      <c r="O1002">
        <v>35.249299</v>
      </c>
      <c r="P1002">
        <v>-3.937112</v>
      </c>
      <c r="Q1002" s="5" t="s">
        <v>642</v>
      </c>
      <c r="R1002" s="10">
        <f t="shared" si="10"/>
        <v>149</v>
      </c>
      <c r="S1002" s="5" t="s">
        <v>5100</v>
      </c>
      <c r="T1002" s="6" t="s">
        <v>72</v>
      </c>
      <c r="U1002" s="5" t="s">
        <v>5101</v>
      </c>
      <c r="V1002" s="5"/>
    </row>
    <row r="1003" ht="12.75" customHeight="1">
      <c r="A1003" s="5">
        <v>34317.0</v>
      </c>
      <c r="B1003" s="5" t="s">
        <v>49</v>
      </c>
      <c r="C1003" s="52" t="s">
        <v>50</v>
      </c>
      <c r="D1003" s="5" t="s">
        <v>2852</v>
      </c>
      <c r="E1003" s="7" t="s">
        <v>5102</v>
      </c>
      <c r="F1003" s="5" t="s">
        <v>4847</v>
      </c>
      <c r="G1003" s="5" t="s">
        <v>5098</v>
      </c>
      <c r="H1003" s="5">
        <v>2009.0</v>
      </c>
      <c r="I1003" s="5">
        <v>0.0</v>
      </c>
      <c r="J1003" s="5">
        <v>0.0</v>
      </c>
      <c r="K1003" s="5">
        <v>8.0</v>
      </c>
      <c r="L1003" s="54"/>
      <c r="M1003" s="5" t="s">
        <v>5103</v>
      </c>
      <c r="N1003" s="53" t="s">
        <v>3524</v>
      </c>
      <c r="O1003">
        <v>36.81881</v>
      </c>
      <c r="P1003">
        <v>10.16596</v>
      </c>
      <c r="Q1003" s="5" t="s">
        <v>854</v>
      </c>
      <c r="R1003" s="10">
        <f t="shared" si="10"/>
        <v>540</v>
      </c>
      <c r="S1003" s="5" t="s">
        <v>5104</v>
      </c>
      <c r="T1003" s="6" t="s">
        <v>2130</v>
      </c>
      <c r="U1003" s="5" t="s">
        <v>2459</v>
      </c>
      <c r="V1003" s="5"/>
    </row>
    <row r="1004" ht="12.75" customHeight="1">
      <c r="A1004" s="5">
        <v>34318.0</v>
      </c>
      <c r="B1004" s="5" t="s">
        <v>49</v>
      </c>
      <c r="C1004" s="52" t="s">
        <v>50</v>
      </c>
      <c r="D1004" s="5" t="s">
        <v>2852</v>
      </c>
      <c r="E1004" s="7" t="s">
        <v>5105</v>
      </c>
      <c r="F1004" s="5" t="s">
        <v>4847</v>
      </c>
      <c r="G1004" s="5" t="s">
        <v>5098</v>
      </c>
      <c r="H1004" s="5">
        <v>2009.0</v>
      </c>
      <c r="I1004" s="5">
        <v>0.0</v>
      </c>
      <c r="J1004" s="5">
        <v>0.0</v>
      </c>
      <c r="K1004" s="5">
        <v>5.0</v>
      </c>
      <c r="L1004" s="54"/>
      <c r="M1004" s="5" t="s">
        <v>5106</v>
      </c>
      <c r="N1004" s="53" t="s">
        <v>948</v>
      </c>
      <c r="O1004">
        <v>37.035339</v>
      </c>
      <c r="P1004">
        <v>27.43029</v>
      </c>
      <c r="Q1004" s="5" t="s">
        <v>892</v>
      </c>
      <c r="R1004" s="10">
        <f t="shared" si="10"/>
        <v>57</v>
      </c>
      <c r="S1004" s="5" t="s">
        <v>5107</v>
      </c>
      <c r="T1004" s="6" t="s">
        <v>53</v>
      </c>
      <c r="U1004" s="5" t="s">
        <v>5108</v>
      </c>
      <c r="V1004" s="5" t="s">
        <v>5109</v>
      </c>
    </row>
    <row r="1005" ht="12.75" customHeight="1">
      <c r="A1005" s="5">
        <v>34319.0</v>
      </c>
      <c r="B1005" s="5" t="s">
        <v>68</v>
      </c>
      <c r="C1005" s="5" t="s">
        <v>69</v>
      </c>
      <c r="D1005" s="5" t="s">
        <v>2614</v>
      </c>
      <c r="E1005" s="7" t="s">
        <v>5110</v>
      </c>
      <c r="F1005" s="5" t="s">
        <v>4847</v>
      </c>
      <c r="G1005" s="5" t="s">
        <v>5098</v>
      </c>
      <c r="H1005" s="5">
        <v>2009.0</v>
      </c>
      <c r="I1005" s="5">
        <v>0.0</v>
      </c>
      <c r="J1005" s="5">
        <v>0.0</v>
      </c>
      <c r="K1005" s="5">
        <v>12.0</v>
      </c>
      <c r="L1005" s="54"/>
      <c r="M1005" s="5" t="s">
        <v>5111</v>
      </c>
      <c r="N1005" s="53" t="s">
        <v>3733</v>
      </c>
      <c r="O1005">
        <v>35.85</v>
      </c>
      <c r="P1005">
        <v>-0.316667</v>
      </c>
      <c r="Q1005" s="5" t="s">
        <v>708</v>
      </c>
      <c r="R1005" s="10">
        <f t="shared" si="10"/>
        <v>81</v>
      </c>
      <c r="S1005" s="5" t="s">
        <v>5112</v>
      </c>
      <c r="T1005" s="6" t="s">
        <v>72</v>
      </c>
      <c r="U1005" s="5" t="s">
        <v>5113</v>
      </c>
      <c r="V1005" s="5" t="s">
        <v>5114</v>
      </c>
    </row>
    <row r="1006" ht="12.75" customHeight="1">
      <c r="A1006" s="5">
        <v>34320.0</v>
      </c>
      <c r="B1006" s="5" t="s">
        <v>2921</v>
      </c>
      <c r="C1006" s="52" t="s">
        <v>50</v>
      </c>
      <c r="D1006" s="5" t="s">
        <v>2852</v>
      </c>
      <c r="E1006" s="7" t="s">
        <v>5115</v>
      </c>
      <c r="F1006" s="5" t="s">
        <v>4847</v>
      </c>
      <c r="G1006" s="5" t="s">
        <v>5098</v>
      </c>
      <c r="H1006" s="5">
        <v>2009.0</v>
      </c>
      <c r="I1006" s="5">
        <v>0.0</v>
      </c>
      <c r="J1006" s="5">
        <v>0.0</v>
      </c>
      <c r="K1006" s="5">
        <v>1.0</v>
      </c>
      <c r="L1006" s="54"/>
      <c r="M1006" s="5" t="s">
        <v>5116</v>
      </c>
      <c r="N1006" s="53" t="s">
        <v>2700</v>
      </c>
      <c r="O1006">
        <v>35.508622</v>
      </c>
      <c r="P1006">
        <v>12.59292</v>
      </c>
      <c r="Q1006" s="5" t="s">
        <v>669</v>
      </c>
      <c r="R1006" s="10">
        <f t="shared" si="10"/>
        <v>3843</v>
      </c>
      <c r="S1006" s="5" t="s">
        <v>5117</v>
      </c>
      <c r="T1006" s="6" t="s">
        <v>2130</v>
      </c>
      <c r="U1006" s="5" t="s">
        <v>5118</v>
      </c>
      <c r="V1006" s="5"/>
    </row>
    <row r="1007" ht="12.75" customHeight="1">
      <c r="A1007" s="5">
        <v>34323.0</v>
      </c>
      <c r="B1007" s="5" t="s">
        <v>2921</v>
      </c>
      <c r="C1007" s="52" t="s">
        <v>50</v>
      </c>
      <c r="D1007" s="5" t="s">
        <v>2852</v>
      </c>
      <c r="E1007" s="7" t="s">
        <v>5119</v>
      </c>
      <c r="F1007" s="5" t="s">
        <v>4847</v>
      </c>
      <c r="G1007" s="5" t="s">
        <v>5098</v>
      </c>
      <c r="H1007" s="5">
        <v>2009.0</v>
      </c>
      <c r="I1007" s="5">
        <v>0.0</v>
      </c>
      <c r="J1007" s="5">
        <v>0.0</v>
      </c>
      <c r="K1007" s="5">
        <v>8.0</v>
      </c>
      <c r="L1007" s="54"/>
      <c r="M1007" s="5" t="s">
        <v>5120</v>
      </c>
      <c r="N1007" s="53" t="s">
        <v>2700</v>
      </c>
      <c r="O1007">
        <v>35.508622</v>
      </c>
      <c r="P1007">
        <v>12.59292</v>
      </c>
      <c r="Q1007" s="5" t="s">
        <v>669</v>
      </c>
      <c r="R1007" s="10">
        <f t="shared" si="10"/>
        <v>3843</v>
      </c>
      <c r="S1007" s="5" t="s">
        <v>5121</v>
      </c>
      <c r="T1007" s="6" t="s">
        <v>2130</v>
      </c>
      <c r="U1007" s="5" t="s">
        <v>5122</v>
      </c>
      <c r="V1007" s="5"/>
    </row>
    <row r="1008" ht="12.75" customHeight="1">
      <c r="A1008" s="5">
        <v>34322.0</v>
      </c>
      <c r="B1008" s="5" t="s">
        <v>68</v>
      </c>
      <c r="C1008" s="5" t="s">
        <v>69</v>
      </c>
      <c r="D1008" s="5" t="s">
        <v>2852</v>
      </c>
      <c r="E1008" s="7" t="s">
        <v>5119</v>
      </c>
      <c r="F1008" s="5" t="s">
        <v>4847</v>
      </c>
      <c r="G1008" s="5" t="s">
        <v>5098</v>
      </c>
      <c r="H1008" s="5">
        <v>2009.0</v>
      </c>
      <c r="I1008" s="5">
        <v>0.0</v>
      </c>
      <c r="J1008" s="5">
        <v>0.0</v>
      </c>
      <c r="K1008" s="5">
        <v>1.0</v>
      </c>
      <c r="L1008" s="54"/>
      <c r="M1008" s="5" t="s">
        <v>5123</v>
      </c>
      <c r="N1008" s="53" t="s">
        <v>2700</v>
      </c>
      <c r="O1008">
        <v>35.508622</v>
      </c>
      <c r="P1008">
        <v>12.59292</v>
      </c>
      <c r="Q1008" s="5" t="s">
        <v>669</v>
      </c>
      <c r="R1008" s="10">
        <f t="shared" si="10"/>
        <v>3843</v>
      </c>
      <c r="S1008" s="5" t="s">
        <v>5121</v>
      </c>
      <c r="T1008" s="6" t="s">
        <v>2130</v>
      </c>
      <c r="U1008" s="5" t="s">
        <v>5124</v>
      </c>
      <c r="V1008" s="5"/>
    </row>
    <row r="1009" ht="12.75" customHeight="1">
      <c r="A1009" s="5">
        <v>34321.0</v>
      </c>
      <c r="B1009" s="5" t="s">
        <v>68</v>
      </c>
      <c r="C1009" s="5" t="s">
        <v>69</v>
      </c>
      <c r="D1009" s="5" t="s">
        <v>2614</v>
      </c>
      <c r="E1009" s="7" t="s">
        <v>5119</v>
      </c>
      <c r="F1009" s="5" t="s">
        <v>4847</v>
      </c>
      <c r="G1009" s="5" t="s">
        <v>5098</v>
      </c>
      <c r="H1009" s="5">
        <v>2009.0</v>
      </c>
      <c r="I1009" s="5">
        <v>0.0</v>
      </c>
      <c r="J1009" s="5">
        <v>0.0</v>
      </c>
      <c r="K1009" s="5">
        <v>1.0</v>
      </c>
      <c r="L1009" s="54"/>
      <c r="M1009" s="5" t="s">
        <v>5125</v>
      </c>
      <c r="N1009" s="53" t="s">
        <v>2700</v>
      </c>
      <c r="O1009">
        <v>35.508622</v>
      </c>
      <c r="P1009">
        <v>12.59292</v>
      </c>
      <c r="Q1009" s="5" t="s">
        <v>669</v>
      </c>
      <c r="R1009" s="10">
        <f t="shared" si="10"/>
        <v>3843</v>
      </c>
      <c r="S1009" s="5" t="s">
        <v>5121</v>
      </c>
      <c r="T1009" s="6" t="s">
        <v>2130</v>
      </c>
      <c r="U1009" s="5" t="s">
        <v>3388</v>
      </c>
      <c r="V1009" s="5" t="s">
        <v>5126</v>
      </c>
    </row>
    <row r="1010" ht="12.75" customHeight="1">
      <c r="A1010" s="5">
        <v>34325.0</v>
      </c>
      <c r="B1010" s="5" t="s">
        <v>49</v>
      </c>
      <c r="C1010" s="52" t="s">
        <v>50</v>
      </c>
      <c r="D1010" s="5" t="s">
        <v>2852</v>
      </c>
      <c r="E1010" s="7" t="s">
        <v>5127</v>
      </c>
      <c r="F1010" s="5" t="s">
        <v>4847</v>
      </c>
      <c r="G1010" s="5" t="s">
        <v>5098</v>
      </c>
      <c r="H1010" s="5">
        <v>2009.0</v>
      </c>
      <c r="I1010" s="5">
        <v>0.0</v>
      </c>
      <c r="J1010" s="5">
        <v>0.0</v>
      </c>
      <c r="K1010" s="5">
        <v>30.0</v>
      </c>
      <c r="L1010" s="54"/>
      <c r="M1010" s="5" t="s">
        <v>5128</v>
      </c>
      <c r="N1010" s="53" t="s">
        <v>3524</v>
      </c>
      <c r="O1010">
        <v>36.81881</v>
      </c>
      <c r="P1010">
        <v>10.16596</v>
      </c>
      <c r="Q1010" s="5" t="s">
        <v>854</v>
      </c>
      <c r="R1010" s="10">
        <f t="shared" si="10"/>
        <v>540</v>
      </c>
      <c r="S1010" s="5" t="s">
        <v>5129</v>
      </c>
      <c r="T1010" s="6" t="s">
        <v>2130</v>
      </c>
      <c r="U1010" s="5" t="s">
        <v>5130</v>
      </c>
      <c r="V1010" s="5" t="s">
        <v>5131</v>
      </c>
    </row>
    <row r="1011" ht="12.75" customHeight="1">
      <c r="A1011" s="5">
        <v>34324.0</v>
      </c>
      <c r="B1011" s="5" t="s">
        <v>2921</v>
      </c>
      <c r="C1011" s="52" t="s">
        <v>50</v>
      </c>
      <c r="D1011" s="5" t="s">
        <v>2852</v>
      </c>
      <c r="E1011" s="7" t="s">
        <v>5127</v>
      </c>
      <c r="F1011" s="5" t="s">
        <v>4847</v>
      </c>
      <c r="G1011" s="5" t="s">
        <v>5098</v>
      </c>
      <c r="H1011" s="5">
        <v>2009.0</v>
      </c>
      <c r="I1011" s="5">
        <v>0.0</v>
      </c>
      <c r="J1011" s="5">
        <v>0.0</v>
      </c>
      <c r="K1011" s="5">
        <v>1.0</v>
      </c>
      <c r="L1011" s="54"/>
      <c r="M1011" s="5" t="s">
        <v>5132</v>
      </c>
      <c r="N1011" s="53" t="s">
        <v>5133</v>
      </c>
      <c r="O1011">
        <v>38.193814</v>
      </c>
      <c r="P1011">
        <v>15.554015</v>
      </c>
      <c r="Q1011" s="5" t="s">
        <v>1004</v>
      </c>
      <c r="R1011" s="10">
        <f t="shared" si="10"/>
        <v>1</v>
      </c>
      <c r="S1011" s="5" t="s">
        <v>5134</v>
      </c>
      <c r="T1011" s="6" t="s">
        <v>2130</v>
      </c>
      <c r="U1011" s="5" t="s">
        <v>2326</v>
      </c>
      <c r="V1011" s="5"/>
    </row>
    <row r="1012" ht="12.75" customHeight="1">
      <c r="A1012" s="5">
        <v>34326.0</v>
      </c>
      <c r="B1012" s="5" t="s">
        <v>49</v>
      </c>
      <c r="C1012" s="52" t="s">
        <v>50</v>
      </c>
      <c r="D1012" s="5" t="s">
        <v>2852</v>
      </c>
      <c r="E1012" s="7" t="s">
        <v>5135</v>
      </c>
      <c r="F1012" s="5" t="s">
        <v>4847</v>
      </c>
      <c r="G1012" s="5" t="s">
        <v>5098</v>
      </c>
      <c r="H1012" s="5">
        <v>2009.0</v>
      </c>
      <c r="I1012" s="5">
        <v>0.0</v>
      </c>
      <c r="J1012" s="5">
        <v>0.0</v>
      </c>
      <c r="K1012" s="5">
        <v>4.0</v>
      </c>
      <c r="L1012" s="54"/>
      <c r="M1012" s="5" t="s">
        <v>5136</v>
      </c>
      <c r="N1012" s="53" t="s">
        <v>4412</v>
      </c>
      <c r="O1012">
        <v>35.696944</v>
      </c>
      <c r="P1012">
        <v>-0.633056</v>
      </c>
      <c r="Q1012" s="5" t="s">
        <v>690</v>
      </c>
      <c r="R1012" s="10">
        <f t="shared" si="10"/>
        <v>120</v>
      </c>
      <c r="S1012" s="5" t="s">
        <v>5137</v>
      </c>
      <c r="T1012" s="6" t="s">
        <v>72</v>
      </c>
      <c r="U1012" s="5" t="s">
        <v>5138</v>
      </c>
      <c r="V1012" s="5" t="s">
        <v>5139</v>
      </c>
    </row>
    <row r="1013" ht="12.75" customHeight="1">
      <c r="A1013" s="5">
        <v>34327.0</v>
      </c>
      <c r="B1013" s="5" t="s">
        <v>49</v>
      </c>
      <c r="C1013" s="52" t="s">
        <v>50</v>
      </c>
      <c r="D1013" s="5" t="s">
        <v>2852</v>
      </c>
      <c r="E1013" s="7" t="s">
        <v>5140</v>
      </c>
      <c r="F1013" s="5" t="s">
        <v>4847</v>
      </c>
      <c r="G1013" s="5" t="s">
        <v>5098</v>
      </c>
      <c r="H1013" s="5">
        <v>2009.0</v>
      </c>
      <c r="I1013" s="5">
        <v>0.0</v>
      </c>
      <c r="J1013" s="5">
        <v>0.0</v>
      </c>
      <c r="K1013" s="5">
        <v>1.0</v>
      </c>
      <c r="L1013" s="54"/>
      <c r="M1013" s="5" t="s">
        <v>5141</v>
      </c>
      <c r="N1013" s="53" t="s">
        <v>5142</v>
      </c>
      <c r="O1013">
        <v>37.423411</v>
      </c>
      <c r="P1013">
        <v>24.916088</v>
      </c>
      <c r="Q1013" s="5" t="s">
        <v>934</v>
      </c>
      <c r="R1013" s="10">
        <f t="shared" si="10"/>
        <v>1</v>
      </c>
      <c r="S1013" s="5" t="s">
        <v>5143</v>
      </c>
      <c r="T1013" s="6" t="s">
        <v>53</v>
      </c>
      <c r="U1013" s="5" t="s">
        <v>5144</v>
      </c>
      <c r="V1013" s="5" t="s">
        <v>5145</v>
      </c>
    </row>
    <row r="1014" ht="12.75" customHeight="1">
      <c r="A1014" s="5">
        <v>34328.0</v>
      </c>
      <c r="B1014" s="5" t="s">
        <v>49</v>
      </c>
      <c r="C1014" s="52" t="s">
        <v>50</v>
      </c>
      <c r="D1014" s="5" t="s">
        <v>2852</v>
      </c>
      <c r="E1014" s="7" t="s">
        <v>5146</v>
      </c>
      <c r="F1014" s="5" t="s">
        <v>4847</v>
      </c>
      <c r="G1014" s="5" t="s">
        <v>5098</v>
      </c>
      <c r="H1014" s="5">
        <v>2009.0</v>
      </c>
      <c r="I1014" s="5">
        <v>0.0</v>
      </c>
      <c r="J1014" s="5">
        <v>0.0</v>
      </c>
      <c r="K1014" s="5">
        <v>1.0</v>
      </c>
      <c r="L1014" s="54"/>
      <c r="M1014" s="5" t="s">
        <v>5147</v>
      </c>
      <c r="N1014" s="53" t="s">
        <v>3856</v>
      </c>
      <c r="O1014">
        <v>40.845719</v>
      </c>
      <c r="P1014">
        <v>25.873962</v>
      </c>
      <c r="Q1014" s="5" t="s">
        <v>1167</v>
      </c>
      <c r="R1014" s="10">
        <f t="shared" si="10"/>
        <v>63</v>
      </c>
      <c r="S1014" s="5" t="s">
        <v>5148</v>
      </c>
      <c r="T1014" s="6" t="s">
        <v>53</v>
      </c>
      <c r="U1014" s="5" t="s">
        <v>5149</v>
      </c>
      <c r="V1014" s="5"/>
    </row>
    <row r="1015" ht="12.75" customHeight="1">
      <c r="A1015" s="5">
        <v>34329.0</v>
      </c>
      <c r="B1015" s="5" t="s">
        <v>1076</v>
      </c>
      <c r="C1015" s="52" t="s">
        <v>50</v>
      </c>
      <c r="D1015" s="5" t="s">
        <v>2852</v>
      </c>
      <c r="E1015" s="7" t="s">
        <v>5150</v>
      </c>
      <c r="F1015" s="5" t="s">
        <v>4847</v>
      </c>
      <c r="G1015" s="5" t="s">
        <v>5098</v>
      </c>
      <c r="H1015" s="5">
        <v>2009.0</v>
      </c>
      <c r="I1015" s="5">
        <v>0.0</v>
      </c>
      <c r="J1015" s="5">
        <v>0.0</v>
      </c>
      <c r="K1015" s="5">
        <v>1.0</v>
      </c>
      <c r="L1015" s="54"/>
      <c r="M1015" s="5" t="s">
        <v>5151</v>
      </c>
      <c r="N1015" s="53" t="s">
        <v>3909</v>
      </c>
      <c r="O1015">
        <v>50.95129</v>
      </c>
      <c r="P1015">
        <v>1.858686</v>
      </c>
      <c r="Q1015" s="5" t="s">
        <v>1551</v>
      </c>
      <c r="R1015" s="10">
        <f t="shared" si="10"/>
        <v>30</v>
      </c>
      <c r="S1015" s="5" t="s">
        <v>5152</v>
      </c>
      <c r="T1015" s="5"/>
      <c r="U1015" s="5" t="s">
        <v>5153</v>
      </c>
      <c r="V1015" s="5"/>
    </row>
    <row r="1016" ht="12.75" customHeight="1">
      <c r="A1016" s="5">
        <v>34330.0</v>
      </c>
      <c r="B1016" s="5" t="s">
        <v>1995</v>
      </c>
      <c r="C1016" s="52" t="s">
        <v>50</v>
      </c>
      <c r="D1016" s="5" t="s">
        <v>2852</v>
      </c>
      <c r="E1016" s="7" t="s">
        <v>5150</v>
      </c>
      <c r="F1016" s="5" t="s">
        <v>4847</v>
      </c>
      <c r="G1016" s="5" t="s">
        <v>5098</v>
      </c>
      <c r="H1016" s="5">
        <v>2009.0</v>
      </c>
      <c r="I1016" s="5">
        <v>0.0</v>
      </c>
      <c r="J1016" s="5">
        <v>0.0</v>
      </c>
      <c r="K1016" s="5">
        <v>1.0</v>
      </c>
      <c r="L1016" s="54"/>
      <c r="M1016" s="5" t="s">
        <v>5154</v>
      </c>
      <c r="N1016" s="53" t="s">
        <v>5155</v>
      </c>
      <c r="O1016">
        <v>60.472024</v>
      </c>
      <c r="P1016">
        <v>8.468946</v>
      </c>
      <c r="Q1016" s="5" t="s">
        <v>1922</v>
      </c>
      <c r="R1016" s="10">
        <f t="shared" si="10"/>
        <v>1</v>
      </c>
      <c r="S1016" s="5" t="s">
        <v>5156</v>
      </c>
      <c r="T1016" s="5"/>
      <c r="U1016" s="5" t="s">
        <v>5157</v>
      </c>
      <c r="V1016" s="5"/>
    </row>
    <row r="1017" ht="12.75" customHeight="1">
      <c r="A1017" s="5">
        <v>34331.0</v>
      </c>
      <c r="B1017" s="5" t="s">
        <v>49</v>
      </c>
      <c r="C1017" s="52" t="s">
        <v>50</v>
      </c>
      <c r="D1017" s="5" t="s">
        <v>2614</v>
      </c>
      <c r="E1017" s="7" t="s">
        <v>5158</v>
      </c>
      <c r="F1017" s="5" t="s">
        <v>4847</v>
      </c>
      <c r="G1017" s="5" t="s">
        <v>5098</v>
      </c>
      <c r="H1017" s="5">
        <v>2009.0</v>
      </c>
      <c r="I1017" s="5">
        <v>4.0</v>
      </c>
      <c r="J1017" s="5">
        <v>0.0</v>
      </c>
      <c r="K1017" s="5">
        <v>4.0</v>
      </c>
      <c r="L1017" s="54"/>
      <c r="M1017" s="5" t="s">
        <v>5159</v>
      </c>
      <c r="N1017" s="53" t="s">
        <v>5160</v>
      </c>
      <c r="O1017">
        <v>14.764504</v>
      </c>
      <c r="P1017">
        <v>-17.366029</v>
      </c>
      <c r="Q1017" s="5" t="s">
        <v>266</v>
      </c>
      <c r="R1017" s="10">
        <f t="shared" si="10"/>
        <v>133</v>
      </c>
      <c r="S1017" s="5" t="s">
        <v>5161</v>
      </c>
      <c r="T1017" s="5" t="s">
        <v>1040</v>
      </c>
      <c r="U1017" s="5" t="s">
        <v>5162</v>
      </c>
      <c r="V1017" s="5" t="s">
        <v>5163</v>
      </c>
    </row>
    <row r="1018" ht="12.75" customHeight="1">
      <c r="A1018" s="5">
        <v>34332.0</v>
      </c>
      <c r="B1018" s="5" t="s">
        <v>68</v>
      </c>
      <c r="C1018" s="5" t="s">
        <v>69</v>
      </c>
      <c r="D1018" s="5" t="s">
        <v>2614</v>
      </c>
      <c r="E1018" s="7" t="s">
        <v>5164</v>
      </c>
      <c r="F1018" s="5" t="s">
        <v>4847</v>
      </c>
      <c r="G1018" s="5" t="s">
        <v>5098</v>
      </c>
      <c r="H1018" s="5">
        <v>2009.0</v>
      </c>
      <c r="I1018" s="5">
        <v>0.0</v>
      </c>
      <c r="J1018" s="5">
        <v>0.0</v>
      </c>
      <c r="K1018" s="5">
        <v>1.0</v>
      </c>
      <c r="L1018" s="54"/>
      <c r="M1018" s="5" t="s">
        <v>5165</v>
      </c>
      <c r="N1018" s="53" t="s">
        <v>4470</v>
      </c>
      <c r="O1018">
        <v>35.950486</v>
      </c>
      <c r="P1018">
        <v>-3.035088</v>
      </c>
      <c r="Q1018" s="5" t="s">
        <v>743</v>
      </c>
      <c r="R1018" s="10">
        <f t="shared" si="10"/>
        <v>10</v>
      </c>
      <c r="S1018" s="5" t="s">
        <v>5166</v>
      </c>
      <c r="T1018" s="6" t="s">
        <v>72</v>
      </c>
      <c r="U1018" s="5" t="s">
        <v>2165</v>
      </c>
      <c r="V1018" s="5" t="s">
        <v>5167</v>
      </c>
    </row>
    <row r="1019" ht="12.75" customHeight="1">
      <c r="A1019" s="5">
        <v>34333.0</v>
      </c>
      <c r="B1019" s="5" t="s">
        <v>49</v>
      </c>
      <c r="C1019" s="52" t="s">
        <v>50</v>
      </c>
      <c r="D1019" s="5" t="s">
        <v>2852</v>
      </c>
      <c r="E1019" s="7" t="s">
        <v>5168</v>
      </c>
      <c r="F1019" s="5" t="s">
        <v>4847</v>
      </c>
      <c r="G1019" s="5" t="s">
        <v>5098</v>
      </c>
      <c r="H1019" s="5">
        <v>2009.0</v>
      </c>
      <c r="I1019" s="5">
        <v>0.0</v>
      </c>
      <c r="J1019" s="5">
        <v>0.0</v>
      </c>
      <c r="K1019" s="5">
        <v>1.0</v>
      </c>
      <c r="L1019" s="54"/>
      <c r="M1019" s="5" t="s">
        <v>5169</v>
      </c>
      <c r="N1019" s="53" t="s">
        <v>4760</v>
      </c>
      <c r="O1019">
        <v>38.77474</v>
      </c>
      <c r="P1019">
        <v>0.08519</v>
      </c>
      <c r="Q1019" s="5" t="s">
        <v>1035</v>
      </c>
      <c r="R1019" s="10">
        <f t="shared" si="10"/>
        <v>52</v>
      </c>
      <c r="S1019" s="5" t="s">
        <v>5170</v>
      </c>
      <c r="T1019" s="6" t="s">
        <v>72</v>
      </c>
      <c r="U1019" s="5" t="s">
        <v>2875</v>
      </c>
      <c r="V1019" s="5"/>
    </row>
    <row r="1020" ht="12.75" customHeight="1">
      <c r="A1020" s="5">
        <v>34334.0</v>
      </c>
      <c r="B1020" s="5" t="s">
        <v>2902</v>
      </c>
      <c r="C1020" s="5" t="s">
        <v>211</v>
      </c>
      <c r="D1020" s="5" t="s">
        <v>2852</v>
      </c>
      <c r="E1020" s="7" t="s">
        <v>5171</v>
      </c>
      <c r="F1020" s="5" t="s">
        <v>4847</v>
      </c>
      <c r="G1020" s="5" t="s">
        <v>5098</v>
      </c>
      <c r="H1020" s="5">
        <v>2009.0</v>
      </c>
      <c r="I1020" s="5">
        <v>0.0</v>
      </c>
      <c r="J1020" s="5">
        <v>0.0</v>
      </c>
      <c r="K1020" s="5">
        <v>1.0</v>
      </c>
      <c r="L1020" s="54"/>
      <c r="M1020" s="5" t="s">
        <v>5172</v>
      </c>
      <c r="N1020" s="53" t="s">
        <v>5173</v>
      </c>
      <c r="O1020">
        <v>59.729407</v>
      </c>
      <c r="P1020">
        <v>13.235402</v>
      </c>
      <c r="Q1020" s="5" t="s">
        <v>1912</v>
      </c>
      <c r="R1020" s="10">
        <f t="shared" si="10"/>
        <v>1</v>
      </c>
      <c r="S1020" s="5" t="s">
        <v>5174</v>
      </c>
      <c r="T1020" s="5"/>
      <c r="U1020" s="5" t="s">
        <v>3219</v>
      </c>
      <c r="V1020" s="5"/>
    </row>
    <row r="1021" ht="12.75" customHeight="1">
      <c r="A1021" s="5">
        <v>34335.0</v>
      </c>
      <c r="B1021" s="5" t="s">
        <v>49</v>
      </c>
      <c r="C1021" s="52" t="s">
        <v>50</v>
      </c>
      <c r="D1021" s="5" t="s">
        <v>2852</v>
      </c>
      <c r="E1021" s="7" t="s">
        <v>5175</v>
      </c>
      <c r="F1021" s="5" t="s">
        <v>4847</v>
      </c>
      <c r="G1021" s="5" t="s">
        <v>5098</v>
      </c>
      <c r="H1021" s="5">
        <v>2009.0</v>
      </c>
      <c r="I1021" s="5">
        <v>0.0</v>
      </c>
      <c r="J1021" s="5">
        <v>0.0</v>
      </c>
      <c r="K1021" s="5">
        <v>300.0</v>
      </c>
      <c r="L1021" s="54"/>
      <c r="M1021" s="5" t="s">
        <v>5176</v>
      </c>
      <c r="N1021" s="53" t="s">
        <v>2928</v>
      </c>
      <c r="O1021">
        <v>26.3351</v>
      </c>
      <c r="P1021">
        <v>17.228331</v>
      </c>
      <c r="Q1021" s="5" t="s">
        <v>337</v>
      </c>
      <c r="R1021" s="10">
        <f t="shared" si="10"/>
        <v>1371</v>
      </c>
      <c r="S1021" s="5" t="s">
        <v>5177</v>
      </c>
      <c r="T1021" s="6" t="s">
        <v>2130</v>
      </c>
      <c r="U1021" s="5" t="s">
        <v>5178</v>
      </c>
      <c r="V1021" s="5"/>
    </row>
    <row r="1022" ht="12.75" customHeight="1">
      <c r="A1022" s="5">
        <v>34336.0</v>
      </c>
      <c r="B1022" s="5" t="s">
        <v>491</v>
      </c>
      <c r="C1022" s="52" t="s">
        <v>50</v>
      </c>
      <c r="D1022" s="5" t="s">
        <v>2852</v>
      </c>
      <c r="E1022" s="7" t="s">
        <v>5179</v>
      </c>
      <c r="F1022" s="5" t="s">
        <v>4847</v>
      </c>
      <c r="G1022" s="5" t="s">
        <v>5098</v>
      </c>
      <c r="H1022" s="5">
        <v>2009.0</v>
      </c>
      <c r="I1022" s="5">
        <v>0.0</v>
      </c>
      <c r="J1022" s="5">
        <v>0.0</v>
      </c>
      <c r="K1022" s="5">
        <v>14.0</v>
      </c>
      <c r="L1022" s="54"/>
      <c r="M1022" s="5" t="s">
        <v>5180</v>
      </c>
      <c r="N1022" s="53" t="s">
        <v>4412</v>
      </c>
      <c r="O1022">
        <v>35.696944</v>
      </c>
      <c r="P1022">
        <v>-0.633056</v>
      </c>
      <c r="Q1022" s="5" t="s">
        <v>690</v>
      </c>
      <c r="R1022" s="10">
        <f t="shared" si="10"/>
        <v>120</v>
      </c>
      <c r="S1022" s="5" t="s">
        <v>5181</v>
      </c>
      <c r="T1022" s="6" t="s">
        <v>72</v>
      </c>
      <c r="U1022" s="5" t="s">
        <v>5182</v>
      </c>
      <c r="V1022" s="5"/>
    </row>
    <row r="1023" ht="12.75" customHeight="1">
      <c r="A1023" s="5">
        <v>34337.0</v>
      </c>
      <c r="B1023" s="5" t="s">
        <v>68</v>
      </c>
      <c r="C1023" s="5" t="s">
        <v>69</v>
      </c>
      <c r="D1023" s="5" t="s">
        <v>2852</v>
      </c>
      <c r="E1023" s="7" t="s">
        <v>5183</v>
      </c>
      <c r="F1023" s="5" t="s">
        <v>4847</v>
      </c>
      <c r="G1023" s="5" t="s">
        <v>5098</v>
      </c>
      <c r="H1023" s="5">
        <v>2009.0</v>
      </c>
      <c r="I1023" s="5">
        <v>0.0</v>
      </c>
      <c r="J1023" s="5">
        <v>0.0</v>
      </c>
      <c r="K1023" s="5">
        <v>1.0</v>
      </c>
      <c r="L1023" s="54"/>
      <c r="M1023" s="5" t="s">
        <v>5184</v>
      </c>
      <c r="N1023" s="53" t="s">
        <v>5185</v>
      </c>
      <c r="O1023">
        <v>36.748374</v>
      </c>
      <c r="P1023">
        <v>-3.516861</v>
      </c>
      <c r="Q1023" s="5" t="s">
        <v>832</v>
      </c>
      <c r="R1023" s="10">
        <f t="shared" si="10"/>
        <v>69</v>
      </c>
      <c r="S1023" s="5" t="s">
        <v>5186</v>
      </c>
      <c r="T1023" s="6" t="s">
        <v>72</v>
      </c>
      <c r="U1023" s="5" t="s">
        <v>5187</v>
      </c>
      <c r="V1023" s="5"/>
    </row>
    <row r="1024" ht="12.75" customHeight="1">
      <c r="A1024" s="5">
        <v>34400.0</v>
      </c>
      <c r="B1024" s="5" t="s">
        <v>98</v>
      </c>
      <c r="C1024" s="5" t="s">
        <v>62</v>
      </c>
      <c r="D1024" s="5" t="s">
        <v>2852</v>
      </c>
      <c r="E1024" s="7" t="s">
        <v>5188</v>
      </c>
      <c r="F1024" s="5" t="s">
        <v>5189</v>
      </c>
      <c r="G1024" s="5" t="s">
        <v>5190</v>
      </c>
      <c r="H1024" s="5">
        <v>2008.0</v>
      </c>
      <c r="I1024" s="5">
        <v>0.0</v>
      </c>
      <c r="J1024" s="5">
        <v>0.0</v>
      </c>
      <c r="K1024" s="5">
        <v>1.0</v>
      </c>
      <c r="L1024" s="54"/>
      <c r="M1024" s="5" t="s">
        <v>5191</v>
      </c>
      <c r="N1024" s="53" t="s">
        <v>5192</v>
      </c>
      <c r="O1024">
        <v>36.239546</v>
      </c>
      <c r="P1024">
        <v>13.007813</v>
      </c>
      <c r="Q1024" s="5" t="s">
        <v>785</v>
      </c>
      <c r="R1024" s="10">
        <f t="shared" si="10"/>
        <v>48</v>
      </c>
      <c r="S1024" s="5" t="s">
        <v>5193</v>
      </c>
      <c r="T1024" s="6" t="s">
        <v>2130</v>
      </c>
      <c r="U1024" s="5" t="s">
        <v>5194</v>
      </c>
      <c r="V1024" s="5"/>
    </row>
    <row r="1025" ht="12.75" customHeight="1">
      <c r="A1025" s="5">
        <v>34401.0</v>
      </c>
      <c r="B1025" s="5" t="s">
        <v>68</v>
      </c>
      <c r="C1025" s="5" t="s">
        <v>69</v>
      </c>
      <c r="D1025" s="5" t="s">
        <v>2614</v>
      </c>
      <c r="E1025" s="7" t="s">
        <v>5195</v>
      </c>
      <c r="F1025" s="5" t="s">
        <v>5189</v>
      </c>
      <c r="G1025" s="5" t="s">
        <v>5190</v>
      </c>
      <c r="H1025" s="5">
        <v>2008.0</v>
      </c>
      <c r="I1025" s="5">
        <v>0.0</v>
      </c>
      <c r="J1025" s="5">
        <v>0.0</v>
      </c>
      <c r="K1025" s="5">
        <v>28.0</v>
      </c>
      <c r="L1025" s="54"/>
      <c r="M1025" s="5" t="s">
        <v>5196</v>
      </c>
      <c r="N1025" s="53" t="s">
        <v>2911</v>
      </c>
      <c r="O1025">
        <v>35.52145</v>
      </c>
      <c r="P1025">
        <v>35.7924</v>
      </c>
      <c r="Q1025" s="5" t="s">
        <v>672</v>
      </c>
      <c r="R1025" s="10">
        <f t="shared" si="10"/>
        <v>35</v>
      </c>
      <c r="S1025" s="5" t="s">
        <v>5197</v>
      </c>
      <c r="T1025" s="5"/>
      <c r="U1025" s="5" t="s">
        <v>5198</v>
      </c>
      <c r="V1025" s="5" t="s">
        <v>5199</v>
      </c>
    </row>
    <row r="1026" ht="12.75" customHeight="1">
      <c r="A1026" s="5">
        <v>34402.0</v>
      </c>
      <c r="B1026" s="5" t="s">
        <v>5200</v>
      </c>
      <c r="C1026" s="5" t="s">
        <v>124</v>
      </c>
      <c r="D1026" s="5" t="s">
        <v>2852</v>
      </c>
      <c r="E1026" s="7" t="s">
        <v>5201</v>
      </c>
      <c r="F1026" s="5" t="s">
        <v>5189</v>
      </c>
      <c r="G1026" s="5" t="s">
        <v>5190</v>
      </c>
      <c r="H1026" s="5">
        <v>2008.0</v>
      </c>
      <c r="I1026" s="5">
        <v>0.0</v>
      </c>
      <c r="J1026" s="5">
        <v>0.0</v>
      </c>
      <c r="K1026" s="5">
        <v>4.0</v>
      </c>
      <c r="L1026" s="54"/>
      <c r="M1026" s="5" t="s">
        <v>5202</v>
      </c>
      <c r="N1026" s="53" t="s">
        <v>2834</v>
      </c>
      <c r="O1026">
        <v>41.244376</v>
      </c>
      <c r="P1026">
        <v>26.135943</v>
      </c>
      <c r="Q1026" s="5" t="s">
        <v>1214</v>
      </c>
      <c r="R1026" s="10">
        <f t="shared" si="10"/>
        <v>188</v>
      </c>
      <c r="S1026" s="5" t="s">
        <v>5203</v>
      </c>
      <c r="T1026" s="6" t="s">
        <v>53</v>
      </c>
      <c r="U1026" s="5" t="s">
        <v>5204</v>
      </c>
      <c r="V1026" s="5"/>
    </row>
    <row r="1027" ht="12.75" customHeight="1">
      <c r="A1027" s="5">
        <v>34403.0</v>
      </c>
      <c r="B1027" s="5" t="s">
        <v>5200</v>
      </c>
      <c r="C1027" s="5" t="s">
        <v>124</v>
      </c>
      <c r="D1027" s="5" t="s">
        <v>2614</v>
      </c>
      <c r="E1027" s="7" t="s">
        <v>5205</v>
      </c>
      <c r="F1027" s="5" t="s">
        <v>5189</v>
      </c>
      <c r="G1027" s="5" t="s">
        <v>5190</v>
      </c>
      <c r="H1027" s="5">
        <v>2008.0</v>
      </c>
      <c r="I1027" s="5">
        <v>0.0</v>
      </c>
      <c r="J1027" s="5">
        <v>0.0</v>
      </c>
      <c r="K1027" s="5">
        <v>4.0</v>
      </c>
      <c r="L1027" s="54"/>
      <c r="M1027" s="5" t="s">
        <v>5206</v>
      </c>
      <c r="N1027" s="53" t="s">
        <v>2834</v>
      </c>
      <c r="O1027">
        <v>41.244376</v>
      </c>
      <c r="P1027">
        <v>26.135943</v>
      </c>
      <c r="Q1027" s="5" t="s">
        <v>1214</v>
      </c>
      <c r="R1027" s="10">
        <f t="shared" si="10"/>
        <v>188</v>
      </c>
      <c r="S1027" s="5" t="s">
        <v>5207</v>
      </c>
      <c r="T1027" s="6" t="s">
        <v>53</v>
      </c>
      <c r="U1027" s="5" t="s">
        <v>3318</v>
      </c>
      <c r="V1027" s="5" t="s">
        <v>5208</v>
      </c>
    </row>
    <row r="1028" ht="12.75" customHeight="1">
      <c r="A1028" s="5">
        <v>34405.0</v>
      </c>
      <c r="B1028" s="5" t="s">
        <v>49</v>
      </c>
      <c r="C1028" s="52" t="s">
        <v>50</v>
      </c>
      <c r="D1028" s="5" t="s">
        <v>2614</v>
      </c>
      <c r="E1028" s="7" t="s">
        <v>5209</v>
      </c>
      <c r="F1028" s="5" t="s">
        <v>5189</v>
      </c>
      <c r="G1028" s="5" t="s">
        <v>5190</v>
      </c>
      <c r="H1028" s="5">
        <v>2008.0</v>
      </c>
      <c r="I1028" s="5">
        <v>0.0</v>
      </c>
      <c r="J1028" s="5">
        <v>0.0</v>
      </c>
      <c r="K1028" s="5">
        <v>21.0</v>
      </c>
      <c r="L1028" s="54"/>
      <c r="M1028" s="5" t="s">
        <v>5210</v>
      </c>
      <c r="N1028" s="53" t="s">
        <v>5211</v>
      </c>
      <c r="O1028">
        <v>17.570692</v>
      </c>
      <c r="P1028">
        <v>-3.996166</v>
      </c>
      <c r="Q1028" s="5" t="s">
        <v>283</v>
      </c>
      <c r="R1028" s="10">
        <f t="shared" si="10"/>
        <v>98</v>
      </c>
      <c r="S1028" s="5" t="s">
        <v>5212</v>
      </c>
      <c r="T1028" s="5"/>
      <c r="U1028" s="5" t="s">
        <v>92</v>
      </c>
      <c r="V1028" s="5" t="s">
        <v>5213</v>
      </c>
    </row>
    <row r="1029" ht="12.75" customHeight="1">
      <c r="A1029" s="5">
        <v>34404.0</v>
      </c>
      <c r="B1029" s="5" t="s">
        <v>68</v>
      </c>
      <c r="C1029" s="5" t="s">
        <v>69</v>
      </c>
      <c r="D1029" s="5" t="s">
        <v>2614</v>
      </c>
      <c r="E1029" s="7" t="s">
        <v>5209</v>
      </c>
      <c r="F1029" s="5" t="s">
        <v>5189</v>
      </c>
      <c r="G1029" s="5" t="s">
        <v>5190</v>
      </c>
      <c r="H1029" s="5">
        <v>2008.0</v>
      </c>
      <c r="I1029" s="5">
        <v>0.0</v>
      </c>
      <c r="J1029" s="5">
        <v>0.0</v>
      </c>
      <c r="K1029" s="5">
        <v>35.0</v>
      </c>
      <c r="L1029" s="54"/>
      <c r="M1029" s="5" t="s">
        <v>5214</v>
      </c>
      <c r="N1029" s="53" t="s">
        <v>2938</v>
      </c>
      <c r="O1029">
        <v>35.937496</v>
      </c>
      <c r="P1029">
        <v>14.375416</v>
      </c>
      <c r="Q1029" s="5" t="s">
        <v>740</v>
      </c>
      <c r="R1029" s="10">
        <f t="shared" si="10"/>
        <v>655</v>
      </c>
      <c r="S1029" s="5" t="s">
        <v>5215</v>
      </c>
      <c r="T1029" s="6" t="s">
        <v>2130</v>
      </c>
      <c r="U1029" s="5" t="s">
        <v>2619</v>
      </c>
      <c r="V1029" s="5" t="s">
        <v>5216</v>
      </c>
    </row>
    <row r="1030" ht="12.75" customHeight="1">
      <c r="A1030" s="5">
        <v>34406.0</v>
      </c>
      <c r="B1030" s="5" t="s">
        <v>68</v>
      </c>
      <c r="C1030" s="5" t="s">
        <v>69</v>
      </c>
      <c r="D1030" s="5" t="s">
        <v>2614</v>
      </c>
      <c r="E1030" s="7" t="s">
        <v>5217</v>
      </c>
      <c r="F1030" s="5" t="s">
        <v>5189</v>
      </c>
      <c r="G1030" s="5" t="s">
        <v>5190</v>
      </c>
      <c r="H1030" s="5">
        <v>2008.0</v>
      </c>
      <c r="I1030" s="5">
        <v>0.0</v>
      </c>
      <c r="J1030" s="5">
        <v>0.0</v>
      </c>
      <c r="K1030" s="5">
        <v>83.0</v>
      </c>
      <c r="L1030" s="54"/>
      <c r="M1030" s="5" t="s">
        <v>5218</v>
      </c>
      <c r="N1030" s="53" t="s">
        <v>2628</v>
      </c>
      <c r="O1030">
        <v>26.820553</v>
      </c>
      <c r="P1030">
        <v>30.802498</v>
      </c>
      <c r="Q1030" s="5" t="s">
        <v>344</v>
      </c>
      <c r="R1030" s="10">
        <f t="shared" si="10"/>
        <v>427</v>
      </c>
      <c r="S1030" s="5" t="s">
        <v>5219</v>
      </c>
      <c r="T1030" s="5"/>
      <c r="U1030" s="5" t="s">
        <v>92</v>
      </c>
      <c r="V1030" s="5" t="s">
        <v>5220</v>
      </c>
    </row>
    <row r="1031" ht="12.75" customHeight="1">
      <c r="A1031" s="5">
        <v>34407.0</v>
      </c>
      <c r="B1031" s="5" t="s">
        <v>68</v>
      </c>
      <c r="C1031" s="5" t="s">
        <v>69</v>
      </c>
      <c r="D1031" s="5" t="s">
        <v>2614</v>
      </c>
      <c r="E1031" s="7" t="s">
        <v>5221</v>
      </c>
      <c r="F1031" s="5" t="s">
        <v>5189</v>
      </c>
      <c r="G1031" s="5" t="s">
        <v>5190</v>
      </c>
      <c r="H1031" s="5">
        <v>2008.0</v>
      </c>
      <c r="I1031" s="5">
        <v>0.0</v>
      </c>
      <c r="J1031" s="5">
        <v>0.0</v>
      </c>
      <c r="K1031" s="5">
        <v>80.0</v>
      </c>
      <c r="L1031" s="54"/>
      <c r="M1031" s="5" t="s">
        <v>5222</v>
      </c>
      <c r="N1031" s="53" t="s">
        <v>2628</v>
      </c>
      <c r="O1031">
        <v>26.820553</v>
      </c>
      <c r="P1031">
        <v>30.802498</v>
      </c>
      <c r="Q1031" s="5" t="s">
        <v>344</v>
      </c>
      <c r="R1031" s="10">
        <f t="shared" si="10"/>
        <v>427</v>
      </c>
      <c r="S1031" s="5" t="s">
        <v>5223</v>
      </c>
      <c r="T1031" s="5"/>
      <c r="U1031" s="5" t="s">
        <v>5224</v>
      </c>
      <c r="V1031" s="5" t="s">
        <v>5225</v>
      </c>
    </row>
    <row r="1032" ht="12.75" customHeight="1">
      <c r="A1032" s="5">
        <v>34408.0</v>
      </c>
      <c r="B1032" s="5" t="s">
        <v>5200</v>
      </c>
      <c r="C1032" s="5" t="s">
        <v>124</v>
      </c>
      <c r="D1032" s="5" t="s">
        <v>2614</v>
      </c>
      <c r="E1032" s="7" t="s">
        <v>5226</v>
      </c>
      <c r="F1032" s="5" t="s">
        <v>5189</v>
      </c>
      <c r="G1032" s="5" t="s">
        <v>5190</v>
      </c>
      <c r="H1032" s="5">
        <v>2008.0</v>
      </c>
      <c r="I1032" s="5">
        <v>0.0</v>
      </c>
      <c r="J1032" s="5">
        <v>0.0</v>
      </c>
      <c r="K1032" s="5">
        <v>4.0</v>
      </c>
      <c r="L1032" s="54"/>
      <c r="M1032" s="5" t="s">
        <v>5227</v>
      </c>
      <c r="N1032" s="53" t="s">
        <v>5228</v>
      </c>
      <c r="O1032">
        <v>32.183929</v>
      </c>
      <c r="P1032">
        <v>35.233453</v>
      </c>
      <c r="Q1032" s="5" t="s">
        <v>453</v>
      </c>
      <c r="R1032" s="10">
        <f t="shared" si="10"/>
        <v>5</v>
      </c>
      <c r="S1032" s="5" t="s">
        <v>5229</v>
      </c>
      <c r="T1032" s="5"/>
      <c r="U1032" s="5" t="s">
        <v>5230</v>
      </c>
      <c r="V1032" s="5" t="s">
        <v>5231</v>
      </c>
    </row>
    <row r="1033" ht="12.75" customHeight="1">
      <c r="A1033" s="5">
        <v>34409.0</v>
      </c>
      <c r="B1033" s="5" t="s">
        <v>68</v>
      </c>
      <c r="C1033" s="5" t="s">
        <v>69</v>
      </c>
      <c r="D1033" s="5" t="s">
        <v>2614</v>
      </c>
      <c r="E1033" s="7" t="s">
        <v>5232</v>
      </c>
      <c r="F1033" s="5" t="s">
        <v>5189</v>
      </c>
      <c r="G1033" s="5" t="s">
        <v>5190</v>
      </c>
      <c r="H1033" s="5">
        <v>2008.0</v>
      </c>
      <c r="I1033" s="5">
        <v>0.0</v>
      </c>
      <c r="J1033" s="5">
        <v>0.0</v>
      </c>
      <c r="K1033" s="5">
        <v>1.0</v>
      </c>
      <c r="L1033" s="54"/>
      <c r="M1033" s="5" t="s">
        <v>5233</v>
      </c>
      <c r="N1033" s="53" t="s">
        <v>3846</v>
      </c>
      <c r="O1033">
        <v>40.632728</v>
      </c>
      <c r="P1033">
        <v>17.941762</v>
      </c>
      <c r="Q1033" s="5" t="s">
        <v>1151</v>
      </c>
      <c r="R1033" s="10">
        <f t="shared" si="10"/>
        <v>72</v>
      </c>
      <c r="S1033" s="5" t="s">
        <v>5234</v>
      </c>
      <c r="T1033" s="6" t="s">
        <v>1963</v>
      </c>
      <c r="U1033" s="5" t="s">
        <v>2326</v>
      </c>
      <c r="V1033" s="5" t="s">
        <v>5235</v>
      </c>
    </row>
    <row r="1034" ht="12.75" customHeight="1">
      <c r="A1034" s="5">
        <v>34410.0</v>
      </c>
      <c r="B1034" s="5" t="s">
        <v>49</v>
      </c>
      <c r="C1034" s="52" t="s">
        <v>50</v>
      </c>
      <c r="D1034" s="5" t="s">
        <v>2614</v>
      </c>
      <c r="E1034" s="7" t="s">
        <v>5232</v>
      </c>
      <c r="F1034" s="5" t="s">
        <v>5189</v>
      </c>
      <c r="G1034" s="5" t="s">
        <v>5190</v>
      </c>
      <c r="H1034" s="5">
        <v>2008.0</v>
      </c>
      <c r="I1034" s="5">
        <v>0.0</v>
      </c>
      <c r="J1034" s="5">
        <v>0.0</v>
      </c>
      <c r="K1034" s="5">
        <v>13.0</v>
      </c>
      <c r="L1034" s="54"/>
      <c r="M1034" s="5" t="s">
        <v>5236</v>
      </c>
      <c r="N1034" s="53" t="s">
        <v>5237</v>
      </c>
      <c r="O1034">
        <v>41.125526</v>
      </c>
      <c r="P1034">
        <v>9.024635</v>
      </c>
      <c r="Q1034" s="5" t="s">
        <v>1201</v>
      </c>
      <c r="R1034" s="10">
        <f t="shared" si="10"/>
        <v>13</v>
      </c>
      <c r="S1034" s="5" t="s">
        <v>5238</v>
      </c>
      <c r="T1034" s="5"/>
      <c r="U1034" s="5" t="s">
        <v>5239</v>
      </c>
      <c r="V1034" s="5" t="s">
        <v>5240</v>
      </c>
    </row>
    <row r="1035" ht="12.75" customHeight="1">
      <c r="A1035" s="5">
        <v>34411.0</v>
      </c>
      <c r="B1035" s="5" t="s">
        <v>68</v>
      </c>
      <c r="C1035" s="5" t="s">
        <v>69</v>
      </c>
      <c r="D1035" s="5" t="s">
        <v>2614</v>
      </c>
      <c r="E1035" s="7" t="s">
        <v>5241</v>
      </c>
      <c r="F1035" s="5" t="s">
        <v>5189</v>
      </c>
      <c r="G1035" s="5" t="s">
        <v>5190</v>
      </c>
      <c r="H1035" s="5">
        <v>2008.0</v>
      </c>
      <c r="I1035" s="5">
        <v>0.0</v>
      </c>
      <c r="J1035" s="5">
        <v>0.0</v>
      </c>
      <c r="K1035" s="5">
        <v>8.0</v>
      </c>
      <c r="L1035" s="54"/>
      <c r="M1035" s="5" t="s">
        <v>5242</v>
      </c>
      <c r="N1035" s="53" t="s">
        <v>4941</v>
      </c>
      <c r="O1035">
        <v>28.291564</v>
      </c>
      <c r="P1035">
        <v>-16.62913</v>
      </c>
      <c r="Q1035" s="5" t="s">
        <v>382</v>
      </c>
      <c r="R1035" s="10">
        <f t="shared" si="10"/>
        <v>1120</v>
      </c>
      <c r="S1035" s="5" t="s">
        <v>5243</v>
      </c>
      <c r="T1035" s="5" t="s">
        <v>1040</v>
      </c>
      <c r="U1035" s="5" t="s">
        <v>1657</v>
      </c>
      <c r="V1035" s="5" t="s">
        <v>5244</v>
      </c>
    </row>
    <row r="1036" ht="12.75" customHeight="1">
      <c r="A1036" s="5">
        <v>34412.0</v>
      </c>
      <c r="B1036" s="5" t="s">
        <v>41</v>
      </c>
      <c r="C1036" s="5" t="s">
        <v>42</v>
      </c>
      <c r="D1036" s="5" t="s">
        <v>2614</v>
      </c>
      <c r="E1036" s="7" t="s">
        <v>5245</v>
      </c>
      <c r="F1036" s="5" t="s">
        <v>5189</v>
      </c>
      <c r="G1036" s="5" t="s">
        <v>5190</v>
      </c>
      <c r="H1036" s="5">
        <v>2008.0</v>
      </c>
      <c r="I1036" s="5">
        <v>0.0</v>
      </c>
      <c r="J1036" s="5">
        <v>0.0</v>
      </c>
      <c r="K1036" s="5">
        <v>2.0</v>
      </c>
      <c r="L1036" s="54"/>
      <c r="M1036" s="5" t="s">
        <v>5246</v>
      </c>
      <c r="N1036" s="53" t="s">
        <v>2888</v>
      </c>
      <c r="O1036">
        <v>24.088938</v>
      </c>
      <c r="P1036">
        <v>32.899829</v>
      </c>
      <c r="Q1036" s="5" t="s">
        <v>329</v>
      </c>
      <c r="R1036" s="10">
        <f t="shared" si="10"/>
        <v>129</v>
      </c>
      <c r="S1036" s="5" t="s">
        <v>5247</v>
      </c>
      <c r="T1036" s="5"/>
      <c r="U1036" s="5" t="s">
        <v>92</v>
      </c>
      <c r="V1036" s="5" t="s">
        <v>5248</v>
      </c>
    </row>
    <row r="1037" ht="12.75" customHeight="1">
      <c r="A1037" s="5">
        <v>34413.0</v>
      </c>
      <c r="B1037" s="5" t="s">
        <v>68</v>
      </c>
      <c r="C1037" s="5" t="s">
        <v>69</v>
      </c>
      <c r="D1037" s="5" t="s">
        <v>2614</v>
      </c>
      <c r="E1037" s="7" t="s">
        <v>5245</v>
      </c>
      <c r="F1037" s="5" t="s">
        <v>5189</v>
      </c>
      <c r="G1037" s="5" t="s">
        <v>5190</v>
      </c>
      <c r="H1037" s="5">
        <v>2008.0</v>
      </c>
      <c r="I1037" s="5">
        <v>0.0</v>
      </c>
      <c r="J1037" s="5">
        <v>0.0</v>
      </c>
      <c r="K1037" s="5">
        <v>1.0</v>
      </c>
      <c r="L1037" s="54"/>
      <c r="M1037" s="5" t="s">
        <v>5249</v>
      </c>
      <c r="N1037" s="53" t="s">
        <v>5250</v>
      </c>
      <c r="O1037">
        <v>35.89779</v>
      </c>
      <c r="P1037">
        <v>14.514106</v>
      </c>
      <c r="Q1037" s="5" t="s">
        <v>726</v>
      </c>
      <c r="R1037" s="10">
        <f t="shared" si="10"/>
        <v>71</v>
      </c>
      <c r="S1037" s="5" t="s">
        <v>5251</v>
      </c>
      <c r="T1037" s="6" t="s">
        <v>2130</v>
      </c>
      <c r="U1037" s="5" t="s">
        <v>2143</v>
      </c>
      <c r="V1037" s="5" t="s">
        <v>5252</v>
      </c>
    </row>
    <row r="1038" ht="12.75" customHeight="1">
      <c r="A1038" s="5">
        <v>34414.0</v>
      </c>
      <c r="B1038" s="5" t="s">
        <v>68</v>
      </c>
      <c r="C1038" s="5" t="s">
        <v>69</v>
      </c>
      <c r="D1038" s="5" t="s">
        <v>2614</v>
      </c>
      <c r="E1038" s="7" t="s">
        <v>5253</v>
      </c>
      <c r="F1038" s="5" t="s">
        <v>5189</v>
      </c>
      <c r="G1038" s="5" t="s">
        <v>5190</v>
      </c>
      <c r="H1038" s="5">
        <v>2008.0</v>
      </c>
      <c r="I1038" s="5">
        <v>0.0</v>
      </c>
      <c r="J1038" s="5">
        <v>0.0</v>
      </c>
      <c r="K1038" s="5">
        <v>1.0</v>
      </c>
      <c r="L1038" s="54"/>
      <c r="M1038" s="5" t="s">
        <v>5254</v>
      </c>
      <c r="N1038" s="53" t="s">
        <v>5255</v>
      </c>
      <c r="O1038">
        <v>28.103304</v>
      </c>
      <c r="P1038">
        <v>-17.219358</v>
      </c>
      <c r="Q1038" s="5" t="s">
        <v>376</v>
      </c>
      <c r="R1038" s="10">
        <f t="shared" si="10"/>
        <v>29</v>
      </c>
      <c r="S1038" s="5" t="s">
        <v>5256</v>
      </c>
      <c r="T1038" s="5" t="s">
        <v>1040</v>
      </c>
      <c r="U1038" s="5" t="s">
        <v>2785</v>
      </c>
      <c r="V1038" s="5" t="s">
        <v>5257</v>
      </c>
    </row>
    <row r="1039" ht="12.75" customHeight="1">
      <c r="A1039" s="5">
        <v>34415.0</v>
      </c>
      <c r="B1039" s="5" t="s">
        <v>68</v>
      </c>
      <c r="C1039" s="5" t="s">
        <v>69</v>
      </c>
      <c r="D1039" s="5" t="s">
        <v>2614</v>
      </c>
      <c r="E1039" s="7" t="s">
        <v>5258</v>
      </c>
      <c r="F1039" s="5" t="s">
        <v>5189</v>
      </c>
      <c r="G1039" s="5" t="s">
        <v>5190</v>
      </c>
      <c r="H1039" s="5">
        <v>2008.0</v>
      </c>
      <c r="I1039" s="5">
        <v>0.0</v>
      </c>
      <c r="J1039" s="5">
        <v>0.0</v>
      </c>
      <c r="K1039" s="5">
        <v>23.0</v>
      </c>
      <c r="L1039" s="54"/>
      <c r="M1039" s="5" t="s">
        <v>5259</v>
      </c>
      <c r="N1039" s="53" t="s">
        <v>5260</v>
      </c>
      <c r="O1039">
        <v>23.803497</v>
      </c>
      <c r="P1039">
        <v>11.291889</v>
      </c>
      <c r="Q1039" s="5" t="s">
        <v>324</v>
      </c>
      <c r="R1039" s="10">
        <f t="shared" si="10"/>
        <v>234</v>
      </c>
      <c r="S1039" s="5" t="s">
        <v>5261</v>
      </c>
      <c r="T1039" s="5"/>
      <c r="U1039" s="5" t="s">
        <v>2785</v>
      </c>
      <c r="V1039" s="5" t="s">
        <v>5262</v>
      </c>
    </row>
    <row r="1040" ht="12.75" customHeight="1">
      <c r="A1040" s="5">
        <v>34417.0</v>
      </c>
      <c r="B1040" s="5" t="s">
        <v>49</v>
      </c>
      <c r="C1040" s="52" t="s">
        <v>50</v>
      </c>
      <c r="D1040" s="5" t="s">
        <v>2614</v>
      </c>
      <c r="E1040" s="7" t="s">
        <v>5263</v>
      </c>
      <c r="F1040" s="5" t="s">
        <v>5189</v>
      </c>
      <c r="G1040" s="5" t="s">
        <v>5190</v>
      </c>
      <c r="H1040" s="5">
        <v>2008.0</v>
      </c>
      <c r="I1040" s="5">
        <v>0.0</v>
      </c>
      <c r="J1040" s="5">
        <v>0.0</v>
      </c>
      <c r="K1040" s="5">
        <v>1.0</v>
      </c>
      <c r="L1040" s="54"/>
      <c r="M1040" s="5" t="s">
        <v>5264</v>
      </c>
      <c r="N1040" s="53" t="s">
        <v>5265</v>
      </c>
      <c r="O1040">
        <v>30.78004</v>
      </c>
      <c r="P1040">
        <v>30.991133</v>
      </c>
      <c r="Q1040" s="5" t="s">
        <v>422</v>
      </c>
      <c r="R1040" s="10">
        <f t="shared" si="10"/>
        <v>2</v>
      </c>
      <c r="S1040" s="5" t="s">
        <v>5266</v>
      </c>
      <c r="T1040" s="5"/>
      <c r="U1040" s="5" t="s">
        <v>5113</v>
      </c>
      <c r="V1040" s="5" t="s">
        <v>5267</v>
      </c>
    </row>
    <row r="1041" ht="12.75" customHeight="1">
      <c r="A1041" s="5">
        <v>34416.0</v>
      </c>
      <c r="B1041" s="5" t="s">
        <v>49</v>
      </c>
      <c r="C1041" s="52" t="s">
        <v>50</v>
      </c>
      <c r="D1041" s="5" t="s">
        <v>2614</v>
      </c>
      <c r="E1041" s="7" t="s">
        <v>5263</v>
      </c>
      <c r="F1041" s="5" t="s">
        <v>5189</v>
      </c>
      <c r="G1041" s="5" t="s">
        <v>5190</v>
      </c>
      <c r="H1041" s="5">
        <v>2008.0</v>
      </c>
      <c r="I1041" s="5">
        <v>0.0</v>
      </c>
      <c r="J1041" s="5">
        <v>0.0</v>
      </c>
      <c r="K1041" s="5">
        <v>3.0</v>
      </c>
      <c r="L1041" s="54"/>
      <c r="M1041" s="5" t="s">
        <v>5268</v>
      </c>
      <c r="N1041" s="53" t="s">
        <v>2820</v>
      </c>
      <c r="O1041">
        <v>31.200092</v>
      </c>
      <c r="P1041">
        <v>29.918739</v>
      </c>
      <c r="Q1041" s="5" t="s">
        <v>427</v>
      </c>
      <c r="R1041" s="10">
        <f t="shared" si="10"/>
        <v>133</v>
      </c>
      <c r="S1041" s="5" t="s">
        <v>5269</v>
      </c>
      <c r="T1041" s="5"/>
      <c r="U1041" s="5" t="s">
        <v>5270</v>
      </c>
      <c r="V1041" s="5" t="s">
        <v>5225</v>
      </c>
    </row>
    <row r="1042" ht="12.75" customHeight="1">
      <c r="A1042" s="5">
        <v>34419.0</v>
      </c>
      <c r="B1042" s="5" t="s">
        <v>491</v>
      </c>
      <c r="C1042" s="52" t="s">
        <v>50</v>
      </c>
      <c r="D1042" s="5" t="s">
        <v>2614</v>
      </c>
      <c r="E1042" s="7" t="s">
        <v>5271</v>
      </c>
      <c r="F1042" s="5" t="s">
        <v>5189</v>
      </c>
      <c r="G1042" s="5" t="s">
        <v>5190</v>
      </c>
      <c r="H1042" s="5">
        <v>2008.0</v>
      </c>
      <c r="I1042" s="5">
        <v>0.0</v>
      </c>
      <c r="J1042" s="5">
        <v>0.0</v>
      </c>
      <c r="K1042" s="5">
        <v>13.0</v>
      </c>
      <c r="L1042" s="54"/>
      <c r="M1042" s="5" t="s">
        <v>5272</v>
      </c>
      <c r="N1042" s="53" t="s">
        <v>5273</v>
      </c>
      <c r="O1042">
        <v>27.793611</v>
      </c>
      <c r="P1042">
        <v>-15.658889</v>
      </c>
      <c r="Q1042" s="5" t="s">
        <v>357</v>
      </c>
      <c r="R1042" s="10">
        <f t="shared" si="10"/>
        <v>30</v>
      </c>
      <c r="S1042" s="5" t="s">
        <v>5274</v>
      </c>
      <c r="T1042" s="5" t="s">
        <v>1040</v>
      </c>
      <c r="U1042" s="5" t="s">
        <v>2785</v>
      </c>
      <c r="V1042" s="5" t="s">
        <v>5275</v>
      </c>
    </row>
    <row r="1043" ht="12.75" customHeight="1">
      <c r="A1043" s="5">
        <v>34418.0</v>
      </c>
      <c r="B1043" s="5" t="s">
        <v>68</v>
      </c>
      <c r="C1043" s="5" t="s">
        <v>69</v>
      </c>
      <c r="D1043" s="5" t="s">
        <v>2614</v>
      </c>
      <c r="E1043" s="7" t="s">
        <v>5271</v>
      </c>
      <c r="F1043" s="5" t="s">
        <v>5189</v>
      </c>
      <c r="G1043" s="5" t="s">
        <v>5190</v>
      </c>
      <c r="H1043" s="5">
        <v>2008.0</v>
      </c>
      <c r="I1043" s="5">
        <v>0.0</v>
      </c>
      <c r="J1043" s="5">
        <v>0.0</v>
      </c>
      <c r="K1043" s="5">
        <v>5.0</v>
      </c>
      <c r="L1043" s="54"/>
      <c r="M1043" s="5" t="s">
        <v>5276</v>
      </c>
      <c r="N1043" s="53" t="s">
        <v>2938</v>
      </c>
      <c r="O1043">
        <v>35.937496</v>
      </c>
      <c r="P1043">
        <v>14.375416</v>
      </c>
      <c r="Q1043" s="5" t="s">
        <v>740</v>
      </c>
      <c r="R1043" s="10">
        <f t="shared" si="10"/>
        <v>655</v>
      </c>
      <c r="S1043" s="5" t="s">
        <v>5277</v>
      </c>
      <c r="T1043" s="6" t="s">
        <v>2130</v>
      </c>
      <c r="U1043" s="5" t="s">
        <v>2143</v>
      </c>
      <c r="V1043" s="5" t="s">
        <v>5278</v>
      </c>
    </row>
    <row r="1044" ht="12.75" customHeight="1">
      <c r="A1044" s="5">
        <v>34420.0</v>
      </c>
      <c r="B1044" s="5" t="s">
        <v>68</v>
      </c>
      <c r="C1044" s="5" t="s">
        <v>69</v>
      </c>
      <c r="D1044" s="5" t="s">
        <v>2614</v>
      </c>
      <c r="E1044" s="7" t="s">
        <v>5279</v>
      </c>
      <c r="F1044" s="5" t="s">
        <v>5189</v>
      </c>
      <c r="G1044" s="5" t="s">
        <v>5280</v>
      </c>
      <c r="H1044" s="5">
        <v>2008.0</v>
      </c>
      <c r="I1044" s="5">
        <v>0.0</v>
      </c>
      <c r="J1044" s="5">
        <v>0.0</v>
      </c>
      <c r="K1044" s="5">
        <v>48.0</v>
      </c>
      <c r="L1044" s="54"/>
      <c r="M1044" s="5" t="s">
        <v>5281</v>
      </c>
      <c r="N1044" s="53" t="s">
        <v>5282</v>
      </c>
      <c r="O1044">
        <v>30.597246</v>
      </c>
      <c r="P1044">
        <v>30.987632</v>
      </c>
      <c r="Q1044" s="5" t="s">
        <v>418</v>
      </c>
      <c r="R1044" s="10">
        <f t="shared" si="10"/>
        <v>101</v>
      </c>
      <c r="S1044" s="5" t="s">
        <v>5283</v>
      </c>
      <c r="T1044" s="5"/>
      <c r="U1044" s="5" t="s">
        <v>5284</v>
      </c>
      <c r="V1044" s="5" t="s">
        <v>5225</v>
      </c>
    </row>
    <row r="1045" ht="12.75" customHeight="1">
      <c r="A1045" s="5">
        <v>34421.0</v>
      </c>
      <c r="B1045" s="5" t="s">
        <v>49</v>
      </c>
      <c r="C1045" s="52" t="s">
        <v>50</v>
      </c>
      <c r="D1045" s="5" t="s">
        <v>2852</v>
      </c>
      <c r="E1045" s="7" t="s">
        <v>5285</v>
      </c>
      <c r="F1045" s="5" t="s">
        <v>5189</v>
      </c>
      <c r="G1045" s="5" t="s">
        <v>5280</v>
      </c>
      <c r="H1045" s="5">
        <v>2008.0</v>
      </c>
      <c r="I1045" s="5">
        <v>0.0</v>
      </c>
      <c r="J1045" s="5">
        <v>0.0</v>
      </c>
      <c r="K1045" s="5">
        <v>14.0</v>
      </c>
      <c r="L1045" s="54"/>
      <c r="M1045" s="5" t="s">
        <v>5286</v>
      </c>
      <c r="N1045" s="53" t="s">
        <v>3940</v>
      </c>
      <c r="O1045">
        <v>36.902859</v>
      </c>
      <c r="P1045">
        <v>7.755543</v>
      </c>
      <c r="Q1045" s="5" t="s">
        <v>880</v>
      </c>
      <c r="R1045" s="10">
        <f t="shared" si="10"/>
        <v>107</v>
      </c>
      <c r="S1045" s="5" t="s">
        <v>5287</v>
      </c>
      <c r="T1045" s="6" t="s">
        <v>2130</v>
      </c>
      <c r="U1045" s="5" t="s">
        <v>4504</v>
      </c>
      <c r="V1045" s="5" t="s">
        <v>5288</v>
      </c>
    </row>
    <row r="1046" ht="12.75" customHeight="1">
      <c r="A1046" s="5">
        <v>34422.0</v>
      </c>
      <c r="B1046" s="5" t="s">
        <v>491</v>
      </c>
      <c r="C1046" s="52" t="s">
        <v>50</v>
      </c>
      <c r="D1046" s="5" t="s">
        <v>2614</v>
      </c>
      <c r="E1046" s="7" t="s">
        <v>5289</v>
      </c>
      <c r="F1046" s="5" t="s">
        <v>5189</v>
      </c>
      <c r="G1046" s="5" t="s">
        <v>5280</v>
      </c>
      <c r="H1046" s="5">
        <v>2008.0</v>
      </c>
      <c r="I1046" s="5">
        <v>0.0</v>
      </c>
      <c r="J1046" s="5">
        <v>0.0</v>
      </c>
      <c r="K1046" s="5">
        <v>6.0</v>
      </c>
      <c r="L1046" s="54"/>
      <c r="M1046" s="5" t="s">
        <v>5290</v>
      </c>
      <c r="N1046" s="53" t="s">
        <v>5291</v>
      </c>
      <c r="O1046">
        <v>23.69751</v>
      </c>
      <c r="P1046">
        <v>-15.93698</v>
      </c>
      <c r="Q1046" s="5" t="s">
        <v>323</v>
      </c>
      <c r="R1046" s="10">
        <f t="shared" si="10"/>
        <v>177</v>
      </c>
      <c r="S1046" s="5" t="s">
        <v>5292</v>
      </c>
      <c r="T1046" s="5" t="s">
        <v>1040</v>
      </c>
      <c r="U1046" s="5" t="s">
        <v>327</v>
      </c>
      <c r="V1046" s="5" t="s">
        <v>4840</v>
      </c>
    </row>
    <row r="1047" ht="12.75" customHeight="1">
      <c r="A1047" s="5">
        <v>34423.0</v>
      </c>
      <c r="B1047" s="5" t="s">
        <v>49</v>
      </c>
      <c r="C1047" s="52" t="s">
        <v>50</v>
      </c>
      <c r="D1047" s="5" t="s">
        <v>2852</v>
      </c>
      <c r="E1047" s="7" t="s">
        <v>5289</v>
      </c>
      <c r="F1047" s="5" t="s">
        <v>5189</v>
      </c>
      <c r="G1047" s="5" t="s">
        <v>5280</v>
      </c>
      <c r="H1047" s="5">
        <v>2008.0</v>
      </c>
      <c r="I1047" s="5">
        <v>0.0</v>
      </c>
      <c r="J1047" s="5">
        <v>0.0</v>
      </c>
      <c r="K1047" s="5">
        <v>5.0</v>
      </c>
      <c r="L1047" s="54"/>
      <c r="M1047" s="5" t="s">
        <v>5293</v>
      </c>
      <c r="N1047" s="53" t="s">
        <v>5294</v>
      </c>
      <c r="O1047">
        <v>37.125836</v>
      </c>
      <c r="P1047">
        <v>10.802826</v>
      </c>
      <c r="Q1047" s="5" t="s">
        <v>902</v>
      </c>
      <c r="R1047" s="10">
        <f t="shared" si="10"/>
        <v>5</v>
      </c>
      <c r="S1047" s="5" t="s">
        <v>5295</v>
      </c>
      <c r="T1047" s="6" t="s">
        <v>2130</v>
      </c>
      <c r="U1047" s="5" t="s">
        <v>5296</v>
      </c>
      <c r="V1047" s="5" t="s">
        <v>5297</v>
      </c>
    </row>
    <row r="1048" ht="12.75" customHeight="1">
      <c r="A1048" s="5">
        <v>34424.0</v>
      </c>
      <c r="B1048" s="5" t="s">
        <v>68</v>
      </c>
      <c r="C1048" s="5" t="s">
        <v>69</v>
      </c>
      <c r="D1048" s="5" t="s">
        <v>2852</v>
      </c>
      <c r="E1048" s="7" t="s">
        <v>5298</v>
      </c>
      <c r="F1048" s="5" t="s">
        <v>5189</v>
      </c>
      <c r="G1048" s="5" t="s">
        <v>5280</v>
      </c>
      <c r="H1048" s="5">
        <v>2008.0</v>
      </c>
      <c r="I1048" s="5">
        <v>0.0</v>
      </c>
      <c r="J1048" s="5">
        <v>0.0</v>
      </c>
      <c r="K1048" s="5">
        <v>20.0</v>
      </c>
      <c r="L1048" s="54"/>
      <c r="M1048" s="5" t="s">
        <v>5299</v>
      </c>
      <c r="N1048" s="53" t="s">
        <v>5300</v>
      </c>
      <c r="O1048">
        <v>37.617153</v>
      </c>
      <c r="P1048">
        <v>-0.992914</v>
      </c>
      <c r="Q1048" s="5" t="s">
        <v>952</v>
      </c>
      <c r="R1048" s="10">
        <f t="shared" si="10"/>
        <v>21</v>
      </c>
      <c r="S1048" s="5" t="s">
        <v>5301</v>
      </c>
      <c r="T1048" s="6" t="s">
        <v>72</v>
      </c>
      <c r="U1048" s="5" t="s">
        <v>5302</v>
      </c>
      <c r="V1048" s="5" t="s">
        <v>5303</v>
      </c>
    </row>
    <row r="1049" ht="12.75" customHeight="1">
      <c r="A1049" s="5">
        <v>34425.0</v>
      </c>
      <c r="B1049" s="5" t="s">
        <v>49</v>
      </c>
      <c r="C1049" s="52" t="s">
        <v>50</v>
      </c>
      <c r="D1049" s="5" t="s">
        <v>2852</v>
      </c>
      <c r="E1049" s="7" t="s">
        <v>5304</v>
      </c>
      <c r="F1049" s="5" t="s">
        <v>5189</v>
      </c>
      <c r="G1049" s="5" t="s">
        <v>5280</v>
      </c>
      <c r="H1049" s="5">
        <v>2008.0</v>
      </c>
      <c r="I1049" s="5">
        <v>0.0</v>
      </c>
      <c r="J1049" s="5">
        <v>0.0</v>
      </c>
      <c r="K1049" s="5">
        <v>84.0</v>
      </c>
      <c r="L1049" s="54"/>
      <c r="M1049" s="5" t="s">
        <v>5305</v>
      </c>
      <c r="N1049" s="53" t="s">
        <v>2938</v>
      </c>
      <c r="O1049">
        <v>35.937496</v>
      </c>
      <c r="P1049">
        <v>14.375416</v>
      </c>
      <c r="Q1049" s="5" t="s">
        <v>740</v>
      </c>
      <c r="R1049" s="10">
        <f t="shared" si="10"/>
        <v>655</v>
      </c>
      <c r="S1049" s="5" t="s">
        <v>5306</v>
      </c>
      <c r="T1049" s="6" t="s">
        <v>2130</v>
      </c>
      <c r="U1049" s="5" t="s">
        <v>5307</v>
      </c>
      <c r="V1049" s="5"/>
    </row>
    <row r="1050" ht="12.75" customHeight="1">
      <c r="A1050" s="5">
        <v>34426.0</v>
      </c>
      <c r="B1050" s="5" t="s">
        <v>49</v>
      </c>
      <c r="C1050" s="52" t="s">
        <v>50</v>
      </c>
      <c r="D1050" s="5" t="s">
        <v>2614</v>
      </c>
      <c r="E1050" s="7" t="s">
        <v>5308</v>
      </c>
      <c r="F1050" s="5" t="s">
        <v>5189</v>
      </c>
      <c r="G1050" s="5" t="s">
        <v>5280</v>
      </c>
      <c r="H1050" s="5">
        <v>2008.0</v>
      </c>
      <c r="I1050" s="5">
        <v>0.0</v>
      </c>
      <c r="J1050" s="5">
        <v>0.0</v>
      </c>
      <c r="K1050" s="5">
        <v>27.0</v>
      </c>
      <c r="L1050" s="54"/>
      <c r="M1050" s="5" t="s">
        <v>5309</v>
      </c>
      <c r="N1050" s="53" t="s">
        <v>2938</v>
      </c>
      <c r="O1050">
        <v>35.937496</v>
      </c>
      <c r="P1050">
        <v>14.375416</v>
      </c>
      <c r="Q1050" s="5" t="s">
        <v>740</v>
      </c>
      <c r="R1050" s="10">
        <f t="shared" si="10"/>
        <v>655</v>
      </c>
      <c r="S1050" s="5" t="s">
        <v>5310</v>
      </c>
      <c r="T1050" s="6" t="s">
        <v>2130</v>
      </c>
      <c r="U1050" s="5" t="s">
        <v>2326</v>
      </c>
      <c r="V1050" s="5" t="s">
        <v>5311</v>
      </c>
    </row>
    <row r="1051" ht="12.75" customHeight="1">
      <c r="A1051" s="5">
        <v>34427.0</v>
      </c>
      <c r="B1051" s="5" t="s">
        <v>98</v>
      </c>
      <c r="C1051" s="5" t="s">
        <v>62</v>
      </c>
      <c r="D1051" s="5" t="s">
        <v>2852</v>
      </c>
      <c r="E1051" s="7" t="s">
        <v>5308</v>
      </c>
      <c r="F1051" s="5" t="s">
        <v>5189</v>
      </c>
      <c r="G1051" s="5" t="s">
        <v>5280</v>
      </c>
      <c r="H1051" s="5">
        <v>2008.0</v>
      </c>
      <c r="I1051" s="5">
        <v>0.0</v>
      </c>
      <c r="J1051" s="5">
        <v>0.0</v>
      </c>
      <c r="K1051" s="5">
        <v>1.0</v>
      </c>
      <c r="L1051" s="54"/>
      <c r="M1051" s="5" t="s">
        <v>5312</v>
      </c>
      <c r="N1051" s="53" t="s">
        <v>4421</v>
      </c>
      <c r="O1051">
        <v>36.752887</v>
      </c>
      <c r="P1051">
        <v>3.042048</v>
      </c>
      <c r="Q1051" s="5" t="s">
        <v>835</v>
      </c>
      <c r="R1051" s="10">
        <f t="shared" si="10"/>
        <v>39</v>
      </c>
      <c r="S1051" s="5" t="s">
        <v>5313</v>
      </c>
      <c r="T1051" s="6" t="s">
        <v>72</v>
      </c>
      <c r="U1051" s="5" t="s">
        <v>5314</v>
      </c>
      <c r="V1051" s="5"/>
    </row>
    <row r="1052" ht="12.75" customHeight="1">
      <c r="A1052" s="5">
        <v>34428.0</v>
      </c>
      <c r="B1052" s="5" t="s">
        <v>491</v>
      </c>
      <c r="C1052" s="52" t="s">
        <v>50</v>
      </c>
      <c r="D1052" s="5" t="s">
        <v>2852</v>
      </c>
      <c r="E1052" s="7" t="s">
        <v>5315</v>
      </c>
      <c r="F1052" s="5" t="s">
        <v>5189</v>
      </c>
      <c r="G1052" s="5" t="s">
        <v>5280</v>
      </c>
      <c r="H1052" s="5">
        <v>2008.0</v>
      </c>
      <c r="I1052" s="5">
        <v>0.0</v>
      </c>
      <c r="J1052" s="5">
        <v>0.0</v>
      </c>
      <c r="K1052" s="5">
        <v>56.0</v>
      </c>
      <c r="L1052" s="54"/>
      <c r="M1052" s="5" t="s">
        <v>5316</v>
      </c>
      <c r="N1052" s="53" t="s">
        <v>5260</v>
      </c>
      <c r="O1052">
        <v>23.803497</v>
      </c>
      <c r="P1052">
        <v>11.291889</v>
      </c>
      <c r="Q1052" s="5" t="s">
        <v>324</v>
      </c>
      <c r="R1052" s="10">
        <f t="shared" si="10"/>
        <v>234</v>
      </c>
      <c r="S1052" s="5" t="s">
        <v>5317</v>
      </c>
      <c r="T1052" s="5"/>
      <c r="U1052" s="5" t="s">
        <v>5318</v>
      </c>
      <c r="V1052" s="5" t="s">
        <v>5319</v>
      </c>
    </row>
    <row r="1053" ht="12.75" customHeight="1">
      <c r="A1053" s="5">
        <v>34429.0</v>
      </c>
      <c r="B1053" s="5" t="s">
        <v>763</v>
      </c>
      <c r="C1053" s="5" t="s">
        <v>124</v>
      </c>
      <c r="D1053" s="5" t="s">
        <v>2614</v>
      </c>
      <c r="E1053" s="7" t="s">
        <v>5320</v>
      </c>
      <c r="F1053" s="5" t="s">
        <v>5189</v>
      </c>
      <c r="G1053" s="5" t="s">
        <v>5280</v>
      </c>
      <c r="H1053" s="5">
        <v>2008.0</v>
      </c>
      <c r="I1053" s="5">
        <v>0.0</v>
      </c>
      <c r="J1053" s="5">
        <v>0.0</v>
      </c>
      <c r="K1053" s="5">
        <v>30.0</v>
      </c>
      <c r="L1053" s="54"/>
      <c r="M1053" s="5" t="s">
        <v>5321</v>
      </c>
      <c r="N1053" s="53" t="s">
        <v>5322</v>
      </c>
      <c r="O1053">
        <v>29.104381</v>
      </c>
      <c r="P1053">
        <v>53.045893</v>
      </c>
      <c r="Q1053" s="5" t="s">
        <v>405</v>
      </c>
      <c r="R1053" s="10">
        <f t="shared" si="10"/>
        <v>30</v>
      </c>
      <c r="S1053" s="5" t="s">
        <v>5323</v>
      </c>
      <c r="T1053" s="5"/>
      <c r="U1053" s="5" t="s">
        <v>254</v>
      </c>
      <c r="V1053" s="5" t="s">
        <v>5324</v>
      </c>
    </row>
    <row r="1054" ht="12.75" customHeight="1">
      <c r="A1054" s="5">
        <v>34430.0</v>
      </c>
      <c r="B1054" s="5" t="s">
        <v>491</v>
      </c>
      <c r="C1054" s="52" t="s">
        <v>50</v>
      </c>
      <c r="D1054" s="5" t="s">
        <v>2852</v>
      </c>
      <c r="E1054" s="7" t="s">
        <v>5320</v>
      </c>
      <c r="F1054" s="5" t="s">
        <v>5189</v>
      </c>
      <c r="G1054" s="5" t="s">
        <v>5280</v>
      </c>
      <c r="H1054" s="5">
        <v>2008.0</v>
      </c>
      <c r="I1054" s="5">
        <v>0.0</v>
      </c>
      <c r="J1054" s="5">
        <v>0.0</v>
      </c>
      <c r="K1054" s="5">
        <v>35.0</v>
      </c>
      <c r="L1054" s="54"/>
      <c r="M1054" s="5" t="s">
        <v>5325</v>
      </c>
      <c r="N1054" s="53" t="s">
        <v>3379</v>
      </c>
      <c r="O1054">
        <v>36.834047</v>
      </c>
      <c r="P1054">
        <v>-2.463714</v>
      </c>
      <c r="Q1054" s="5" t="s">
        <v>863</v>
      </c>
      <c r="R1054" s="10">
        <f t="shared" si="10"/>
        <v>208</v>
      </c>
      <c r="S1054" s="5" t="s">
        <v>5326</v>
      </c>
      <c r="T1054" s="6" t="s">
        <v>72</v>
      </c>
      <c r="U1054" s="5" t="s">
        <v>5327</v>
      </c>
      <c r="V1054" s="5"/>
    </row>
    <row r="1055" ht="12.75" customHeight="1">
      <c r="A1055" s="5">
        <v>34431.0</v>
      </c>
      <c r="B1055" s="5" t="s">
        <v>41</v>
      </c>
      <c r="C1055" s="5" t="s">
        <v>42</v>
      </c>
      <c r="D1055" s="5" t="s">
        <v>2614</v>
      </c>
      <c r="E1055" s="7" t="s">
        <v>5328</v>
      </c>
      <c r="F1055" s="5" t="s">
        <v>5189</v>
      </c>
      <c r="G1055" s="5" t="s">
        <v>5280</v>
      </c>
      <c r="H1055" s="5">
        <v>2008.0</v>
      </c>
      <c r="I1055" s="5">
        <v>0.0</v>
      </c>
      <c r="J1055" s="5">
        <v>0.0</v>
      </c>
      <c r="K1055" s="5">
        <v>1.0</v>
      </c>
      <c r="L1055" s="54"/>
      <c r="M1055" s="5" t="s">
        <v>5329</v>
      </c>
      <c r="N1055" s="53" t="s">
        <v>2888</v>
      </c>
      <c r="O1055">
        <v>24.088938</v>
      </c>
      <c r="P1055">
        <v>32.899829</v>
      </c>
      <c r="Q1055" s="5" t="s">
        <v>329</v>
      </c>
      <c r="R1055" s="10">
        <f t="shared" si="10"/>
        <v>129</v>
      </c>
      <c r="S1055" s="5" t="s">
        <v>5330</v>
      </c>
      <c r="T1055" s="5"/>
      <c r="U1055" s="5" t="s">
        <v>92</v>
      </c>
      <c r="V1055" s="5" t="s">
        <v>5331</v>
      </c>
    </row>
    <row r="1056" ht="12.75" customHeight="1">
      <c r="A1056" s="5">
        <v>34432.0</v>
      </c>
      <c r="B1056" s="5" t="s">
        <v>49</v>
      </c>
      <c r="C1056" s="52" t="s">
        <v>50</v>
      </c>
      <c r="D1056" s="5" t="s">
        <v>2852</v>
      </c>
      <c r="E1056" s="7" t="s">
        <v>5332</v>
      </c>
      <c r="F1056" s="5" t="s">
        <v>5189</v>
      </c>
      <c r="G1056" s="5" t="s">
        <v>5280</v>
      </c>
      <c r="H1056" s="5">
        <v>2008.0</v>
      </c>
      <c r="I1056" s="5">
        <v>0.0</v>
      </c>
      <c r="J1056" s="5">
        <v>0.0</v>
      </c>
      <c r="K1056" s="5">
        <v>1.0</v>
      </c>
      <c r="L1056" s="54"/>
      <c r="M1056" s="5" t="s">
        <v>5333</v>
      </c>
      <c r="N1056" s="53" t="s">
        <v>5334</v>
      </c>
      <c r="O1056">
        <v>37.369342</v>
      </c>
      <c r="P1056">
        <v>27.27349</v>
      </c>
      <c r="Q1056" s="5" t="s">
        <v>931</v>
      </c>
      <c r="R1056" s="10">
        <f t="shared" si="10"/>
        <v>13</v>
      </c>
      <c r="S1056" s="5" t="s">
        <v>5335</v>
      </c>
      <c r="T1056" s="6" t="s">
        <v>53</v>
      </c>
      <c r="U1056" s="5" t="s">
        <v>5336</v>
      </c>
      <c r="V1056" s="5" t="s">
        <v>5337</v>
      </c>
    </row>
    <row r="1057" ht="12.75" customHeight="1">
      <c r="A1057" s="5">
        <v>34433.0</v>
      </c>
      <c r="B1057" s="5" t="s">
        <v>68</v>
      </c>
      <c r="C1057" s="5" t="s">
        <v>69</v>
      </c>
      <c r="D1057" s="5" t="s">
        <v>2614</v>
      </c>
      <c r="E1057" s="7" t="s">
        <v>5338</v>
      </c>
      <c r="F1057" s="5" t="s">
        <v>5189</v>
      </c>
      <c r="G1057" s="5" t="s">
        <v>5280</v>
      </c>
      <c r="H1057" s="5">
        <v>2008.0</v>
      </c>
      <c r="I1057" s="5">
        <v>0.0</v>
      </c>
      <c r="J1057" s="5">
        <v>0.0</v>
      </c>
      <c r="K1057" s="5">
        <v>2.0</v>
      </c>
      <c r="L1057" s="54"/>
      <c r="M1057" s="5" t="s">
        <v>5339</v>
      </c>
      <c r="N1057" s="53" t="s">
        <v>5211</v>
      </c>
      <c r="O1057">
        <v>17.570692</v>
      </c>
      <c r="P1057">
        <v>-3.996166</v>
      </c>
      <c r="Q1057" s="5" t="s">
        <v>283</v>
      </c>
      <c r="R1057" s="10">
        <f t="shared" si="10"/>
        <v>98</v>
      </c>
      <c r="S1057" s="5" t="s">
        <v>5340</v>
      </c>
      <c r="T1057" s="5"/>
      <c r="U1057" s="5" t="s">
        <v>2326</v>
      </c>
      <c r="V1057" s="5" t="s">
        <v>5341</v>
      </c>
    </row>
    <row r="1058" ht="12.75" customHeight="1">
      <c r="A1058" s="5">
        <v>34435.0</v>
      </c>
      <c r="B1058" s="5" t="s">
        <v>68</v>
      </c>
      <c r="C1058" s="5" t="s">
        <v>69</v>
      </c>
      <c r="D1058" s="5" t="s">
        <v>2852</v>
      </c>
      <c r="E1058" s="7" t="s">
        <v>5342</v>
      </c>
      <c r="F1058" s="5" t="s">
        <v>5189</v>
      </c>
      <c r="G1058" s="5" t="s">
        <v>5280</v>
      </c>
      <c r="H1058" s="5">
        <v>2008.0</v>
      </c>
      <c r="I1058" s="5">
        <v>0.0</v>
      </c>
      <c r="J1058" s="5">
        <v>0.0</v>
      </c>
      <c r="K1058" s="5">
        <v>21.0</v>
      </c>
      <c r="L1058" s="54"/>
      <c r="M1058" s="5" t="s">
        <v>5343</v>
      </c>
      <c r="N1058" s="53" t="s">
        <v>5260</v>
      </c>
      <c r="O1058">
        <v>23.803497</v>
      </c>
      <c r="P1058">
        <v>11.291889</v>
      </c>
      <c r="Q1058" s="5" t="s">
        <v>324</v>
      </c>
      <c r="R1058" s="10">
        <f t="shared" si="10"/>
        <v>234</v>
      </c>
      <c r="S1058" s="5" t="s">
        <v>5344</v>
      </c>
      <c r="T1058" s="5" t="s">
        <v>1040</v>
      </c>
      <c r="U1058" s="5" t="s">
        <v>5345</v>
      </c>
      <c r="V1058" s="5"/>
    </row>
    <row r="1059" ht="12.75" customHeight="1">
      <c r="A1059" s="5">
        <v>34434.0</v>
      </c>
      <c r="B1059" s="5" t="s">
        <v>68</v>
      </c>
      <c r="C1059" s="5" t="s">
        <v>69</v>
      </c>
      <c r="D1059" s="5" t="s">
        <v>2852</v>
      </c>
      <c r="E1059" s="7" t="s">
        <v>5342</v>
      </c>
      <c r="F1059" s="5" t="s">
        <v>5189</v>
      </c>
      <c r="G1059" s="5" t="s">
        <v>5280</v>
      </c>
      <c r="H1059" s="5">
        <v>2008.0</v>
      </c>
      <c r="I1059" s="5">
        <v>0.0</v>
      </c>
      <c r="J1059" s="5">
        <v>0.0</v>
      </c>
      <c r="K1059" s="5">
        <v>33.0</v>
      </c>
      <c r="L1059" s="54"/>
      <c r="M1059" s="5" t="s">
        <v>5346</v>
      </c>
      <c r="N1059" s="53" t="s">
        <v>4941</v>
      </c>
      <c r="O1059">
        <v>28.291564</v>
      </c>
      <c r="P1059">
        <v>-16.62913</v>
      </c>
      <c r="Q1059" s="5" t="s">
        <v>382</v>
      </c>
      <c r="R1059" s="10">
        <f t="shared" si="10"/>
        <v>1120</v>
      </c>
      <c r="S1059" s="5" t="s">
        <v>5347</v>
      </c>
      <c r="T1059" s="5" t="s">
        <v>1040</v>
      </c>
      <c r="U1059" s="5" t="s">
        <v>5348</v>
      </c>
      <c r="V1059" s="5"/>
    </row>
    <row r="1060" ht="12.75" customHeight="1">
      <c r="A1060" s="5">
        <v>69751.0</v>
      </c>
      <c r="B1060" s="5" t="s">
        <v>5349</v>
      </c>
      <c r="C1060" s="5" t="s">
        <v>62</v>
      </c>
      <c r="D1060" s="5"/>
      <c r="E1060" s="7" t="s">
        <v>5350</v>
      </c>
      <c r="F1060" s="5" t="s">
        <v>5189</v>
      </c>
      <c r="G1060" s="5" t="s">
        <v>5280</v>
      </c>
      <c r="H1060" s="5">
        <v>2008.0</v>
      </c>
      <c r="I1060" s="5">
        <v>1.0</v>
      </c>
      <c r="J1060" s="5">
        <v>0.0</v>
      </c>
      <c r="K1060" s="5">
        <v>1.0</v>
      </c>
      <c r="L1060" s="54"/>
      <c r="M1060" s="5" t="s">
        <v>5351</v>
      </c>
      <c r="N1060" s="53" t="s">
        <v>5352</v>
      </c>
      <c r="O1060">
        <v>50.85</v>
      </c>
      <c r="P1060">
        <v>4.33</v>
      </c>
      <c r="Q1060" s="5" t="s">
        <v>1525</v>
      </c>
      <c r="R1060" s="10">
        <f t="shared" si="10"/>
        <v>1</v>
      </c>
      <c r="S1060" s="5" t="s">
        <v>5353</v>
      </c>
      <c r="T1060" s="5"/>
      <c r="U1060" s="5" t="s">
        <v>5354</v>
      </c>
      <c r="V1060" s="5"/>
    </row>
    <row r="1061" ht="12.75" customHeight="1">
      <c r="A1061" s="5">
        <v>34436.0</v>
      </c>
      <c r="B1061" s="5" t="s">
        <v>68</v>
      </c>
      <c r="C1061" s="5" t="s">
        <v>69</v>
      </c>
      <c r="D1061" s="5" t="s">
        <v>2614</v>
      </c>
      <c r="E1061" s="7" t="s">
        <v>5355</v>
      </c>
      <c r="F1061" s="5" t="s">
        <v>5189</v>
      </c>
      <c r="G1061" s="5" t="s">
        <v>5280</v>
      </c>
      <c r="H1061" s="5">
        <v>2008.0</v>
      </c>
      <c r="I1061" s="5">
        <v>0.0</v>
      </c>
      <c r="J1061" s="5">
        <v>0.0</v>
      </c>
      <c r="K1061" s="5">
        <v>1.0</v>
      </c>
      <c r="L1061" s="54"/>
      <c r="M1061" s="5" t="s">
        <v>5356</v>
      </c>
      <c r="N1061" s="53" t="s">
        <v>2718</v>
      </c>
      <c r="O1061">
        <v>35.292278</v>
      </c>
      <c r="P1061">
        <v>-2.938097</v>
      </c>
      <c r="Q1061" s="5" t="s">
        <v>649</v>
      </c>
      <c r="R1061" s="10">
        <f t="shared" si="10"/>
        <v>79</v>
      </c>
      <c r="S1061" s="5" t="s">
        <v>5357</v>
      </c>
      <c r="T1061" s="6" t="s">
        <v>72</v>
      </c>
      <c r="U1061" s="5" t="s">
        <v>2640</v>
      </c>
      <c r="V1061" s="5" t="s">
        <v>5358</v>
      </c>
    </row>
    <row r="1062" ht="12.75" customHeight="1">
      <c r="A1062" s="5">
        <v>34439.0</v>
      </c>
      <c r="B1062" s="5" t="s">
        <v>49</v>
      </c>
      <c r="C1062" s="52" t="s">
        <v>50</v>
      </c>
      <c r="D1062" s="5" t="s">
        <v>2852</v>
      </c>
      <c r="E1062" s="7" t="s">
        <v>5359</v>
      </c>
      <c r="F1062" s="5" t="s">
        <v>5189</v>
      </c>
      <c r="G1062" s="5" t="s">
        <v>5280</v>
      </c>
      <c r="H1062" s="5">
        <v>2008.0</v>
      </c>
      <c r="I1062" s="5">
        <v>0.0</v>
      </c>
      <c r="J1062" s="5">
        <v>0.0</v>
      </c>
      <c r="K1062" s="5">
        <v>2.0</v>
      </c>
      <c r="L1062" s="54"/>
      <c r="M1062" s="5" t="s">
        <v>5360</v>
      </c>
      <c r="N1062" s="53" t="s">
        <v>2944</v>
      </c>
      <c r="O1062">
        <v>-12.8275</v>
      </c>
      <c r="P1062">
        <v>45.166244</v>
      </c>
      <c r="Q1062" s="5" t="s">
        <v>228</v>
      </c>
      <c r="R1062" s="10">
        <f t="shared" si="10"/>
        <v>757</v>
      </c>
      <c r="S1062" s="5" t="s">
        <v>5361</v>
      </c>
      <c r="T1062" s="5"/>
      <c r="U1062" s="5" t="s">
        <v>4909</v>
      </c>
      <c r="V1062" s="5"/>
    </row>
    <row r="1063" ht="12.75" customHeight="1">
      <c r="A1063" s="5">
        <v>34438.0</v>
      </c>
      <c r="B1063" s="5" t="s">
        <v>68</v>
      </c>
      <c r="C1063" s="5" t="s">
        <v>69</v>
      </c>
      <c r="D1063" s="5" t="s">
        <v>2614</v>
      </c>
      <c r="E1063" s="7" t="s">
        <v>5359</v>
      </c>
      <c r="F1063" s="5" t="s">
        <v>5189</v>
      </c>
      <c r="G1063" s="5" t="s">
        <v>5280</v>
      </c>
      <c r="H1063" s="5">
        <v>2008.0</v>
      </c>
      <c r="I1063" s="5">
        <v>0.0</v>
      </c>
      <c r="J1063" s="5">
        <v>0.0</v>
      </c>
      <c r="K1063" s="5">
        <v>75.0</v>
      </c>
      <c r="L1063" s="54"/>
      <c r="M1063" s="5" t="s">
        <v>5362</v>
      </c>
      <c r="N1063" s="53" t="s">
        <v>5211</v>
      </c>
      <c r="O1063">
        <v>17.570692</v>
      </c>
      <c r="P1063">
        <v>-3.996166</v>
      </c>
      <c r="Q1063" s="5" t="s">
        <v>283</v>
      </c>
      <c r="R1063" s="10">
        <f t="shared" si="10"/>
        <v>98</v>
      </c>
      <c r="S1063" s="5" t="s">
        <v>5363</v>
      </c>
      <c r="T1063" s="5"/>
      <c r="U1063" s="5" t="s">
        <v>5364</v>
      </c>
      <c r="V1063" s="5" t="s">
        <v>5365</v>
      </c>
    </row>
    <row r="1064" ht="12.75" customHeight="1">
      <c r="A1064" s="5">
        <v>34437.0</v>
      </c>
      <c r="B1064" s="5" t="s">
        <v>68</v>
      </c>
      <c r="C1064" s="5" t="s">
        <v>69</v>
      </c>
      <c r="D1064" s="5" t="s">
        <v>2614</v>
      </c>
      <c r="E1064" s="7" t="s">
        <v>5359</v>
      </c>
      <c r="F1064" s="5" t="s">
        <v>5189</v>
      </c>
      <c r="G1064" s="5" t="s">
        <v>5280</v>
      </c>
      <c r="H1064" s="5">
        <v>2008.0</v>
      </c>
      <c r="I1064" s="5">
        <v>0.0</v>
      </c>
      <c r="J1064" s="5">
        <v>0.0</v>
      </c>
      <c r="K1064" s="5">
        <v>1.0</v>
      </c>
      <c r="L1064" s="54"/>
      <c r="M1064" s="5" t="s">
        <v>5366</v>
      </c>
      <c r="N1064" s="53" t="s">
        <v>5367</v>
      </c>
      <c r="O1064">
        <v>28.291564</v>
      </c>
      <c r="P1064">
        <v>-16.62913</v>
      </c>
      <c r="Q1064" s="5" t="s">
        <v>382</v>
      </c>
      <c r="R1064" s="10">
        <f t="shared" si="10"/>
        <v>1120</v>
      </c>
      <c r="S1064" s="5" t="s">
        <v>5368</v>
      </c>
      <c r="T1064" s="5" t="s">
        <v>1040</v>
      </c>
      <c r="U1064" s="5" t="s">
        <v>3584</v>
      </c>
      <c r="V1064" s="5" t="s">
        <v>5369</v>
      </c>
    </row>
    <row r="1065" ht="12.75" customHeight="1">
      <c r="A1065" s="5">
        <v>34440.0</v>
      </c>
      <c r="B1065" s="5" t="s">
        <v>68</v>
      </c>
      <c r="C1065" s="5" t="s">
        <v>69</v>
      </c>
      <c r="D1065" s="5" t="s">
        <v>2614</v>
      </c>
      <c r="E1065" s="7" t="s">
        <v>5370</v>
      </c>
      <c r="F1065" s="5" t="s">
        <v>5189</v>
      </c>
      <c r="G1065" s="5" t="s">
        <v>5280</v>
      </c>
      <c r="H1065" s="5">
        <v>2008.0</v>
      </c>
      <c r="I1065" s="5">
        <v>0.0</v>
      </c>
      <c r="J1065" s="5">
        <v>0.0</v>
      </c>
      <c r="K1065" s="5">
        <v>1.0</v>
      </c>
      <c r="L1065" s="54"/>
      <c r="M1065" s="5" t="s">
        <v>5371</v>
      </c>
      <c r="N1065" s="53" t="s">
        <v>3379</v>
      </c>
      <c r="O1065">
        <v>36.834047</v>
      </c>
      <c r="P1065">
        <v>-2.463714</v>
      </c>
      <c r="Q1065" s="5" t="s">
        <v>863</v>
      </c>
      <c r="R1065" s="10">
        <f t="shared" si="10"/>
        <v>208</v>
      </c>
      <c r="S1065" s="5" t="s">
        <v>5372</v>
      </c>
      <c r="T1065" s="6" t="s">
        <v>72</v>
      </c>
      <c r="U1065" s="5" t="s">
        <v>2785</v>
      </c>
      <c r="V1065" s="5" t="s">
        <v>5373</v>
      </c>
    </row>
    <row r="1066" ht="12.75" customHeight="1">
      <c r="A1066" s="5">
        <v>34441.0</v>
      </c>
      <c r="B1066" s="5" t="s">
        <v>68</v>
      </c>
      <c r="C1066" s="5" t="s">
        <v>69</v>
      </c>
      <c r="D1066" s="5" t="s">
        <v>2614</v>
      </c>
      <c r="E1066" s="7" t="s">
        <v>5370</v>
      </c>
      <c r="F1066" s="5" t="s">
        <v>5189</v>
      </c>
      <c r="G1066" s="5" t="s">
        <v>5280</v>
      </c>
      <c r="H1066" s="5">
        <v>2008.0</v>
      </c>
      <c r="I1066" s="5">
        <v>0.0</v>
      </c>
      <c r="J1066" s="5">
        <v>0.0</v>
      </c>
      <c r="K1066" s="5">
        <v>1.0</v>
      </c>
      <c r="L1066" s="54"/>
      <c r="M1066" s="5" t="s">
        <v>5374</v>
      </c>
      <c r="N1066" s="53" t="s">
        <v>3469</v>
      </c>
      <c r="O1066">
        <v>37.177336</v>
      </c>
      <c r="P1066">
        <v>-3.598557</v>
      </c>
      <c r="Q1066" s="5" t="s">
        <v>909</v>
      </c>
      <c r="R1066" s="10">
        <f t="shared" si="10"/>
        <v>38</v>
      </c>
      <c r="S1066" s="5" t="s">
        <v>5375</v>
      </c>
      <c r="T1066" s="6" t="s">
        <v>72</v>
      </c>
      <c r="U1066" s="5" t="s">
        <v>5376</v>
      </c>
      <c r="V1066" s="5" t="s">
        <v>5377</v>
      </c>
    </row>
    <row r="1067" ht="12.75" customHeight="1">
      <c r="A1067" s="5">
        <v>34443.0</v>
      </c>
      <c r="B1067" s="5" t="s">
        <v>49</v>
      </c>
      <c r="C1067" s="52" t="s">
        <v>50</v>
      </c>
      <c r="D1067" s="5" t="s">
        <v>2852</v>
      </c>
      <c r="E1067" s="7" t="s">
        <v>5378</v>
      </c>
      <c r="F1067" s="5" t="s">
        <v>5189</v>
      </c>
      <c r="G1067" s="5" t="s">
        <v>5379</v>
      </c>
      <c r="H1067" s="5">
        <v>2008.0</v>
      </c>
      <c r="I1067" s="5">
        <v>0.0</v>
      </c>
      <c r="J1067" s="5">
        <v>0.0</v>
      </c>
      <c r="K1067" s="5">
        <v>3.0</v>
      </c>
      <c r="L1067" s="54"/>
      <c r="M1067" s="5" t="s">
        <v>5380</v>
      </c>
      <c r="N1067" s="53" t="s">
        <v>2928</v>
      </c>
      <c r="O1067">
        <v>26.3351</v>
      </c>
      <c r="P1067">
        <v>17.228331</v>
      </c>
      <c r="Q1067" s="5" t="s">
        <v>337</v>
      </c>
      <c r="R1067" s="10">
        <f t="shared" si="10"/>
        <v>1371</v>
      </c>
      <c r="S1067" s="5" t="s">
        <v>5381</v>
      </c>
      <c r="T1067" s="6" t="s">
        <v>2130</v>
      </c>
      <c r="U1067" s="5" t="s">
        <v>5382</v>
      </c>
      <c r="V1067" s="5"/>
    </row>
    <row r="1068" ht="12.75" customHeight="1">
      <c r="A1068" s="5">
        <v>34442.0</v>
      </c>
      <c r="B1068" s="5" t="s">
        <v>68</v>
      </c>
      <c r="C1068" s="5" t="s">
        <v>69</v>
      </c>
      <c r="D1068" s="5" t="s">
        <v>2614</v>
      </c>
      <c r="E1068" s="7" t="s">
        <v>5378</v>
      </c>
      <c r="F1068" s="5" t="s">
        <v>5189</v>
      </c>
      <c r="G1068" s="5" t="s">
        <v>5379</v>
      </c>
      <c r="H1068" s="5">
        <v>2008.0</v>
      </c>
      <c r="I1068" s="5">
        <v>0.0</v>
      </c>
      <c r="J1068" s="5">
        <v>0.0</v>
      </c>
      <c r="K1068" s="5">
        <v>2.0</v>
      </c>
      <c r="L1068" s="54"/>
      <c r="M1068" s="5" t="s">
        <v>5383</v>
      </c>
      <c r="N1068" s="53" t="s">
        <v>2938</v>
      </c>
      <c r="O1068">
        <v>35.937496</v>
      </c>
      <c r="P1068">
        <v>14.375416</v>
      </c>
      <c r="Q1068" s="5" t="s">
        <v>740</v>
      </c>
      <c r="R1068" s="10">
        <f t="shared" si="10"/>
        <v>655</v>
      </c>
      <c r="S1068" s="5" t="s">
        <v>5384</v>
      </c>
      <c r="T1068" s="6" t="s">
        <v>2130</v>
      </c>
      <c r="U1068" s="5" t="s">
        <v>2143</v>
      </c>
      <c r="V1068" s="5" t="s">
        <v>5385</v>
      </c>
    </row>
    <row r="1069" ht="12.75" customHeight="1">
      <c r="A1069" s="5">
        <v>34444.0</v>
      </c>
      <c r="B1069" s="5" t="s">
        <v>49</v>
      </c>
      <c r="C1069" s="52" t="s">
        <v>50</v>
      </c>
      <c r="D1069" s="5" t="s">
        <v>2852</v>
      </c>
      <c r="E1069" s="7" t="s">
        <v>5378</v>
      </c>
      <c r="F1069" s="5" t="s">
        <v>5189</v>
      </c>
      <c r="G1069" s="5" t="s">
        <v>5379</v>
      </c>
      <c r="H1069" s="5">
        <v>2008.0</v>
      </c>
      <c r="I1069" s="5">
        <v>0.0</v>
      </c>
      <c r="J1069" s="5">
        <v>0.0</v>
      </c>
      <c r="K1069" s="5">
        <v>14.0</v>
      </c>
      <c r="L1069" s="54"/>
      <c r="M1069" s="5" t="s">
        <v>5386</v>
      </c>
      <c r="N1069" s="53" t="s">
        <v>5387</v>
      </c>
      <c r="O1069">
        <v>37.931706</v>
      </c>
      <c r="P1069">
        <v>-0.660553</v>
      </c>
      <c r="Q1069" s="5" t="s">
        <v>964</v>
      </c>
      <c r="R1069" s="10">
        <f t="shared" si="10"/>
        <v>19</v>
      </c>
      <c r="S1069" s="5" t="s">
        <v>5388</v>
      </c>
      <c r="T1069" s="6" t="s">
        <v>72</v>
      </c>
      <c r="U1069" s="5" t="s">
        <v>5389</v>
      </c>
      <c r="V1069" s="5"/>
    </row>
    <row r="1070" ht="12.75" customHeight="1">
      <c r="A1070" s="5">
        <v>34445.0</v>
      </c>
      <c r="B1070" s="5" t="s">
        <v>1076</v>
      </c>
      <c r="C1070" s="52" t="s">
        <v>50</v>
      </c>
      <c r="D1070" s="5" t="s">
        <v>2852</v>
      </c>
      <c r="E1070" s="7" t="s">
        <v>5390</v>
      </c>
      <c r="F1070" s="5" t="s">
        <v>5189</v>
      </c>
      <c r="G1070" s="5" t="s">
        <v>5379</v>
      </c>
      <c r="H1070" s="5">
        <v>2008.0</v>
      </c>
      <c r="I1070" s="5">
        <v>0.0</v>
      </c>
      <c r="J1070" s="5">
        <v>0.0</v>
      </c>
      <c r="K1070" s="5">
        <v>13.0</v>
      </c>
      <c r="L1070" s="54"/>
      <c r="M1070" s="5" t="s">
        <v>5391</v>
      </c>
      <c r="N1070" s="53" t="s">
        <v>5392</v>
      </c>
      <c r="O1070">
        <v>41.00527</v>
      </c>
      <c r="P1070">
        <v>28.97696</v>
      </c>
      <c r="Q1070" s="5" t="s">
        <v>1180</v>
      </c>
      <c r="R1070" s="10">
        <f t="shared" si="10"/>
        <v>47</v>
      </c>
      <c r="S1070" s="5" t="s">
        <v>5393</v>
      </c>
      <c r="T1070" s="5"/>
      <c r="U1070" s="5" t="s">
        <v>5336</v>
      </c>
      <c r="V1070" s="5" t="s">
        <v>5394</v>
      </c>
    </row>
    <row r="1071" ht="12.75" customHeight="1">
      <c r="A1071" s="5">
        <v>34447.0</v>
      </c>
      <c r="B1071" s="5" t="s">
        <v>49</v>
      </c>
      <c r="C1071" s="52" t="s">
        <v>50</v>
      </c>
      <c r="D1071" s="5" t="s">
        <v>2852</v>
      </c>
      <c r="E1071" s="7" t="s">
        <v>5395</v>
      </c>
      <c r="F1071" s="5" t="s">
        <v>5189</v>
      </c>
      <c r="G1071" s="5" t="s">
        <v>5379</v>
      </c>
      <c r="H1071" s="5">
        <v>2008.0</v>
      </c>
      <c r="I1071" s="5">
        <v>0.0</v>
      </c>
      <c r="J1071" s="5">
        <v>0.0</v>
      </c>
      <c r="K1071" s="5">
        <v>7.0</v>
      </c>
      <c r="L1071" s="54"/>
      <c r="M1071" s="5" t="s">
        <v>5396</v>
      </c>
      <c r="N1071" s="53" t="s">
        <v>2700</v>
      </c>
      <c r="O1071">
        <v>35.508622</v>
      </c>
      <c r="P1071">
        <v>12.59292</v>
      </c>
      <c r="Q1071" s="5" t="s">
        <v>669</v>
      </c>
      <c r="R1071" s="10">
        <f t="shared" si="10"/>
        <v>3843</v>
      </c>
      <c r="S1071" s="5" t="s">
        <v>5397</v>
      </c>
      <c r="T1071" s="6" t="s">
        <v>2130</v>
      </c>
      <c r="U1071" s="5" t="s">
        <v>5398</v>
      </c>
      <c r="V1071" s="5" t="s">
        <v>5399</v>
      </c>
    </row>
    <row r="1072" ht="12.75" customHeight="1">
      <c r="A1072" s="5">
        <v>34446.0</v>
      </c>
      <c r="B1072" s="5" t="s">
        <v>68</v>
      </c>
      <c r="C1072" s="5" t="s">
        <v>69</v>
      </c>
      <c r="D1072" s="5" t="s">
        <v>2614</v>
      </c>
      <c r="E1072" s="7" t="s">
        <v>5395</v>
      </c>
      <c r="F1072" s="5" t="s">
        <v>5189</v>
      </c>
      <c r="G1072" s="5" t="s">
        <v>5379</v>
      </c>
      <c r="H1072" s="5">
        <v>2008.0</v>
      </c>
      <c r="I1072" s="5">
        <v>0.0</v>
      </c>
      <c r="J1072" s="5">
        <v>0.0</v>
      </c>
      <c r="K1072" s="5">
        <v>38.0</v>
      </c>
      <c r="L1072" s="54"/>
      <c r="M1072" s="5" t="s">
        <v>5400</v>
      </c>
      <c r="N1072" s="53" t="s">
        <v>4044</v>
      </c>
      <c r="O1072">
        <v>40.120875</v>
      </c>
      <c r="P1072">
        <v>9.012893</v>
      </c>
      <c r="Q1072" s="5" t="s">
        <v>1120</v>
      </c>
      <c r="R1072" s="10">
        <f t="shared" si="10"/>
        <v>81</v>
      </c>
      <c r="S1072" s="5" t="s">
        <v>5401</v>
      </c>
      <c r="T1072" s="6" t="s">
        <v>2130</v>
      </c>
      <c r="U1072" s="5" t="s">
        <v>3540</v>
      </c>
      <c r="V1072" s="5" t="s">
        <v>5402</v>
      </c>
    </row>
    <row r="1073" ht="12.75" customHeight="1">
      <c r="A1073" s="5">
        <v>34448.0</v>
      </c>
      <c r="B1073" s="5" t="s">
        <v>68</v>
      </c>
      <c r="C1073" s="5" t="s">
        <v>69</v>
      </c>
      <c r="D1073" s="5" t="s">
        <v>2852</v>
      </c>
      <c r="E1073" s="7" t="s">
        <v>5403</v>
      </c>
      <c r="F1073" s="5" t="s">
        <v>5189</v>
      </c>
      <c r="G1073" s="5" t="s">
        <v>5379</v>
      </c>
      <c r="H1073" s="5">
        <v>2008.0</v>
      </c>
      <c r="I1073" s="5">
        <v>0.0</v>
      </c>
      <c r="J1073" s="5">
        <v>0.0</v>
      </c>
      <c r="K1073" s="5">
        <v>1.0</v>
      </c>
      <c r="L1073" s="54"/>
      <c r="M1073" s="5" t="s">
        <v>5404</v>
      </c>
      <c r="N1073" s="53" t="s">
        <v>5255</v>
      </c>
      <c r="O1073">
        <v>28.103304</v>
      </c>
      <c r="P1073">
        <v>-17.219358</v>
      </c>
      <c r="Q1073" s="5" t="s">
        <v>376</v>
      </c>
      <c r="R1073" s="10">
        <f t="shared" si="10"/>
        <v>29</v>
      </c>
      <c r="S1073" s="5" t="s">
        <v>5405</v>
      </c>
      <c r="T1073" s="5" t="s">
        <v>1040</v>
      </c>
      <c r="U1073" s="5" t="s">
        <v>5406</v>
      </c>
      <c r="V1073" s="5" t="s">
        <v>5407</v>
      </c>
    </row>
    <row r="1074" ht="12.75" customHeight="1">
      <c r="A1074" s="5">
        <v>34450.0</v>
      </c>
      <c r="B1074" s="5" t="s">
        <v>49</v>
      </c>
      <c r="C1074" s="52" t="s">
        <v>50</v>
      </c>
      <c r="D1074" s="5" t="s">
        <v>2852</v>
      </c>
      <c r="E1074" s="7" t="s">
        <v>5408</v>
      </c>
      <c r="F1074" s="5" t="s">
        <v>5189</v>
      </c>
      <c r="G1074" s="5" t="s">
        <v>5379</v>
      </c>
      <c r="H1074" s="5">
        <v>2008.0</v>
      </c>
      <c r="I1074" s="5">
        <v>0.0</v>
      </c>
      <c r="J1074" s="5">
        <v>0.0</v>
      </c>
      <c r="K1074" s="5">
        <v>24.0</v>
      </c>
      <c r="L1074" s="54"/>
      <c r="M1074" s="5" t="s">
        <v>5409</v>
      </c>
      <c r="N1074" s="53" t="s">
        <v>2944</v>
      </c>
      <c r="O1074">
        <v>-12.8275</v>
      </c>
      <c r="P1074">
        <v>45.166244</v>
      </c>
      <c r="Q1074" s="5" t="s">
        <v>228</v>
      </c>
      <c r="R1074" s="10">
        <f t="shared" si="10"/>
        <v>757</v>
      </c>
      <c r="S1074" s="5" t="s">
        <v>5410</v>
      </c>
      <c r="T1074" s="5"/>
      <c r="U1074" s="5" t="s">
        <v>5411</v>
      </c>
      <c r="V1074" s="5" t="s">
        <v>4840</v>
      </c>
    </row>
    <row r="1075" ht="12.75" customHeight="1">
      <c r="A1075" s="5">
        <v>34449.0</v>
      </c>
      <c r="B1075" s="5" t="s">
        <v>49</v>
      </c>
      <c r="C1075" s="52" t="s">
        <v>50</v>
      </c>
      <c r="D1075" s="5" t="s">
        <v>2614</v>
      </c>
      <c r="E1075" s="7" t="s">
        <v>5408</v>
      </c>
      <c r="F1075" s="5" t="s">
        <v>5189</v>
      </c>
      <c r="G1075" s="5" t="s">
        <v>5379</v>
      </c>
      <c r="H1075" s="5">
        <v>2008.0</v>
      </c>
      <c r="I1075" s="5">
        <v>0.0</v>
      </c>
      <c r="J1075" s="5">
        <v>0.0</v>
      </c>
      <c r="K1075" s="5">
        <v>1.0</v>
      </c>
      <c r="L1075" s="54"/>
      <c r="M1075" s="5" t="s">
        <v>5412</v>
      </c>
      <c r="N1075" s="53" t="s">
        <v>4648</v>
      </c>
      <c r="O1075">
        <v>36.721261</v>
      </c>
      <c r="P1075">
        <v>-4.421266</v>
      </c>
      <c r="Q1075" s="5" t="s">
        <v>823</v>
      </c>
      <c r="R1075" s="10">
        <f t="shared" si="10"/>
        <v>17</v>
      </c>
      <c r="S1075" s="5" t="s">
        <v>5413</v>
      </c>
      <c r="T1075" s="6" t="s">
        <v>72</v>
      </c>
      <c r="U1075" s="5" t="s">
        <v>2785</v>
      </c>
      <c r="V1075" s="5" t="s">
        <v>5414</v>
      </c>
    </row>
    <row r="1076" ht="12.75" customHeight="1">
      <c r="A1076" s="5">
        <v>34451.0</v>
      </c>
      <c r="B1076" s="5" t="s">
        <v>98</v>
      </c>
      <c r="C1076" s="5" t="s">
        <v>62</v>
      </c>
      <c r="D1076" s="5" t="s">
        <v>2852</v>
      </c>
      <c r="E1076" s="7" t="s">
        <v>5408</v>
      </c>
      <c r="F1076" s="5" t="s">
        <v>5189</v>
      </c>
      <c r="G1076" s="5" t="s">
        <v>5379</v>
      </c>
      <c r="H1076" s="5">
        <v>2008.0</v>
      </c>
      <c r="I1076" s="5">
        <v>0.0</v>
      </c>
      <c r="J1076" s="5">
        <v>0.0</v>
      </c>
      <c r="K1076" s="5">
        <v>1.0</v>
      </c>
      <c r="L1076" s="54"/>
      <c r="M1076" s="5" t="s">
        <v>5415</v>
      </c>
      <c r="N1076" s="53" t="s">
        <v>3909</v>
      </c>
      <c r="O1076">
        <v>50.95129</v>
      </c>
      <c r="P1076">
        <v>1.858686</v>
      </c>
      <c r="Q1076" s="5" t="s">
        <v>1551</v>
      </c>
      <c r="R1076" s="10">
        <f t="shared" si="10"/>
        <v>30</v>
      </c>
      <c r="S1076" s="5" t="s">
        <v>5416</v>
      </c>
      <c r="T1076" s="5"/>
      <c r="U1076" s="5" t="s">
        <v>5417</v>
      </c>
      <c r="V1076" s="5" t="s">
        <v>5418</v>
      </c>
    </row>
    <row r="1077" ht="12.75" customHeight="1">
      <c r="A1077" s="5">
        <v>34452.0</v>
      </c>
      <c r="B1077" s="5" t="s">
        <v>49</v>
      </c>
      <c r="C1077" s="52" t="s">
        <v>50</v>
      </c>
      <c r="D1077" s="5" t="s">
        <v>2852</v>
      </c>
      <c r="E1077" s="7" t="s">
        <v>5419</v>
      </c>
      <c r="F1077" s="5" t="s">
        <v>5189</v>
      </c>
      <c r="G1077" s="5" t="s">
        <v>5379</v>
      </c>
      <c r="H1077" s="5">
        <v>2008.0</v>
      </c>
      <c r="I1077" s="5">
        <v>0.0</v>
      </c>
      <c r="J1077" s="5">
        <v>0.0</v>
      </c>
      <c r="K1077" s="5">
        <v>1.0</v>
      </c>
      <c r="L1077" s="54"/>
      <c r="M1077" s="5" t="s">
        <v>5420</v>
      </c>
      <c r="N1077" s="53" t="s">
        <v>4648</v>
      </c>
      <c r="O1077">
        <v>36.721261</v>
      </c>
      <c r="P1077">
        <v>-4.421266</v>
      </c>
      <c r="Q1077" s="5" t="s">
        <v>823</v>
      </c>
      <c r="R1077" s="10">
        <f t="shared" si="10"/>
        <v>17</v>
      </c>
      <c r="S1077" s="5" t="s">
        <v>5421</v>
      </c>
      <c r="T1077" s="6" t="s">
        <v>72</v>
      </c>
      <c r="U1077" s="5" t="s">
        <v>5422</v>
      </c>
      <c r="V1077" s="5"/>
    </row>
    <row r="1078" ht="12.75" customHeight="1">
      <c r="A1078" s="5">
        <v>34453.0</v>
      </c>
      <c r="B1078" s="5" t="s">
        <v>41</v>
      </c>
      <c r="C1078" s="5" t="s">
        <v>42</v>
      </c>
      <c r="D1078" s="5" t="s">
        <v>2614</v>
      </c>
      <c r="E1078" s="7" t="s">
        <v>5423</v>
      </c>
      <c r="F1078" s="5" t="s">
        <v>5189</v>
      </c>
      <c r="G1078" s="5" t="s">
        <v>5379</v>
      </c>
      <c r="H1078" s="5">
        <v>2008.0</v>
      </c>
      <c r="I1078" s="5">
        <v>0.0</v>
      </c>
      <c r="J1078" s="5">
        <v>0.0</v>
      </c>
      <c r="K1078" s="5">
        <v>1.0</v>
      </c>
      <c r="L1078" s="54"/>
      <c r="M1078" s="5" t="s">
        <v>5424</v>
      </c>
      <c r="N1078" s="53" t="s">
        <v>2888</v>
      </c>
      <c r="O1078">
        <v>24.088938</v>
      </c>
      <c r="P1078">
        <v>32.899829</v>
      </c>
      <c r="Q1078" s="5" t="s">
        <v>329</v>
      </c>
      <c r="R1078" s="10">
        <f t="shared" si="10"/>
        <v>129</v>
      </c>
      <c r="S1078" s="5" t="s">
        <v>5425</v>
      </c>
      <c r="T1078" s="5"/>
      <c r="U1078" s="5" t="s">
        <v>92</v>
      </c>
      <c r="V1078" s="5" t="s">
        <v>5426</v>
      </c>
    </row>
    <row r="1079" ht="12.75" customHeight="1">
      <c r="A1079" s="5">
        <v>34454.0</v>
      </c>
      <c r="B1079" s="5" t="s">
        <v>491</v>
      </c>
      <c r="C1079" s="52" t="s">
        <v>50</v>
      </c>
      <c r="D1079" s="5" t="s">
        <v>2852</v>
      </c>
      <c r="E1079" s="7" t="s">
        <v>5423</v>
      </c>
      <c r="F1079" s="5" t="s">
        <v>5189</v>
      </c>
      <c r="G1079" s="5" t="s">
        <v>5379</v>
      </c>
      <c r="H1079" s="5">
        <v>2008.0</v>
      </c>
      <c r="I1079" s="5">
        <v>0.0</v>
      </c>
      <c r="J1079" s="5">
        <v>0.0</v>
      </c>
      <c r="K1079" s="5">
        <v>1.0</v>
      </c>
      <c r="L1079" s="54"/>
      <c r="M1079" s="5" t="s">
        <v>5427</v>
      </c>
      <c r="N1079" s="53" t="s">
        <v>3314</v>
      </c>
      <c r="O1079">
        <v>37.599994</v>
      </c>
      <c r="P1079">
        <v>14.015356</v>
      </c>
      <c r="Q1079" s="5" t="s">
        <v>949</v>
      </c>
      <c r="R1079" s="10">
        <f t="shared" si="10"/>
        <v>363</v>
      </c>
      <c r="S1079" s="5" t="s">
        <v>5428</v>
      </c>
      <c r="T1079" s="6" t="s">
        <v>2130</v>
      </c>
      <c r="U1079" s="5" t="s">
        <v>5429</v>
      </c>
      <c r="V1079" s="5" t="s">
        <v>5430</v>
      </c>
    </row>
    <row r="1080" ht="12.75" customHeight="1">
      <c r="A1080" s="5">
        <v>34455.0</v>
      </c>
      <c r="B1080" s="5" t="s">
        <v>491</v>
      </c>
      <c r="C1080" s="52" t="s">
        <v>50</v>
      </c>
      <c r="D1080" s="5" t="s">
        <v>2852</v>
      </c>
      <c r="E1080" s="7" t="s">
        <v>5431</v>
      </c>
      <c r="F1080" s="5" t="s">
        <v>5189</v>
      </c>
      <c r="G1080" s="5" t="s">
        <v>5379</v>
      </c>
      <c r="H1080" s="5">
        <v>2008.0</v>
      </c>
      <c r="I1080" s="5">
        <v>0.0</v>
      </c>
      <c r="J1080" s="5">
        <v>0.0</v>
      </c>
      <c r="K1080" s="5">
        <v>1.0</v>
      </c>
      <c r="L1080" s="54"/>
      <c r="M1080" s="5" t="s">
        <v>5432</v>
      </c>
      <c r="N1080" s="53" t="s">
        <v>3314</v>
      </c>
      <c r="O1080">
        <v>37.599994</v>
      </c>
      <c r="P1080">
        <v>14.015356</v>
      </c>
      <c r="Q1080" s="5" t="s">
        <v>949</v>
      </c>
      <c r="R1080" s="10">
        <f t="shared" si="10"/>
        <v>363</v>
      </c>
      <c r="S1080" s="5" t="s">
        <v>5433</v>
      </c>
      <c r="T1080" s="6" t="s">
        <v>2130</v>
      </c>
      <c r="U1080" s="5" t="s">
        <v>5434</v>
      </c>
      <c r="V1080" s="5" t="s">
        <v>5430</v>
      </c>
    </row>
    <row r="1081" ht="12.75" customHeight="1">
      <c r="A1081" s="5">
        <v>34456.0</v>
      </c>
      <c r="B1081" s="5" t="s">
        <v>68</v>
      </c>
      <c r="C1081" s="5" t="s">
        <v>69</v>
      </c>
      <c r="D1081" s="5" t="s">
        <v>2852</v>
      </c>
      <c r="E1081" s="7" t="s">
        <v>5435</v>
      </c>
      <c r="F1081" s="5" t="s">
        <v>5189</v>
      </c>
      <c r="G1081" s="5" t="s">
        <v>5379</v>
      </c>
      <c r="H1081" s="5">
        <v>2008.0</v>
      </c>
      <c r="I1081" s="5">
        <v>0.0</v>
      </c>
      <c r="J1081" s="5">
        <v>0.0</v>
      </c>
      <c r="K1081" s="5">
        <v>1.0</v>
      </c>
      <c r="L1081" s="54"/>
      <c r="M1081" s="5" t="s">
        <v>5436</v>
      </c>
      <c r="N1081" s="53" t="s">
        <v>2938</v>
      </c>
      <c r="O1081">
        <v>35.937496</v>
      </c>
      <c r="P1081">
        <v>14.375416</v>
      </c>
      <c r="Q1081" s="5" t="s">
        <v>740</v>
      </c>
      <c r="R1081" s="10">
        <f t="shared" si="10"/>
        <v>655</v>
      </c>
      <c r="S1081" s="5" t="s">
        <v>5437</v>
      </c>
      <c r="T1081" s="6" t="s">
        <v>2130</v>
      </c>
      <c r="U1081" s="5" t="s">
        <v>5438</v>
      </c>
      <c r="V1081" s="5" t="s">
        <v>5439</v>
      </c>
    </row>
    <row r="1082" ht="12.75" customHeight="1">
      <c r="A1082" s="5">
        <v>34457.0</v>
      </c>
      <c r="B1082" s="5" t="s">
        <v>2902</v>
      </c>
      <c r="C1082" s="5" t="s">
        <v>211</v>
      </c>
      <c r="D1082" s="5" t="s">
        <v>2852</v>
      </c>
      <c r="E1082" s="7" t="s">
        <v>5440</v>
      </c>
      <c r="F1082" s="5" t="s">
        <v>5189</v>
      </c>
      <c r="G1082" s="5" t="s">
        <v>5379</v>
      </c>
      <c r="H1082" s="5">
        <v>2008.0</v>
      </c>
      <c r="I1082" s="5">
        <v>0.0</v>
      </c>
      <c r="J1082" s="5">
        <v>0.0</v>
      </c>
      <c r="K1082" s="5">
        <v>1.0</v>
      </c>
      <c r="L1082" s="54"/>
      <c r="M1082" s="5" t="s">
        <v>5441</v>
      </c>
      <c r="N1082" s="53" t="s">
        <v>4572</v>
      </c>
      <c r="O1082">
        <v>49.45203</v>
      </c>
      <c r="P1082">
        <v>11.07675</v>
      </c>
      <c r="Q1082" s="5" t="s">
        <v>1465</v>
      </c>
      <c r="R1082" s="10">
        <f t="shared" si="10"/>
        <v>2</v>
      </c>
      <c r="S1082" s="5" t="s">
        <v>5442</v>
      </c>
      <c r="T1082" s="5"/>
      <c r="U1082" s="5" t="s">
        <v>4578</v>
      </c>
      <c r="V1082" s="5"/>
    </row>
    <row r="1083" ht="12.75" customHeight="1">
      <c r="A1083" s="5">
        <v>34458.0</v>
      </c>
      <c r="B1083" s="5" t="s">
        <v>68</v>
      </c>
      <c r="C1083" s="5" t="s">
        <v>69</v>
      </c>
      <c r="D1083" s="5" t="s">
        <v>2614</v>
      </c>
      <c r="E1083" s="7" t="s">
        <v>5443</v>
      </c>
      <c r="F1083" s="5" t="s">
        <v>5189</v>
      </c>
      <c r="G1083" s="5" t="s">
        <v>5379</v>
      </c>
      <c r="H1083" s="5">
        <v>2008.0</v>
      </c>
      <c r="I1083" s="5">
        <v>0.0</v>
      </c>
      <c r="J1083" s="5">
        <v>0.0</v>
      </c>
      <c r="K1083" s="5">
        <v>2.0</v>
      </c>
      <c r="L1083" s="54"/>
      <c r="M1083" s="5" t="s">
        <v>5444</v>
      </c>
      <c r="N1083" s="53" t="s">
        <v>5282</v>
      </c>
      <c r="O1083">
        <v>30.597246</v>
      </c>
      <c r="P1083">
        <v>30.987632</v>
      </c>
      <c r="Q1083" s="5" t="s">
        <v>418</v>
      </c>
      <c r="R1083" s="10">
        <f t="shared" si="10"/>
        <v>101</v>
      </c>
      <c r="S1083" s="5" t="s">
        <v>5445</v>
      </c>
      <c r="T1083" s="5"/>
      <c r="U1083" s="5" t="s">
        <v>5284</v>
      </c>
      <c r="V1083" s="5" t="s">
        <v>5225</v>
      </c>
    </row>
    <row r="1084" ht="12.75" customHeight="1">
      <c r="A1084" s="5">
        <v>34459.0</v>
      </c>
      <c r="B1084" s="5" t="s">
        <v>49</v>
      </c>
      <c r="C1084" s="52" t="s">
        <v>50</v>
      </c>
      <c r="D1084" s="5" t="s">
        <v>2852</v>
      </c>
      <c r="E1084" s="7" t="s">
        <v>5443</v>
      </c>
      <c r="F1084" s="5" t="s">
        <v>5189</v>
      </c>
      <c r="G1084" s="5" t="s">
        <v>5379</v>
      </c>
      <c r="H1084" s="5">
        <v>2008.0</v>
      </c>
      <c r="I1084" s="5">
        <v>0.0</v>
      </c>
      <c r="J1084" s="5">
        <v>0.0</v>
      </c>
      <c r="K1084" s="5">
        <v>28.0</v>
      </c>
      <c r="L1084" s="54"/>
      <c r="M1084" s="5" t="s">
        <v>5446</v>
      </c>
      <c r="N1084" s="53" t="s">
        <v>2700</v>
      </c>
      <c r="O1084">
        <v>35.508622</v>
      </c>
      <c r="P1084">
        <v>12.59292</v>
      </c>
      <c r="Q1084" s="5" t="s">
        <v>669</v>
      </c>
      <c r="R1084" s="10">
        <f t="shared" si="10"/>
        <v>3843</v>
      </c>
      <c r="S1084" s="5" t="s">
        <v>5447</v>
      </c>
      <c r="T1084" s="6" t="s">
        <v>2130</v>
      </c>
      <c r="U1084" s="5" t="s">
        <v>5448</v>
      </c>
      <c r="V1084" s="5" t="s">
        <v>5449</v>
      </c>
    </row>
    <row r="1085" ht="12.75" customHeight="1">
      <c r="A1085" s="5">
        <v>34460.0</v>
      </c>
      <c r="B1085" s="5" t="s">
        <v>763</v>
      </c>
      <c r="C1085" s="5" t="s">
        <v>124</v>
      </c>
      <c r="D1085" s="5" t="s">
        <v>2852</v>
      </c>
      <c r="E1085" s="7" t="s">
        <v>5443</v>
      </c>
      <c r="F1085" s="5" t="s">
        <v>5189</v>
      </c>
      <c r="G1085" s="5" t="s">
        <v>5379</v>
      </c>
      <c r="H1085" s="5">
        <v>2008.0</v>
      </c>
      <c r="I1085" s="5">
        <v>0.0</v>
      </c>
      <c r="J1085" s="5">
        <v>0.0</v>
      </c>
      <c r="K1085" s="5">
        <v>1.0</v>
      </c>
      <c r="L1085" s="54"/>
      <c r="M1085" s="5" t="s">
        <v>5450</v>
      </c>
      <c r="N1085" s="53" t="s">
        <v>3909</v>
      </c>
      <c r="O1085">
        <v>50.95129</v>
      </c>
      <c r="P1085">
        <v>1.858686</v>
      </c>
      <c r="Q1085" s="5" t="s">
        <v>1551</v>
      </c>
      <c r="R1085" s="10">
        <f t="shared" si="10"/>
        <v>30</v>
      </c>
      <c r="S1085" s="5" t="s">
        <v>5451</v>
      </c>
      <c r="T1085" s="5"/>
      <c r="U1085" s="5" t="s">
        <v>5452</v>
      </c>
      <c r="V1085" s="5" t="s">
        <v>5453</v>
      </c>
    </row>
    <row r="1086" ht="12.75" customHeight="1">
      <c r="A1086" s="5">
        <v>34461.0</v>
      </c>
      <c r="B1086" s="5" t="s">
        <v>5454</v>
      </c>
      <c r="C1086" s="52" t="s">
        <v>50</v>
      </c>
      <c r="D1086" s="5" t="s">
        <v>2614</v>
      </c>
      <c r="E1086" s="7" t="s">
        <v>5455</v>
      </c>
      <c r="F1086" s="5" t="s">
        <v>5189</v>
      </c>
      <c r="G1086" s="5" t="s">
        <v>5379</v>
      </c>
      <c r="H1086" s="5">
        <v>2008.0</v>
      </c>
      <c r="I1086" s="5">
        <v>0.0</v>
      </c>
      <c r="J1086" s="5">
        <v>0.0</v>
      </c>
      <c r="K1086" s="5">
        <v>11.0</v>
      </c>
      <c r="L1086" s="54"/>
      <c r="M1086" s="5" t="s">
        <v>5456</v>
      </c>
      <c r="N1086" s="53" t="s">
        <v>4941</v>
      </c>
      <c r="O1086">
        <v>28.291564</v>
      </c>
      <c r="P1086">
        <v>-16.62913</v>
      </c>
      <c r="Q1086" s="5" t="s">
        <v>382</v>
      </c>
      <c r="R1086" s="10">
        <f t="shared" si="10"/>
        <v>1120</v>
      </c>
      <c r="S1086" s="5" t="s">
        <v>5457</v>
      </c>
      <c r="T1086" s="5" t="s">
        <v>1040</v>
      </c>
      <c r="U1086" s="5" t="s">
        <v>5458</v>
      </c>
      <c r="V1086" s="5" t="s">
        <v>5459</v>
      </c>
    </row>
    <row r="1087" ht="12.75" customHeight="1">
      <c r="A1087" s="5">
        <v>34462.0</v>
      </c>
      <c r="B1087" s="5" t="s">
        <v>41</v>
      </c>
      <c r="C1087" s="5" t="s">
        <v>42</v>
      </c>
      <c r="D1087" s="5" t="s">
        <v>2614</v>
      </c>
      <c r="E1087" s="7" t="s">
        <v>5460</v>
      </c>
      <c r="F1087" s="5" t="s">
        <v>5189</v>
      </c>
      <c r="G1087" s="5" t="s">
        <v>5379</v>
      </c>
      <c r="H1087" s="5">
        <v>2008.0</v>
      </c>
      <c r="I1087" s="5">
        <v>0.0</v>
      </c>
      <c r="J1087" s="5">
        <v>0.0</v>
      </c>
      <c r="K1087" s="5">
        <v>1.0</v>
      </c>
      <c r="L1087" s="54"/>
      <c r="M1087" s="5" t="s">
        <v>5461</v>
      </c>
      <c r="N1087" s="53" t="s">
        <v>2888</v>
      </c>
      <c r="O1087">
        <v>24.088938</v>
      </c>
      <c r="P1087">
        <v>32.899829</v>
      </c>
      <c r="Q1087" s="5" t="s">
        <v>329</v>
      </c>
      <c r="R1087" s="10">
        <f t="shared" si="10"/>
        <v>129</v>
      </c>
      <c r="S1087" s="5" t="s">
        <v>5462</v>
      </c>
      <c r="T1087" s="5"/>
      <c r="U1087" s="5" t="s">
        <v>92</v>
      </c>
      <c r="V1087" s="5" t="s">
        <v>5463</v>
      </c>
    </row>
    <row r="1088" ht="12.75" customHeight="1">
      <c r="A1088" s="5">
        <v>34463.0</v>
      </c>
      <c r="B1088" s="5" t="s">
        <v>68</v>
      </c>
      <c r="C1088" s="5" t="s">
        <v>69</v>
      </c>
      <c r="D1088" s="5" t="s">
        <v>2852</v>
      </c>
      <c r="E1088" s="7" t="s">
        <v>5460</v>
      </c>
      <c r="F1088" s="5" t="s">
        <v>5189</v>
      </c>
      <c r="G1088" s="5" t="s">
        <v>5379</v>
      </c>
      <c r="H1088" s="5">
        <v>2008.0</v>
      </c>
      <c r="I1088" s="5">
        <v>0.0</v>
      </c>
      <c r="J1088" s="5">
        <v>0.0</v>
      </c>
      <c r="K1088" s="5">
        <v>1.0</v>
      </c>
      <c r="L1088" s="54"/>
      <c r="M1088" s="5" t="s">
        <v>5464</v>
      </c>
      <c r="N1088" s="53" t="s">
        <v>5273</v>
      </c>
      <c r="O1088">
        <v>27.793611</v>
      </c>
      <c r="P1088">
        <v>-15.658889</v>
      </c>
      <c r="Q1088" s="5" t="s">
        <v>357</v>
      </c>
      <c r="R1088" s="10">
        <f t="shared" si="10"/>
        <v>30</v>
      </c>
      <c r="S1088" s="5" t="s">
        <v>5465</v>
      </c>
      <c r="T1088" s="5" t="s">
        <v>1040</v>
      </c>
      <c r="U1088" s="5" t="s">
        <v>5466</v>
      </c>
      <c r="V1088" s="5"/>
    </row>
    <row r="1089" ht="12.75" customHeight="1">
      <c r="A1089" s="5">
        <v>34464.0</v>
      </c>
      <c r="B1089" s="5" t="s">
        <v>68</v>
      </c>
      <c r="C1089" s="5" t="s">
        <v>69</v>
      </c>
      <c r="D1089" s="5" t="s">
        <v>2614</v>
      </c>
      <c r="E1089" s="7" t="s">
        <v>5467</v>
      </c>
      <c r="F1089" s="5" t="s">
        <v>5189</v>
      </c>
      <c r="G1089" s="5" t="s">
        <v>5379</v>
      </c>
      <c r="H1089" s="5">
        <v>2008.0</v>
      </c>
      <c r="I1089" s="5">
        <v>0.0</v>
      </c>
      <c r="J1089" s="5">
        <v>0.0</v>
      </c>
      <c r="K1089" s="5">
        <v>4.0</v>
      </c>
      <c r="L1089" s="54"/>
      <c r="M1089" s="5" t="s">
        <v>5468</v>
      </c>
      <c r="N1089" s="53" t="s">
        <v>5255</v>
      </c>
      <c r="O1089">
        <v>28.103304</v>
      </c>
      <c r="P1089">
        <v>-17.219358</v>
      </c>
      <c r="Q1089" s="5" t="s">
        <v>376</v>
      </c>
      <c r="R1089" s="10">
        <f t="shared" si="10"/>
        <v>29</v>
      </c>
      <c r="S1089" s="5" t="s">
        <v>5469</v>
      </c>
      <c r="T1089" s="5" t="s">
        <v>1040</v>
      </c>
      <c r="U1089" s="5" t="s">
        <v>2785</v>
      </c>
      <c r="V1089" s="5" t="s">
        <v>5470</v>
      </c>
    </row>
    <row r="1090" ht="12.75" customHeight="1">
      <c r="A1090" s="5">
        <v>34466.0</v>
      </c>
      <c r="B1090" s="5" t="s">
        <v>49</v>
      </c>
      <c r="C1090" s="52" t="s">
        <v>50</v>
      </c>
      <c r="D1090" s="5" t="s">
        <v>2852</v>
      </c>
      <c r="E1090" s="7" t="s">
        <v>5471</v>
      </c>
      <c r="F1090" s="5" t="s">
        <v>5189</v>
      </c>
      <c r="G1090" s="5" t="s">
        <v>5379</v>
      </c>
      <c r="H1090" s="5">
        <v>2008.0</v>
      </c>
      <c r="I1090" s="5">
        <v>0.0</v>
      </c>
      <c r="J1090" s="5">
        <v>0.0</v>
      </c>
      <c r="K1090" s="5">
        <v>50.0</v>
      </c>
      <c r="L1090" s="54"/>
      <c r="M1090" s="5" t="s">
        <v>5472</v>
      </c>
      <c r="N1090" s="53" t="s">
        <v>5473</v>
      </c>
      <c r="O1090">
        <v>34.264061</v>
      </c>
      <c r="P1090">
        <v>-6.578296</v>
      </c>
      <c r="Q1090" s="5" t="s">
        <v>578</v>
      </c>
      <c r="R1090" s="10">
        <f t="shared" si="10"/>
        <v>203</v>
      </c>
      <c r="S1090" s="5" t="s">
        <v>5474</v>
      </c>
      <c r="T1090" s="6" t="s">
        <v>72</v>
      </c>
      <c r="U1090" s="5" t="s">
        <v>5475</v>
      </c>
      <c r="V1090" s="5"/>
    </row>
    <row r="1091" ht="12.75" customHeight="1">
      <c r="A1091" s="5">
        <v>34465.0</v>
      </c>
      <c r="B1091" s="5" t="s">
        <v>68</v>
      </c>
      <c r="C1091" s="5" t="s">
        <v>69</v>
      </c>
      <c r="D1091" s="5" t="s">
        <v>2614</v>
      </c>
      <c r="E1091" s="7" t="s">
        <v>5471</v>
      </c>
      <c r="F1091" s="5" t="s">
        <v>5189</v>
      </c>
      <c r="G1091" s="5" t="s">
        <v>5379</v>
      </c>
      <c r="H1091" s="5">
        <v>2008.0</v>
      </c>
      <c r="I1091" s="5">
        <v>0.0</v>
      </c>
      <c r="J1091" s="5">
        <v>0.0</v>
      </c>
      <c r="K1091" s="5">
        <v>3.0</v>
      </c>
      <c r="L1091" s="54"/>
      <c r="M1091" s="5" t="s">
        <v>5476</v>
      </c>
      <c r="N1091" s="53" t="s">
        <v>2938</v>
      </c>
      <c r="O1091">
        <v>35.937496</v>
      </c>
      <c r="P1091">
        <v>14.375416</v>
      </c>
      <c r="Q1091" s="5" t="s">
        <v>740</v>
      </c>
      <c r="R1091" s="10">
        <f t="shared" si="10"/>
        <v>655</v>
      </c>
      <c r="S1091" s="5" t="s">
        <v>5477</v>
      </c>
      <c r="T1091" s="6" t="s">
        <v>2130</v>
      </c>
      <c r="U1091" s="5" t="s">
        <v>2143</v>
      </c>
      <c r="V1091" s="5" t="s">
        <v>5478</v>
      </c>
    </row>
    <row r="1092" ht="12.75" customHeight="1">
      <c r="A1092" s="5">
        <v>34468.0</v>
      </c>
      <c r="B1092" s="5" t="s">
        <v>1857</v>
      </c>
      <c r="C1092" s="52" t="s">
        <v>50</v>
      </c>
      <c r="D1092" s="5" t="s">
        <v>2852</v>
      </c>
      <c r="E1092" s="7" t="s">
        <v>5479</v>
      </c>
      <c r="F1092" s="5" t="s">
        <v>5189</v>
      </c>
      <c r="G1092" s="5" t="s">
        <v>5379</v>
      </c>
      <c r="H1092" s="5">
        <v>2008.0</v>
      </c>
      <c r="I1092" s="5">
        <v>0.0</v>
      </c>
      <c r="J1092" s="5">
        <v>0.0</v>
      </c>
      <c r="K1092" s="5">
        <v>1.0</v>
      </c>
      <c r="L1092" s="54"/>
      <c r="M1092" s="5" t="s">
        <v>5480</v>
      </c>
      <c r="N1092" s="53" t="s">
        <v>5255</v>
      </c>
      <c r="O1092">
        <v>28.103304</v>
      </c>
      <c r="P1092">
        <v>-17.219358</v>
      </c>
      <c r="Q1092" s="5" t="s">
        <v>376</v>
      </c>
      <c r="R1092" s="10">
        <f t="shared" si="10"/>
        <v>29</v>
      </c>
      <c r="S1092" s="5" t="s">
        <v>5481</v>
      </c>
      <c r="T1092" s="5" t="s">
        <v>1040</v>
      </c>
      <c r="U1092" s="5" t="s">
        <v>5482</v>
      </c>
      <c r="V1092" s="5"/>
    </row>
    <row r="1093" ht="12.75" customHeight="1">
      <c r="A1093" s="5">
        <v>34467.0</v>
      </c>
      <c r="B1093" s="5" t="s">
        <v>68</v>
      </c>
      <c r="C1093" s="5" t="s">
        <v>69</v>
      </c>
      <c r="D1093" s="5" t="s">
        <v>2614</v>
      </c>
      <c r="E1093" s="7" t="s">
        <v>5479</v>
      </c>
      <c r="F1093" s="5" t="s">
        <v>5189</v>
      </c>
      <c r="G1093" s="5" t="s">
        <v>5379</v>
      </c>
      <c r="H1093" s="5">
        <v>2008.0</v>
      </c>
      <c r="I1093" s="5">
        <v>0.0</v>
      </c>
      <c r="J1093" s="5">
        <v>0.0</v>
      </c>
      <c r="K1093" s="5">
        <v>23.0</v>
      </c>
      <c r="L1093" s="54"/>
      <c r="M1093" s="5" t="s">
        <v>5483</v>
      </c>
      <c r="N1093" s="53" t="s">
        <v>2633</v>
      </c>
      <c r="O1093">
        <v>28.569022</v>
      </c>
      <c r="P1093">
        <v>-16.324539</v>
      </c>
      <c r="Q1093" s="5" t="s">
        <v>396</v>
      </c>
      <c r="R1093" s="10">
        <f t="shared" si="10"/>
        <v>53</v>
      </c>
      <c r="S1093" s="5" t="s">
        <v>5484</v>
      </c>
      <c r="T1093" s="5" t="s">
        <v>1040</v>
      </c>
      <c r="U1093" s="5" t="s">
        <v>2785</v>
      </c>
      <c r="V1093" s="5" t="s">
        <v>5485</v>
      </c>
    </row>
    <row r="1094" ht="12.75" customHeight="1">
      <c r="A1094" s="5">
        <v>34469.0</v>
      </c>
      <c r="B1094" s="5" t="s">
        <v>49</v>
      </c>
      <c r="C1094" s="52" t="s">
        <v>50</v>
      </c>
      <c r="D1094" s="5" t="s">
        <v>2852</v>
      </c>
      <c r="E1094" s="7" t="s">
        <v>5486</v>
      </c>
      <c r="F1094" s="5" t="s">
        <v>5189</v>
      </c>
      <c r="G1094" s="5" t="s">
        <v>5379</v>
      </c>
      <c r="H1094" s="5">
        <v>2008.0</v>
      </c>
      <c r="I1094" s="5">
        <v>0.0</v>
      </c>
      <c r="J1094" s="5">
        <v>0.0</v>
      </c>
      <c r="K1094" s="5">
        <v>14.0</v>
      </c>
      <c r="L1094" s="54"/>
      <c r="M1094" s="5" t="s">
        <v>5487</v>
      </c>
      <c r="N1094" s="53" t="s">
        <v>3469</v>
      </c>
      <c r="O1094">
        <v>37.177336</v>
      </c>
      <c r="P1094">
        <v>-3.598557</v>
      </c>
      <c r="Q1094" s="5" t="s">
        <v>909</v>
      </c>
      <c r="R1094" s="10">
        <f t="shared" si="10"/>
        <v>38</v>
      </c>
      <c r="S1094" s="5" t="s">
        <v>5488</v>
      </c>
      <c r="T1094" s="6" t="s">
        <v>72</v>
      </c>
      <c r="U1094" s="5" t="s">
        <v>5489</v>
      </c>
      <c r="V1094" s="5" t="s">
        <v>5485</v>
      </c>
    </row>
    <row r="1095" ht="12.75" customHeight="1">
      <c r="A1095" s="5">
        <v>34470.0</v>
      </c>
      <c r="B1095" s="5" t="s">
        <v>2040</v>
      </c>
      <c r="C1095" s="52" t="s">
        <v>50</v>
      </c>
      <c r="D1095" s="5" t="s">
        <v>2614</v>
      </c>
      <c r="E1095" s="7" t="s">
        <v>5490</v>
      </c>
      <c r="F1095" s="5" t="s">
        <v>5189</v>
      </c>
      <c r="G1095" s="5" t="s">
        <v>5379</v>
      </c>
      <c r="H1095" s="5">
        <v>2008.0</v>
      </c>
      <c r="I1095" s="5">
        <v>0.0</v>
      </c>
      <c r="J1095" s="5">
        <v>0.0</v>
      </c>
      <c r="K1095" s="5">
        <v>15.0</v>
      </c>
      <c r="L1095" s="54"/>
      <c r="M1095" s="5" t="s">
        <v>5491</v>
      </c>
      <c r="N1095" s="53" t="s">
        <v>3295</v>
      </c>
      <c r="O1095">
        <v>26.3351</v>
      </c>
      <c r="P1095">
        <v>17.228331</v>
      </c>
      <c r="Q1095" s="5" t="s">
        <v>337</v>
      </c>
      <c r="R1095" s="10">
        <f t="shared" si="10"/>
        <v>1371</v>
      </c>
      <c r="S1095" s="5" t="s">
        <v>5492</v>
      </c>
      <c r="T1095" s="5"/>
      <c r="U1095" s="5" t="s">
        <v>5493</v>
      </c>
      <c r="V1095" s="5" t="s">
        <v>5494</v>
      </c>
    </row>
    <row r="1096" ht="12.75" customHeight="1">
      <c r="A1096" s="5">
        <v>34471.0</v>
      </c>
      <c r="B1096" s="5" t="s">
        <v>49</v>
      </c>
      <c r="C1096" s="52" t="s">
        <v>50</v>
      </c>
      <c r="D1096" s="5" t="s">
        <v>2852</v>
      </c>
      <c r="E1096" s="7" t="s">
        <v>5490</v>
      </c>
      <c r="F1096" s="5" t="s">
        <v>5189</v>
      </c>
      <c r="G1096" s="5" t="s">
        <v>5379</v>
      </c>
      <c r="H1096" s="5">
        <v>2008.0</v>
      </c>
      <c r="I1096" s="5">
        <v>0.0</v>
      </c>
      <c r="J1096" s="5">
        <v>0.0</v>
      </c>
      <c r="K1096" s="5">
        <v>149.0</v>
      </c>
      <c r="L1096" s="54"/>
      <c r="M1096" s="5" t="s">
        <v>5495</v>
      </c>
      <c r="N1096" s="53" t="s">
        <v>3524</v>
      </c>
      <c r="O1096">
        <v>36.81881</v>
      </c>
      <c r="P1096">
        <v>10.16596</v>
      </c>
      <c r="Q1096" s="5" t="s">
        <v>854</v>
      </c>
      <c r="R1096" s="10">
        <f t="shared" si="10"/>
        <v>540</v>
      </c>
      <c r="S1096" s="5" t="s">
        <v>5496</v>
      </c>
      <c r="T1096" s="6" t="s">
        <v>2130</v>
      </c>
      <c r="U1096" s="5" t="s">
        <v>5497</v>
      </c>
      <c r="V1096" s="5"/>
    </row>
    <row r="1097" ht="12.75" customHeight="1">
      <c r="A1097" s="5">
        <v>34473.0</v>
      </c>
      <c r="B1097" s="5" t="s">
        <v>49</v>
      </c>
      <c r="C1097" s="52" t="s">
        <v>50</v>
      </c>
      <c r="D1097" s="5" t="s">
        <v>2852</v>
      </c>
      <c r="E1097" s="7" t="s">
        <v>5498</v>
      </c>
      <c r="F1097" s="5" t="s">
        <v>5189</v>
      </c>
      <c r="G1097" s="5" t="s">
        <v>5379</v>
      </c>
      <c r="H1097" s="5">
        <v>2008.0</v>
      </c>
      <c r="I1097" s="5">
        <v>0.0</v>
      </c>
      <c r="J1097" s="5">
        <v>0.0</v>
      </c>
      <c r="K1097" s="5">
        <v>16.0</v>
      </c>
      <c r="L1097" s="54"/>
      <c r="M1097" s="5" t="s">
        <v>5499</v>
      </c>
      <c r="N1097" s="53" t="s">
        <v>3733</v>
      </c>
      <c r="O1097">
        <v>35.85</v>
      </c>
      <c r="P1097">
        <v>-0.316667</v>
      </c>
      <c r="Q1097" s="5" t="s">
        <v>708</v>
      </c>
      <c r="R1097" s="10">
        <f t="shared" si="10"/>
        <v>81</v>
      </c>
      <c r="S1097" s="5" t="s">
        <v>5500</v>
      </c>
      <c r="T1097" s="6" t="s">
        <v>72</v>
      </c>
      <c r="U1097" s="5" t="s">
        <v>5501</v>
      </c>
      <c r="V1097" s="5"/>
    </row>
    <row r="1098" ht="12.75" customHeight="1">
      <c r="A1098" s="5">
        <v>34472.0</v>
      </c>
      <c r="B1098" s="5" t="s">
        <v>68</v>
      </c>
      <c r="C1098" s="5" t="s">
        <v>69</v>
      </c>
      <c r="D1098" s="5" t="s">
        <v>2614</v>
      </c>
      <c r="E1098" s="7" t="s">
        <v>5498</v>
      </c>
      <c r="F1098" s="5" t="s">
        <v>5189</v>
      </c>
      <c r="G1098" s="5" t="s">
        <v>5379</v>
      </c>
      <c r="H1098" s="5">
        <v>2008.0</v>
      </c>
      <c r="I1098" s="5">
        <v>0.0</v>
      </c>
      <c r="J1098" s="5">
        <v>0.0</v>
      </c>
      <c r="K1098" s="5">
        <v>1.0</v>
      </c>
      <c r="L1098" s="54"/>
      <c r="M1098" s="5" t="s">
        <v>5502</v>
      </c>
      <c r="N1098" s="53" t="s">
        <v>3131</v>
      </c>
      <c r="O1098">
        <v>45.440847</v>
      </c>
      <c r="P1098">
        <v>12.315515</v>
      </c>
      <c r="Q1098" s="5" t="s">
        <v>1317</v>
      </c>
      <c r="R1098" s="10">
        <f t="shared" si="10"/>
        <v>13</v>
      </c>
      <c r="S1098" s="5" t="s">
        <v>5503</v>
      </c>
      <c r="T1098" s="5"/>
      <c r="U1098" s="5" t="s">
        <v>92</v>
      </c>
      <c r="V1098" s="5" t="s">
        <v>5504</v>
      </c>
    </row>
    <row r="1099" ht="12.75" customHeight="1">
      <c r="A1099" s="5">
        <v>34474.0</v>
      </c>
      <c r="B1099" s="5" t="s">
        <v>68</v>
      </c>
      <c r="C1099" s="5" t="s">
        <v>69</v>
      </c>
      <c r="D1099" s="5" t="s">
        <v>2614</v>
      </c>
      <c r="E1099" s="7" t="s">
        <v>5505</v>
      </c>
      <c r="F1099" s="5" t="s">
        <v>5506</v>
      </c>
      <c r="G1099" s="5" t="s">
        <v>5507</v>
      </c>
      <c r="H1099" s="5">
        <v>2008.0</v>
      </c>
      <c r="I1099" s="5">
        <v>0.0</v>
      </c>
      <c r="J1099" s="5">
        <v>0.0</v>
      </c>
      <c r="K1099" s="5">
        <v>1.0</v>
      </c>
      <c r="L1099" s="54"/>
      <c r="M1099" s="5" t="s">
        <v>5508</v>
      </c>
      <c r="N1099" s="53" t="s">
        <v>5509</v>
      </c>
      <c r="O1099">
        <v>35.869682</v>
      </c>
      <c r="P1099">
        <v>14.566763</v>
      </c>
      <c r="Q1099" s="5" t="s">
        <v>715</v>
      </c>
      <c r="R1099" s="10">
        <f t="shared" si="10"/>
        <v>1</v>
      </c>
      <c r="S1099" s="5" t="s">
        <v>5510</v>
      </c>
      <c r="T1099" s="6" t="s">
        <v>2130</v>
      </c>
      <c r="U1099" s="5" t="s">
        <v>2326</v>
      </c>
      <c r="V1099" s="5" t="s">
        <v>4777</v>
      </c>
    </row>
    <row r="1100" ht="12.75" customHeight="1">
      <c r="A1100" s="5">
        <v>34475.0</v>
      </c>
      <c r="B1100" s="5" t="s">
        <v>1995</v>
      </c>
      <c r="C1100" s="52" t="s">
        <v>50</v>
      </c>
      <c r="D1100" s="5" t="s">
        <v>2852</v>
      </c>
      <c r="E1100" s="7" t="s">
        <v>5511</v>
      </c>
      <c r="F1100" s="5" t="s">
        <v>5506</v>
      </c>
      <c r="G1100" s="5" t="s">
        <v>5507</v>
      </c>
      <c r="H1100" s="5">
        <v>2008.0</v>
      </c>
      <c r="I1100" s="5">
        <v>0.0</v>
      </c>
      <c r="J1100" s="5">
        <v>0.0</v>
      </c>
      <c r="K1100" s="5">
        <v>2.0</v>
      </c>
      <c r="L1100" s="54"/>
      <c r="M1100" s="5" t="s">
        <v>5512</v>
      </c>
      <c r="N1100" s="53" t="s">
        <v>5513</v>
      </c>
      <c r="O1100">
        <v>37.490112</v>
      </c>
      <c r="P1100">
        <v>14.062893</v>
      </c>
      <c r="Q1100" s="5" t="s">
        <v>940</v>
      </c>
      <c r="R1100" s="10">
        <f t="shared" si="10"/>
        <v>3</v>
      </c>
      <c r="S1100" s="5" t="s">
        <v>5514</v>
      </c>
      <c r="T1100" s="6" t="s">
        <v>2130</v>
      </c>
      <c r="U1100" s="5" t="s">
        <v>5515</v>
      </c>
      <c r="V1100" s="5"/>
    </row>
    <row r="1101" ht="12.75" customHeight="1">
      <c r="A1101" s="5">
        <v>34476.0</v>
      </c>
      <c r="B1101" s="5" t="s">
        <v>41</v>
      </c>
      <c r="C1101" s="5" t="s">
        <v>42</v>
      </c>
      <c r="D1101" s="5" t="s">
        <v>2614</v>
      </c>
      <c r="E1101" s="7" t="s">
        <v>5516</v>
      </c>
      <c r="F1101" s="5" t="s">
        <v>5506</v>
      </c>
      <c r="G1101" s="5" t="s">
        <v>5507</v>
      </c>
      <c r="H1101" s="5">
        <v>2008.0</v>
      </c>
      <c r="I1101" s="5">
        <v>0.0</v>
      </c>
      <c r="J1101" s="5">
        <v>0.0</v>
      </c>
      <c r="K1101" s="5">
        <v>2.0</v>
      </c>
      <c r="L1101" s="54"/>
      <c r="M1101" s="5" t="s">
        <v>5517</v>
      </c>
      <c r="N1101" s="53" t="s">
        <v>5518</v>
      </c>
      <c r="O1101">
        <v>31.280267</v>
      </c>
      <c r="P1101">
        <v>34.240191</v>
      </c>
      <c r="Q1101" s="5" t="s">
        <v>432</v>
      </c>
      <c r="R1101" s="10">
        <f t="shared" si="10"/>
        <v>4</v>
      </c>
      <c r="S1101" s="5" t="s">
        <v>5519</v>
      </c>
      <c r="T1101" s="5"/>
      <c r="U1101" s="5" t="s">
        <v>92</v>
      </c>
      <c r="V1101" s="5" t="s">
        <v>5520</v>
      </c>
    </row>
    <row r="1102" ht="12.75" customHeight="1">
      <c r="A1102" s="5">
        <v>34477.0</v>
      </c>
      <c r="B1102" s="5" t="s">
        <v>1076</v>
      </c>
      <c r="C1102" s="52" t="s">
        <v>50</v>
      </c>
      <c r="D1102" s="5" t="s">
        <v>2852</v>
      </c>
      <c r="E1102" s="7" t="s">
        <v>5521</v>
      </c>
      <c r="F1102" s="5" t="s">
        <v>5506</v>
      </c>
      <c r="G1102" s="5" t="s">
        <v>5507</v>
      </c>
      <c r="H1102" s="5">
        <v>2008.0</v>
      </c>
      <c r="I1102" s="5">
        <v>0.0</v>
      </c>
      <c r="J1102" s="5">
        <v>0.0</v>
      </c>
      <c r="K1102" s="5">
        <v>1.0</v>
      </c>
      <c r="L1102" s="54"/>
      <c r="M1102" s="5" t="s">
        <v>5522</v>
      </c>
      <c r="N1102" s="53" t="s">
        <v>3131</v>
      </c>
      <c r="O1102">
        <v>45.440847</v>
      </c>
      <c r="P1102">
        <v>12.315515</v>
      </c>
      <c r="Q1102" s="5" t="s">
        <v>1317</v>
      </c>
      <c r="R1102" s="10">
        <f t="shared" si="10"/>
        <v>13</v>
      </c>
      <c r="S1102" s="5" t="s">
        <v>5523</v>
      </c>
      <c r="T1102" s="5"/>
      <c r="U1102" s="5" t="s">
        <v>5524</v>
      </c>
      <c r="V1102" s="5" t="s">
        <v>5525</v>
      </c>
    </row>
    <row r="1103" ht="12.75" customHeight="1">
      <c r="A1103" s="5">
        <v>34478.0</v>
      </c>
      <c r="B1103" s="5" t="s">
        <v>49</v>
      </c>
      <c r="C1103" s="52" t="s">
        <v>50</v>
      </c>
      <c r="D1103" s="5" t="s">
        <v>2852</v>
      </c>
      <c r="E1103" s="7" t="s">
        <v>5526</v>
      </c>
      <c r="F1103" s="5" t="s">
        <v>5506</v>
      </c>
      <c r="G1103" s="5" t="s">
        <v>5507</v>
      </c>
      <c r="H1103" s="5">
        <v>2008.0</v>
      </c>
      <c r="I1103" s="5">
        <v>0.0</v>
      </c>
      <c r="J1103" s="5">
        <v>0.0</v>
      </c>
      <c r="K1103" s="5">
        <v>3.0</v>
      </c>
      <c r="L1103" s="54"/>
      <c r="M1103" s="5" t="s">
        <v>5527</v>
      </c>
      <c r="N1103" s="53" t="s">
        <v>2938</v>
      </c>
      <c r="O1103">
        <v>35.937496</v>
      </c>
      <c r="P1103">
        <v>14.375416</v>
      </c>
      <c r="Q1103" s="5" t="s">
        <v>740</v>
      </c>
      <c r="R1103" s="10">
        <f t="shared" si="10"/>
        <v>655</v>
      </c>
      <c r="S1103" s="5" t="s">
        <v>5528</v>
      </c>
      <c r="T1103" s="6" t="s">
        <v>2130</v>
      </c>
      <c r="U1103" s="5" t="s">
        <v>4504</v>
      </c>
      <c r="V1103" s="5" t="s">
        <v>5529</v>
      </c>
    </row>
    <row r="1104" ht="12.75" customHeight="1">
      <c r="A1104" s="5">
        <v>34479.0</v>
      </c>
      <c r="B1104" s="5" t="s">
        <v>49</v>
      </c>
      <c r="C1104" s="52" t="s">
        <v>50</v>
      </c>
      <c r="D1104" s="5" t="s">
        <v>2614</v>
      </c>
      <c r="E1104" s="7" t="s">
        <v>5530</v>
      </c>
      <c r="F1104" s="5" t="s">
        <v>5506</v>
      </c>
      <c r="G1104" s="5" t="s">
        <v>5507</v>
      </c>
      <c r="H1104" s="5">
        <v>2008.0</v>
      </c>
      <c r="I1104" s="5">
        <v>0.0</v>
      </c>
      <c r="J1104" s="5">
        <v>0.0</v>
      </c>
      <c r="K1104" s="5">
        <v>1.0</v>
      </c>
      <c r="L1104" s="54"/>
      <c r="M1104" s="5" t="s">
        <v>5531</v>
      </c>
      <c r="N1104" s="53" t="s">
        <v>4246</v>
      </c>
      <c r="O1104">
        <v>31.558247</v>
      </c>
      <c r="P1104">
        <v>31.085148</v>
      </c>
      <c r="Q1104" s="5" t="s">
        <v>436</v>
      </c>
      <c r="R1104" s="10">
        <f t="shared" si="10"/>
        <v>3</v>
      </c>
      <c r="S1104" s="5" t="s">
        <v>5532</v>
      </c>
      <c r="T1104" s="5"/>
      <c r="U1104" s="5" t="s">
        <v>5533</v>
      </c>
      <c r="V1104" s="5" t="s">
        <v>5225</v>
      </c>
    </row>
    <row r="1105" ht="12.75" customHeight="1">
      <c r="A1105" s="5">
        <v>34480.0</v>
      </c>
      <c r="B1105" s="5" t="s">
        <v>491</v>
      </c>
      <c r="C1105" s="52" t="s">
        <v>50</v>
      </c>
      <c r="D1105" s="5" t="s">
        <v>2852</v>
      </c>
      <c r="E1105" s="7" t="s">
        <v>5530</v>
      </c>
      <c r="F1105" s="5" t="s">
        <v>5506</v>
      </c>
      <c r="G1105" s="5" t="s">
        <v>5507</v>
      </c>
      <c r="H1105" s="5">
        <v>2008.0</v>
      </c>
      <c r="I1105" s="5">
        <v>0.0</v>
      </c>
      <c r="J1105" s="5">
        <v>0.0</v>
      </c>
      <c r="K1105" s="5">
        <v>1.0</v>
      </c>
      <c r="L1105" s="54"/>
      <c r="M1105" s="5" t="s">
        <v>5534</v>
      </c>
      <c r="N1105" s="53" t="s">
        <v>3131</v>
      </c>
      <c r="O1105">
        <v>45.440847</v>
      </c>
      <c r="P1105">
        <v>12.315515</v>
      </c>
      <c r="Q1105" s="5" t="s">
        <v>1317</v>
      </c>
      <c r="R1105" s="10">
        <f t="shared" si="10"/>
        <v>13</v>
      </c>
      <c r="S1105" s="5" t="s">
        <v>5535</v>
      </c>
      <c r="T1105" s="5"/>
      <c r="U1105" s="5" t="s">
        <v>5536</v>
      </c>
      <c r="V1105" s="5" t="s">
        <v>5537</v>
      </c>
    </row>
    <row r="1106" ht="12.75" customHeight="1">
      <c r="A1106" s="5">
        <v>34481.0</v>
      </c>
      <c r="B1106" s="5" t="s">
        <v>49</v>
      </c>
      <c r="C1106" s="52" t="s">
        <v>50</v>
      </c>
      <c r="D1106" s="5" t="s">
        <v>2614</v>
      </c>
      <c r="E1106" s="7" t="s">
        <v>5538</v>
      </c>
      <c r="F1106" s="5" t="s">
        <v>5506</v>
      </c>
      <c r="G1106" s="5" t="s">
        <v>5507</v>
      </c>
      <c r="H1106" s="5">
        <v>2008.0</v>
      </c>
      <c r="I1106" s="5">
        <v>1.0</v>
      </c>
      <c r="J1106" s="5">
        <v>0.0</v>
      </c>
      <c r="K1106" s="5">
        <v>1.0</v>
      </c>
      <c r="L1106" s="54"/>
      <c r="M1106" s="5" t="s">
        <v>5539</v>
      </c>
      <c r="N1106" s="53" t="s">
        <v>3940</v>
      </c>
      <c r="O1106">
        <v>36.902859</v>
      </c>
      <c r="P1106">
        <v>7.755543</v>
      </c>
      <c r="Q1106" s="5" t="s">
        <v>880</v>
      </c>
      <c r="R1106" s="10">
        <f t="shared" si="10"/>
        <v>107</v>
      </c>
      <c r="S1106" s="5" t="s">
        <v>5540</v>
      </c>
      <c r="T1106" s="6" t="s">
        <v>2130</v>
      </c>
      <c r="U1106" s="5" t="s">
        <v>3354</v>
      </c>
      <c r="V1106" s="5" t="s">
        <v>5541</v>
      </c>
    </row>
    <row r="1107" ht="12.75" customHeight="1">
      <c r="A1107" s="5">
        <v>34482.0</v>
      </c>
      <c r="B1107" s="5" t="s">
        <v>1995</v>
      </c>
      <c r="C1107" s="52" t="s">
        <v>50</v>
      </c>
      <c r="D1107" s="5" t="s">
        <v>2852</v>
      </c>
      <c r="E1107" s="7" t="s">
        <v>5538</v>
      </c>
      <c r="F1107" s="5" t="s">
        <v>5506</v>
      </c>
      <c r="G1107" s="5" t="s">
        <v>5507</v>
      </c>
      <c r="H1107" s="5">
        <v>2008.0</v>
      </c>
      <c r="I1107" s="5">
        <v>0.0</v>
      </c>
      <c r="J1107" s="5">
        <v>0.0</v>
      </c>
      <c r="K1107" s="5">
        <v>1.0</v>
      </c>
      <c r="L1107" s="54"/>
      <c r="M1107" s="5" t="s">
        <v>5542</v>
      </c>
      <c r="N1107" s="53" t="s">
        <v>5543</v>
      </c>
      <c r="O1107">
        <v>48.847759</v>
      </c>
      <c r="P1107">
        <v>2.439497</v>
      </c>
      <c r="Q1107" s="5" t="s">
        <v>1433</v>
      </c>
      <c r="R1107" s="10">
        <f t="shared" si="10"/>
        <v>1</v>
      </c>
      <c r="S1107" s="5" t="s">
        <v>5544</v>
      </c>
      <c r="T1107" s="5"/>
      <c r="U1107" s="5" t="s">
        <v>5545</v>
      </c>
      <c r="V1107" s="5"/>
    </row>
    <row r="1108" ht="12.75" customHeight="1">
      <c r="A1108" s="5">
        <v>34484.0</v>
      </c>
      <c r="B1108" s="5" t="s">
        <v>41</v>
      </c>
      <c r="C1108" s="5" t="s">
        <v>42</v>
      </c>
      <c r="D1108" s="5" t="s">
        <v>2614</v>
      </c>
      <c r="E1108" s="7" t="s">
        <v>5546</v>
      </c>
      <c r="F1108" s="5" t="s">
        <v>5506</v>
      </c>
      <c r="G1108" s="5" t="s">
        <v>5507</v>
      </c>
      <c r="H1108" s="5">
        <v>2008.0</v>
      </c>
      <c r="I1108" s="5">
        <v>0.0</v>
      </c>
      <c r="J1108" s="5">
        <v>0.0</v>
      </c>
      <c r="K1108" s="5">
        <v>1.0</v>
      </c>
      <c r="L1108" s="54"/>
      <c r="M1108" s="5" t="s">
        <v>5547</v>
      </c>
      <c r="N1108" s="53" t="s">
        <v>2888</v>
      </c>
      <c r="O1108">
        <v>24.088938</v>
      </c>
      <c r="P1108">
        <v>32.899829</v>
      </c>
      <c r="Q1108" s="5" t="s">
        <v>329</v>
      </c>
      <c r="R1108" s="10">
        <f t="shared" si="10"/>
        <v>129</v>
      </c>
      <c r="S1108" s="5" t="s">
        <v>5548</v>
      </c>
      <c r="T1108" s="5"/>
      <c r="U1108" s="5" t="s">
        <v>92</v>
      </c>
      <c r="V1108" s="5" t="s">
        <v>5549</v>
      </c>
    </row>
    <row r="1109" ht="12.75" customHeight="1">
      <c r="A1109" s="5">
        <v>34485.0</v>
      </c>
      <c r="B1109" s="5" t="s">
        <v>5550</v>
      </c>
      <c r="C1109" s="52" t="s">
        <v>50</v>
      </c>
      <c r="D1109" s="5" t="s">
        <v>2614</v>
      </c>
      <c r="E1109" s="7" t="s">
        <v>5546</v>
      </c>
      <c r="F1109" s="5" t="s">
        <v>5506</v>
      </c>
      <c r="G1109" s="5" t="s">
        <v>5507</v>
      </c>
      <c r="H1109" s="5">
        <v>2008.0</v>
      </c>
      <c r="I1109" s="5">
        <v>0.0</v>
      </c>
      <c r="J1109" s="5">
        <v>0.0</v>
      </c>
      <c r="K1109" s="5">
        <v>1.0</v>
      </c>
      <c r="L1109" s="54"/>
      <c r="M1109" s="5" t="s">
        <v>5551</v>
      </c>
      <c r="N1109" s="53" t="s">
        <v>2689</v>
      </c>
      <c r="O1109">
        <v>35.937496</v>
      </c>
      <c r="P1109">
        <v>14.375416</v>
      </c>
      <c r="Q1109" s="5" t="s">
        <v>740</v>
      </c>
      <c r="R1109" s="10">
        <f t="shared" si="10"/>
        <v>655</v>
      </c>
      <c r="S1109" s="5" t="s">
        <v>5552</v>
      </c>
      <c r="T1109" s="6" t="s">
        <v>2130</v>
      </c>
      <c r="U1109" s="5" t="s">
        <v>5553</v>
      </c>
      <c r="V1109" s="5" t="s">
        <v>5554</v>
      </c>
    </row>
    <row r="1110" ht="12.75" customHeight="1">
      <c r="A1110" s="5">
        <v>34483.0</v>
      </c>
      <c r="B1110" s="5" t="s">
        <v>68</v>
      </c>
      <c r="C1110" s="5" t="s">
        <v>69</v>
      </c>
      <c r="D1110" s="5" t="s">
        <v>2614</v>
      </c>
      <c r="E1110" s="7" t="s">
        <v>5546</v>
      </c>
      <c r="F1110" s="5" t="s">
        <v>5506</v>
      </c>
      <c r="G1110" s="5" t="s">
        <v>5507</v>
      </c>
      <c r="H1110" s="5">
        <v>2008.0</v>
      </c>
      <c r="I1110" s="5">
        <v>0.0</v>
      </c>
      <c r="J1110" s="5">
        <v>0.0</v>
      </c>
      <c r="K1110" s="5">
        <v>1.0</v>
      </c>
      <c r="L1110" s="54"/>
      <c r="M1110" s="5" t="s">
        <v>5555</v>
      </c>
      <c r="N1110" s="53" t="s">
        <v>2938</v>
      </c>
      <c r="O1110">
        <v>35.937496</v>
      </c>
      <c r="P1110">
        <v>14.375416</v>
      </c>
      <c r="Q1110" s="5" t="s">
        <v>740</v>
      </c>
      <c r="R1110" s="10">
        <f t="shared" si="10"/>
        <v>655</v>
      </c>
      <c r="S1110" s="5" t="s">
        <v>5552</v>
      </c>
      <c r="T1110" s="6" t="s">
        <v>2130</v>
      </c>
      <c r="U1110" s="5" t="s">
        <v>2619</v>
      </c>
      <c r="V1110" s="5" t="s">
        <v>5556</v>
      </c>
    </row>
    <row r="1111" ht="12.75" customHeight="1">
      <c r="A1111" s="5">
        <v>34486.0</v>
      </c>
      <c r="B1111" s="5" t="s">
        <v>68</v>
      </c>
      <c r="C1111" s="5" t="s">
        <v>69</v>
      </c>
      <c r="D1111" s="5" t="s">
        <v>2852</v>
      </c>
      <c r="E1111" s="7" t="s">
        <v>5557</v>
      </c>
      <c r="F1111" s="5" t="s">
        <v>5506</v>
      </c>
      <c r="G1111" s="5" t="s">
        <v>5507</v>
      </c>
      <c r="H1111" s="5">
        <v>2008.0</v>
      </c>
      <c r="I1111" s="5">
        <v>0.0</v>
      </c>
      <c r="J1111" s="5">
        <v>0.0</v>
      </c>
      <c r="K1111" s="5">
        <v>4.0</v>
      </c>
      <c r="L1111" s="54"/>
      <c r="M1111" s="5" t="s">
        <v>5558</v>
      </c>
      <c r="N1111" s="53" t="s">
        <v>4556</v>
      </c>
      <c r="O1111">
        <v>28.291564</v>
      </c>
      <c r="P1111">
        <v>-16.62913</v>
      </c>
      <c r="Q1111" s="5" t="s">
        <v>382</v>
      </c>
      <c r="R1111" s="10">
        <f t="shared" si="10"/>
        <v>1120</v>
      </c>
      <c r="S1111" s="5" t="s">
        <v>5559</v>
      </c>
      <c r="T1111" s="5" t="s">
        <v>1040</v>
      </c>
      <c r="U1111" s="5" t="s">
        <v>5560</v>
      </c>
      <c r="V1111" s="5" t="s">
        <v>5561</v>
      </c>
    </row>
    <row r="1112" ht="12.75" customHeight="1">
      <c r="A1112" s="5">
        <v>34488.0</v>
      </c>
      <c r="B1112" s="5" t="s">
        <v>49</v>
      </c>
      <c r="C1112" s="52" t="s">
        <v>50</v>
      </c>
      <c r="D1112" s="5" t="s">
        <v>2614</v>
      </c>
      <c r="E1112" s="7" t="s">
        <v>5562</v>
      </c>
      <c r="F1112" s="5" t="s">
        <v>5506</v>
      </c>
      <c r="G1112" s="5" t="s">
        <v>5507</v>
      </c>
      <c r="H1112" s="5">
        <v>2008.0</v>
      </c>
      <c r="I1112" s="5">
        <v>0.0</v>
      </c>
      <c r="J1112" s="5">
        <v>0.0</v>
      </c>
      <c r="K1112" s="5">
        <v>1.0</v>
      </c>
      <c r="L1112" s="54"/>
      <c r="M1112" s="5" t="s">
        <v>5563</v>
      </c>
      <c r="N1112" s="53" t="s">
        <v>3524</v>
      </c>
      <c r="O1112">
        <v>36.81881</v>
      </c>
      <c r="P1112">
        <v>10.16596</v>
      </c>
      <c r="Q1112" s="5" t="s">
        <v>854</v>
      </c>
      <c r="R1112" s="10">
        <f t="shared" si="10"/>
        <v>540</v>
      </c>
      <c r="S1112" s="5" t="s">
        <v>5564</v>
      </c>
      <c r="T1112" s="6" t="s">
        <v>2130</v>
      </c>
      <c r="U1112" s="5" t="s">
        <v>5565</v>
      </c>
      <c r="V1112" s="5" t="s">
        <v>5225</v>
      </c>
    </row>
    <row r="1113" ht="12.75" customHeight="1">
      <c r="A1113" s="5">
        <v>34487.0</v>
      </c>
      <c r="B1113" s="5" t="s">
        <v>68</v>
      </c>
      <c r="C1113" s="5" t="s">
        <v>69</v>
      </c>
      <c r="D1113" s="5" t="s">
        <v>2614</v>
      </c>
      <c r="E1113" s="7" t="s">
        <v>5562</v>
      </c>
      <c r="F1113" s="5" t="s">
        <v>5506</v>
      </c>
      <c r="G1113" s="5" t="s">
        <v>5507</v>
      </c>
      <c r="H1113" s="5">
        <v>2008.0</v>
      </c>
      <c r="I1113" s="5">
        <v>0.0</v>
      </c>
      <c r="J1113" s="5">
        <v>0.0</v>
      </c>
      <c r="K1113" s="5">
        <v>1.0</v>
      </c>
      <c r="L1113" s="54"/>
      <c r="M1113" s="5" t="s">
        <v>5566</v>
      </c>
      <c r="N1113" s="53" t="s">
        <v>3940</v>
      </c>
      <c r="O1113">
        <v>36.902859</v>
      </c>
      <c r="P1113">
        <v>7.755543</v>
      </c>
      <c r="Q1113" s="5" t="s">
        <v>880</v>
      </c>
      <c r="R1113" s="10">
        <f t="shared" si="10"/>
        <v>107</v>
      </c>
      <c r="S1113" s="5" t="s">
        <v>5567</v>
      </c>
      <c r="T1113" s="6" t="s">
        <v>2130</v>
      </c>
      <c r="U1113" s="5" t="s">
        <v>3354</v>
      </c>
      <c r="V1113" s="5" t="s">
        <v>5568</v>
      </c>
    </row>
    <row r="1114" ht="12.75" customHeight="1">
      <c r="A1114" s="5">
        <v>34490.0</v>
      </c>
      <c r="B1114" s="5" t="s">
        <v>49</v>
      </c>
      <c r="C1114" s="52" t="s">
        <v>50</v>
      </c>
      <c r="D1114" s="5" t="s">
        <v>2852</v>
      </c>
      <c r="E1114" s="7" t="s">
        <v>5569</v>
      </c>
      <c r="F1114" s="5" t="s">
        <v>5506</v>
      </c>
      <c r="G1114" s="5" t="s">
        <v>5507</v>
      </c>
      <c r="H1114" s="5">
        <v>2008.0</v>
      </c>
      <c r="I1114" s="5">
        <v>0.0</v>
      </c>
      <c r="J1114" s="5">
        <v>0.0</v>
      </c>
      <c r="K1114" s="5">
        <v>6.0</v>
      </c>
      <c r="L1114" s="54"/>
      <c r="M1114" s="5" t="s">
        <v>5570</v>
      </c>
      <c r="N1114" s="53" t="s">
        <v>2938</v>
      </c>
      <c r="O1114">
        <v>35.937496</v>
      </c>
      <c r="P1114">
        <v>14.375416</v>
      </c>
      <c r="Q1114" s="5" t="s">
        <v>740</v>
      </c>
      <c r="R1114" s="10">
        <f t="shared" si="10"/>
        <v>655</v>
      </c>
      <c r="S1114" s="5" t="s">
        <v>5571</v>
      </c>
      <c r="T1114" s="6" t="s">
        <v>2130</v>
      </c>
      <c r="U1114" s="5" t="s">
        <v>4897</v>
      </c>
      <c r="V1114" s="5" t="s">
        <v>5572</v>
      </c>
    </row>
    <row r="1115" ht="12.75" customHeight="1">
      <c r="A1115" s="5">
        <v>34489.0</v>
      </c>
      <c r="B1115" s="5" t="s">
        <v>1995</v>
      </c>
      <c r="C1115" s="52" t="s">
        <v>50</v>
      </c>
      <c r="D1115" s="5" t="s">
        <v>2852</v>
      </c>
      <c r="E1115" s="7" t="s">
        <v>5569</v>
      </c>
      <c r="F1115" s="5" t="s">
        <v>5506</v>
      </c>
      <c r="G1115" s="5" t="s">
        <v>5507</v>
      </c>
      <c r="H1115" s="5">
        <v>2008.0</v>
      </c>
      <c r="I1115" s="5">
        <v>0.0</v>
      </c>
      <c r="J1115" s="5">
        <v>0.0</v>
      </c>
      <c r="K1115" s="5">
        <v>1.0</v>
      </c>
      <c r="L1115" s="54"/>
      <c r="M1115" s="5" t="s">
        <v>5573</v>
      </c>
      <c r="N1115" s="53" t="s">
        <v>2938</v>
      </c>
      <c r="O1115">
        <v>35.937496</v>
      </c>
      <c r="P1115">
        <v>14.375416</v>
      </c>
      <c r="Q1115" s="5" t="s">
        <v>740</v>
      </c>
      <c r="R1115" s="10">
        <f t="shared" si="10"/>
        <v>655</v>
      </c>
      <c r="S1115" s="5" t="s">
        <v>5571</v>
      </c>
      <c r="T1115" s="6" t="s">
        <v>2130</v>
      </c>
      <c r="U1115" s="5" t="s">
        <v>5574</v>
      </c>
      <c r="V1115" s="5"/>
    </row>
    <row r="1116" ht="12.75" customHeight="1">
      <c r="A1116" s="5">
        <v>34491.0</v>
      </c>
      <c r="B1116" s="5" t="s">
        <v>68</v>
      </c>
      <c r="C1116" s="5" t="s">
        <v>69</v>
      </c>
      <c r="D1116" s="5" t="s">
        <v>2614</v>
      </c>
      <c r="E1116" s="7" t="s">
        <v>5575</v>
      </c>
      <c r="F1116" s="5" t="s">
        <v>5506</v>
      </c>
      <c r="G1116" s="5" t="s">
        <v>5507</v>
      </c>
      <c r="H1116" s="5">
        <v>2008.0</v>
      </c>
      <c r="I1116" s="5">
        <v>0.0</v>
      </c>
      <c r="J1116" s="5">
        <v>0.0</v>
      </c>
      <c r="K1116" s="5">
        <v>1.0</v>
      </c>
      <c r="L1116" s="54"/>
      <c r="M1116" s="5" t="s">
        <v>5576</v>
      </c>
      <c r="N1116" s="53" t="s">
        <v>5577</v>
      </c>
      <c r="O1116">
        <v>35.841667</v>
      </c>
      <c r="P1116">
        <v>14.544722</v>
      </c>
      <c r="Q1116" s="5" t="s">
        <v>706</v>
      </c>
      <c r="R1116" s="10">
        <f t="shared" si="10"/>
        <v>1</v>
      </c>
      <c r="S1116" s="5" t="s">
        <v>5578</v>
      </c>
      <c r="T1116" s="6" t="s">
        <v>2130</v>
      </c>
      <c r="U1116" s="5" t="s">
        <v>2143</v>
      </c>
      <c r="V1116" s="5" t="s">
        <v>5579</v>
      </c>
    </row>
    <row r="1117" ht="12.75" customHeight="1">
      <c r="A1117" s="5">
        <v>34493.0</v>
      </c>
      <c r="B1117" s="5" t="s">
        <v>49</v>
      </c>
      <c r="C1117" s="52" t="s">
        <v>50</v>
      </c>
      <c r="D1117" s="5" t="s">
        <v>2852</v>
      </c>
      <c r="E1117" s="7" t="s">
        <v>5580</v>
      </c>
      <c r="F1117" s="5" t="s">
        <v>5506</v>
      </c>
      <c r="G1117" s="5" t="s">
        <v>5507</v>
      </c>
      <c r="H1117" s="5">
        <v>2008.0</v>
      </c>
      <c r="I1117" s="5">
        <v>0.0</v>
      </c>
      <c r="J1117" s="5">
        <v>0.0</v>
      </c>
      <c r="K1117" s="5">
        <v>1.0</v>
      </c>
      <c r="L1117" s="54"/>
      <c r="M1117" s="5" t="s">
        <v>5581</v>
      </c>
      <c r="N1117" s="53" t="s">
        <v>3340</v>
      </c>
      <c r="O1117">
        <v>37.743215</v>
      </c>
      <c r="P1117">
        <v>26.820351</v>
      </c>
      <c r="Q1117" s="5" t="s">
        <v>956</v>
      </c>
      <c r="R1117" s="10">
        <f t="shared" si="10"/>
        <v>218</v>
      </c>
      <c r="S1117" s="5" t="s">
        <v>5582</v>
      </c>
      <c r="T1117" s="6" t="s">
        <v>53</v>
      </c>
      <c r="U1117" s="5" t="s">
        <v>5583</v>
      </c>
      <c r="V1117" s="5"/>
    </row>
    <row r="1118" ht="12.75" customHeight="1">
      <c r="A1118" s="5">
        <v>34494.0</v>
      </c>
      <c r="B1118" s="5" t="s">
        <v>49</v>
      </c>
      <c r="C1118" s="52" t="s">
        <v>50</v>
      </c>
      <c r="D1118" s="5" t="s">
        <v>2852</v>
      </c>
      <c r="E1118" s="7" t="s">
        <v>5580</v>
      </c>
      <c r="F1118" s="5" t="s">
        <v>5506</v>
      </c>
      <c r="G1118" s="5" t="s">
        <v>5507</v>
      </c>
      <c r="H1118" s="5">
        <v>2008.0</v>
      </c>
      <c r="I1118" s="5">
        <v>0.0</v>
      </c>
      <c r="J1118" s="5">
        <v>0.0</v>
      </c>
      <c r="K1118" s="5">
        <v>4.0</v>
      </c>
      <c r="L1118" s="54"/>
      <c r="M1118" s="5" t="s">
        <v>5584</v>
      </c>
      <c r="N1118" s="53" t="s">
        <v>5585</v>
      </c>
      <c r="O1118">
        <v>39.33589</v>
      </c>
      <c r="P1118">
        <v>26.71281</v>
      </c>
      <c r="Q1118" s="5" t="s">
        <v>1082</v>
      </c>
      <c r="R1118" s="10">
        <f t="shared" si="10"/>
        <v>24</v>
      </c>
      <c r="S1118" s="5" t="s">
        <v>5586</v>
      </c>
      <c r="T1118" s="6" t="s">
        <v>53</v>
      </c>
      <c r="U1118" s="5" t="s">
        <v>5587</v>
      </c>
      <c r="V1118" s="5"/>
    </row>
    <row r="1119" ht="12.75" customHeight="1">
      <c r="A1119" s="5">
        <v>34492.0</v>
      </c>
      <c r="B1119" s="5" t="s">
        <v>215</v>
      </c>
      <c r="C1119" s="5" t="s">
        <v>62</v>
      </c>
      <c r="D1119" s="5" t="s">
        <v>2614</v>
      </c>
      <c r="E1119" s="7" t="s">
        <v>5580</v>
      </c>
      <c r="F1119" s="5" t="s">
        <v>5506</v>
      </c>
      <c r="G1119" s="5" t="s">
        <v>5507</v>
      </c>
      <c r="H1119" s="5">
        <v>2008.0</v>
      </c>
      <c r="I1119" s="5">
        <v>0.0</v>
      </c>
      <c r="J1119" s="5">
        <v>0.0</v>
      </c>
      <c r="K1119" s="5">
        <v>1.0</v>
      </c>
      <c r="L1119" s="54"/>
      <c r="M1119" s="5" t="s">
        <v>5588</v>
      </c>
      <c r="N1119" s="53" t="s">
        <v>5589</v>
      </c>
      <c r="O1119">
        <v>41.733333</v>
      </c>
      <c r="P1119">
        <v>27.216667</v>
      </c>
      <c r="Q1119" s="5" t="s">
        <v>1236</v>
      </c>
      <c r="R1119" s="10">
        <f t="shared" si="10"/>
        <v>2</v>
      </c>
      <c r="S1119" s="5" t="s">
        <v>5590</v>
      </c>
      <c r="T1119" s="6" t="s">
        <v>53</v>
      </c>
      <c r="U1119" s="5" t="s">
        <v>5591</v>
      </c>
      <c r="V1119" s="5" t="s">
        <v>5592</v>
      </c>
    </row>
    <row r="1120" ht="12.75" customHeight="1">
      <c r="A1120" s="5">
        <v>34496.0</v>
      </c>
      <c r="B1120" s="5" t="s">
        <v>49</v>
      </c>
      <c r="C1120" s="52" t="s">
        <v>50</v>
      </c>
      <c r="D1120" s="5" t="s">
        <v>2614</v>
      </c>
      <c r="E1120" s="7" t="s">
        <v>5593</v>
      </c>
      <c r="F1120" s="5" t="s">
        <v>5506</v>
      </c>
      <c r="G1120" s="5" t="s">
        <v>5507</v>
      </c>
      <c r="H1120" s="5">
        <v>2008.0</v>
      </c>
      <c r="I1120" s="5">
        <v>0.0</v>
      </c>
      <c r="J1120" s="5">
        <v>0.0</v>
      </c>
      <c r="K1120" s="5">
        <v>51.0</v>
      </c>
      <c r="L1120" s="54"/>
      <c r="M1120" s="5" t="s">
        <v>5594</v>
      </c>
      <c r="N1120" s="53" t="s">
        <v>2628</v>
      </c>
      <c r="O1120">
        <v>26.820553</v>
      </c>
      <c r="P1120">
        <v>30.802498</v>
      </c>
      <c r="Q1120" s="5" t="s">
        <v>344</v>
      </c>
      <c r="R1120" s="10">
        <f t="shared" si="10"/>
        <v>427</v>
      </c>
      <c r="S1120" s="5" t="s">
        <v>5595</v>
      </c>
      <c r="T1120" s="5"/>
      <c r="U1120" s="5" t="s">
        <v>5533</v>
      </c>
      <c r="V1120" s="5" t="s">
        <v>5225</v>
      </c>
    </row>
    <row r="1121" ht="12.75" customHeight="1">
      <c r="A1121" s="5">
        <v>34495.0</v>
      </c>
      <c r="B1121" s="5" t="s">
        <v>68</v>
      </c>
      <c r="C1121" s="5" t="s">
        <v>69</v>
      </c>
      <c r="D1121" s="5" t="s">
        <v>2614</v>
      </c>
      <c r="E1121" s="7" t="s">
        <v>5593</v>
      </c>
      <c r="F1121" s="5" t="s">
        <v>5506</v>
      </c>
      <c r="G1121" s="5" t="s">
        <v>5507</v>
      </c>
      <c r="H1121" s="5">
        <v>2008.0</v>
      </c>
      <c r="I1121" s="5">
        <v>0.0</v>
      </c>
      <c r="J1121" s="5">
        <v>0.0</v>
      </c>
      <c r="K1121" s="5">
        <v>1.0</v>
      </c>
      <c r="L1121" s="54"/>
      <c r="M1121" s="5" t="s">
        <v>5596</v>
      </c>
      <c r="N1121" s="53" t="s">
        <v>2938</v>
      </c>
      <c r="O1121">
        <v>35.937496</v>
      </c>
      <c r="P1121">
        <v>14.375416</v>
      </c>
      <c r="Q1121" s="5" t="s">
        <v>740</v>
      </c>
      <c r="R1121" s="10">
        <f t="shared" si="10"/>
        <v>655</v>
      </c>
      <c r="S1121" s="5" t="s">
        <v>5597</v>
      </c>
      <c r="T1121" s="6" t="s">
        <v>2130</v>
      </c>
      <c r="U1121" s="5" t="s">
        <v>2326</v>
      </c>
      <c r="V1121" s="5" t="s">
        <v>5598</v>
      </c>
    </row>
    <row r="1122" ht="12.75" customHeight="1">
      <c r="A1122" s="5">
        <v>34497.0</v>
      </c>
      <c r="B1122" s="5" t="s">
        <v>763</v>
      </c>
      <c r="C1122" s="5" t="s">
        <v>124</v>
      </c>
      <c r="D1122" s="5" t="s">
        <v>2614</v>
      </c>
      <c r="E1122" s="7" t="s">
        <v>5599</v>
      </c>
      <c r="F1122" s="5" t="s">
        <v>5506</v>
      </c>
      <c r="G1122" s="5" t="s">
        <v>5507</v>
      </c>
      <c r="H1122" s="5">
        <v>2008.0</v>
      </c>
      <c r="I1122" s="5">
        <v>0.0</v>
      </c>
      <c r="J1122" s="5">
        <v>0.0</v>
      </c>
      <c r="K1122" s="5">
        <v>2.0</v>
      </c>
      <c r="L1122" s="54"/>
      <c r="M1122" s="5" t="s">
        <v>5600</v>
      </c>
      <c r="N1122" s="53" t="s">
        <v>5601</v>
      </c>
      <c r="O1122">
        <v>39.54864</v>
      </c>
      <c r="P1122">
        <v>44.074207</v>
      </c>
      <c r="Q1122" s="5" t="s">
        <v>1090</v>
      </c>
      <c r="R1122" s="10">
        <f t="shared" si="10"/>
        <v>13</v>
      </c>
      <c r="S1122" s="5" t="s">
        <v>5602</v>
      </c>
      <c r="T1122" s="5"/>
      <c r="U1122" s="5" t="s">
        <v>5603</v>
      </c>
      <c r="V1122" s="5" t="s">
        <v>5604</v>
      </c>
    </row>
    <row r="1123" ht="12.75" customHeight="1">
      <c r="A1123" s="5">
        <v>34498.0</v>
      </c>
      <c r="B1123" s="5" t="s">
        <v>49</v>
      </c>
      <c r="C1123" s="52" t="s">
        <v>50</v>
      </c>
      <c r="D1123" s="5" t="s">
        <v>2852</v>
      </c>
      <c r="E1123" s="7" t="s">
        <v>5599</v>
      </c>
      <c r="F1123" s="5" t="s">
        <v>5506</v>
      </c>
      <c r="G1123" s="5" t="s">
        <v>5507</v>
      </c>
      <c r="H1123" s="5">
        <v>2008.0</v>
      </c>
      <c r="I1123" s="5">
        <v>0.0</v>
      </c>
      <c r="J1123" s="5">
        <v>0.0</v>
      </c>
      <c r="K1123" s="5">
        <v>2.0</v>
      </c>
      <c r="L1123" s="54"/>
      <c r="M1123" s="5" t="s">
        <v>5605</v>
      </c>
      <c r="N1123" s="53" t="s">
        <v>2834</v>
      </c>
      <c r="O1123">
        <v>41.244376</v>
      </c>
      <c r="P1123">
        <v>26.135943</v>
      </c>
      <c r="Q1123" s="5" t="s">
        <v>1214</v>
      </c>
      <c r="R1123" s="10">
        <f t="shared" si="10"/>
        <v>188</v>
      </c>
      <c r="S1123" s="5" t="s">
        <v>5606</v>
      </c>
      <c r="T1123" s="6" t="s">
        <v>53</v>
      </c>
      <c r="U1123" s="5" t="s">
        <v>5204</v>
      </c>
      <c r="V1123" s="5"/>
    </row>
    <row r="1124" ht="12.75" customHeight="1">
      <c r="A1124" s="5">
        <v>34499.0</v>
      </c>
      <c r="B1124" s="5" t="s">
        <v>763</v>
      </c>
      <c r="C1124" s="5" t="s">
        <v>124</v>
      </c>
      <c r="D1124" s="5" t="s">
        <v>2852</v>
      </c>
      <c r="E1124" s="7" t="s">
        <v>5607</v>
      </c>
      <c r="F1124" s="5" t="s">
        <v>5506</v>
      </c>
      <c r="G1124" s="5" t="s">
        <v>5507</v>
      </c>
      <c r="H1124" s="5">
        <v>2008.0</v>
      </c>
      <c r="I1124" s="5">
        <v>0.0</v>
      </c>
      <c r="J1124" s="5">
        <v>0.0</v>
      </c>
      <c r="K1124" s="5">
        <v>1.0</v>
      </c>
      <c r="L1124" s="54"/>
      <c r="M1124" s="5" t="s">
        <v>5608</v>
      </c>
      <c r="N1124" s="53" t="s">
        <v>5609</v>
      </c>
      <c r="O1124">
        <v>35.46883</v>
      </c>
      <c r="P1124">
        <v>44.39098</v>
      </c>
      <c r="Q1124" s="5" t="s">
        <v>665</v>
      </c>
      <c r="R1124" s="10">
        <f t="shared" si="10"/>
        <v>2</v>
      </c>
      <c r="S1124" s="5" t="s">
        <v>5610</v>
      </c>
      <c r="T1124" s="5"/>
      <c r="U1124" s="5" t="s">
        <v>3219</v>
      </c>
      <c r="V1124" s="5"/>
    </row>
    <row r="1125" ht="12.75" customHeight="1">
      <c r="A1125" s="5">
        <v>34350.0</v>
      </c>
      <c r="B1125" s="5" t="s">
        <v>3521</v>
      </c>
      <c r="C1125" s="5" t="s">
        <v>62</v>
      </c>
      <c r="D1125" s="5" t="s">
        <v>2852</v>
      </c>
      <c r="E1125" s="7" t="s">
        <v>5611</v>
      </c>
      <c r="F1125" s="5" t="s">
        <v>5506</v>
      </c>
      <c r="G1125" s="5" t="s">
        <v>5507</v>
      </c>
      <c r="H1125" s="5">
        <v>2008.0</v>
      </c>
      <c r="I1125" s="5">
        <v>0.0</v>
      </c>
      <c r="J1125" s="5">
        <v>0.0</v>
      </c>
      <c r="K1125" s="5">
        <v>1.0</v>
      </c>
      <c r="L1125" s="54"/>
      <c r="M1125" s="5" t="s">
        <v>5612</v>
      </c>
      <c r="N1125" s="53" t="s">
        <v>5613</v>
      </c>
      <c r="O1125">
        <v>46.62794</v>
      </c>
      <c r="P1125">
        <v>14.30899</v>
      </c>
      <c r="Q1125" s="5" t="s">
        <v>1359</v>
      </c>
      <c r="R1125" s="10">
        <f t="shared" si="10"/>
        <v>1</v>
      </c>
      <c r="S1125" s="5" t="s">
        <v>5614</v>
      </c>
      <c r="T1125" s="6" t="s">
        <v>65</v>
      </c>
      <c r="U1125" s="5" t="s">
        <v>5615</v>
      </c>
      <c r="V1125" s="5"/>
    </row>
    <row r="1126" ht="12.75" customHeight="1">
      <c r="A1126" s="5">
        <v>34501.0</v>
      </c>
      <c r="B1126" s="5" t="s">
        <v>68</v>
      </c>
      <c r="C1126" s="5" t="s">
        <v>69</v>
      </c>
      <c r="D1126" s="5" t="s">
        <v>2614</v>
      </c>
      <c r="E1126" s="7" t="s">
        <v>5616</v>
      </c>
      <c r="F1126" s="5" t="s">
        <v>5506</v>
      </c>
      <c r="G1126" s="5" t="s">
        <v>5507</v>
      </c>
      <c r="H1126" s="5">
        <v>2008.0</v>
      </c>
      <c r="I1126" s="5">
        <v>0.0</v>
      </c>
      <c r="J1126" s="5">
        <v>0.0</v>
      </c>
      <c r="K1126" s="5">
        <v>100.0</v>
      </c>
      <c r="L1126" s="54"/>
      <c r="M1126" s="5" t="s">
        <v>5617</v>
      </c>
      <c r="N1126" s="53" t="s">
        <v>5618</v>
      </c>
      <c r="O1126">
        <v>32.933333</v>
      </c>
      <c r="P1126">
        <v>12.083333</v>
      </c>
      <c r="Q1126" s="5" t="s">
        <v>497</v>
      </c>
      <c r="R1126" s="10">
        <f t="shared" si="10"/>
        <v>100</v>
      </c>
      <c r="S1126" s="5" t="s">
        <v>5619</v>
      </c>
      <c r="T1126" s="6" t="s">
        <v>2130</v>
      </c>
      <c r="U1126" s="5" t="s">
        <v>2619</v>
      </c>
      <c r="V1126" s="5" t="s">
        <v>5620</v>
      </c>
    </row>
    <row r="1127" ht="12.75" customHeight="1">
      <c r="A1127" s="5">
        <v>34500.0</v>
      </c>
      <c r="B1127" s="5" t="s">
        <v>68</v>
      </c>
      <c r="C1127" s="5" t="s">
        <v>69</v>
      </c>
      <c r="D1127" s="5" t="s">
        <v>2614</v>
      </c>
      <c r="E1127" s="7" t="s">
        <v>5616</v>
      </c>
      <c r="F1127" s="5" t="s">
        <v>5506</v>
      </c>
      <c r="G1127" s="5" t="s">
        <v>5507</v>
      </c>
      <c r="H1127" s="5">
        <v>2008.0</v>
      </c>
      <c r="I1127" s="5">
        <v>0.0</v>
      </c>
      <c r="J1127" s="5">
        <v>0.0</v>
      </c>
      <c r="K1127" s="5">
        <v>1.0</v>
      </c>
      <c r="L1127" s="54"/>
      <c r="M1127" s="5" t="s">
        <v>5621</v>
      </c>
      <c r="N1127" s="53" t="s">
        <v>2700</v>
      </c>
      <c r="O1127">
        <v>35.508622</v>
      </c>
      <c r="P1127">
        <v>12.59292</v>
      </c>
      <c r="Q1127" s="5" t="s">
        <v>669</v>
      </c>
      <c r="R1127" s="10">
        <f t="shared" si="10"/>
        <v>3843</v>
      </c>
      <c r="S1127" s="5" t="s">
        <v>5622</v>
      </c>
      <c r="T1127" s="6" t="s">
        <v>2130</v>
      </c>
      <c r="U1127" s="5" t="s">
        <v>2326</v>
      </c>
      <c r="V1127" s="5" t="s">
        <v>4777</v>
      </c>
    </row>
    <row r="1128" ht="12.75" customHeight="1">
      <c r="A1128" s="5">
        <v>34502.0</v>
      </c>
      <c r="B1128" s="5" t="s">
        <v>68</v>
      </c>
      <c r="C1128" s="5" t="s">
        <v>69</v>
      </c>
      <c r="D1128" s="5" t="s">
        <v>2614</v>
      </c>
      <c r="E1128" s="7" t="s">
        <v>5623</v>
      </c>
      <c r="F1128" s="5" t="s">
        <v>5506</v>
      </c>
      <c r="G1128" s="5" t="s">
        <v>5507</v>
      </c>
      <c r="H1128" s="5">
        <v>2008.0</v>
      </c>
      <c r="I1128" s="5">
        <v>13.0</v>
      </c>
      <c r="J1128" s="5">
        <v>0.0</v>
      </c>
      <c r="K1128" s="5">
        <v>13.0</v>
      </c>
      <c r="L1128" s="54"/>
      <c r="M1128" s="5" t="s">
        <v>5624</v>
      </c>
      <c r="N1128" s="53" t="s">
        <v>2928</v>
      </c>
      <c r="O1128">
        <v>26.3351</v>
      </c>
      <c r="P1128">
        <v>17.228331</v>
      </c>
      <c r="Q1128" s="5" t="s">
        <v>337</v>
      </c>
      <c r="R1128" s="10">
        <f t="shared" si="10"/>
        <v>1371</v>
      </c>
      <c r="S1128" s="5" t="s">
        <v>5625</v>
      </c>
      <c r="T1128" s="5"/>
      <c r="U1128" s="5" t="s">
        <v>2619</v>
      </c>
      <c r="V1128" s="5" t="s">
        <v>5626</v>
      </c>
    </row>
    <row r="1129" ht="12.75" customHeight="1">
      <c r="A1129" s="5">
        <v>34503.0</v>
      </c>
      <c r="B1129" s="5" t="s">
        <v>68</v>
      </c>
      <c r="C1129" s="5" t="s">
        <v>69</v>
      </c>
      <c r="D1129" s="5" t="s">
        <v>2614</v>
      </c>
      <c r="E1129" s="7" t="s">
        <v>5623</v>
      </c>
      <c r="F1129" s="5" t="s">
        <v>5506</v>
      </c>
      <c r="G1129" s="5" t="s">
        <v>5507</v>
      </c>
      <c r="H1129" s="5">
        <v>2008.0</v>
      </c>
      <c r="I1129" s="5">
        <v>0.0</v>
      </c>
      <c r="J1129" s="5">
        <v>0.0</v>
      </c>
      <c r="K1129" s="5">
        <v>1.0</v>
      </c>
      <c r="L1129" s="54"/>
      <c r="M1129" s="5" t="s">
        <v>5627</v>
      </c>
      <c r="N1129" s="53" t="s">
        <v>2878</v>
      </c>
      <c r="O1129">
        <v>35.866074</v>
      </c>
      <c r="P1129">
        <v>12.868741</v>
      </c>
      <c r="Q1129" s="5" t="s">
        <v>714</v>
      </c>
      <c r="R1129" s="10">
        <f t="shared" si="10"/>
        <v>5</v>
      </c>
      <c r="S1129" s="5" t="s">
        <v>5628</v>
      </c>
      <c r="T1129" s="6" t="s">
        <v>2130</v>
      </c>
      <c r="U1129" s="5" t="s">
        <v>2326</v>
      </c>
      <c r="V1129" s="5" t="s">
        <v>4777</v>
      </c>
    </row>
    <row r="1130" ht="12.75" customHeight="1">
      <c r="A1130" s="5">
        <v>34504.0</v>
      </c>
      <c r="B1130" s="5" t="s">
        <v>49</v>
      </c>
      <c r="C1130" s="52" t="s">
        <v>50</v>
      </c>
      <c r="D1130" s="5" t="s">
        <v>2852</v>
      </c>
      <c r="E1130" s="7" t="s">
        <v>5629</v>
      </c>
      <c r="F1130" s="5" t="s">
        <v>5506</v>
      </c>
      <c r="G1130" s="5" t="s">
        <v>5507</v>
      </c>
      <c r="H1130" s="5">
        <v>2008.0</v>
      </c>
      <c r="I1130" s="5">
        <v>0.0</v>
      </c>
      <c r="J1130" s="5">
        <v>0.0</v>
      </c>
      <c r="K1130" s="5">
        <v>16.0</v>
      </c>
      <c r="L1130" s="54"/>
      <c r="M1130" s="5" t="s">
        <v>5630</v>
      </c>
      <c r="N1130" s="53" t="s">
        <v>5631</v>
      </c>
      <c r="O1130">
        <v>35.208889</v>
      </c>
      <c r="P1130">
        <v>0.479722</v>
      </c>
      <c r="Q1130" s="5" t="s">
        <v>637</v>
      </c>
      <c r="R1130" s="10">
        <f t="shared" si="10"/>
        <v>16</v>
      </c>
      <c r="S1130" s="5" t="s">
        <v>5632</v>
      </c>
      <c r="T1130" s="6" t="s">
        <v>72</v>
      </c>
      <c r="U1130" s="5" t="s">
        <v>5633</v>
      </c>
      <c r="V1130" s="5"/>
    </row>
    <row r="1131" ht="12.75" customHeight="1">
      <c r="A1131" s="5">
        <v>34506.0</v>
      </c>
      <c r="B1131" s="5" t="s">
        <v>68</v>
      </c>
      <c r="C1131" s="5" t="s">
        <v>69</v>
      </c>
      <c r="D1131" s="5" t="s">
        <v>2614</v>
      </c>
      <c r="E1131" s="7" t="s">
        <v>5634</v>
      </c>
      <c r="F1131" s="5" t="s">
        <v>5506</v>
      </c>
      <c r="G1131" s="5" t="s">
        <v>5507</v>
      </c>
      <c r="H1131" s="5">
        <v>2008.0</v>
      </c>
      <c r="I1131" s="5">
        <v>0.0</v>
      </c>
      <c r="J1131" s="5">
        <v>0.0</v>
      </c>
      <c r="K1131" s="5">
        <v>1.0</v>
      </c>
      <c r="L1131" s="54"/>
      <c r="M1131" s="5" t="s">
        <v>5635</v>
      </c>
      <c r="N1131" s="53" t="s">
        <v>2700</v>
      </c>
      <c r="O1131">
        <v>35.508622</v>
      </c>
      <c r="P1131">
        <v>12.59292</v>
      </c>
      <c r="Q1131" s="5" t="s">
        <v>669</v>
      </c>
      <c r="R1131" s="10">
        <f t="shared" si="10"/>
        <v>3843</v>
      </c>
      <c r="S1131" s="5" t="s">
        <v>5636</v>
      </c>
      <c r="T1131" s="6" t="s">
        <v>2130</v>
      </c>
      <c r="U1131" s="5" t="s">
        <v>2326</v>
      </c>
      <c r="V1131" s="5" t="s">
        <v>4777</v>
      </c>
    </row>
    <row r="1132" ht="12.75" customHeight="1">
      <c r="A1132" s="5">
        <v>34505.0</v>
      </c>
      <c r="B1132" s="5" t="s">
        <v>68</v>
      </c>
      <c r="C1132" s="5" t="s">
        <v>69</v>
      </c>
      <c r="D1132" s="5" t="s">
        <v>2614</v>
      </c>
      <c r="E1132" s="7" t="s">
        <v>5634</v>
      </c>
      <c r="F1132" s="5" t="s">
        <v>5506</v>
      </c>
      <c r="G1132" s="5" t="s">
        <v>5507</v>
      </c>
      <c r="H1132" s="5">
        <v>2008.0</v>
      </c>
      <c r="I1132" s="5">
        <v>0.0</v>
      </c>
      <c r="J1132" s="5">
        <v>0.0</v>
      </c>
      <c r="K1132" s="5">
        <v>1.0</v>
      </c>
      <c r="L1132" s="54"/>
      <c r="M1132" s="5" t="s">
        <v>5637</v>
      </c>
      <c r="N1132" s="53" t="s">
        <v>2700</v>
      </c>
      <c r="O1132">
        <v>35.508622</v>
      </c>
      <c r="P1132">
        <v>12.59292</v>
      </c>
      <c r="Q1132" s="5" t="s">
        <v>669</v>
      </c>
      <c r="R1132" s="10">
        <f t="shared" si="10"/>
        <v>3843</v>
      </c>
      <c r="S1132" s="5" t="s">
        <v>5636</v>
      </c>
      <c r="T1132" s="6" t="s">
        <v>2130</v>
      </c>
      <c r="U1132" s="5" t="s">
        <v>3388</v>
      </c>
      <c r="V1132" s="5" t="s">
        <v>5638</v>
      </c>
    </row>
    <row r="1133" ht="12.75" customHeight="1">
      <c r="A1133" s="5">
        <v>34508.0</v>
      </c>
      <c r="B1133" s="5" t="s">
        <v>2101</v>
      </c>
      <c r="C1133" s="5" t="s">
        <v>124</v>
      </c>
      <c r="D1133" s="5" t="s">
        <v>2852</v>
      </c>
      <c r="E1133" s="7" t="s">
        <v>5634</v>
      </c>
      <c r="F1133" s="5" t="s">
        <v>5506</v>
      </c>
      <c r="G1133" s="5" t="s">
        <v>5507</v>
      </c>
      <c r="H1133" s="5">
        <v>2008.0</v>
      </c>
      <c r="I1133" s="5">
        <v>0.0</v>
      </c>
      <c r="J1133" s="5">
        <v>0.0</v>
      </c>
      <c r="K1133" s="5">
        <v>1.0</v>
      </c>
      <c r="L1133" s="54"/>
      <c r="M1133" s="5" t="s">
        <v>5639</v>
      </c>
      <c r="N1133" s="53" t="s">
        <v>3427</v>
      </c>
      <c r="O1133">
        <v>40.463667</v>
      </c>
      <c r="P1133">
        <v>-3.74922</v>
      </c>
      <c r="Q1133" s="5" t="s">
        <v>1142</v>
      </c>
      <c r="R1133" s="10">
        <f t="shared" si="10"/>
        <v>6</v>
      </c>
      <c r="S1133" s="5" t="s">
        <v>5640</v>
      </c>
      <c r="T1133" s="6" t="s">
        <v>72</v>
      </c>
      <c r="U1133" s="5" t="s">
        <v>5641</v>
      </c>
      <c r="V1133" s="5"/>
    </row>
    <row r="1134" ht="12.75" customHeight="1">
      <c r="A1134" s="5">
        <v>34507.0</v>
      </c>
      <c r="B1134" s="5" t="s">
        <v>1995</v>
      </c>
      <c r="C1134" s="52" t="s">
        <v>50</v>
      </c>
      <c r="D1134" s="5" t="s">
        <v>2852</v>
      </c>
      <c r="E1134" s="7" t="s">
        <v>5634</v>
      </c>
      <c r="F1134" s="5" t="s">
        <v>5506</v>
      </c>
      <c r="G1134" s="5" t="s">
        <v>5507</v>
      </c>
      <c r="H1134" s="5">
        <v>2008.0</v>
      </c>
      <c r="I1134" s="5">
        <v>0.0</v>
      </c>
      <c r="J1134" s="5">
        <v>0.0</v>
      </c>
      <c r="K1134" s="5">
        <v>1.0</v>
      </c>
      <c r="L1134" s="54"/>
      <c r="M1134" s="5" t="s">
        <v>5642</v>
      </c>
      <c r="N1134" s="53" t="s">
        <v>4095</v>
      </c>
      <c r="O1134">
        <v>55.378051</v>
      </c>
      <c r="P1134">
        <v>-3.435973</v>
      </c>
      <c r="Q1134" s="5" t="s">
        <v>1882</v>
      </c>
      <c r="R1134" s="10">
        <f t="shared" si="10"/>
        <v>23</v>
      </c>
      <c r="S1134" s="5" t="s">
        <v>5643</v>
      </c>
      <c r="T1134" s="5"/>
      <c r="U1134" s="5" t="s">
        <v>3219</v>
      </c>
      <c r="V1134" s="5"/>
    </row>
    <row r="1135" ht="12.75" customHeight="1">
      <c r="A1135" s="5">
        <v>34509.0</v>
      </c>
      <c r="B1135" s="5" t="s">
        <v>68</v>
      </c>
      <c r="C1135" s="5" t="s">
        <v>69</v>
      </c>
      <c r="D1135" s="5" t="s">
        <v>2614</v>
      </c>
      <c r="E1135" s="7" t="s">
        <v>5644</v>
      </c>
      <c r="F1135" s="5" t="s">
        <v>5506</v>
      </c>
      <c r="G1135" s="5" t="s">
        <v>5645</v>
      </c>
      <c r="H1135" s="5">
        <v>2008.0</v>
      </c>
      <c r="I1135" s="5">
        <v>0.0</v>
      </c>
      <c r="J1135" s="5">
        <v>0.0</v>
      </c>
      <c r="K1135" s="5">
        <v>1.0</v>
      </c>
      <c r="L1135" s="54"/>
      <c r="M1135" s="5" t="s">
        <v>5646</v>
      </c>
      <c r="N1135" s="53" t="s">
        <v>2633</v>
      </c>
      <c r="O1135">
        <v>28.569022</v>
      </c>
      <c r="P1135">
        <v>-16.324539</v>
      </c>
      <c r="Q1135" s="5" t="s">
        <v>396</v>
      </c>
      <c r="R1135" s="10">
        <f t="shared" si="10"/>
        <v>53</v>
      </c>
      <c r="S1135" s="5" t="s">
        <v>5647</v>
      </c>
      <c r="T1135" s="5" t="s">
        <v>1040</v>
      </c>
      <c r="U1135" s="5" t="s">
        <v>3388</v>
      </c>
      <c r="V1135" s="5" t="s">
        <v>5648</v>
      </c>
    </row>
    <row r="1136" ht="12.75" customHeight="1">
      <c r="A1136" s="5">
        <v>34510.0</v>
      </c>
      <c r="B1136" s="5" t="s">
        <v>68</v>
      </c>
      <c r="C1136" s="5" t="s">
        <v>69</v>
      </c>
      <c r="D1136" s="5" t="s">
        <v>2614</v>
      </c>
      <c r="E1136" s="7" t="s">
        <v>5649</v>
      </c>
      <c r="F1136" s="5" t="s">
        <v>5506</v>
      </c>
      <c r="G1136" s="5" t="s">
        <v>5645</v>
      </c>
      <c r="H1136" s="5">
        <v>2008.0</v>
      </c>
      <c r="I1136" s="5">
        <v>0.0</v>
      </c>
      <c r="J1136" s="5">
        <v>0.0</v>
      </c>
      <c r="K1136" s="5">
        <v>1.0</v>
      </c>
      <c r="L1136" s="54"/>
      <c r="M1136" s="5" t="s">
        <v>5650</v>
      </c>
      <c r="N1136" s="53" t="s">
        <v>2700</v>
      </c>
      <c r="O1136">
        <v>35.508622</v>
      </c>
      <c r="P1136">
        <v>12.59292</v>
      </c>
      <c r="Q1136" s="5" t="s">
        <v>669</v>
      </c>
      <c r="R1136" s="10">
        <f t="shared" si="10"/>
        <v>3843</v>
      </c>
      <c r="S1136" s="5" t="s">
        <v>5651</v>
      </c>
      <c r="T1136" s="6" t="s">
        <v>2130</v>
      </c>
      <c r="U1136" s="5" t="s">
        <v>2326</v>
      </c>
      <c r="V1136" s="5" t="s">
        <v>5652</v>
      </c>
    </row>
    <row r="1137" ht="12.75" customHeight="1">
      <c r="A1137" s="5">
        <v>34511.0</v>
      </c>
      <c r="B1137" s="5" t="s">
        <v>68</v>
      </c>
      <c r="C1137" s="5" t="s">
        <v>69</v>
      </c>
      <c r="D1137" s="5" t="s">
        <v>2614</v>
      </c>
      <c r="E1137" s="7" t="s">
        <v>5653</v>
      </c>
      <c r="F1137" s="5" t="s">
        <v>5506</v>
      </c>
      <c r="G1137" s="5" t="s">
        <v>5645</v>
      </c>
      <c r="H1137" s="5">
        <v>2008.0</v>
      </c>
      <c r="I1137" s="5">
        <v>0.0</v>
      </c>
      <c r="J1137" s="5">
        <v>0.0</v>
      </c>
      <c r="K1137" s="5">
        <v>1.0</v>
      </c>
      <c r="L1137" s="54"/>
      <c r="M1137" s="5" t="s">
        <v>5654</v>
      </c>
      <c r="N1137" s="53" t="s">
        <v>5655</v>
      </c>
      <c r="O1137">
        <v>38.017618</v>
      </c>
      <c r="P1137">
        <v>12.537202</v>
      </c>
      <c r="Q1137" s="5" t="s">
        <v>991</v>
      </c>
      <c r="R1137" s="10">
        <f t="shared" si="10"/>
        <v>5</v>
      </c>
      <c r="S1137" s="5" t="s">
        <v>5656</v>
      </c>
      <c r="T1137" s="6" t="s">
        <v>2130</v>
      </c>
      <c r="U1137" s="5" t="s">
        <v>2326</v>
      </c>
      <c r="V1137" s="5" t="s">
        <v>5657</v>
      </c>
    </row>
    <row r="1138" ht="12.75" customHeight="1">
      <c r="A1138" s="5">
        <v>34512.0</v>
      </c>
      <c r="B1138" s="5" t="s">
        <v>68</v>
      </c>
      <c r="C1138" s="5" t="s">
        <v>69</v>
      </c>
      <c r="D1138" s="5" t="s">
        <v>2614</v>
      </c>
      <c r="E1138" s="7" t="s">
        <v>5658</v>
      </c>
      <c r="F1138" s="5" t="s">
        <v>5506</v>
      </c>
      <c r="G1138" s="5" t="s">
        <v>5645</v>
      </c>
      <c r="H1138" s="5">
        <v>2008.0</v>
      </c>
      <c r="I1138" s="5">
        <v>0.0</v>
      </c>
      <c r="J1138" s="5">
        <v>0.0</v>
      </c>
      <c r="K1138" s="5">
        <v>1.0</v>
      </c>
      <c r="L1138" s="54"/>
      <c r="M1138" s="5" t="s">
        <v>5659</v>
      </c>
      <c r="N1138" s="53" t="s">
        <v>5660</v>
      </c>
      <c r="O1138">
        <v>34.916667</v>
      </c>
      <c r="P1138">
        <v>33.633333</v>
      </c>
      <c r="Q1138" s="5" t="s">
        <v>605</v>
      </c>
      <c r="R1138" s="10">
        <f t="shared" si="10"/>
        <v>1</v>
      </c>
      <c r="S1138" s="5" t="s">
        <v>5661</v>
      </c>
      <c r="T1138" s="5"/>
      <c r="U1138" s="5" t="s">
        <v>5662</v>
      </c>
      <c r="V1138" s="5" t="s">
        <v>5663</v>
      </c>
    </row>
    <row r="1139" ht="12.75" customHeight="1">
      <c r="A1139" s="5">
        <v>34513.0</v>
      </c>
      <c r="B1139" s="5" t="s">
        <v>68</v>
      </c>
      <c r="C1139" s="5" t="s">
        <v>69</v>
      </c>
      <c r="D1139" s="5" t="s">
        <v>2614</v>
      </c>
      <c r="E1139" s="7" t="s">
        <v>5664</v>
      </c>
      <c r="F1139" s="5" t="s">
        <v>5506</v>
      </c>
      <c r="G1139" s="5" t="s">
        <v>5645</v>
      </c>
      <c r="H1139" s="5">
        <v>2008.0</v>
      </c>
      <c r="I1139" s="5">
        <v>0.0</v>
      </c>
      <c r="J1139" s="5">
        <v>0.0</v>
      </c>
      <c r="K1139" s="5">
        <v>3.0</v>
      </c>
      <c r="L1139" s="54"/>
      <c r="M1139" s="5" t="s">
        <v>5665</v>
      </c>
      <c r="N1139" s="53" t="s">
        <v>5666</v>
      </c>
      <c r="O1139">
        <v>27.759555</v>
      </c>
      <c r="P1139">
        <v>-15.57903</v>
      </c>
      <c r="Q1139" s="5" t="s">
        <v>353</v>
      </c>
      <c r="R1139" s="10">
        <f t="shared" si="10"/>
        <v>5</v>
      </c>
      <c r="S1139" s="5" t="s">
        <v>5667</v>
      </c>
      <c r="T1139" s="5" t="s">
        <v>1040</v>
      </c>
      <c r="U1139" s="5" t="s">
        <v>2635</v>
      </c>
      <c r="V1139" s="5" t="s">
        <v>5668</v>
      </c>
    </row>
    <row r="1140" ht="12.75" customHeight="1">
      <c r="A1140" s="5">
        <v>34516.0</v>
      </c>
      <c r="B1140" s="5" t="s">
        <v>1076</v>
      </c>
      <c r="C1140" s="52" t="s">
        <v>50</v>
      </c>
      <c r="D1140" s="5" t="s">
        <v>2852</v>
      </c>
      <c r="E1140" s="7" t="s">
        <v>5664</v>
      </c>
      <c r="F1140" s="5" t="s">
        <v>5506</v>
      </c>
      <c r="G1140" s="5" t="s">
        <v>5645</v>
      </c>
      <c r="H1140" s="5">
        <v>2008.0</v>
      </c>
      <c r="I1140" s="5">
        <v>0.0</v>
      </c>
      <c r="J1140" s="5">
        <v>0.0</v>
      </c>
      <c r="K1140" s="5">
        <v>2.0</v>
      </c>
      <c r="L1140" s="54"/>
      <c r="M1140" s="5" t="s">
        <v>5669</v>
      </c>
      <c r="N1140" s="53" t="s">
        <v>5670</v>
      </c>
      <c r="O1140">
        <v>34.745159</v>
      </c>
      <c r="P1140">
        <v>10.7613</v>
      </c>
      <c r="Q1140" s="5" t="s">
        <v>594</v>
      </c>
      <c r="R1140" s="10">
        <f t="shared" si="10"/>
        <v>239</v>
      </c>
      <c r="S1140" s="5" t="s">
        <v>5671</v>
      </c>
      <c r="T1140" s="6" t="s">
        <v>2130</v>
      </c>
      <c r="U1140" s="5" t="s">
        <v>5672</v>
      </c>
      <c r="V1140" s="5" t="s">
        <v>5673</v>
      </c>
    </row>
    <row r="1141" ht="12.75" customHeight="1">
      <c r="A1141" s="5">
        <v>34515.0</v>
      </c>
      <c r="B1141" s="5" t="s">
        <v>49</v>
      </c>
      <c r="C1141" s="52" t="s">
        <v>50</v>
      </c>
      <c r="D1141" s="5" t="s">
        <v>2852</v>
      </c>
      <c r="E1141" s="7" t="s">
        <v>5664</v>
      </c>
      <c r="F1141" s="5" t="s">
        <v>5506</v>
      </c>
      <c r="G1141" s="5" t="s">
        <v>5645</v>
      </c>
      <c r="H1141" s="5">
        <v>2008.0</v>
      </c>
      <c r="I1141" s="5">
        <v>0.0</v>
      </c>
      <c r="J1141" s="5">
        <v>0.0</v>
      </c>
      <c r="K1141" s="5">
        <v>5.0</v>
      </c>
      <c r="L1141" s="54"/>
      <c r="M1141" s="5" t="s">
        <v>5674</v>
      </c>
      <c r="N1141" s="53" t="s">
        <v>2938</v>
      </c>
      <c r="O1141">
        <v>35.937496</v>
      </c>
      <c r="P1141">
        <v>14.375416</v>
      </c>
      <c r="Q1141" s="5" t="s">
        <v>740</v>
      </c>
      <c r="R1141" s="10">
        <f t="shared" si="10"/>
        <v>655</v>
      </c>
      <c r="S1141" s="5" t="s">
        <v>5675</v>
      </c>
      <c r="T1141" s="6" t="s">
        <v>2130</v>
      </c>
      <c r="U1141" s="5" t="s">
        <v>5382</v>
      </c>
      <c r="V1141" s="5"/>
    </row>
    <row r="1142" ht="12.75" customHeight="1">
      <c r="A1142" s="5">
        <v>34514.0</v>
      </c>
      <c r="B1142" s="5" t="s">
        <v>68</v>
      </c>
      <c r="C1142" s="5" t="s">
        <v>69</v>
      </c>
      <c r="D1142" s="5" t="s">
        <v>2614</v>
      </c>
      <c r="E1142" s="7" t="s">
        <v>5664</v>
      </c>
      <c r="F1142" s="5" t="s">
        <v>5506</v>
      </c>
      <c r="G1142" s="5" t="s">
        <v>5645</v>
      </c>
      <c r="H1142" s="5">
        <v>2008.0</v>
      </c>
      <c r="I1142" s="5">
        <v>0.0</v>
      </c>
      <c r="J1142" s="5">
        <v>0.0</v>
      </c>
      <c r="K1142" s="5">
        <v>5.0</v>
      </c>
      <c r="L1142" s="54"/>
      <c r="M1142" s="5" t="s">
        <v>5676</v>
      </c>
      <c r="N1142" s="53" t="s">
        <v>2938</v>
      </c>
      <c r="O1142">
        <v>35.937496</v>
      </c>
      <c r="P1142">
        <v>14.375416</v>
      </c>
      <c r="Q1142" s="5" t="s">
        <v>740</v>
      </c>
      <c r="R1142" s="10">
        <f t="shared" si="10"/>
        <v>655</v>
      </c>
      <c r="S1142" s="5" t="s">
        <v>5675</v>
      </c>
      <c r="T1142" s="6" t="s">
        <v>2130</v>
      </c>
      <c r="U1142" s="5" t="s">
        <v>2143</v>
      </c>
      <c r="V1142" s="5" t="s">
        <v>5677</v>
      </c>
    </row>
    <row r="1143" ht="12.75" customHeight="1">
      <c r="A1143" s="5">
        <v>34517.0</v>
      </c>
      <c r="B1143" s="5" t="s">
        <v>2040</v>
      </c>
      <c r="C1143" s="52" t="s">
        <v>50</v>
      </c>
      <c r="D1143" s="5" t="s">
        <v>2852</v>
      </c>
      <c r="E1143" s="7" t="s">
        <v>5678</v>
      </c>
      <c r="F1143" s="5" t="s">
        <v>5506</v>
      </c>
      <c r="G1143" s="5" t="s">
        <v>5645</v>
      </c>
      <c r="H1143" s="5">
        <v>2008.0</v>
      </c>
      <c r="I1143" s="5">
        <v>0.0</v>
      </c>
      <c r="J1143" s="5">
        <v>0.0</v>
      </c>
      <c r="K1143" s="5">
        <v>3.0</v>
      </c>
      <c r="L1143" s="54"/>
      <c r="M1143" s="5" t="s">
        <v>5679</v>
      </c>
      <c r="N1143" s="53" t="s">
        <v>5367</v>
      </c>
      <c r="O1143">
        <v>28.291564</v>
      </c>
      <c r="P1143">
        <v>-16.62913</v>
      </c>
      <c r="Q1143" s="5" t="s">
        <v>382</v>
      </c>
      <c r="R1143" s="10">
        <f t="shared" si="10"/>
        <v>1120</v>
      </c>
      <c r="S1143" s="5" t="s">
        <v>5680</v>
      </c>
      <c r="T1143" s="5" t="s">
        <v>1040</v>
      </c>
      <c r="U1143" s="5" t="s">
        <v>5681</v>
      </c>
      <c r="V1143" s="5"/>
    </row>
    <row r="1144" ht="12.75" customHeight="1">
      <c r="A1144" s="5">
        <v>34518.0</v>
      </c>
      <c r="B1144" s="5" t="s">
        <v>68</v>
      </c>
      <c r="C1144" s="5" t="s">
        <v>69</v>
      </c>
      <c r="D1144" s="5" t="s">
        <v>2614</v>
      </c>
      <c r="E1144" s="7" t="s">
        <v>5682</v>
      </c>
      <c r="F1144" s="5" t="s">
        <v>5506</v>
      </c>
      <c r="G1144" s="5" t="s">
        <v>5645</v>
      </c>
      <c r="H1144" s="5">
        <v>2008.0</v>
      </c>
      <c r="I1144" s="5">
        <v>0.0</v>
      </c>
      <c r="J1144" s="5">
        <v>0.0</v>
      </c>
      <c r="K1144" s="5">
        <v>28.0</v>
      </c>
      <c r="L1144" s="54"/>
      <c r="M1144" s="5" t="s">
        <v>5683</v>
      </c>
      <c r="N1144" s="53" t="s">
        <v>2938</v>
      </c>
      <c r="O1144">
        <v>35.937496</v>
      </c>
      <c r="P1144">
        <v>14.375416</v>
      </c>
      <c r="Q1144" s="5" t="s">
        <v>740</v>
      </c>
      <c r="R1144" s="10">
        <f t="shared" si="10"/>
        <v>655</v>
      </c>
      <c r="S1144" s="5" t="s">
        <v>5684</v>
      </c>
      <c r="T1144" s="6" t="s">
        <v>2130</v>
      </c>
      <c r="U1144" s="5" t="s">
        <v>2143</v>
      </c>
      <c r="V1144" s="5" t="s">
        <v>5685</v>
      </c>
    </row>
    <row r="1145" ht="12.75" customHeight="1">
      <c r="A1145" s="5">
        <v>34519.0</v>
      </c>
      <c r="B1145" s="5" t="s">
        <v>1995</v>
      </c>
      <c r="C1145" s="52" t="s">
        <v>50</v>
      </c>
      <c r="D1145" s="5" t="s">
        <v>2852</v>
      </c>
      <c r="E1145" s="7" t="s">
        <v>5682</v>
      </c>
      <c r="F1145" s="5" t="s">
        <v>5506</v>
      </c>
      <c r="G1145" s="5" t="s">
        <v>5645</v>
      </c>
      <c r="H1145" s="5">
        <v>2008.0</v>
      </c>
      <c r="I1145" s="5">
        <v>0.0</v>
      </c>
      <c r="J1145" s="5">
        <v>0.0</v>
      </c>
      <c r="K1145" s="5">
        <v>1.0</v>
      </c>
      <c r="L1145" s="54"/>
      <c r="M1145" s="5" t="s">
        <v>5686</v>
      </c>
      <c r="N1145" s="53" t="s">
        <v>5687</v>
      </c>
      <c r="O1145">
        <v>43.77268</v>
      </c>
      <c r="P1145">
        <v>11.253604</v>
      </c>
      <c r="Q1145" s="5" t="s">
        <v>1288</v>
      </c>
      <c r="R1145" s="10">
        <f t="shared" si="10"/>
        <v>1</v>
      </c>
      <c r="S1145" s="5" t="s">
        <v>5688</v>
      </c>
      <c r="T1145" s="5"/>
      <c r="U1145" s="5" t="s">
        <v>5689</v>
      </c>
      <c r="V1145" s="5"/>
    </row>
    <row r="1146" ht="12.75" customHeight="1">
      <c r="A1146" s="5">
        <v>34520.0</v>
      </c>
      <c r="B1146" s="5" t="s">
        <v>49</v>
      </c>
      <c r="C1146" s="52" t="s">
        <v>50</v>
      </c>
      <c r="D1146" s="5" t="s">
        <v>2852</v>
      </c>
      <c r="E1146" s="7" t="s">
        <v>5690</v>
      </c>
      <c r="F1146" s="5" t="s">
        <v>5506</v>
      </c>
      <c r="G1146" s="5" t="s">
        <v>5645</v>
      </c>
      <c r="H1146" s="5">
        <v>2008.0</v>
      </c>
      <c r="I1146" s="5">
        <v>0.0</v>
      </c>
      <c r="J1146" s="5">
        <v>0.0</v>
      </c>
      <c r="K1146" s="5">
        <v>1.0</v>
      </c>
      <c r="L1146" s="54"/>
      <c r="M1146" s="5" t="s">
        <v>5691</v>
      </c>
      <c r="N1146" s="53" t="s">
        <v>5692</v>
      </c>
      <c r="O1146">
        <v>36.926927</v>
      </c>
      <c r="P1146">
        <v>14.725513</v>
      </c>
      <c r="Q1146" s="5" t="s">
        <v>887</v>
      </c>
      <c r="R1146" s="10">
        <f t="shared" si="10"/>
        <v>58</v>
      </c>
      <c r="S1146" s="5" t="s">
        <v>5693</v>
      </c>
      <c r="T1146" s="6" t="s">
        <v>2130</v>
      </c>
      <c r="U1146" s="5" t="s">
        <v>5694</v>
      </c>
      <c r="V1146" s="5" t="s">
        <v>5695</v>
      </c>
    </row>
    <row r="1147" ht="12.75" customHeight="1">
      <c r="A1147" s="5">
        <v>34522.0</v>
      </c>
      <c r="B1147" s="5" t="s">
        <v>49</v>
      </c>
      <c r="C1147" s="52" t="s">
        <v>50</v>
      </c>
      <c r="D1147" s="5" t="s">
        <v>2852</v>
      </c>
      <c r="E1147" s="7" t="s">
        <v>5696</v>
      </c>
      <c r="F1147" s="5" t="s">
        <v>5506</v>
      </c>
      <c r="G1147" s="5" t="s">
        <v>5645</v>
      </c>
      <c r="H1147" s="5">
        <v>2008.0</v>
      </c>
      <c r="I1147" s="5">
        <v>0.0</v>
      </c>
      <c r="J1147" s="5">
        <v>0.0</v>
      </c>
      <c r="K1147" s="5">
        <v>1.0</v>
      </c>
      <c r="L1147" s="54"/>
      <c r="M1147" s="5" t="s">
        <v>5697</v>
      </c>
      <c r="N1147" s="53" t="s">
        <v>2938</v>
      </c>
      <c r="O1147">
        <v>35.937496</v>
      </c>
      <c r="P1147">
        <v>14.375416</v>
      </c>
      <c r="Q1147" s="5" t="s">
        <v>740</v>
      </c>
      <c r="R1147" s="10">
        <f t="shared" si="10"/>
        <v>655</v>
      </c>
      <c r="S1147" s="5" t="s">
        <v>5698</v>
      </c>
      <c r="T1147" s="6" t="s">
        <v>2130</v>
      </c>
      <c r="U1147" s="5" t="s">
        <v>5438</v>
      </c>
      <c r="V1147" s="5" t="s">
        <v>5699</v>
      </c>
    </row>
    <row r="1148" ht="12.75" customHeight="1">
      <c r="A1148" s="5">
        <v>34521.0</v>
      </c>
      <c r="B1148" s="5" t="s">
        <v>49</v>
      </c>
      <c r="C1148" s="52" t="s">
        <v>50</v>
      </c>
      <c r="D1148" s="5" t="s">
        <v>2852</v>
      </c>
      <c r="E1148" s="7" t="s">
        <v>5696</v>
      </c>
      <c r="F1148" s="5" t="s">
        <v>5506</v>
      </c>
      <c r="G1148" s="5" t="s">
        <v>5645</v>
      </c>
      <c r="H1148" s="5">
        <v>2008.0</v>
      </c>
      <c r="I1148" s="5">
        <v>0.0</v>
      </c>
      <c r="J1148" s="5">
        <v>0.0</v>
      </c>
      <c r="K1148" s="5">
        <v>2.0</v>
      </c>
      <c r="L1148" s="54"/>
      <c r="M1148" s="5" t="s">
        <v>5700</v>
      </c>
      <c r="N1148" s="53" t="s">
        <v>5701</v>
      </c>
      <c r="O1148">
        <v>36.60709</v>
      </c>
      <c r="P1148">
        <v>2.196783</v>
      </c>
      <c r="Q1148" s="5" t="s">
        <v>808</v>
      </c>
      <c r="R1148" s="10">
        <f t="shared" si="10"/>
        <v>2</v>
      </c>
      <c r="S1148" s="5" t="s">
        <v>5702</v>
      </c>
      <c r="T1148" s="6" t="s">
        <v>72</v>
      </c>
      <c r="U1148" s="5" t="s">
        <v>4504</v>
      </c>
      <c r="V1148" s="5" t="s">
        <v>5703</v>
      </c>
    </row>
    <row r="1149" ht="12.75" customHeight="1">
      <c r="A1149" s="5">
        <v>34524.0</v>
      </c>
      <c r="B1149" s="5" t="s">
        <v>49</v>
      </c>
      <c r="C1149" s="52" t="s">
        <v>50</v>
      </c>
      <c r="D1149" s="5" t="s">
        <v>2852</v>
      </c>
      <c r="E1149" s="7" t="s">
        <v>5704</v>
      </c>
      <c r="F1149" s="5" t="s">
        <v>5506</v>
      </c>
      <c r="G1149" s="5" t="s">
        <v>5645</v>
      </c>
      <c r="H1149" s="5">
        <v>2008.0</v>
      </c>
      <c r="I1149" s="5">
        <v>0.0</v>
      </c>
      <c r="J1149" s="5">
        <v>0.0</v>
      </c>
      <c r="K1149" s="5">
        <v>12.0</v>
      </c>
      <c r="L1149" s="54"/>
      <c r="M1149" s="5" t="s">
        <v>5705</v>
      </c>
      <c r="N1149" s="53" t="s">
        <v>2938</v>
      </c>
      <c r="O1149">
        <v>35.937496</v>
      </c>
      <c r="P1149">
        <v>14.375416</v>
      </c>
      <c r="Q1149" s="5" t="s">
        <v>740</v>
      </c>
      <c r="R1149" s="10">
        <f t="shared" si="10"/>
        <v>655</v>
      </c>
      <c r="S1149" s="5" t="s">
        <v>5706</v>
      </c>
      <c r="T1149" s="6" t="s">
        <v>2130</v>
      </c>
      <c r="U1149" s="5" t="s">
        <v>5382</v>
      </c>
      <c r="V1149" s="5"/>
    </row>
    <row r="1150" ht="12.75" customHeight="1">
      <c r="A1150" s="5">
        <v>34523.0</v>
      </c>
      <c r="B1150" s="5" t="s">
        <v>68</v>
      </c>
      <c r="C1150" s="5" t="s">
        <v>69</v>
      </c>
      <c r="D1150" s="5" t="s">
        <v>2614</v>
      </c>
      <c r="E1150" s="7" t="s">
        <v>5704</v>
      </c>
      <c r="F1150" s="5" t="s">
        <v>5506</v>
      </c>
      <c r="G1150" s="5" t="s">
        <v>5645</v>
      </c>
      <c r="H1150" s="5">
        <v>2008.0</v>
      </c>
      <c r="I1150" s="5">
        <v>0.0</v>
      </c>
      <c r="J1150" s="5">
        <v>0.0</v>
      </c>
      <c r="K1150" s="5">
        <v>2.0</v>
      </c>
      <c r="L1150" s="54"/>
      <c r="M1150" s="5" t="s">
        <v>5707</v>
      </c>
      <c r="N1150" s="53" t="s">
        <v>3340</v>
      </c>
      <c r="O1150">
        <v>37.743215</v>
      </c>
      <c r="P1150">
        <v>26.820351</v>
      </c>
      <c r="Q1150" s="5" t="s">
        <v>956</v>
      </c>
      <c r="R1150" s="10">
        <f t="shared" si="10"/>
        <v>218</v>
      </c>
      <c r="S1150" s="5" t="s">
        <v>5708</v>
      </c>
      <c r="T1150" s="6" t="s">
        <v>53</v>
      </c>
      <c r="U1150" s="5" t="s">
        <v>5709</v>
      </c>
      <c r="V1150" s="5" t="s">
        <v>5710</v>
      </c>
    </row>
    <row r="1151" ht="12.75" customHeight="1">
      <c r="A1151" s="5">
        <v>34525.0</v>
      </c>
      <c r="B1151" s="5" t="s">
        <v>49</v>
      </c>
      <c r="C1151" s="52" t="s">
        <v>50</v>
      </c>
      <c r="D1151" s="5" t="s">
        <v>2614</v>
      </c>
      <c r="E1151" s="7" t="s">
        <v>5711</v>
      </c>
      <c r="F1151" s="5" t="s">
        <v>5506</v>
      </c>
      <c r="G1151" s="5" t="s">
        <v>5645</v>
      </c>
      <c r="H1151" s="5">
        <v>2008.0</v>
      </c>
      <c r="I1151" s="5">
        <v>0.0</v>
      </c>
      <c r="J1151" s="5">
        <v>0.0</v>
      </c>
      <c r="K1151" s="5">
        <v>21.0</v>
      </c>
      <c r="L1151" s="54"/>
      <c r="M1151" s="5" t="s">
        <v>5712</v>
      </c>
      <c r="N1151" s="53" t="s">
        <v>3340</v>
      </c>
      <c r="O1151">
        <v>37.743215</v>
      </c>
      <c r="P1151">
        <v>26.820351</v>
      </c>
      <c r="Q1151" s="5" t="s">
        <v>956</v>
      </c>
      <c r="R1151" s="10">
        <f t="shared" si="10"/>
        <v>218</v>
      </c>
      <c r="S1151" s="5" t="s">
        <v>5713</v>
      </c>
      <c r="T1151" s="6" t="s">
        <v>53</v>
      </c>
      <c r="U1151" s="5" t="s">
        <v>92</v>
      </c>
      <c r="V1151" s="5" t="s">
        <v>5714</v>
      </c>
    </row>
    <row r="1152" ht="12.75" customHeight="1">
      <c r="A1152" s="5">
        <v>34526.0</v>
      </c>
      <c r="B1152" s="5" t="s">
        <v>49</v>
      </c>
      <c r="C1152" s="52" t="s">
        <v>50</v>
      </c>
      <c r="D1152" s="5" t="s">
        <v>2852</v>
      </c>
      <c r="E1152" s="7" t="s">
        <v>5715</v>
      </c>
      <c r="F1152" s="5" t="s">
        <v>5506</v>
      </c>
      <c r="G1152" s="5" t="s">
        <v>5645</v>
      </c>
      <c r="H1152" s="5">
        <v>2008.0</v>
      </c>
      <c r="I1152" s="5">
        <v>0.0</v>
      </c>
      <c r="J1152" s="5">
        <v>0.0</v>
      </c>
      <c r="K1152" s="5">
        <v>1.0</v>
      </c>
      <c r="L1152" s="54"/>
      <c r="M1152" s="5" t="s">
        <v>5716</v>
      </c>
      <c r="N1152" s="53" t="s">
        <v>5717</v>
      </c>
      <c r="O1152">
        <v>35.825556</v>
      </c>
      <c r="P1152">
        <v>14.528056</v>
      </c>
      <c r="Q1152" s="5" t="s">
        <v>701</v>
      </c>
      <c r="R1152" s="10">
        <f t="shared" si="10"/>
        <v>1</v>
      </c>
      <c r="S1152" s="5" t="s">
        <v>5718</v>
      </c>
      <c r="T1152" s="6" t="s">
        <v>2130</v>
      </c>
      <c r="U1152" s="5" t="s">
        <v>3483</v>
      </c>
      <c r="V1152" s="5"/>
    </row>
    <row r="1153" ht="12.75" customHeight="1">
      <c r="A1153" s="5">
        <v>34529.0</v>
      </c>
      <c r="B1153" s="5" t="s">
        <v>68</v>
      </c>
      <c r="C1153" s="5" t="s">
        <v>69</v>
      </c>
      <c r="D1153" s="5" t="s">
        <v>2852</v>
      </c>
      <c r="E1153" s="7" t="s">
        <v>5719</v>
      </c>
      <c r="F1153" s="5" t="s">
        <v>5506</v>
      </c>
      <c r="G1153" s="5" t="s">
        <v>5645</v>
      </c>
      <c r="H1153" s="5">
        <v>2008.0</v>
      </c>
      <c r="I1153" s="5">
        <v>0.0</v>
      </c>
      <c r="J1153" s="5">
        <v>0.0</v>
      </c>
      <c r="K1153" s="5">
        <v>1.0</v>
      </c>
      <c r="L1153" s="54"/>
      <c r="M1153" s="5" t="s">
        <v>5720</v>
      </c>
      <c r="N1153" s="53" t="s">
        <v>2718</v>
      </c>
      <c r="O1153">
        <v>35.292278</v>
      </c>
      <c r="P1153">
        <v>-2.938097</v>
      </c>
      <c r="Q1153" s="5" t="s">
        <v>649</v>
      </c>
      <c r="R1153" s="10">
        <f t="shared" si="10"/>
        <v>79</v>
      </c>
      <c r="S1153" s="5" t="s">
        <v>5721</v>
      </c>
      <c r="T1153" s="6" t="s">
        <v>72</v>
      </c>
      <c r="U1153" s="5" t="s">
        <v>5722</v>
      </c>
      <c r="V1153" s="5"/>
    </row>
    <row r="1154" ht="12.75" customHeight="1">
      <c r="A1154" s="5">
        <v>34527.0</v>
      </c>
      <c r="B1154" s="5" t="s">
        <v>68</v>
      </c>
      <c r="C1154" s="5" t="s">
        <v>69</v>
      </c>
      <c r="D1154" s="5" t="s">
        <v>2614</v>
      </c>
      <c r="E1154" s="7" t="s">
        <v>5719</v>
      </c>
      <c r="F1154" s="5" t="s">
        <v>5506</v>
      </c>
      <c r="G1154" s="5" t="s">
        <v>5645</v>
      </c>
      <c r="H1154" s="5">
        <v>2008.0</v>
      </c>
      <c r="I1154" s="5">
        <v>0.0</v>
      </c>
      <c r="J1154" s="5">
        <v>0.0</v>
      </c>
      <c r="K1154" s="5">
        <v>50.0</v>
      </c>
      <c r="L1154" s="54"/>
      <c r="M1154" s="5" t="s">
        <v>5723</v>
      </c>
      <c r="N1154" s="53" t="s">
        <v>3050</v>
      </c>
      <c r="O1154">
        <v>35.77718</v>
      </c>
      <c r="P1154">
        <v>10.8261</v>
      </c>
      <c r="Q1154" s="5" t="s">
        <v>696</v>
      </c>
      <c r="R1154" s="10">
        <f t="shared" si="10"/>
        <v>53</v>
      </c>
      <c r="S1154" s="5" t="s">
        <v>5724</v>
      </c>
      <c r="T1154" s="6" t="s">
        <v>2130</v>
      </c>
      <c r="U1154" s="5" t="s">
        <v>92</v>
      </c>
      <c r="V1154" s="5" t="s">
        <v>5725</v>
      </c>
    </row>
    <row r="1155" ht="12.75" customHeight="1">
      <c r="A1155" s="5">
        <v>34530.0</v>
      </c>
      <c r="B1155" s="5" t="s">
        <v>763</v>
      </c>
      <c r="C1155" s="5" t="s">
        <v>124</v>
      </c>
      <c r="D1155" s="5" t="s">
        <v>2852</v>
      </c>
      <c r="E1155" s="7" t="s">
        <v>5719</v>
      </c>
      <c r="F1155" s="5" t="s">
        <v>5506</v>
      </c>
      <c r="G1155" s="5" t="s">
        <v>5645</v>
      </c>
      <c r="H1155" s="5">
        <v>2008.0</v>
      </c>
      <c r="I1155" s="5">
        <v>0.0</v>
      </c>
      <c r="J1155" s="5">
        <v>0.0</v>
      </c>
      <c r="K1155" s="5">
        <v>1.0</v>
      </c>
      <c r="L1155" s="54"/>
      <c r="M1155" s="5" t="s">
        <v>5726</v>
      </c>
      <c r="N1155" s="53" t="s">
        <v>4054</v>
      </c>
      <c r="O1155">
        <v>35.964373</v>
      </c>
      <c r="P1155">
        <v>-5.196533</v>
      </c>
      <c r="Q1155" s="5" t="s">
        <v>744</v>
      </c>
      <c r="R1155" s="10">
        <f t="shared" si="10"/>
        <v>63</v>
      </c>
      <c r="S1155" s="5" t="s">
        <v>5727</v>
      </c>
      <c r="T1155" s="6" t="s">
        <v>72</v>
      </c>
      <c r="U1155" s="5" t="s">
        <v>5482</v>
      </c>
      <c r="V1155" s="5"/>
    </row>
    <row r="1156" ht="12.75" customHeight="1">
      <c r="A1156" s="5">
        <v>34531.0</v>
      </c>
      <c r="B1156" s="5" t="s">
        <v>1076</v>
      </c>
      <c r="C1156" s="52" t="s">
        <v>50</v>
      </c>
      <c r="D1156" s="5" t="s">
        <v>2852</v>
      </c>
      <c r="E1156" s="7" t="s">
        <v>5719</v>
      </c>
      <c r="F1156" s="5" t="s">
        <v>5506</v>
      </c>
      <c r="G1156" s="5" t="s">
        <v>5645</v>
      </c>
      <c r="H1156" s="5">
        <v>2008.0</v>
      </c>
      <c r="I1156" s="5">
        <v>0.0</v>
      </c>
      <c r="J1156" s="5">
        <v>0.0</v>
      </c>
      <c r="K1156" s="5">
        <v>18.0</v>
      </c>
      <c r="L1156" s="54"/>
      <c r="M1156" s="5" t="s">
        <v>5728</v>
      </c>
      <c r="N1156" s="53" t="s">
        <v>5392</v>
      </c>
      <c r="O1156">
        <v>41.00527</v>
      </c>
      <c r="P1156">
        <v>28.97696</v>
      </c>
      <c r="Q1156" s="5" t="s">
        <v>1180</v>
      </c>
      <c r="R1156" s="10">
        <f t="shared" si="10"/>
        <v>47</v>
      </c>
      <c r="S1156" s="5" t="s">
        <v>5729</v>
      </c>
      <c r="T1156" s="6" t="s">
        <v>53</v>
      </c>
      <c r="U1156" s="5" t="s">
        <v>5730</v>
      </c>
      <c r="V1156" s="5"/>
    </row>
    <row r="1157" ht="12.75" customHeight="1">
      <c r="A1157" s="5">
        <v>34528.0</v>
      </c>
      <c r="B1157" s="5" t="s">
        <v>49</v>
      </c>
      <c r="C1157" s="52" t="s">
        <v>50</v>
      </c>
      <c r="D1157" s="5" t="s">
        <v>2852</v>
      </c>
      <c r="E1157" s="7" t="s">
        <v>5719</v>
      </c>
      <c r="F1157" s="5" t="s">
        <v>5506</v>
      </c>
      <c r="G1157" s="5" t="s">
        <v>5645</v>
      </c>
      <c r="H1157" s="5">
        <v>2008.0</v>
      </c>
      <c r="I1157" s="5">
        <v>0.0</v>
      </c>
      <c r="J1157" s="5">
        <v>0.0</v>
      </c>
      <c r="K1157" s="5">
        <v>4.0</v>
      </c>
      <c r="L1157" s="54"/>
      <c r="M1157" s="5" t="s">
        <v>5731</v>
      </c>
      <c r="N1157" s="53" t="s">
        <v>2834</v>
      </c>
      <c r="O1157">
        <v>41.244376</v>
      </c>
      <c r="P1157">
        <v>26.135943</v>
      </c>
      <c r="Q1157" s="5" t="s">
        <v>1214</v>
      </c>
      <c r="R1157" s="10">
        <f t="shared" si="10"/>
        <v>188</v>
      </c>
      <c r="S1157" s="5" t="s">
        <v>5732</v>
      </c>
      <c r="T1157" s="6" t="s">
        <v>53</v>
      </c>
      <c r="U1157" s="5" t="s">
        <v>5204</v>
      </c>
      <c r="V1157" s="5"/>
    </row>
    <row r="1158" ht="12.75" customHeight="1">
      <c r="A1158" s="5">
        <v>34532.0</v>
      </c>
      <c r="B1158" s="5" t="s">
        <v>49</v>
      </c>
      <c r="C1158" s="52" t="s">
        <v>50</v>
      </c>
      <c r="D1158" s="5" t="s">
        <v>2852</v>
      </c>
      <c r="E1158" s="7" t="s">
        <v>5733</v>
      </c>
      <c r="F1158" s="5" t="s">
        <v>5506</v>
      </c>
      <c r="G1158" s="5" t="s">
        <v>5645</v>
      </c>
      <c r="H1158" s="5">
        <v>2008.0</v>
      </c>
      <c r="I1158" s="5">
        <v>0.0</v>
      </c>
      <c r="J1158" s="5">
        <v>0.0</v>
      </c>
      <c r="K1158" s="5">
        <v>1.0</v>
      </c>
      <c r="L1158" s="54"/>
      <c r="M1158" s="5" t="s">
        <v>5734</v>
      </c>
      <c r="N1158" s="53" t="s">
        <v>5265</v>
      </c>
      <c r="O1158">
        <v>30.78004</v>
      </c>
      <c r="P1158">
        <v>30.991133</v>
      </c>
      <c r="Q1158" s="5" t="s">
        <v>422</v>
      </c>
      <c r="R1158" s="10">
        <f t="shared" si="10"/>
        <v>2</v>
      </c>
      <c r="S1158" s="5" t="s">
        <v>5735</v>
      </c>
      <c r="T1158" s="6" t="s">
        <v>2130</v>
      </c>
      <c r="U1158" s="5" t="s">
        <v>4504</v>
      </c>
      <c r="V1158" s="5"/>
    </row>
    <row r="1159" ht="12.75" customHeight="1">
      <c r="A1159" s="5">
        <v>34534.0</v>
      </c>
      <c r="B1159" s="5" t="s">
        <v>68</v>
      </c>
      <c r="C1159" s="5" t="s">
        <v>69</v>
      </c>
      <c r="D1159" s="5" t="s">
        <v>2852</v>
      </c>
      <c r="E1159" s="7" t="s">
        <v>5736</v>
      </c>
      <c r="F1159" s="5" t="s">
        <v>5506</v>
      </c>
      <c r="G1159" s="5" t="s">
        <v>5645</v>
      </c>
      <c r="H1159" s="5">
        <v>2008.0</v>
      </c>
      <c r="I1159" s="5">
        <v>0.0</v>
      </c>
      <c r="J1159" s="5">
        <v>0.0</v>
      </c>
      <c r="K1159" s="5">
        <v>1.0</v>
      </c>
      <c r="L1159" s="54"/>
      <c r="M1159" s="5" t="s">
        <v>5737</v>
      </c>
      <c r="N1159" s="53" t="s">
        <v>2718</v>
      </c>
      <c r="O1159">
        <v>35.292278</v>
      </c>
      <c r="P1159">
        <v>-2.938097</v>
      </c>
      <c r="Q1159" s="5" t="s">
        <v>649</v>
      </c>
      <c r="R1159" s="10">
        <f t="shared" si="10"/>
        <v>79</v>
      </c>
      <c r="S1159" s="5" t="s">
        <v>5738</v>
      </c>
      <c r="T1159" s="6" t="s">
        <v>72</v>
      </c>
      <c r="U1159" s="5" t="s">
        <v>5739</v>
      </c>
      <c r="V1159" s="5"/>
    </row>
    <row r="1160" ht="12.75" customHeight="1">
      <c r="A1160" s="5">
        <v>34533.0</v>
      </c>
      <c r="B1160" s="5" t="s">
        <v>68</v>
      </c>
      <c r="C1160" s="5" t="s">
        <v>69</v>
      </c>
      <c r="D1160" s="5" t="s">
        <v>2614</v>
      </c>
      <c r="E1160" s="7" t="s">
        <v>5736</v>
      </c>
      <c r="F1160" s="5" t="s">
        <v>5506</v>
      </c>
      <c r="G1160" s="5" t="s">
        <v>5645</v>
      </c>
      <c r="H1160" s="5">
        <v>2008.0</v>
      </c>
      <c r="I1160" s="5">
        <v>0.0</v>
      </c>
      <c r="J1160" s="5">
        <v>0.0</v>
      </c>
      <c r="K1160" s="5">
        <v>3.0</v>
      </c>
      <c r="L1160" s="54"/>
      <c r="M1160" s="5" t="s">
        <v>5740</v>
      </c>
      <c r="N1160" s="53" t="s">
        <v>5741</v>
      </c>
      <c r="O1160">
        <v>35.834673</v>
      </c>
      <c r="P1160">
        <v>14.552498</v>
      </c>
      <c r="Q1160" s="5" t="s">
        <v>704</v>
      </c>
      <c r="R1160" s="10">
        <f t="shared" si="10"/>
        <v>6</v>
      </c>
      <c r="S1160" s="5" t="s">
        <v>5742</v>
      </c>
      <c r="T1160" s="6" t="s">
        <v>2130</v>
      </c>
      <c r="U1160" s="5" t="s">
        <v>2143</v>
      </c>
      <c r="V1160" s="5" t="s">
        <v>5743</v>
      </c>
    </row>
    <row r="1161" ht="12.75" customHeight="1">
      <c r="A1161" s="5">
        <v>34535.0</v>
      </c>
      <c r="B1161" s="5" t="s">
        <v>2962</v>
      </c>
      <c r="C1161" s="5" t="s">
        <v>211</v>
      </c>
      <c r="D1161" s="5" t="s">
        <v>2852</v>
      </c>
      <c r="E1161" s="7" t="s">
        <v>5736</v>
      </c>
      <c r="F1161" s="5" t="s">
        <v>5506</v>
      </c>
      <c r="G1161" s="5" t="s">
        <v>5645</v>
      </c>
      <c r="H1161" s="5">
        <v>2008.0</v>
      </c>
      <c r="I1161" s="5">
        <v>0.0</v>
      </c>
      <c r="J1161" s="5">
        <v>0.0</v>
      </c>
      <c r="K1161" s="5">
        <v>1.0</v>
      </c>
      <c r="L1161" s="54"/>
      <c r="M1161" s="5" t="s">
        <v>5744</v>
      </c>
      <c r="N1161" s="53" t="s">
        <v>4095</v>
      </c>
      <c r="O1161">
        <v>55.378051</v>
      </c>
      <c r="P1161">
        <v>-3.435973</v>
      </c>
      <c r="Q1161" s="5" t="s">
        <v>1882</v>
      </c>
      <c r="R1161" s="10">
        <f t="shared" si="10"/>
        <v>23</v>
      </c>
      <c r="S1161" s="5" t="s">
        <v>5745</v>
      </c>
      <c r="T1161" s="5"/>
      <c r="U1161" s="5" t="s">
        <v>3219</v>
      </c>
      <c r="V1161" s="5"/>
    </row>
    <row r="1162" ht="12.75" customHeight="1">
      <c r="A1162" s="5">
        <v>34539.0</v>
      </c>
      <c r="B1162" s="5" t="s">
        <v>49</v>
      </c>
      <c r="C1162" s="52" t="s">
        <v>50</v>
      </c>
      <c r="D1162" s="5" t="s">
        <v>2852</v>
      </c>
      <c r="E1162" s="7" t="s">
        <v>5746</v>
      </c>
      <c r="F1162" s="5" t="s">
        <v>5506</v>
      </c>
      <c r="G1162" s="5" t="s">
        <v>5645</v>
      </c>
      <c r="H1162" s="5">
        <v>2008.0</v>
      </c>
      <c r="I1162" s="5">
        <v>0.0</v>
      </c>
      <c r="J1162" s="5">
        <v>0.0</v>
      </c>
      <c r="K1162" s="5">
        <v>13.0</v>
      </c>
      <c r="L1162" s="54"/>
      <c r="M1162" s="5" t="s">
        <v>5747</v>
      </c>
      <c r="N1162" s="53" t="s">
        <v>3295</v>
      </c>
      <c r="O1162">
        <v>26.3351</v>
      </c>
      <c r="P1162">
        <v>17.228331</v>
      </c>
      <c r="Q1162" s="5" t="s">
        <v>337</v>
      </c>
      <c r="R1162" s="10">
        <f t="shared" si="10"/>
        <v>1371</v>
      </c>
      <c r="S1162" s="5" t="s">
        <v>5748</v>
      </c>
      <c r="T1162" s="6" t="s">
        <v>2130</v>
      </c>
      <c r="U1162" s="5" t="s">
        <v>5749</v>
      </c>
      <c r="V1162" s="5"/>
    </row>
    <row r="1163" ht="12.75" customHeight="1">
      <c r="A1163" s="5">
        <v>34536.0</v>
      </c>
      <c r="B1163" s="5" t="s">
        <v>491</v>
      </c>
      <c r="C1163" s="52" t="s">
        <v>50</v>
      </c>
      <c r="D1163" s="5" t="s">
        <v>2614</v>
      </c>
      <c r="E1163" s="7" t="s">
        <v>5746</v>
      </c>
      <c r="F1163" s="5" t="s">
        <v>5506</v>
      </c>
      <c r="G1163" s="5" t="s">
        <v>5645</v>
      </c>
      <c r="H1163" s="5">
        <v>2008.0</v>
      </c>
      <c r="I1163" s="5">
        <v>0.0</v>
      </c>
      <c r="J1163" s="5">
        <v>0.0</v>
      </c>
      <c r="K1163" s="5">
        <v>7.0</v>
      </c>
      <c r="L1163" s="54"/>
      <c r="M1163" s="5" t="s">
        <v>5750</v>
      </c>
      <c r="N1163" s="53" t="s">
        <v>2766</v>
      </c>
      <c r="O1163">
        <v>35.249299</v>
      </c>
      <c r="P1163">
        <v>-3.937112</v>
      </c>
      <c r="Q1163" s="5" t="s">
        <v>642</v>
      </c>
      <c r="R1163" s="10">
        <f t="shared" si="10"/>
        <v>149</v>
      </c>
      <c r="S1163" s="5" t="s">
        <v>5751</v>
      </c>
      <c r="T1163" s="6" t="s">
        <v>72</v>
      </c>
      <c r="U1163" s="5" t="s">
        <v>3540</v>
      </c>
      <c r="V1163" s="5" t="s">
        <v>5752</v>
      </c>
    </row>
    <row r="1164" ht="12.75" customHeight="1">
      <c r="A1164" s="5">
        <v>34537.0</v>
      </c>
      <c r="B1164" s="5" t="s">
        <v>49</v>
      </c>
      <c r="C1164" s="52" t="s">
        <v>50</v>
      </c>
      <c r="D1164" s="5" t="s">
        <v>2614</v>
      </c>
      <c r="E1164" s="7" t="s">
        <v>5746</v>
      </c>
      <c r="F1164" s="5" t="s">
        <v>5506</v>
      </c>
      <c r="G1164" s="5" t="s">
        <v>5645</v>
      </c>
      <c r="H1164" s="5">
        <v>2008.0</v>
      </c>
      <c r="I1164" s="5">
        <v>0.0</v>
      </c>
      <c r="J1164" s="5">
        <v>0.0</v>
      </c>
      <c r="K1164" s="5">
        <v>1.0</v>
      </c>
      <c r="L1164" s="54"/>
      <c r="M1164" s="5" t="s">
        <v>5753</v>
      </c>
      <c r="N1164" s="53" t="s">
        <v>3733</v>
      </c>
      <c r="O1164">
        <v>35.85</v>
      </c>
      <c r="P1164">
        <v>-0.316667</v>
      </c>
      <c r="Q1164" s="5" t="s">
        <v>708</v>
      </c>
      <c r="R1164" s="10">
        <f t="shared" si="10"/>
        <v>81</v>
      </c>
      <c r="S1164" s="5" t="s">
        <v>5754</v>
      </c>
      <c r="T1164" s="6" t="s">
        <v>72</v>
      </c>
      <c r="U1164" s="5" t="s">
        <v>3354</v>
      </c>
      <c r="V1164" s="5" t="s">
        <v>5755</v>
      </c>
    </row>
    <row r="1165" ht="12.75" customHeight="1">
      <c r="A1165" s="5">
        <v>34538.0</v>
      </c>
      <c r="B1165" s="5" t="s">
        <v>49</v>
      </c>
      <c r="C1165" s="52" t="s">
        <v>50</v>
      </c>
      <c r="D1165" s="5" t="s">
        <v>2852</v>
      </c>
      <c r="E1165" s="7" t="s">
        <v>5746</v>
      </c>
      <c r="F1165" s="5" t="s">
        <v>5506</v>
      </c>
      <c r="G1165" s="5" t="s">
        <v>5645</v>
      </c>
      <c r="H1165" s="5">
        <v>2008.0</v>
      </c>
      <c r="I1165" s="5">
        <v>0.0</v>
      </c>
      <c r="J1165" s="5">
        <v>0.0</v>
      </c>
      <c r="K1165" s="5">
        <v>1.0</v>
      </c>
      <c r="L1165" s="54"/>
      <c r="M1165" s="5" t="s">
        <v>5756</v>
      </c>
      <c r="N1165" s="53" t="s">
        <v>5757</v>
      </c>
      <c r="O1165">
        <v>47.557421</v>
      </c>
      <c r="P1165">
        <v>7.592573</v>
      </c>
      <c r="Q1165" s="5" t="s">
        <v>1388</v>
      </c>
      <c r="R1165" s="10">
        <f t="shared" si="10"/>
        <v>1</v>
      </c>
      <c r="S1165" s="5" t="s">
        <v>5758</v>
      </c>
      <c r="T1165" s="5"/>
      <c r="U1165" s="5" t="s">
        <v>5759</v>
      </c>
      <c r="V1165" s="5"/>
    </row>
    <row r="1166" ht="12.75" customHeight="1">
      <c r="A1166" s="5">
        <v>34540.0</v>
      </c>
      <c r="B1166" s="5" t="s">
        <v>763</v>
      </c>
      <c r="C1166" s="5" t="s">
        <v>124</v>
      </c>
      <c r="D1166" s="5" t="s">
        <v>2852</v>
      </c>
      <c r="E1166" s="7" t="s">
        <v>5760</v>
      </c>
      <c r="F1166" s="5" t="s">
        <v>5506</v>
      </c>
      <c r="G1166" s="5" t="s">
        <v>5645</v>
      </c>
      <c r="H1166" s="5">
        <v>2008.0</v>
      </c>
      <c r="I1166" s="5">
        <v>0.0</v>
      </c>
      <c r="J1166" s="5">
        <v>0.0</v>
      </c>
      <c r="K1166" s="5">
        <v>1.0</v>
      </c>
      <c r="L1166" s="54"/>
      <c r="M1166" s="5" t="s">
        <v>5761</v>
      </c>
      <c r="N1166" s="53" t="s">
        <v>5762</v>
      </c>
      <c r="O1166">
        <v>41.130036</v>
      </c>
      <c r="P1166">
        <v>24.88649</v>
      </c>
      <c r="Q1166" s="5" t="s">
        <v>1203</v>
      </c>
      <c r="R1166" s="10">
        <f t="shared" si="10"/>
        <v>1</v>
      </c>
      <c r="S1166" s="5" t="s">
        <v>5763</v>
      </c>
      <c r="T1166" s="6" t="s">
        <v>53</v>
      </c>
      <c r="U1166" s="5" t="s">
        <v>5204</v>
      </c>
      <c r="V1166" s="5"/>
    </row>
    <row r="1167" ht="12.75" customHeight="1">
      <c r="A1167" s="5">
        <v>34541.0</v>
      </c>
      <c r="B1167" s="5" t="s">
        <v>68</v>
      </c>
      <c r="C1167" s="5" t="s">
        <v>69</v>
      </c>
      <c r="D1167" s="5" t="s">
        <v>2852</v>
      </c>
      <c r="E1167" s="7" t="s">
        <v>5764</v>
      </c>
      <c r="F1167" s="5" t="s">
        <v>5506</v>
      </c>
      <c r="G1167" s="5" t="s">
        <v>5645</v>
      </c>
      <c r="H1167" s="5">
        <v>2008.0</v>
      </c>
      <c r="I1167" s="5">
        <v>0.0</v>
      </c>
      <c r="J1167" s="5">
        <v>0.0</v>
      </c>
      <c r="K1167" s="5">
        <v>2.0</v>
      </c>
      <c r="L1167" s="54"/>
      <c r="M1167" s="5" t="s">
        <v>5765</v>
      </c>
      <c r="N1167" s="53" t="s">
        <v>4941</v>
      </c>
      <c r="O1167">
        <v>28.291564</v>
      </c>
      <c r="P1167">
        <v>-16.62913</v>
      </c>
      <c r="Q1167" s="5" t="s">
        <v>382</v>
      </c>
      <c r="R1167" s="10">
        <f t="shared" si="10"/>
        <v>1120</v>
      </c>
      <c r="S1167" s="5" t="s">
        <v>5766</v>
      </c>
      <c r="T1167" s="5" t="s">
        <v>1040</v>
      </c>
      <c r="U1167" s="5" t="s">
        <v>5767</v>
      </c>
      <c r="V1167" s="5"/>
    </row>
    <row r="1168" ht="12.75" customHeight="1">
      <c r="A1168" s="5">
        <v>34542.0</v>
      </c>
      <c r="B1168" s="5" t="s">
        <v>763</v>
      </c>
      <c r="C1168" s="5" t="s">
        <v>124</v>
      </c>
      <c r="D1168" s="5" t="s">
        <v>2852</v>
      </c>
      <c r="E1168" s="7" t="s">
        <v>5768</v>
      </c>
      <c r="F1168" s="5" t="s">
        <v>5506</v>
      </c>
      <c r="G1168" s="5" t="s">
        <v>5645</v>
      </c>
      <c r="H1168" s="5">
        <v>2008.0</v>
      </c>
      <c r="I1168" s="5">
        <v>0.0</v>
      </c>
      <c r="J1168" s="5">
        <v>0.0</v>
      </c>
      <c r="K1168" s="5">
        <v>1.0</v>
      </c>
      <c r="L1168" s="54"/>
      <c r="M1168" s="5" t="s">
        <v>5769</v>
      </c>
      <c r="N1168" s="53" t="s">
        <v>2638</v>
      </c>
      <c r="O1168">
        <v>35.888384</v>
      </c>
      <c r="P1168">
        <v>-5.324636</v>
      </c>
      <c r="Q1168" s="5" t="s">
        <v>717</v>
      </c>
      <c r="R1168" s="10">
        <f t="shared" si="10"/>
        <v>213</v>
      </c>
      <c r="S1168" s="5" t="s">
        <v>5770</v>
      </c>
      <c r="T1168" s="6" t="s">
        <v>72</v>
      </c>
      <c r="U1168" s="5" t="s">
        <v>5475</v>
      </c>
      <c r="V1168" s="5"/>
    </row>
    <row r="1169" ht="12.75" customHeight="1">
      <c r="A1169" s="5">
        <v>34543.0</v>
      </c>
      <c r="B1169" s="5" t="s">
        <v>211</v>
      </c>
      <c r="C1169" s="5" t="s">
        <v>211</v>
      </c>
      <c r="D1169" s="5" t="s">
        <v>2614</v>
      </c>
      <c r="E1169" s="7" t="s">
        <v>5771</v>
      </c>
      <c r="F1169" s="5" t="s">
        <v>5506</v>
      </c>
      <c r="G1169" s="5" t="s">
        <v>5772</v>
      </c>
      <c r="H1169" s="5">
        <v>2008.0</v>
      </c>
      <c r="I1169" s="5">
        <v>0.0</v>
      </c>
      <c r="J1169" s="5">
        <v>0.0</v>
      </c>
      <c r="K1169" s="5">
        <v>1.0</v>
      </c>
      <c r="L1169" s="54"/>
      <c r="M1169" s="5" t="s">
        <v>5773</v>
      </c>
      <c r="N1169" s="53" t="s">
        <v>5774</v>
      </c>
      <c r="O1169">
        <v>51.35819</v>
      </c>
      <c r="P1169">
        <v>4.863547</v>
      </c>
      <c r="Q1169" s="5" t="s">
        <v>1617</v>
      </c>
      <c r="R1169" s="10">
        <f t="shared" si="10"/>
        <v>4</v>
      </c>
      <c r="S1169" s="5" t="s">
        <v>5775</v>
      </c>
      <c r="T1169" s="5"/>
      <c r="U1169" s="5" t="s">
        <v>5776</v>
      </c>
      <c r="V1169" s="5" t="s">
        <v>5777</v>
      </c>
    </row>
    <row r="1170" ht="12.75" customHeight="1">
      <c r="A1170" s="5">
        <v>34545.0</v>
      </c>
      <c r="B1170" s="5" t="s">
        <v>49</v>
      </c>
      <c r="C1170" s="52" t="s">
        <v>50</v>
      </c>
      <c r="D1170" s="5" t="s">
        <v>2852</v>
      </c>
      <c r="E1170" s="7" t="s">
        <v>5778</v>
      </c>
      <c r="F1170" s="5" t="s">
        <v>5506</v>
      </c>
      <c r="G1170" s="5" t="s">
        <v>5772</v>
      </c>
      <c r="H1170" s="5">
        <v>2008.0</v>
      </c>
      <c r="I1170" s="5">
        <v>0.0</v>
      </c>
      <c r="J1170" s="5">
        <v>0.0</v>
      </c>
      <c r="K1170" s="5">
        <v>36.0</v>
      </c>
      <c r="L1170" s="54"/>
      <c r="M1170" s="5" t="s">
        <v>5779</v>
      </c>
      <c r="N1170" s="53" t="s">
        <v>3005</v>
      </c>
      <c r="O1170">
        <v>31.791702</v>
      </c>
      <c r="P1170">
        <v>-7.09262</v>
      </c>
      <c r="Q1170" s="5" t="s">
        <v>439</v>
      </c>
      <c r="R1170" s="10">
        <f t="shared" si="10"/>
        <v>77</v>
      </c>
      <c r="S1170" s="5" t="s">
        <v>5780</v>
      </c>
      <c r="T1170" s="6" t="s">
        <v>72</v>
      </c>
      <c r="U1170" s="5" t="s">
        <v>5781</v>
      </c>
      <c r="V1170" s="5"/>
    </row>
    <row r="1171" ht="12.75" customHeight="1">
      <c r="A1171" s="5">
        <v>34544.0</v>
      </c>
      <c r="B1171" s="5" t="s">
        <v>49</v>
      </c>
      <c r="C1171" s="52" t="s">
        <v>50</v>
      </c>
      <c r="D1171" s="5" t="s">
        <v>2614</v>
      </c>
      <c r="E1171" s="7" t="s">
        <v>5778</v>
      </c>
      <c r="F1171" s="5" t="s">
        <v>5506</v>
      </c>
      <c r="G1171" s="5" t="s">
        <v>5772</v>
      </c>
      <c r="H1171" s="5">
        <v>2008.0</v>
      </c>
      <c r="I1171" s="5">
        <v>0.0</v>
      </c>
      <c r="J1171" s="5">
        <v>0.0</v>
      </c>
      <c r="K1171" s="5">
        <v>4.0</v>
      </c>
      <c r="L1171" s="54"/>
      <c r="M1171" s="5" t="s">
        <v>5782</v>
      </c>
      <c r="N1171" s="53" t="s">
        <v>4366</v>
      </c>
      <c r="O1171">
        <v>33.223191</v>
      </c>
      <c r="P1171">
        <v>43.679291</v>
      </c>
      <c r="Q1171" s="5" t="s">
        <v>523</v>
      </c>
      <c r="R1171" s="10">
        <f t="shared" si="10"/>
        <v>13</v>
      </c>
      <c r="S1171" s="5" t="s">
        <v>5783</v>
      </c>
      <c r="T1171" s="5"/>
      <c r="U1171" s="5" t="s">
        <v>5662</v>
      </c>
      <c r="V1171" s="5" t="s">
        <v>5784</v>
      </c>
    </row>
    <row r="1172" ht="12.75" customHeight="1">
      <c r="A1172" s="5">
        <v>34546.0</v>
      </c>
      <c r="B1172" s="5" t="s">
        <v>49</v>
      </c>
      <c r="C1172" s="52" t="s">
        <v>50</v>
      </c>
      <c r="D1172" s="5" t="s">
        <v>2614</v>
      </c>
      <c r="E1172" s="7" t="s">
        <v>5785</v>
      </c>
      <c r="F1172" s="5" t="s">
        <v>5506</v>
      </c>
      <c r="G1172" s="5" t="s">
        <v>5772</v>
      </c>
      <c r="H1172" s="5">
        <v>2008.0</v>
      </c>
      <c r="I1172" s="5">
        <v>0.0</v>
      </c>
      <c r="J1172" s="5">
        <v>0.0</v>
      </c>
      <c r="K1172" s="5">
        <v>1.0</v>
      </c>
      <c r="L1172" s="54"/>
      <c r="M1172" s="5" t="s">
        <v>5786</v>
      </c>
      <c r="N1172" s="53" t="s">
        <v>2700</v>
      </c>
      <c r="O1172">
        <v>35.508622</v>
      </c>
      <c r="P1172">
        <v>12.59292</v>
      </c>
      <c r="Q1172" s="5" t="s">
        <v>669</v>
      </c>
      <c r="R1172" s="10">
        <f t="shared" si="10"/>
        <v>3843</v>
      </c>
      <c r="S1172" s="5" t="s">
        <v>5787</v>
      </c>
      <c r="T1172" s="6" t="s">
        <v>2130</v>
      </c>
      <c r="U1172" s="5" t="s">
        <v>2326</v>
      </c>
      <c r="V1172" s="5" t="s">
        <v>5788</v>
      </c>
    </row>
    <row r="1173" ht="12.75" customHeight="1">
      <c r="A1173" s="5">
        <v>34547.0</v>
      </c>
      <c r="B1173" s="5" t="s">
        <v>68</v>
      </c>
      <c r="C1173" s="5" t="s">
        <v>69</v>
      </c>
      <c r="D1173" s="5" t="s">
        <v>2614</v>
      </c>
      <c r="E1173" s="7" t="s">
        <v>5789</v>
      </c>
      <c r="F1173" s="5" t="s">
        <v>5506</v>
      </c>
      <c r="G1173" s="5" t="s">
        <v>5772</v>
      </c>
      <c r="H1173" s="5">
        <v>2008.0</v>
      </c>
      <c r="I1173" s="5">
        <v>0.0</v>
      </c>
      <c r="J1173" s="5">
        <v>0.0</v>
      </c>
      <c r="K1173" s="5">
        <v>23.0</v>
      </c>
      <c r="L1173" s="54"/>
      <c r="M1173" s="5" t="s">
        <v>5790</v>
      </c>
      <c r="N1173" s="53" t="s">
        <v>2700</v>
      </c>
      <c r="O1173">
        <v>35.508622</v>
      </c>
      <c r="P1173">
        <v>12.59292</v>
      </c>
      <c r="Q1173" s="5" t="s">
        <v>669</v>
      </c>
      <c r="R1173" s="10">
        <f t="shared" si="10"/>
        <v>3843</v>
      </c>
      <c r="S1173" s="5" t="s">
        <v>5791</v>
      </c>
      <c r="T1173" s="6" t="s">
        <v>2130</v>
      </c>
      <c r="U1173" s="5" t="s">
        <v>92</v>
      </c>
      <c r="V1173" s="5" t="s">
        <v>5792</v>
      </c>
    </row>
    <row r="1174" ht="12.75" customHeight="1">
      <c r="A1174" s="5">
        <v>34548.0</v>
      </c>
      <c r="B1174" s="5" t="s">
        <v>49</v>
      </c>
      <c r="C1174" s="52" t="s">
        <v>50</v>
      </c>
      <c r="D1174" s="5" t="s">
        <v>2852</v>
      </c>
      <c r="E1174" s="7" t="s">
        <v>5793</v>
      </c>
      <c r="F1174" s="5" t="s">
        <v>5506</v>
      </c>
      <c r="G1174" s="5" t="s">
        <v>5772</v>
      </c>
      <c r="H1174" s="5">
        <v>2008.0</v>
      </c>
      <c r="I1174" s="5">
        <v>0.0</v>
      </c>
      <c r="J1174" s="5">
        <v>0.0</v>
      </c>
      <c r="K1174" s="5">
        <v>4.0</v>
      </c>
      <c r="L1174" s="54"/>
      <c r="M1174" s="5" t="s">
        <v>5794</v>
      </c>
      <c r="N1174" s="53" t="s">
        <v>4366</v>
      </c>
      <c r="O1174">
        <v>33.223191</v>
      </c>
      <c r="P1174">
        <v>43.679291</v>
      </c>
      <c r="Q1174" s="5" t="s">
        <v>523</v>
      </c>
      <c r="R1174" s="10">
        <f t="shared" si="10"/>
        <v>13</v>
      </c>
      <c r="S1174" s="5" t="s">
        <v>5795</v>
      </c>
      <c r="T1174" s="5"/>
      <c r="U1174" s="5" t="s">
        <v>5796</v>
      </c>
      <c r="V1174" s="5"/>
    </row>
    <row r="1175" ht="12.75" customHeight="1">
      <c r="A1175" s="5">
        <v>34554.0</v>
      </c>
      <c r="B1175" s="5" t="s">
        <v>68</v>
      </c>
      <c r="C1175" s="5" t="s">
        <v>69</v>
      </c>
      <c r="D1175" s="5" t="s">
        <v>2852</v>
      </c>
      <c r="E1175" s="7" t="s">
        <v>5797</v>
      </c>
      <c r="F1175" s="5" t="s">
        <v>5506</v>
      </c>
      <c r="G1175" s="5" t="s">
        <v>5772</v>
      </c>
      <c r="H1175" s="5">
        <v>2008.0</v>
      </c>
      <c r="I1175" s="5">
        <v>0.0</v>
      </c>
      <c r="J1175" s="5">
        <v>0.0</v>
      </c>
      <c r="K1175" s="5">
        <v>2.0</v>
      </c>
      <c r="L1175" s="54"/>
      <c r="M1175" s="5" t="s">
        <v>5798</v>
      </c>
      <c r="N1175" s="53" t="s">
        <v>5799</v>
      </c>
      <c r="O1175">
        <v>30.446042</v>
      </c>
      <c r="P1175">
        <v>31.181203</v>
      </c>
      <c r="Q1175" s="5" t="s">
        <v>416</v>
      </c>
      <c r="R1175" s="10">
        <f t="shared" si="10"/>
        <v>26</v>
      </c>
      <c r="S1175" s="5" t="s">
        <v>5800</v>
      </c>
      <c r="T1175" s="6" t="s">
        <v>2130</v>
      </c>
      <c r="U1175" s="5" t="s">
        <v>5801</v>
      </c>
      <c r="V1175" s="5"/>
    </row>
    <row r="1176" ht="12.75" customHeight="1">
      <c r="A1176" s="5">
        <v>34553.0</v>
      </c>
      <c r="B1176" s="5" t="s">
        <v>49</v>
      </c>
      <c r="C1176" s="52" t="s">
        <v>50</v>
      </c>
      <c r="D1176" s="5" t="s">
        <v>2852</v>
      </c>
      <c r="E1176" s="7" t="s">
        <v>5797</v>
      </c>
      <c r="F1176" s="5" t="s">
        <v>5506</v>
      </c>
      <c r="G1176" s="5" t="s">
        <v>5772</v>
      </c>
      <c r="H1176" s="5">
        <v>2008.0</v>
      </c>
      <c r="I1176" s="5">
        <v>0.0</v>
      </c>
      <c r="J1176" s="5">
        <v>0.0</v>
      </c>
      <c r="K1176" s="5">
        <v>4.0</v>
      </c>
      <c r="L1176" s="54"/>
      <c r="M1176" s="5" t="s">
        <v>5802</v>
      </c>
      <c r="N1176" s="53" t="s">
        <v>5799</v>
      </c>
      <c r="O1176">
        <v>30.446042</v>
      </c>
      <c r="P1176">
        <v>31.181203</v>
      </c>
      <c r="Q1176" s="5" t="s">
        <v>416</v>
      </c>
      <c r="R1176" s="10">
        <f t="shared" si="10"/>
        <v>26</v>
      </c>
      <c r="S1176" s="5" t="s">
        <v>5800</v>
      </c>
      <c r="T1176" s="6" t="s">
        <v>2130</v>
      </c>
      <c r="U1176" s="5" t="s">
        <v>5803</v>
      </c>
      <c r="V1176" s="5"/>
    </row>
    <row r="1177" ht="12.75" customHeight="1">
      <c r="A1177" s="5">
        <v>34551.0</v>
      </c>
      <c r="B1177" s="5" t="s">
        <v>49</v>
      </c>
      <c r="C1177" s="52" t="s">
        <v>50</v>
      </c>
      <c r="D1177" s="5" t="s">
        <v>2852</v>
      </c>
      <c r="E1177" s="7" t="s">
        <v>5797</v>
      </c>
      <c r="F1177" s="5" t="s">
        <v>5506</v>
      </c>
      <c r="G1177" s="5" t="s">
        <v>5772</v>
      </c>
      <c r="H1177" s="5">
        <v>2008.0</v>
      </c>
      <c r="I1177" s="5">
        <v>0.0</v>
      </c>
      <c r="J1177" s="5">
        <v>0.0</v>
      </c>
      <c r="K1177" s="5">
        <v>1.0</v>
      </c>
      <c r="L1177" s="54"/>
      <c r="M1177" s="5" t="s">
        <v>5804</v>
      </c>
      <c r="N1177" s="53" t="s">
        <v>5799</v>
      </c>
      <c r="O1177">
        <v>30.446042</v>
      </c>
      <c r="P1177">
        <v>31.181203</v>
      </c>
      <c r="Q1177" s="5" t="s">
        <v>416</v>
      </c>
      <c r="R1177" s="10">
        <f t="shared" si="10"/>
        <v>26</v>
      </c>
      <c r="S1177" s="5" t="s">
        <v>5800</v>
      </c>
      <c r="T1177" s="6" t="s">
        <v>2130</v>
      </c>
      <c r="U1177" s="5" t="s">
        <v>5803</v>
      </c>
      <c r="V1177" s="5"/>
    </row>
    <row r="1178" ht="12.75" customHeight="1">
      <c r="A1178" s="5">
        <v>34550.0</v>
      </c>
      <c r="B1178" s="5" t="s">
        <v>49</v>
      </c>
      <c r="C1178" s="52" t="s">
        <v>50</v>
      </c>
      <c r="D1178" s="5" t="s">
        <v>2852</v>
      </c>
      <c r="E1178" s="7" t="s">
        <v>5797</v>
      </c>
      <c r="F1178" s="5" t="s">
        <v>5506</v>
      </c>
      <c r="G1178" s="5" t="s">
        <v>5772</v>
      </c>
      <c r="H1178" s="5">
        <v>2008.0</v>
      </c>
      <c r="I1178" s="5">
        <v>0.0</v>
      </c>
      <c r="J1178" s="5">
        <v>0.0</v>
      </c>
      <c r="K1178" s="5">
        <v>2.0</v>
      </c>
      <c r="L1178" s="54"/>
      <c r="M1178" s="5" t="s">
        <v>5805</v>
      </c>
      <c r="N1178" s="53" t="s">
        <v>5799</v>
      </c>
      <c r="O1178">
        <v>30.446042</v>
      </c>
      <c r="P1178">
        <v>31.181203</v>
      </c>
      <c r="Q1178" s="5" t="s">
        <v>416</v>
      </c>
      <c r="R1178" s="10">
        <f t="shared" si="10"/>
        <v>26</v>
      </c>
      <c r="S1178" s="5" t="s">
        <v>5800</v>
      </c>
      <c r="T1178" s="6" t="s">
        <v>2130</v>
      </c>
      <c r="U1178" s="5" t="s">
        <v>5803</v>
      </c>
      <c r="V1178" s="5"/>
    </row>
    <row r="1179" ht="12.75" customHeight="1">
      <c r="A1179" s="5">
        <v>34549.0</v>
      </c>
      <c r="B1179" s="5" t="s">
        <v>68</v>
      </c>
      <c r="C1179" s="5" t="s">
        <v>69</v>
      </c>
      <c r="D1179" s="5" t="s">
        <v>2852</v>
      </c>
      <c r="E1179" s="7" t="s">
        <v>5797</v>
      </c>
      <c r="F1179" s="5" t="s">
        <v>5506</v>
      </c>
      <c r="G1179" s="5" t="s">
        <v>5772</v>
      </c>
      <c r="H1179" s="5">
        <v>2008.0</v>
      </c>
      <c r="I1179" s="5">
        <v>0.0</v>
      </c>
      <c r="J1179" s="5">
        <v>0.0</v>
      </c>
      <c r="K1179" s="5">
        <v>17.0</v>
      </c>
      <c r="L1179" s="54"/>
      <c r="M1179" s="5" t="s">
        <v>5806</v>
      </c>
      <c r="N1179" s="53" t="s">
        <v>5799</v>
      </c>
      <c r="O1179">
        <v>30.446042</v>
      </c>
      <c r="P1179">
        <v>31.181203</v>
      </c>
      <c r="Q1179" s="5" t="s">
        <v>416</v>
      </c>
      <c r="R1179" s="10">
        <f t="shared" si="10"/>
        <v>26</v>
      </c>
      <c r="S1179" s="5" t="s">
        <v>5800</v>
      </c>
      <c r="T1179" s="6" t="s">
        <v>2130</v>
      </c>
      <c r="U1179" s="5" t="s">
        <v>5807</v>
      </c>
      <c r="V1179" s="5"/>
    </row>
    <row r="1180" ht="12.75" customHeight="1">
      <c r="A1180" s="5">
        <v>34552.0</v>
      </c>
      <c r="B1180" s="5" t="s">
        <v>68</v>
      </c>
      <c r="C1180" s="5" t="s">
        <v>69</v>
      </c>
      <c r="D1180" s="5" t="s">
        <v>2852</v>
      </c>
      <c r="E1180" s="7" t="s">
        <v>5797</v>
      </c>
      <c r="F1180" s="5" t="s">
        <v>5506</v>
      </c>
      <c r="G1180" s="5" t="s">
        <v>5772</v>
      </c>
      <c r="H1180" s="5">
        <v>2008.0</v>
      </c>
      <c r="I1180" s="5">
        <v>0.0</v>
      </c>
      <c r="J1180" s="5">
        <v>0.0</v>
      </c>
      <c r="K1180" s="5">
        <v>1.0</v>
      </c>
      <c r="L1180" s="54"/>
      <c r="M1180" s="5" t="s">
        <v>5808</v>
      </c>
      <c r="N1180" s="53" t="s">
        <v>5809</v>
      </c>
      <c r="O1180">
        <v>50.658799</v>
      </c>
      <c r="P1180">
        <v>10.664964</v>
      </c>
      <c r="Q1180" s="5" t="s">
        <v>1503</v>
      </c>
      <c r="R1180" s="10">
        <f t="shared" si="10"/>
        <v>1</v>
      </c>
      <c r="S1180" s="5" t="s">
        <v>5810</v>
      </c>
      <c r="T1180" s="5"/>
      <c r="U1180" s="5" t="s">
        <v>5811</v>
      </c>
      <c r="V1180" s="5"/>
    </row>
    <row r="1181" ht="12.75" customHeight="1">
      <c r="A1181" s="5">
        <v>34555.0</v>
      </c>
      <c r="B1181" s="5" t="s">
        <v>68</v>
      </c>
      <c r="C1181" s="5" t="s">
        <v>69</v>
      </c>
      <c r="D1181" s="5" t="s">
        <v>2852</v>
      </c>
      <c r="E1181" s="7" t="s">
        <v>5812</v>
      </c>
      <c r="F1181" s="5" t="s">
        <v>5506</v>
      </c>
      <c r="G1181" s="5" t="s">
        <v>5772</v>
      </c>
      <c r="H1181" s="5">
        <v>2008.0</v>
      </c>
      <c r="I1181" s="5">
        <v>0.0</v>
      </c>
      <c r="J1181" s="5">
        <v>0.0</v>
      </c>
      <c r="K1181" s="5">
        <v>2.0</v>
      </c>
      <c r="L1181" s="54"/>
      <c r="M1181" s="5" t="s">
        <v>5813</v>
      </c>
      <c r="N1181" s="53" t="s">
        <v>5814</v>
      </c>
      <c r="O1181">
        <v>28.358744</v>
      </c>
      <c r="P1181">
        <v>-14.053676</v>
      </c>
      <c r="Q1181" s="5" t="s">
        <v>390</v>
      </c>
      <c r="R1181" s="10">
        <f t="shared" si="10"/>
        <v>488</v>
      </c>
      <c r="S1181" s="5" t="s">
        <v>5815</v>
      </c>
      <c r="T1181" s="5" t="s">
        <v>1040</v>
      </c>
      <c r="U1181" s="5" t="s">
        <v>5816</v>
      </c>
      <c r="V1181" s="5" t="s">
        <v>5817</v>
      </c>
    </row>
    <row r="1182" ht="12.75" customHeight="1">
      <c r="A1182" s="5">
        <v>34556.0</v>
      </c>
      <c r="B1182" s="5" t="s">
        <v>41</v>
      </c>
      <c r="C1182" s="5" t="s">
        <v>42</v>
      </c>
      <c r="D1182" s="5" t="s">
        <v>2614</v>
      </c>
      <c r="E1182" s="7" t="s">
        <v>5818</v>
      </c>
      <c r="F1182" s="5" t="s">
        <v>5506</v>
      </c>
      <c r="G1182" s="5" t="s">
        <v>5772</v>
      </c>
      <c r="H1182" s="5">
        <v>2008.0</v>
      </c>
      <c r="I1182" s="5">
        <v>0.0</v>
      </c>
      <c r="J1182" s="5">
        <v>0.0</v>
      </c>
      <c r="K1182" s="5">
        <v>1.0</v>
      </c>
      <c r="L1182" s="54"/>
      <c r="M1182" s="5" t="s">
        <v>5819</v>
      </c>
      <c r="N1182" s="53" t="s">
        <v>2888</v>
      </c>
      <c r="O1182">
        <v>24.088938</v>
      </c>
      <c r="P1182">
        <v>32.899829</v>
      </c>
      <c r="Q1182" s="5" t="s">
        <v>329</v>
      </c>
      <c r="R1182" s="10">
        <f t="shared" si="10"/>
        <v>129</v>
      </c>
      <c r="S1182" s="5" t="s">
        <v>5820</v>
      </c>
      <c r="T1182" s="5"/>
      <c r="U1182" s="5" t="s">
        <v>92</v>
      </c>
      <c r="V1182" s="5" t="s">
        <v>5821</v>
      </c>
    </row>
    <row r="1183" ht="12.75" customHeight="1">
      <c r="A1183" s="5">
        <v>34557.0</v>
      </c>
      <c r="B1183" s="5" t="s">
        <v>68</v>
      </c>
      <c r="C1183" s="5" t="s">
        <v>69</v>
      </c>
      <c r="D1183" s="5" t="s">
        <v>2852</v>
      </c>
      <c r="E1183" s="7" t="s">
        <v>5822</v>
      </c>
      <c r="F1183" s="5" t="s">
        <v>5506</v>
      </c>
      <c r="G1183" s="5" t="s">
        <v>5772</v>
      </c>
      <c r="H1183" s="5">
        <v>2008.0</v>
      </c>
      <c r="I1183" s="5">
        <v>0.0</v>
      </c>
      <c r="J1183" s="5">
        <v>0.0</v>
      </c>
      <c r="K1183" s="5">
        <v>1.0</v>
      </c>
      <c r="L1183" s="54"/>
      <c r="M1183" s="5" t="s">
        <v>5823</v>
      </c>
      <c r="N1183" s="53" t="s">
        <v>5824</v>
      </c>
      <c r="O1183">
        <v>51.165691</v>
      </c>
      <c r="P1183">
        <v>10.451526</v>
      </c>
      <c r="Q1183" s="5" t="s">
        <v>1599</v>
      </c>
      <c r="R1183" s="10">
        <f t="shared" si="10"/>
        <v>8</v>
      </c>
      <c r="S1183" s="5" t="s">
        <v>5825</v>
      </c>
      <c r="T1183" s="5"/>
      <c r="U1183" s="5" t="s">
        <v>4578</v>
      </c>
      <c r="V1183" s="5"/>
    </row>
    <row r="1184" ht="12.75" customHeight="1">
      <c r="A1184" s="5">
        <v>34558.0</v>
      </c>
      <c r="B1184" s="5" t="s">
        <v>68</v>
      </c>
      <c r="C1184" s="5" t="s">
        <v>69</v>
      </c>
      <c r="D1184" s="5" t="s">
        <v>2852</v>
      </c>
      <c r="E1184" s="7" t="s">
        <v>5826</v>
      </c>
      <c r="F1184" s="5" t="s">
        <v>5506</v>
      </c>
      <c r="G1184" s="5" t="s">
        <v>5772</v>
      </c>
      <c r="H1184" s="5">
        <v>2008.0</v>
      </c>
      <c r="I1184" s="5">
        <v>0.0</v>
      </c>
      <c r="J1184" s="5">
        <v>0.0</v>
      </c>
      <c r="K1184" s="5">
        <v>2.0</v>
      </c>
      <c r="L1184" s="54"/>
      <c r="M1184" s="5" t="s">
        <v>5827</v>
      </c>
      <c r="N1184" s="53" t="s">
        <v>3927</v>
      </c>
      <c r="O1184">
        <v>36.42985</v>
      </c>
      <c r="P1184">
        <v>-5.149141</v>
      </c>
      <c r="Q1184" s="5" t="s">
        <v>799</v>
      </c>
      <c r="R1184" s="10">
        <f t="shared" si="10"/>
        <v>6</v>
      </c>
      <c r="S1184" s="5" t="s">
        <v>5828</v>
      </c>
      <c r="T1184" s="6" t="s">
        <v>72</v>
      </c>
      <c r="U1184" s="5" t="s">
        <v>5829</v>
      </c>
      <c r="V1184" s="5"/>
    </row>
    <row r="1185" ht="12.75" customHeight="1">
      <c r="A1185" s="5">
        <v>34559.0</v>
      </c>
      <c r="B1185" s="5" t="s">
        <v>68</v>
      </c>
      <c r="C1185" s="5" t="s">
        <v>69</v>
      </c>
      <c r="D1185" s="5" t="s">
        <v>2614</v>
      </c>
      <c r="E1185" s="7" t="s">
        <v>5830</v>
      </c>
      <c r="F1185" s="5" t="s">
        <v>5506</v>
      </c>
      <c r="G1185" s="5" t="s">
        <v>5772</v>
      </c>
      <c r="H1185" s="5">
        <v>2008.0</v>
      </c>
      <c r="I1185" s="5">
        <v>0.0</v>
      </c>
      <c r="J1185" s="5">
        <v>0.0</v>
      </c>
      <c r="K1185" s="5">
        <v>16.0</v>
      </c>
      <c r="L1185" s="54"/>
      <c r="M1185" s="5" t="s">
        <v>5831</v>
      </c>
      <c r="N1185" s="53" t="s">
        <v>4412</v>
      </c>
      <c r="O1185">
        <v>35.696944</v>
      </c>
      <c r="P1185">
        <v>-0.633056</v>
      </c>
      <c r="Q1185" s="5" t="s">
        <v>690</v>
      </c>
      <c r="R1185" s="10">
        <f t="shared" si="10"/>
        <v>120</v>
      </c>
      <c r="S1185" s="5" t="s">
        <v>5832</v>
      </c>
      <c r="T1185" s="6" t="s">
        <v>72</v>
      </c>
      <c r="U1185" s="5" t="s">
        <v>5833</v>
      </c>
      <c r="V1185" s="5" t="s">
        <v>5834</v>
      </c>
    </row>
    <row r="1186" ht="12.75" customHeight="1">
      <c r="A1186" s="5">
        <v>34560.0</v>
      </c>
      <c r="B1186" s="5" t="s">
        <v>49</v>
      </c>
      <c r="C1186" s="52" t="s">
        <v>50</v>
      </c>
      <c r="D1186" s="5" t="s">
        <v>2614</v>
      </c>
      <c r="E1186" s="7" t="s">
        <v>5835</v>
      </c>
      <c r="F1186" s="5" t="s">
        <v>5506</v>
      </c>
      <c r="G1186" s="5" t="s">
        <v>5772</v>
      </c>
      <c r="H1186" s="5">
        <v>2008.0</v>
      </c>
      <c r="I1186" s="5">
        <v>0.0</v>
      </c>
      <c r="J1186" s="5">
        <v>0.0</v>
      </c>
      <c r="K1186" s="5">
        <v>8.0</v>
      </c>
      <c r="L1186" s="54"/>
      <c r="M1186" s="5" t="s">
        <v>5836</v>
      </c>
      <c r="N1186" s="53" t="s">
        <v>3733</v>
      </c>
      <c r="O1186">
        <v>35.85</v>
      </c>
      <c r="P1186">
        <v>-0.316667</v>
      </c>
      <c r="Q1186" s="5" t="s">
        <v>708</v>
      </c>
      <c r="R1186" s="10">
        <f t="shared" si="10"/>
        <v>81</v>
      </c>
      <c r="S1186" s="5" t="s">
        <v>5837</v>
      </c>
      <c r="T1186" s="6" t="s">
        <v>72</v>
      </c>
      <c r="U1186" s="5" t="s">
        <v>5838</v>
      </c>
      <c r="V1186" s="5" t="s">
        <v>5839</v>
      </c>
    </row>
    <row r="1187" ht="12.75" customHeight="1">
      <c r="A1187" s="5">
        <v>34561.0</v>
      </c>
      <c r="B1187" s="5" t="s">
        <v>1076</v>
      </c>
      <c r="C1187" s="52" t="s">
        <v>50</v>
      </c>
      <c r="D1187" s="5" t="s">
        <v>2852</v>
      </c>
      <c r="E1187" s="7" t="s">
        <v>5840</v>
      </c>
      <c r="F1187" s="5" t="s">
        <v>5506</v>
      </c>
      <c r="G1187" s="5" t="s">
        <v>5772</v>
      </c>
      <c r="H1187" s="5">
        <v>2008.0</v>
      </c>
      <c r="I1187" s="5">
        <v>0.0</v>
      </c>
      <c r="J1187" s="5">
        <v>0.0</v>
      </c>
      <c r="K1187" s="5">
        <v>1.0</v>
      </c>
      <c r="L1187" s="54"/>
      <c r="M1187" s="5" t="s">
        <v>5841</v>
      </c>
      <c r="N1187" s="53" t="s">
        <v>3131</v>
      </c>
      <c r="O1187">
        <v>45.440847</v>
      </c>
      <c r="P1187">
        <v>12.315515</v>
      </c>
      <c r="Q1187" s="5" t="s">
        <v>1317</v>
      </c>
      <c r="R1187" s="10">
        <f t="shared" si="10"/>
        <v>13</v>
      </c>
      <c r="S1187" s="5" t="s">
        <v>5842</v>
      </c>
      <c r="T1187" s="5"/>
      <c r="U1187" s="5" t="s">
        <v>5843</v>
      </c>
      <c r="V1187" s="5"/>
    </row>
    <row r="1188" ht="12.75" customHeight="1">
      <c r="A1188" s="5">
        <v>34562.0</v>
      </c>
      <c r="B1188" s="5" t="s">
        <v>2902</v>
      </c>
      <c r="C1188" s="5" t="s">
        <v>211</v>
      </c>
      <c r="D1188" s="5" t="s">
        <v>2852</v>
      </c>
      <c r="E1188" s="7" t="s">
        <v>5844</v>
      </c>
      <c r="F1188" s="5" t="s">
        <v>5506</v>
      </c>
      <c r="G1188" s="5" t="s">
        <v>5772</v>
      </c>
      <c r="H1188" s="5">
        <v>2008.0</v>
      </c>
      <c r="I1188" s="5">
        <v>0.0</v>
      </c>
      <c r="J1188" s="5">
        <v>0.0</v>
      </c>
      <c r="K1188" s="5">
        <v>1.0</v>
      </c>
      <c r="L1188" s="54"/>
      <c r="M1188" s="5" t="s">
        <v>5845</v>
      </c>
      <c r="N1188" s="53" t="s">
        <v>5846</v>
      </c>
      <c r="O1188">
        <v>49.651244</v>
      </c>
      <c r="P1188">
        <v>7.163161</v>
      </c>
      <c r="Q1188" s="5" t="s">
        <v>1471</v>
      </c>
      <c r="R1188" s="10">
        <f t="shared" si="10"/>
        <v>1</v>
      </c>
      <c r="S1188" s="5" t="s">
        <v>5847</v>
      </c>
      <c r="T1188" s="5"/>
      <c r="U1188" s="5" t="s">
        <v>4578</v>
      </c>
      <c r="V1188" s="5"/>
    </row>
    <row r="1189" ht="12.75" customHeight="1">
      <c r="A1189" s="5">
        <v>34563.0</v>
      </c>
      <c r="B1189" s="5" t="s">
        <v>1857</v>
      </c>
      <c r="C1189" s="52" t="s">
        <v>50</v>
      </c>
      <c r="D1189" s="5" t="s">
        <v>2852</v>
      </c>
      <c r="E1189" s="7" t="s">
        <v>5848</v>
      </c>
      <c r="F1189" s="5" t="s">
        <v>5506</v>
      </c>
      <c r="G1189" s="5" t="s">
        <v>5772</v>
      </c>
      <c r="H1189" s="5">
        <v>2008.0</v>
      </c>
      <c r="I1189" s="5">
        <v>0.0</v>
      </c>
      <c r="J1189" s="5">
        <v>0.0</v>
      </c>
      <c r="K1189" s="5">
        <v>1.0</v>
      </c>
      <c r="L1189" s="54"/>
      <c r="M1189" s="5" t="s">
        <v>5849</v>
      </c>
      <c r="N1189" s="53" t="s">
        <v>3328</v>
      </c>
      <c r="O1189">
        <v>48.856614</v>
      </c>
      <c r="P1189">
        <v>2.352222</v>
      </c>
      <c r="Q1189" s="5" t="s">
        <v>3329</v>
      </c>
      <c r="R1189" s="10">
        <f t="shared" si="10"/>
        <v>30</v>
      </c>
      <c r="S1189" s="5" t="s">
        <v>5850</v>
      </c>
      <c r="T1189" s="5"/>
      <c r="U1189" s="5" t="s">
        <v>5851</v>
      </c>
      <c r="V1189" s="5"/>
    </row>
    <row r="1190" ht="12.75" customHeight="1">
      <c r="A1190" s="5">
        <v>34564.0</v>
      </c>
      <c r="B1190" s="5" t="s">
        <v>49</v>
      </c>
      <c r="C1190" s="52" t="s">
        <v>50</v>
      </c>
      <c r="D1190" s="5" t="s">
        <v>2852</v>
      </c>
      <c r="E1190" s="7" t="s">
        <v>5852</v>
      </c>
      <c r="F1190" s="5" t="s">
        <v>5853</v>
      </c>
      <c r="G1190" s="5" t="s">
        <v>5854</v>
      </c>
      <c r="H1190" s="5">
        <v>2008.0</v>
      </c>
      <c r="I1190" s="5">
        <v>0.0</v>
      </c>
      <c r="J1190" s="5">
        <v>0.0</v>
      </c>
      <c r="K1190" s="5">
        <v>2.0</v>
      </c>
      <c r="L1190" s="54"/>
      <c r="M1190" s="5" t="s">
        <v>5855</v>
      </c>
      <c r="N1190" s="53" t="s">
        <v>4663</v>
      </c>
      <c r="O1190">
        <v>36.19002</v>
      </c>
      <c r="P1190">
        <v>-5.92248</v>
      </c>
      <c r="Q1190" s="5" t="s">
        <v>778</v>
      </c>
      <c r="R1190" s="10">
        <f t="shared" si="10"/>
        <v>74</v>
      </c>
      <c r="S1190" s="5" t="s">
        <v>5856</v>
      </c>
      <c r="T1190" s="6" t="s">
        <v>72</v>
      </c>
      <c r="U1190" s="5" t="s">
        <v>5857</v>
      </c>
      <c r="V1190" s="5"/>
    </row>
    <row r="1191" ht="12.75" customHeight="1">
      <c r="A1191" s="5">
        <v>34566.0</v>
      </c>
      <c r="B1191" s="5" t="s">
        <v>68</v>
      </c>
      <c r="C1191" s="5" t="s">
        <v>69</v>
      </c>
      <c r="D1191" s="5" t="s">
        <v>2614</v>
      </c>
      <c r="E1191" s="7" t="s">
        <v>5858</v>
      </c>
      <c r="F1191" s="5" t="s">
        <v>5853</v>
      </c>
      <c r="G1191" s="5" t="s">
        <v>5854</v>
      </c>
      <c r="H1191" s="5">
        <v>2008.0</v>
      </c>
      <c r="I1191" s="5">
        <v>0.0</v>
      </c>
      <c r="J1191" s="5">
        <v>0.0</v>
      </c>
      <c r="K1191" s="5">
        <v>1.0</v>
      </c>
      <c r="L1191" s="54"/>
      <c r="M1191" s="5" t="s">
        <v>5859</v>
      </c>
      <c r="N1191" s="53" t="s">
        <v>2718</v>
      </c>
      <c r="O1191">
        <v>35.292278</v>
      </c>
      <c r="P1191">
        <v>-2.938097</v>
      </c>
      <c r="Q1191" s="5" t="s">
        <v>649</v>
      </c>
      <c r="R1191" s="10">
        <f t="shared" si="10"/>
        <v>79</v>
      </c>
      <c r="S1191" s="5" t="s">
        <v>5860</v>
      </c>
      <c r="T1191" s="6" t="s">
        <v>72</v>
      </c>
      <c r="U1191" s="5" t="s">
        <v>2640</v>
      </c>
      <c r="V1191" s="5" t="s">
        <v>5861</v>
      </c>
    </row>
    <row r="1192" ht="12.75" customHeight="1">
      <c r="A1192" s="5">
        <v>34565.0</v>
      </c>
      <c r="B1192" s="5" t="s">
        <v>68</v>
      </c>
      <c r="C1192" s="5" t="s">
        <v>69</v>
      </c>
      <c r="D1192" s="5" t="s">
        <v>2614</v>
      </c>
      <c r="E1192" s="7" t="s">
        <v>5858</v>
      </c>
      <c r="F1192" s="5" t="s">
        <v>5853</v>
      </c>
      <c r="G1192" s="5" t="s">
        <v>5854</v>
      </c>
      <c r="H1192" s="5">
        <v>2008.0</v>
      </c>
      <c r="I1192" s="5">
        <v>0.0</v>
      </c>
      <c r="J1192" s="5">
        <v>0.0</v>
      </c>
      <c r="K1192" s="5">
        <v>5.0</v>
      </c>
      <c r="L1192" s="54"/>
      <c r="M1192" s="5" t="s">
        <v>5862</v>
      </c>
      <c r="N1192" s="53" t="s">
        <v>2867</v>
      </c>
      <c r="O1192">
        <v>35.939838</v>
      </c>
      <c r="P1192">
        <v>0.089767</v>
      </c>
      <c r="Q1192" s="5" t="s">
        <v>741</v>
      </c>
      <c r="R1192" s="10">
        <f t="shared" si="10"/>
        <v>38</v>
      </c>
      <c r="S1192" s="5" t="s">
        <v>5863</v>
      </c>
      <c r="T1192" s="6" t="s">
        <v>72</v>
      </c>
      <c r="U1192" s="5" t="s">
        <v>5113</v>
      </c>
      <c r="V1192" s="5" t="s">
        <v>5864</v>
      </c>
    </row>
    <row r="1193" ht="12.75" customHeight="1">
      <c r="A1193" s="5">
        <v>34567.0</v>
      </c>
      <c r="B1193" s="5" t="s">
        <v>2962</v>
      </c>
      <c r="C1193" s="5" t="s">
        <v>211</v>
      </c>
      <c r="D1193" s="5" t="s">
        <v>2852</v>
      </c>
      <c r="E1193" s="7" t="s">
        <v>5858</v>
      </c>
      <c r="F1193" s="5" t="s">
        <v>5853</v>
      </c>
      <c r="G1193" s="5" t="s">
        <v>5854</v>
      </c>
      <c r="H1193" s="5">
        <v>2008.0</v>
      </c>
      <c r="I1193" s="5">
        <v>0.0</v>
      </c>
      <c r="J1193" s="5">
        <v>0.0</v>
      </c>
      <c r="K1193" s="5">
        <v>1.0</v>
      </c>
      <c r="L1193" s="54"/>
      <c r="M1193" s="5" t="s">
        <v>5865</v>
      </c>
      <c r="N1193" s="53" t="s">
        <v>5866</v>
      </c>
      <c r="O1193">
        <v>51.519411</v>
      </c>
      <c r="P1193">
        <v>-0.126966</v>
      </c>
      <c r="Q1193" s="5" t="s">
        <v>1669</v>
      </c>
      <c r="R1193" s="10">
        <f t="shared" si="10"/>
        <v>1</v>
      </c>
      <c r="S1193" s="5" t="s">
        <v>5867</v>
      </c>
      <c r="T1193" s="5"/>
      <c r="U1193" s="5" t="s">
        <v>5868</v>
      </c>
      <c r="V1193" s="5"/>
    </row>
    <row r="1194" ht="12.75" customHeight="1">
      <c r="A1194" s="5">
        <v>34568.0</v>
      </c>
      <c r="B1194" s="5" t="s">
        <v>49</v>
      </c>
      <c r="C1194" s="52" t="s">
        <v>50</v>
      </c>
      <c r="D1194" s="5" t="s">
        <v>2852</v>
      </c>
      <c r="E1194" s="7" t="s">
        <v>5869</v>
      </c>
      <c r="F1194" s="5" t="s">
        <v>5853</v>
      </c>
      <c r="G1194" s="5" t="s">
        <v>5854</v>
      </c>
      <c r="H1194" s="5">
        <v>2008.0</v>
      </c>
      <c r="I1194" s="5">
        <v>0.0</v>
      </c>
      <c r="J1194" s="5">
        <v>0.0</v>
      </c>
      <c r="K1194" s="5">
        <v>1.0</v>
      </c>
      <c r="L1194" s="54"/>
      <c r="M1194" s="5" t="s">
        <v>5870</v>
      </c>
      <c r="N1194" s="53" t="s">
        <v>2718</v>
      </c>
      <c r="O1194">
        <v>35.292278</v>
      </c>
      <c r="P1194">
        <v>-2.938097</v>
      </c>
      <c r="Q1194" s="5" t="s">
        <v>649</v>
      </c>
      <c r="R1194" s="10">
        <f t="shared" si="10"/>
        <v>79</v>
      </c>
      <c r="S1194" s="5" t="s">
        <v>5871</v>
      </c>
      <c r="T1194" s="6" t="s">
        <v>72</v>
      </c>
      <c r="U1194" s="5" t="s">
        <v>5872</v>
      </c>
      <c r="V1194" s="5"/>
    </row>
    <row r="1195" ht="12.75" customHeight="1">
      <c r="A1195" s="5">
        <v>34569.0</v>
      </c>
      <c r="B1195" s="5" t="s">
        <v>4108</v>
      </c>
      <c r="C1195" s="5" t="s">
        <v>211</v>
      </c>
      <c r="D1195" s="5" t="s">
        <v>2852</v>
      </c>
      <c r="E1195" s="7" t="s">
        <v>5869</v>
      </c>
      <c r="F1195" s="5" t="s">
        <v>5853</v>
      </c>
      <c r="G1195" s="5" t="s">
        <v>5854</v>
      </c>
      <c r="H1195" s="5">
        <v>2008.0</v>
      </c>
      <c r="I1195" s="5">
        <v>0.0</v>
      </c>
      <c r="J1195" s="5">
        <v>0.0</v>
      </c>
      <c r="K1195" s="5">
        <v>1.0</v>
      </c>
      <c r="L1195" s="54"/>
      <c r="M1195" s="5" t="s">
        <v>5873</v>
      </c>
      <c r="N1195" s="53" t="s">
        <v>5874</v>
      </c>
      <c r="O1195">
        <v>52.520007</v>
      </c>
      <c r="P1195">
        <v>13.404954</v>
      </c>
      <c r="Q1195" s="5" t="s">
        <v>1774</v>
      </c>
      <c r="R1195" s="10">
        <f t="shared" si="10"/>
        <v>6</v>
      </c>
      <c r="S1195" s="5" t="s">
        <v>5875</v>
      </c>
      <c r="T1195" s="5"/>
      <c r="U1195" s="5" t="s">
        <v>4578</v>
      </c>
      <c r="V1195" s="5"/>
    </row>
    <row r="1196" ht="12.75" customHeight="1">
      <c r="A1196" s="5">
        <v>34570.0</v>
      </c>
      <c r="B1196" s="5" t="s">
        <v>49</v>
      </c>
      <c r="C1196" s="52" t="s">
        <v>50</v>
      </c>
      <c r="D1196" s="5" t="s">
        <v>2614</v>
      </c>
      <c r="E1196" s="7" t="s">
        <v>5876</v>
      </c>
      <c r="F1196" s="5" t="s">
        <v>5853</v>
      </c>
      <c r="G1196" s="5" t="s">
        <v>5854</v>
      </c>
      <c r="H1196" s="5">
        <v>2008.0</v>
      </c>
      <c r="I1196" s="5">
        <v>0.0</v>
      </c>
      <c r="J1196" s="5">
        <v>0.0</v>
      </c>
      <c r="K1196" s="5">
        <v>4.0</v>
      </c>
      <c r="L1196" s="54"/>
      <c r="M1196" s="5" t="s">
        <v>5877</v>
      </c>
      <c r="N1196" s="53" t="s">
        <v>5291</v>
      </c>
      <c r="O1196">
        <v>23.69751</v>
      </c>
      <c r="P1196">
        <v>-15.93698</v>
      </c>
      <c r="Q1196" s="5" t="s">
        <v>323</v>
      </c>
      <c r="R1196" s="10">
        <f t="shared" si="10"/>
        <v>177</v>
      </c>
      <c r="S1196" s="5" t="s">
        <v>5878</v>
      </c>
      <c r="T1196" s="5" t="s">
        <v>1040</v>
      </c>
      <c r="U1196" s="5" t="s">
        <v>5879</v>
      </c>
      <c r="V1196" s="5" t="s">
        <v>5880</v>
      </c>
    </row>
    <row r="1197" ht="12.75" customHeight="1">
      <c r="A1197" s="5">
        <v>34571.0</v>
      </c>
      <c r="B1197" s="5" t="s">
        <v>41</v>
      </c>
      <c r="C1197" s="5" t="s">
        <v>42</v>
      </c>
      <c r="D1197" s="5" t="s">
        <v>2614</v>
      </c>
      <c r="E1197" s="7" t="s">
        <v>5876</v>
      </c>
      <c r="F1197" s="5" t="s">
        <v>5853</v>
      </c>
      <c r="G1197" s="5" t="s">
        <v>5854</v>
      </c>
      <c r="H1197" s="5">
        <v>2008.0</v>
      </c>
      <c r="I1197" s="5">
        <v>0.0</v>
      </c>
      <c r="J1197" s="5">
        <v>0.0</v>
      </c>
      <c r="K1197" s="5">
        <v>2.0</v>
      </c>
      <c r="L1197" s="54"/>
      <c r="M1197" s="5" t="s">
        <v>5881</v>
      </c>
      <c r="N1197" s="53" t="s">
        <v>2888</v>
      </c>
      <c r="O1197">
        <v>24.088938</v>
      </c>
      <c r="P1197">
        <v>32.899829</v>
      </c>
      <c r="Q1197" s="5" t="s">
        <v>329</v>
      </c>
      <c r="R1197" s="10">
        <f t="shared" si="10"/>
        <v>129</v>
      </c>
      <c r="S1197" s="5" t="s">
        <v>5882</v>
      </c>
      <c r="T1197" s="5"/>
      <c r="U1197" s="5" t="s">
        <v>92</v>
      </c>
      <c r="V1197" s="5" t="s">
        <v>5883</v>
      </c>
    </row>
    <row r="1198" ht="12.75" customHeight="1">
      <c r="A1198" s="5">
        <v>34572.0</v>
      </c>
      <c r="B1198" s="5" t="s">
        <v>68</v>
      </c>
      <c r="C1198" s="5" t="s">
        <v>69</v>
      </c>
      <c r="D1198" s="5" t="s">
        <v>2614</v>
      </c>
      <c r="E1198" s="7" t="s">
        <v>5884</v>
      </c>
      <c r="F1198" s="5" t="s">
        <v>5853</v>
      </c>
      <c r="G1198" s="5" t="s">
        <v>5854</v>
      </c>
      <c r="H1198" s="5">
        <v>2008.0</v>
      </c>
      <c r="I1198" s="5">
        <v>0.0</v>
      </c>
      <c r="J1198" s="5">
        <v>0.0</v>
      </c>
      <c r="K1198" s="5">
        <v>6.0</v>
      </c>
      <c r="L1198" s="54"/>
      <c r="M1198" s="5" t="s">
        <v>5885</v>
      </c>
      <c r="N1198" s="53" t="s">
        <v>5334</v>
      </c>
      <c r="O1198">
        <v>37.369342</v>
      </c>
      <c r="P1198">
        <v>27.27349</v>
      </c>
      <c r="Q1198" s="5" t="s">
        <v>931</v>
      </c>
      <c r="R1198" s="10">
        <f t="shared" si="10"/>
        <v>13</v>
      </c>
      <c r="S1198" s="5" t="s">
        <v>5886</v>
      </c>
      <c r="T1198" s="6" t="s">
        <v>53</v>
      </c>
      <c r="U1198" s="5" t="s">
        <v>5887</v>
      </c>
      <c r="V1198" s="5" t="s">
        <v>5888</v>
      </c>
    </row>
    <row r="1199" ht="12.75" customHeight="1">
      <c r="A1199" s="5">
        <v>34573.0</v>
      </c>
      <c r="B1199" s="5" t="s">
        <v>1995</v>
      </c>
      <c r="C1199" s="52" t="s">
        <v>50</v>
      </c>
      <c r="D1199" s="5" t="s">
        <v>2852</v>
      </c>
      <c r="E1199" s="7" t="s">
        <v>5884</v>
      </c>
      <c r="F1199" s="5" t="s">
        <v>5853</v>
      </c>
      <c r="G1199" s="5" t="s">
        <v>5854</v>
      </c>
      <c r="H1199" s="5">
        <v>2008.0</v>
      </c>
      <c r="I1199" s="5">
        <v>0.0</v>
      </c>
      <c r="J1199" s="5">
        <v>0.0</v>
      </c>
      <c r="K1199" s="5">
        <v>1.0</v>
      </c>
      <c r="L1199" s="54"/>
      <c r="M1199" s="5" t="s">
        <v>5889</v>
      </c>
      <c r="N1199" s="53" t="s">
        <v>3724</v>
      </c>
      <c r="O1199">
        <v>47.36865</v>
      </c>
      <c r="P1199">
        <v>8.539183</v>
      </c>
      <c r="Q1199" s="5" t="s">
        <v>1377</v>
      </c>
      <c r="R1199" s="10">
        <f t="shared" si="10"/>
        <v>9</v>
      </c>
      <c r="S1199" s="5" t="s">
        <v>5890</v>
      </c>
      <c r="T1199" s="5"/>
      <c r="U1199" s="5" t="s">
        <v>5891</v>
      </c>
      <c r="V1199" s="5"/>
    </row>
    <row r="1200" ht="12.75" customHeight="1">
      <c r="A1200" s="5">
        <v>34574.0</v>
      </c>
      <c r="B1200" s="5" t="s">
        <v>49</v>
      </c>
      <c r="C1200" s="52" t="s">
        <v>50</v>
      </c>
      <c r="D1200" s="5" t="s">
        <v>2852</v>
      </c>
      <c r="E1200" s="7" t="s">
        <v>5892</v>
      </c>
      <c r="F1200" s="5" t="s">
        <v>5853</v>
      </c>
      <c r="G1200" s="5" t="s">
        <v>5854</v>
      </c>
      <c r="H1200" s="5">
        <v>2008.0</v>
      </c>
      <c r="I1200" s="5">
        <v>0.0</v>
      </c>
      <c r="J1200" s="5">
        <v>0.0</v>
      </c>
      <c r="K1200" s="5">
        <v>40.0</v>
      </c>
      <c r="L1200" s="54"/>
      <c r="M1200" s="5" t="s">
        <v>5893</v>
      </c>
      <c r="N1200" s="53" t="s">
        <v>2700</v>
      </c>
      <c r="O1200">
        <v>35.508622</v>
      </c>
      <c r="P1200">
        <v>12.59292</v>
      </c>
      <c r="Q1200" s="5" t="s">
        <v>669</v>
      </c>
      <c r="R1200" s="10">
        <f t="shared" si="10"/>
        <v>3843</v>
      </c>
      <c r="S1200" s="5" t="s">
        <v>5894</v>
      </c>
      <c r="T1200" s="6" t="s">
        <v>2130</v>
      </c>
      <c r="U1200" s="5" t="s">
        <v>5895</v>
      </c>
      <c r="V1200" s="5"/>
    </row>
    <row r="1201" ht="12.75" customHeight="1">
      <c r="A1201" s="5">
        <v>34575.0</v>
      </c>
      <c r="B1201" s="5" t="s">
        <v>1995</v>
      </c>
      <c r="C1201" s="52" t="s">
        <v>50</v>
      </c>
      <c r="D1201" s="5" t="s">
        <v>2852</v>
      </c>
      <c r="E1201" s="7" t="s">
        <v>5892</v>
      </c>
      <c r="F1201" s="5" t="s">
        <v>5853</v>
      </c>
      <c r="G1201" s="5" t="s">
        <v>5854</v>
      </c>
      <c r="H1201" s="5">
        <v>2008.0</v>
      </c>
      <c r="I1201" s="5">
        <v>0.0</v>
      </c>
      <c r="J1201" s="5">
        <v>0.0</v>
      </c>
      <c r="K1201" s="5">
        <v>1.0</v>
      </c>
      <c r="L1201" s="54"/>
      <c r="M1201" s="5" t="s">
        <v>5896</v>
      </c>
      <c r="N1201" s="53" t="s">
        <v>5897</v>
      </c>
      <c r="O1201">
        <v>7.946527</v>
      </c>
      <c r="P1201">
        <v>-1.023194</v>
      </c>
      <c r="Q1201" s="5" t="s">
        <v>1931</v>
      </c>
      <c r="R1201" s="10">
        <f t="shared" si="10"/>
        <v>5</v>
      </c>
      <c r="S1201" s="5" t="s">
        <v>5898</v>
      </c>
      <c r="T1201" s="5"/>
      <c r="U1201" s="5" t="s">
        <v>5899</v>
      </c>
      <c r="V1201" s="5"/>
    </row>
    <row r="1202" ht="12.75" customHeight="1">
      <c r="A1202" s="5">
        <v>34576.0</v>
      </c>
      <c r="B1202" s="5" t="s">
        <v>41</v>
      </c>
      <c r="C1202" s="5" t="s">
        <v>42</v>
      </c>
      <c r="D1202" s="5" t="s">
        <v>2614</v>
      </c>
      <c r="E1202" s="7" t="s">
        <v>5900</v>
      </c>
      <c r="F1202" s="5" t="s">
        <v>5853</v>
      </c>
      <c r="G1202" s="5" t="s">
        <v>5854</v>
      </c>
      <c r="H1202" s="5">
        <v>2008.0</v>
      </c>
      <c r="I1202" s="5">
        <v>0.0</v>
      </c>
      <c r="J1202" s="5">
        <v>0.0</v>
      </c>
      <c r="K1202" s="5">
        <v>1.0</v>
      </c>
      <c r="L1202" s="54"/>
      <c r="M1202" s="5" t="s">
        <v>5901</v>
      </c>
      <c r="N1202" s="53" t="s">
        <v>2888</v>
      </c>
      <c r="O1202">
        <v>24.088938</v>
      </c>
      <c r="P1202">
        <v>32.899829</v>
      </c>
      <c r="Q1202" s="5" t="s">
        <v>329</v>
      </c>
      <c r="R1202" s="10">
        <f t="shared" si="10"/>
        <v>129</v>
      </c>
      <c r="S1202" s="5" t="s">
        <v>5902</v>
      </c>
      <c r="T1202" s="5"/>
      <c r="U1202" s="5" t="s">
        <v>92</v>
      </c>
      <c r="V1202" s="5" t="s">
        <v>5903</v>
      </c>
    </row>
    <row r="1203" ht="12.75" customHeight="1">
      <c r="A1203" s="5">
        <v>34577.0</v>
      </c>
      <c r="B1203" s="5" t="s">
        <v>49</v>
      </c>
      <c r="C1203" s="52" t="s">
        <v>50</v>
      </c>
      <c r="D1203" s="5" t="s">
        <v>2852</v>
      </c>
      <c r="E1203" s="7" t="s">
        <v>5904</v>
      </c>
      <c r="F1203" s="5" t="s">
        <v>5853</v>
      </c>
      <c r="G1203" s="5" t="s">
        <v>5854</v>
      </c>
      <c r="H1203" s="5">
        <v>2008.0</v>
      </c>
      <c r="I1203" s="5">
        <v>0.0</v>
      </c>
      <c r="J1203" s="5">
        <v>0.0</v>
      </c>
      <c r="K1203" s="5">
        <v>4.0</v>
      </c>
      <c r="L1203" s="54"/>
      <c r="M1203" s="5" t="s">
        <v>5905</v>
      </c>
      <c r="N1203" s="53" t="s">
        <v>5906</v>
      </c>
      <c r="O1203">
        <v>36.2941</v>
      </c>
      <c r="P1203">
        <v>35.793903</v>
      </c>
      <c r="Q1203" s="5" t="s">
        <v>788</v>
      </c>
      <c r="R1203" s="10">
        <f t="shared" si="10"/>
        <v>4</v>
      </c>
      <c r="S1203" s="5" t="s">
        <v>5907</v>
      </c>
      <c r="T1203" s="6" t="s">
        <v>53</v>
      </c>
      <c r="U1203" s="5" t="s">
        <v>5908</v>
      </c>
      <c r="V1203" s="5"/>
    </row>
    <row r="1204" ht="12.75" customHeight="1">
      <c r="A1204" s="5">
        <v>34578.0</v>
      </c>
      <c r="B1204" s="5" t="s">
        <v>1995</v>
      </c>
      <c r="C1204" s="52" t="s">
        <v>50</v>
      </c>
      <c r="D1204" s="5" t="s">
        <v>2852</v>
      </c>
      <c r="E1204" s="7" t="s">
        <v>5909</v>
      </c>
      <c r="F1204" s="5" t="s">
        <v>5853</v>
      </c>
      <c r="G1204" s="5" t="s">
        <v>5854</v>
      </c>
      <c r="H1204" s="5">
        <v>2008.0</v>
      </c>
      <c r="I1204" s="5">
        <v>0.0</v>
      </c>
      <c r="J1204" s="5">
        <v>0.0</v>
      </c>
      <c r="K1204" s="5">
        <v>1.0</v>
      </c>
      <c r="L1204" s="54"/>
      <c r="M1204" s="5" t="s">
        <v>5910</v>
      </c>
      <c r="N1204" s="53" t="s">
        <v>5911</v>
      </c>
      <c r="O1204">
        <v>53.54368</v>
      </c>
      <c r="P1204">
        <v>-0.974168</v>
      </c>
      <c r="Q1204" s="5" t="s">
        <v>1844</v>
      </c>
      <c r="R1204" s="10">
        <f t="shared" si="10"/>
        <v>1</v>
      </c>
      <c r="S1204" s="5" t="s">
        <v>5912</v>
      </c>
      <c r="T1204" s="5"/>
      <c r="U1204" s="5" t="s">
        <v>3219</v>
      </c>
      <c r="V1204" s="5"/>
    </row>
    <row r="1205" ht="12.75" customHeight="1">
      <c r="A1205" s="5">
        <v>34579.0</v>
      </c>
      <c r="B1205" s="5" t="s">
        <v>68</v>
      </c>
      <c r="C1205" s="5" t="s">
        <v>69</v>
      </c>
      <c r="D1205" s="5" t="s">
        <v>2614</v>
      </c>
      <c r="E1205" s="7" t="s">
        <v>5913</v>
      </c>
      <c r="F1205" s="5" t="s">
        <v>5853</v>
      </c>
      <c r="G1205" s="5" t="s">
        <v>5854</v>
      </c>
      <c r="H1205" s="5">
        <v>2008.0</v>
      </c>
      <c r="I1205" s="5">
        <v>0.0</v>
      </c>
      <c r="J1205" s="5">
        <v>0.0</v>
      </c>
      <c r="K1205" s="5">
        <v>2.0</v>
      </c>
      <c r="L1205" s="54"/>
      <c r="M1205" s="5" t="s">
        <v>5914</v>
      </c>
      <c r="N1205" s="53" t="s">
        <v>4556</v>
      </c>
      <c r="O1205">
        <v>28.291564</v>
      </c>
      <c r="P1205">
        <v>-16.62913</v>
      </c>
      <c r="Q1205" s="5" t="s">
        <v>382</v>
      </c>
      <c r="R1205" s="10">
        <f t="shared" si="10"/>
        <v>1120</v>
      </c>
      <c r="S1205" s="5" t="s">
        <v>5915</v>
      </c>
      <c r="T1205" s="5" t="s">
        <v>1040</v>
      </c>
      <c r="U1205" s="5" t="s">
        <v>3403</v>
      </c>
      <c r="V1205" s="5" t="s">
        <v>5916</v>
      </c>
    </row>
    <row r="1206" ht="12.75" customHeight="1">
      <c r="A1206" s="5">
        <v>34580.0</v>
      </c>
      <c r="B1206" s="5" t="s">
        <v>68</v>
      </c>
      <c r="C1206" s="5" t="s">
        <v>69</v>
      </c>
      <c r="D1206" s="5" t="s">
        <v>2614</v>
      </c>
      <c r="E1206" s="7" t="s">
        <v>5917</v>
      </c>
      <c r="F1206" s="5" t="s">
        <v>5853</v>
      </c>
      <c r="G1206" s="5" t="s">
        <v>5854</v>
      </c>
      <c r="H1206" s="5">
        <v>2008.0</v>
      </c>
      <c r="I1206" s="5">
        <v>0.0</v>
      </c>
      <c r="J1206" s="5">
        <v>0.0</v>
      </c>
      <c r="K1206" s="5">
        <v>1.0</v>
      </c>
      <c r="L1206" s="54"/>
      <c r="M1206" s="5" t="s">
        <v>5918</v>
      </c>
      <c r="N1206" s="53" t="s">
        <v>4412</v>
      </c>
      <c r="O1206">
        <v>35.696944</v>
      </c>
      <c r="P1206">
        <v>-0.633056</v>
      </c>
      <c r="Q1206" s="5" t="s">
        <v>690</v>
      </c>
      <c r="R1206" s="10">
        <f t="shared" si="10"/>
        <v>120</v>
      </c>
      <c r="S1206" s="5" t="s">
        <v>5919</v>
      </c>
      <c r="T1206" s="6" t="s">
        <v>72</v>
      </c>
      <c r="U1206" s="5" t="s">
        <v>5920</v>
      </c>
      <c r="V1206" s="5" t="s">
        <v>5921</v>
      </c>
    </row>
    <row r="1207" ht="12.75" customHeight="1">
      <c r="A1207" s="5">
        <v>34581.0</v>
      </c>
      <c r="B1207" s="5" t="s">
        <v>1995</v>
      </c>
      <c r="C1207" s="52" t="s">
        <v>50</v>
      </c>
      <c r="D1207" s="5" t="s">
        <v>2852</v>
      </c>
      <c r="E1207" s="7" t="s">
        <v>5922</v>
      </c>
      <c r="F1207" s="5" t="s">
        <v>5853</v>
      </c>
      <c r="G1207" s="5" t="s">
        <v>5854</v>
      </c>
      <c r="H1207" s="5">
        <v>2008.0</v>
      </c>
      <c r="I1207" s="5">
        <v>0.0</v>
      </c>
      <c r="J1207" s="5">
        <v>0.0</v>
      </c>
      <c r="K1207" s="5">
        <v>1.0</v>
      </c>
      <c r="L1207" s="54"/>
      <c r="M1207" s="5" t="s">
        <v>5923</v>
      </c>
      <c r="N1207" s="53" t="s">
        <v>3810</v>
      </c>
      <c r="O1207">
        <v>55.57156</v>
      </c>
      <c r="P1207">
        <v>-4.410332</v>
      </c>
      <c r="Q1207" s="5" t="s">
        <v>1888</v>
      </c>
      <c r="R1207" s="10">
        <f t="shared" si="10"/>
        <v>11</v>
      </c>
      <c r="S1207" s="5" t="s">
        <v>5924</v>
      </c>
      <c r="T1207" s="5"/>
      <c r="U1207" s="5" t="s">
        <v>5925</v>
      </c>
      <c r="V1207" s="5"/>
    </row>
    <row r="1208" ht="12.75" customHeight="1">
      <c r="A1208" s="5">
        <v>34582.0</v>
      </c>
      <c r="B1208" s="5" t="s">
        <v>49</v>
      </c>
      <c r="C1208" s="52" t="s">
        <v>50</v>
      </c>
      <c r="D1208" s="5" t="s">
        <v>2614</v>
      </c>
      <c r="E1208" s="7" t="s">
        <v>5926</v>
      </c>
      <c r="F1208" s="5" t="s">
        <v>5853</v>
      </c>
      <c r="G1208" s="5" t="s">
        <v>5927</v>
      </c>
      <c r="H1208" s="5">
        <v>2008.0</v>
      </c>
      <c r="I1208" s="5">
        <v>0.0</v>
      </c>
      <c r="J1208" s="5">
        <v>0.0</v>
      </c>
      <c r="K1208" s="5">
        <v>1.0</v>
      </c>
      <c r="L1208" s="54"/>
      <c r="M1208" s="5" t="s">
        <v>5928</v>
      </c>
      <c r="N1208" s="53" t="s">
        <v>4663</v>
      </c>
      <c r="O1208">
        <v>36.19002</v>
      </c>
      <c r="P1208">
        <v>-5.92248</v>
      </c>
      <c r="Q1208" s="5" t="s">
        <v>778</v>
      </c>
      <c r="R1208" s="10">
        <f t="shared" si="10"/>
        <v>74</v>
      </c>
      <c r="S1208" s="5" t="s">
        <v>5929</v>
      </c>
      <c r="T1208" s="6" t="s">
        <v>72</v>
      </c>
      <c r="U1208" s="5" t="s">
        <v>2635</v>
      </c>
      <c r="V1208" s="5" t="s">
        <v>5930</v>
      </c>
    </row>
    <row r="1209" ht="12.75" customHeight="1">
      <c r="A1209" s="5">
        <v>34583.0</v>
      </c>
      <c r="B1209" s="5" t="s">
        <v>41</v>
      </c>
      <c r="C1209" s="5" t="s">
        <v>42</v>
      </c>
      <c r="D1209" s="5" t="s">
        <v>2614</v>
      </c>
      <c r="E1209" s="7" t="s">
        <v>5931</v>
      </c>
      <c r="F1209" s="5" t="s">
        <v>5853</v>
      </c>
      <c r="G1209" s="5" t="s">
        <v>5927</v>
      </c>
      <c r="H1209" s="5">
        <v>2008.0</v>
      </c>
      <c r="I1209" s="5">
        <v>0.0</v>
      </c>
      <c r="J1209" s="5">
        <v>0.0</v>
      </c>
      <c r="K1209" s="5">
        <v>1.0</v>
      </c>
      <c r="L1209" s="54"/>
      <c r="M1209" s="5" t="s">
        <v>5932</v>
      </c>
      <c r="N1209" s="53" t="s">
        <v>2888</v>
      </c>
      <c r="O1209">
        <v>24.088938</v>
      </c>
      <c r="P1209">
        <v>32.899829</v>
      </c>
      <c r="Q1209" s="5" t="s">
        <v>329</v>
      </c>
      <c r="R1209" s="10">
        <f t="shared" si="10"/>
        <v>129</v>
      </c>
      <c r="S1209" s="5" t="s">
        <v>5933</v>
      </c>
      <c r="T1209" s="5"/>
      <c r="U1209" s="5" t="s">
        <v>92</v>
      </c>
      <c r="V1209" s="5" t="s">
        <v>5934</v>
      </c>
    </row>
    <row r="1210" ht="12.75" customHeight="1">
      <c r="A1210" s="5">
        <v>34584.0</v>
      </c>
      <c r="B1210" s="5" t="s">
        <v>41</v>
      </c>
      <c r="C1210" s="5" t="s">
        <v>42</v>
      </c>
      <c r="D1210" s="5" t="s">
        <v>2614</v>
      </c>
      <c r="E1210" s="7" t="s">
        <v>5935</v>
      </c>
      <c r="F1210" s="5" t="s">
        <v>5853</v>
      </c>
      <c r="G1210" s="5" t="s">
        <v>5927</v>
      </c>
      <c r="H1210" s="5">
        <v>2008.0</v>
      </c>
      <c r="I1210" s="5">
        <v>0.0</v>
      </c>
      <c r="J1210" s="5">
        <v>0.0</v>
      </c>
      <c r="K1210" s="5">
        <v>1.0</v>
      </c>
      <c r="L1210" s="54"/>
      <c r="M1210" s="5" t="s">
        <v>5936</v>
      </c>
      <c r="N1210" s="53" t="s">
        <v>5518</v>
      </c>
      <c r="O1210">
        <v>31.280267</v>
      </c>
      <c r="P1210">
        <v>34.240191</v>
      </c>
      <c r="Q1210" s="5" t="s">
        <v>432</v>
      </c>
      <c r="R1210" s="10">
        <f t="shared" si="10"/>
        <v>4</v>
      </c>
      <c r="S1210" s="5" t="s">
        <v>5937</v>
      </c>
      <c r="T1210" s="5"/>
      <c r="U1210" s="5" t="s">
        <v>5938</v>
      </c>
      <c r="V1210" s="5" t="s">
        <v>5939</v>
      </c>
    </row>
    <row r="1211" ht="12.75" customHeight="1">
      <c r="A1211" s="5">
        <v>34585.0</v>
      </c>
      <c r="B1211" s="5" t="s">
        <v>3409</v>
      </c>
      <c r="C1211" s="5" t="s">
        <v>211</v>
      </c>
      <c r="D1211" s="5" t="s">
        <v>2852</v>
      </c>
      <c r="E1211" s="7" t="s">
        <v>5940</v>
      </c>
      <c r="F1211" s="5" t="s">
        <v>5853</v>
      </c>
      <c r="G1211" s="5" t="s">
        <v>5927</v>
      </c>
      <c r="H1211" s="5">
        <v>2008.0</v>
      </c>
      <c r="I1211" s="5">
        <v>0.0</v>
      </c>
      <c r="J1211" s="5">
        <v>0.0</v>
      </c>
      <c r="K1211" s="5">
        <v>1.0</v>
      </c>
      <c r="L1211" s="54"/>
      <c r="M1211" s="5" t="s">
        <v>5941</v>
      </c>
      <c r="N1211" s="53" t="s">
        <v>5942</v>
      </c>
      <c r="O1211">
        <v>53.835187</v>
      </c>
      <c r="P1211">
        <v>-2.219377</v>
      </c>
      <c r="Q1211" s="5" t="s">
        <v>1866</v>
      </c>
      <c r="R1211" s="10">
        <f t="shared" si="10"/>
        <v>3</v>
      </c>
      <c r="S1211" s="5" t="s">
        <v>5943</v>
      </c>
      <c r="T1211" s="5"/>
      <c r="U1211" s="5" t="s">
        <v>3219</v>
      </c>
      <c r="V1211" s="5"/>
    </row>
    <row r="1212" ht="12.75" customHeight="1">
      <c r="A1212" s="5">
        <v>34586.0</v>
      </c>
      <c r="B1212" s="5" t="s">
        <v>41</v>
      </c>
      <c r="C1212" s="5" t="s">
        <v>42</v>
      </c>
      <c r="D1212" s="5" t="s">
        <v>2614</v>
      </c>
      <c r="E1212" s="7" t="s">
        <v>5944</v>
      </c>
      <c r="F1212" s="5" t="s">
        <v>5853</v>
      </c>
      <c r="G1212" s="5" t="s">
        <v>5927</v>
      </c>
      <c r="H1212" s="5">
        <v>2008.0</v>
      </c>
      <c r="I1212" s="5">
        <v>0.0</v>
      </c>
      <c r="J1212" s="5">
        <v>0.0</v>
      </c>
      <c r="K1212" s="5">
        <v>1.0</v>
      </c>
      <c r="L1212" s="54"/>
      <c r="M1212" s="5" t="s">
        <v>5945</v>
      </c>
      <c r="N1212" s="53" t="s">
        <v>5946</v>
      </c>
      <c r="O1212">
        <v>30.000473</v>
      </c>
      <c r="P1212">
        <v>34.679418</v>
      </c>
      <c r="Q1212" s="5" t="s">
        <v>406</v>
      </c>
      <c r="R1212" s="10">
        <f t="shared" si="10"/>
        <v>1</v>
      </c>
      <c r="S1212" s="5" t="s">
        <v>5947</v>
      </c>
      <c r="T1212" s="5"/>
      <c r="U1212" s="5" t="s">
        <v>5938</v>
      </c>
      <c r="V1212" s="5" t="s">
        <v>5939</v>
      </c>
    </row>
    <row r="1213" ht="12.75" customHeight="1">
      <c r="A1213" s="5">
        <v>34587.0</v>
      </c>
      <c r="B1213" s="5" t="s">
        <v>2902</v>
      </c>
      <c r="C1213" s="5" t="s">
        <v>211</v>
      </c>
      <c r="D1213" s="5" t="s">
        <v>2852</v>
      </c>
      <c r="E1213" s="7" t="s">
        <v>5948</v>
      </c>
      <c r="F1213" s="5" t="s">
        <v>5853</v>
      </c>
      <c r="G1213" s="5" t="s">
        <v>5927</v>
      </c>
      <c r="H1213" s="5">
        <v>2008.0</v>
      </c>
      <c r="I1213" s="5">
        <v>0.0</v>
      </c>
      <c r="J1213" s="5">
        <v>0.0</v>
      </c>
      <c r="K1213" s="5">
        <v>1.0</v>
      </c>
      <c r="L1213" s="54"/>
      <c r="M1213" s="5" t="s">
        <v>5949</v>
      </c>
      <c r="N1213" s="53" t="s">
        <v>3328</v>
      </c>
      <c r="O1213">
        <v>48.856614</v>
      </c>
      <c r="P1213">
        <v>2.352222</v>
      </c>
      <c r="Q1213" s="5" t="s">
        <v>3329</v>
      </c>
      <c r="R1213" s="10">
        <f t="shared" si="10"/>
        <v>30</v>
      </c>
      <c r="S1213" s="5" t="s">
        <v>5950</v>
      </c>
      <c r="T1213" s="5"/>
      <c r="U1213" s="5" t="s">
        <v>5951</v>
      </c>
      <c r="V1213" s="5"/>
    </row>
    <row r="1214" ht="12.75" customHeight="1">
      <c r="A1214" s="5">
        <v>34588.0</v>
      </c>
      <c r="B1214" s="5" t="s">
        <v>68</v>
      </c>
      <c r="C1214" s="5" t="s">
        <v>69</v>
      </c>
      <c r="D1214" s="5" t="s">
        <v>2614</v>
      </c>
      <c r="E1214" s="7" t="s">
        <v>5952</v>
      </c>
      <c r="F1214" s="5" t="s">
        <v>5853</v>
      </c>
      <c r="G1214" s="5" t="s">
        <v>5927</v>
      </c>
      <c r="H1214" s="5">
        <v>2008.0</v>
      </c>
      <c r="I1214" s="5">
        <v>0.0</v>
      </c>
      <c r="J1214" s="5">
        <v>0.0</v>
      </c>
      <c r="K1214" s="5">
        <v>24.0</v>
      </c>
      <c r="L1214" s="54"/>
      <c r="M1214" s="5" t="s">
        <v>5953</v>
      </c>
      <c r="N1214" s="53" t="s">
        <v>5954</v>
      </c>
      <c r="O1214">
        <v>27.93556</v>
      </c>
      <c r="P1214">
        <v>-12.91871</v>
      </c>
      <c r="Q1214" s="5" t="s">
        <v>365</v>
      </c>
      <c r="R1214" s="10">
        <f t="shared" si="10"/>
        <v>85</v>
      </c>
      <c r="S1214" s="5" t="s">
        <v>5955</v>
      </c>
      <c r="T1214" s="5" t="s">
        <v>1040</v>
      </c>
      <c r="U1214" s="5" t="s">
        <v>2635</v>
      </c>
      <c r="V1214" s="5" t="s">
        <v>5956</v>
      </c>
    </row>
    <row r="1215" ht="12.75" customHeight="1">
      <c r="A1215" s="5">
        <v>34590.0</v>
      </c>
      <c r="B1215" s="5" t="s">
        <v>2962</v>
      </c>
      <c r="C1215" s="5" t="s">
        <v>211</v>
      </c>
      <c r="D1215" s="5" t="s">
        <v>2852</v>
      </c>
      <c r="E1215" s="7" t="s">
        <v>5957</v>
      </c>
      <c r="F1215" s="5" t="s">
        <v>5853</v>
      </c>
      <c r="G1215" s="5" t="s">
        <v>5927</v>
      </c>
      <c r="H1215" s="5">
        <v>2008.0</v>
      </c>
      <c r="I1215" s="5">
        <v>0.0</v>
      </c>
      <c r="J1215" s="5">
        <v>0.0</v>
      </c>
      <c r="K1215" s="5">
        <v>1.0</v>
      </c>
      <c r="L1215" s="54"/>
      <c r="M1215" s="5" t="s">
        <v>5958</v>
      </c>
      <c r="N1215" s="53" t="s">
        <v>5959</v>
      </c>
      <c r="O1215">
        <v>40.416775</v>
      </c>
      <c r="P1215">
        <v>-3.70379</v>
      </c>
      <c r="Q1215" s="5" t="s">
        <v>1140</v>
      </c>
      <c r="R1215" s="10">
        <f t="shared" si="10"/>
        <v>1</v>
      </c>
      <c r="S1215" s="5" t="s">
        <v>5960</v>
      </c>
      <c r="T1215" s="6" t="s">
        <v>72</v>
      </c>
      <c r="U1215" s="5" t="s">
        <v>5961</v>
      </c>
      <c r="V1215" s="5"/>
    </row>
    <row r="1216" ht="12.75" customHeight="1">
      <c r="A1216" s="5">
        <v>34589.0</v>
      </c>
      <c r="B1216" s="5" t="s">
        <v>2921</v>
      </c>
      <c r="C1216" s="52" t="s">
        <v>50</v>
      </c>
      <c r="D1216" s="5" t="s">
        <v>2852</v>
      </c>
      <c r="E1216" s="7" t="s">
        <v>5957</v>
      </c>
      <c r="F1216" s="5" t="s">
        <v>5853</v>
      </c>
      <c r="G1216" s="5" t="s">
        <v>5927</v>
      </c>
      <c r="H1216" s="5">
        <v>2008.0</v>
      </c>
      <c r="I1216" s="5">
        <v>0.0</v>
      </c>
      <c r="J1216" s="5">
        <v>0.0</v>
      </c>
      <c r="K1216" s="5">
        <v>1.0</v>
      </c>
      <c r="L1216" s="54"/>
      <c r="M1216" s="5" t="s">
        <v>5962</v>
      </c>
      <c r="N1216" s="53" t="s">
        <v>5963</v>
      </c>
      <c r="O1216">
        <v>46.227638</v>
      </c>
      <c r="P1216">
        <v>2.213749</v>
      </c>
      <c r="Q1216" s="5" t="s">
        <v>1351</v>
      </c>
      <c r="R1216" s="10">
        <f t="shared" si="10"/>
        <v>8</v>
      </c>
      <c r="S1216" s="5" t="s">
        <v>5964</v>
      </c>
      <c r="T1216" s="5"/>
      <c r="U1216" s="5" t="s">
        <v>3219</v>
      </c>
      <c r="V1216" s="5"/>
    </row>
    <row r="1217" ht="12.75" customHeight="1">
      <c r="A1217" s="5">
        <v>34591.0</v>
      </c>
      <c r="B1217" s="5" t="s">
        <v>49</v>
      </c>
      <c r="C1217" s="52" t="s">
        <v>50</v>
      </c>
      <c r="D1217" s="5" t="s">
        <v>2852</v>
      </c>
      <c r="E1217" s="7" t="s">
        <v>5965</v>
      </c>
      <c r="F1217" s="5" t="s">
        <v>5853</v>
      </c>
      <c r="G1217" s="5" t="s">
        <v>5927</v>
      </c>
      <c r="H1217" s="5">
        <v>2008.0</v>
      </c>
      <c r="I1217" s="5">
        <v>0.0</v>
      </c>
      <c r="J1217" s="5">
        <v>0.0</v>
      </c>
      <c r="K1217" s="5">
        <v>1.0</v>
      </c>
      <c r="L1217" s="54"/>
      <c r="M1217" s="5" t="s">
        <v>5966</v>
      </c>
      <c r="N1217" s="53" t="s">
        <v>5741</v>
      </c>
      <c r="O1217">
        <v>35.834673</v>
      </c>
      <c r="P1217">
        <v>14.552498</v>
      </c>
      <c r="Q1217" s="5" t="s">
        <v>704</v>
      </c>
      <c r="R1217" s="10">
        <f t="shared" si="10"/>
        <v>6</v>
      </c>
      <c r="S1217" s="5" t="s">
        <v>5967</v>
      </c>
      <c r="T1217" s="6" t="s">
        <v>2130</v>
      </c>
      <c r="U1217" s="5" t="s">
        <v>5438</v>
      </c>
      <c r="V1217" s="5"/>
    </row>
    <row r="1218" ht="12.75" customHeight="1">
      <c r="A1218" s="5">
        <v>34592.0</v>
      </c>
      <c r="B1218" s="5" t="s">
        <v>1995</v>
      </c>
      <c r="C1218" s="52" t="s">
        <v>50</v>
      </c>
      <c r="D1218" s="5" t="s">
        <v>2852</v>
      </c>
      <c r="E1218" s="7" t="s">
        <v>5965</v>
      </c>
      <c r="F1218" s="5" t="s">
        <v>5853</v>
      </c>
      <c r="G1218" s="5" t="s">
        <v>5927</v>
      </c>
      <c r="H1218" s="5">
        <v>2008.0</v>
      </c>
      <c r="I1218" s="5">
        <v>0.0</v>
      </c>
      <c r="J1218" s="5">
        <v>0.0</v>
      </c>
      <c r="K1218" s="5">
        <v>1.0</v>
      </c>
      <c r="L1218" s="54"/>
      <c r="M1218" s="5" t="s">
        <v>5968</v>
      </c>
      <c r="N1218" s="53" t="s">
        <v>4095</v>
      </c>
      <c r="O1218">
        <v>55.378051</v>
      </c>
      <c r="P1218">
        <v>-3.435973</v>
      </c>
      <c r="Q1218" s="5" t="s">
        <v>1882</v>
      </c>
      <c r="R1218" s="10">
        <f t="shared" si="10"/>
        <v>23</v>
      </c>
      <c r="S1218" s="5" t="s">
        <v>5969</v>
      </c>
      <c r="T1218" s="5"/>
      <c r="U1218" s="5" t="s">
        <v>3219</v>
      </c>
      <c r="V1218" s="5"/>
    </row>
    <row r="1219" ht="12.75" customHeight="1">
      <c r="A1219" s="5">
        <v>34593.0</v>
      </c>
      <c r="B1219" s="5" t="s">
        <v>49</v>
      </c>
      <c r="C1219" s="52" t="s">
        <v>50</v>
      </c>
      <c r="D1219" s="5" t="s">
        <v>2852</v>
      </c>
      <c r="E1219" s="7" t="s">
        <v>5970</v>
      </c>
      <c r="F1219" s="5" t="s">
        <v>5853</v>
      </c>
      <c r="G1219" s="5" t="s">
        <v>5927</v>
      </c>
      <c r="H1219" s="5">
        <v>2008.0</v>
      </c>
      <c r="I1219" s="5">
        <v>0.0</v>
      </c>
      <c r="J1219" s="5">
        <v>0.0</v>
      </c>
      <c r="K1219" s="5">
        <v>1.0</v>
      </c>
      <c r="L1219" s="54"/>
      <c r="M1219" s="5" t="s">
        <v>5971</v>
      </c>
      <c r="N1219" s="53" t="s">
        <v>2873</v>
      </c>
      <c r="O1219">
        <v>40.845719</v>
      </c>
      <c r="P1219">
        <v>25.873962</v>
      </c>
      <c r="Q1219" s="5" t="s">
        <v>1167</v>
      </c>
      <c r="R1219" s="10">
        <f t="shared" si="10"/>
        <v>63</v>
      </c>
      <c r="S1219" s="5" t="s">
        <v>5972</v>
      </c>
      <c r="T1219" s="6" t="s">
        <v>53</v>
      </c>
      <c r="U1219" s="5" t="s">
        <v>5204</v>
      </c>
      <c r="V1219" s="5"/>
    </row>
    <row r="1220" ht="12.75" customHeight="1">
      <c r="A1220" s="5">
        <v>34594.0</v>
      </c>
      <c r="B1220" s="5" t="s">
        <v>1773</v>
      </c>
      <c r="C1220" s="5" t="s">
        <v>124</v>
      </c>
      <c r="D1220" s="5" t="s">
        <v>2852</v>
      </c>
      <c r="E1220" s="7" t="s">
        <v>5973</v>
      </c>
      <c r="F1220" s="5" t="s">
        <v>5853</v>
      </c>
      <c r="G1220" s="5" t="s">
        <v>5927</v>
      </c>
      <c r="H1220" s="5">
        <v>2008.0</v>
      </c>
      <c r="I1220" s="5">
        <v>0.0</v>
      </c>
      <c r="J1220" s="5">
        <v>0.0</v>
      </c>
      <c r="K1220" s="5">
        <v>1.0</v>
      </c>
      <c r="L1220" s="54"/>
      <c r="M1220" s="5" t="s">
        <v>5974</v>
      </c>
      <c r="N1220" s="53" t="s">
        <v>4095</v>
      </c>
      <c r="O1220">
        <v>55.378051</v>
      </c>
      <c r="P1220">
        <v>-3.435973</v>
      </c>
      <c r="Q1220" s="5" t="s">
        <v>1882</v>
      </c>
      <c r="R1220" s="10">
        <f t="shared" si="10"/>
        <v>23</v>
      </c>
      <c r="S1220" s="5" t="s">
        <v>5975</v>
      </c>
      <c r="T1220" s="5"/>
      <c r="U1220" s="5" t="s">
        <v>5976</v>
      </c>
      <c r="V1220" s="5"/>
    </row>
    <row r="1221" ht="12.75" customHeight="1">
      <c r="A1221" s="5">
        <v>34595.0</v>
      </c>
      <c r="B1221" s="5" t="s">
        <v>49</v>
      </c>
      <c r="C1221" s="52" t="s">
        <v>50</v>
      </c>
      <c r="D1221" s="5" t="s">
        <v>2852</v>
      </c>
      <c r="E1221" s="7" t="s">
        <v>5977</v>
      </c>
      <c r="F1221" s="5" t="s">
        <v>5853</v>
      </c>
      <c r="G1221" s="5" t="s">
        <v>5927</v>
      </c>
      <c r="H1221" s="5">
        <v>2008.0</v>
      </c>
      <c r="I1221" s="5">
        <v>0.0</v>
      </c>
      <c r="J1221" s="5">
        <v>0.0</v>
      </c>
      <c r="K1221" s="5">
        <v>1.0</v>
      </c>
      <c r="L1221" s="54"/>
      <c r="M1221" s="5" t="s">
        <v>5978</v>
      </c>
      <c r="N1221" s="53" t="s">
        <v>5185</v>
      </c>
      <c r="O1221">
        <v>36.748374</v>
      </c>
      <c r="P1221">
        <v>-3.516861</v>
      </c>
      <c r="Q1221" s="5" t="s">
        <v>832</v>
      </c>
      <c r="R1221" s="10">
        <f t="shared" si="10"/>
        <v>69</v>
      </c>
      <c r="S1221" s="5" t="s">
        <v>5979</v>
      </c>
      <c r="T1221" s="6" t="s">
        <v>72</v>
      </c>
      <c r="U1221" s="5" t="s">
        <v>5980</v>
      </c>
      <c r="V1221" s="5"/>
    </row>
    <row r="1222" ht="12.75" customHeight="1">
      <c r="A1222" s="5">
        <v>34596.0</v>
      </c>
      <c r="B1222" s="5" t="s">
        <v>2101</v>
      </c>
      <c r="C1222" s="5" t="s">
        <v>124</v>
      </c>
      <c r="D1222" s="5" t="s">
        <v>2614</v>
      </c>
      <c r="E1222" s="7" t="s">
        <v>5981</v>
      </c>
      <c r="F1222" s="5" t="s">
        <v>5853</v>
      </c>
      <c r="G1222" s="5" t="s">
        <v>5927</v>
      </c>
      <c r="H1222" s="5">
        <v>2008.0</v>
      </c>
      <c r="I1222" s="5">
        <v>0.0</v>
      </c>
      <c r="J1222" s="5">
        <v>0.0</v>
      </c>
      <c r="K1222" s="5">
        <v>1.0</v>
      </c>
      <c r="L1222" s="54"/>
      <c r="M1222" s="5" t="s">
        <v>5982</v>
      </c>
      <c r="N1222" s="53" t="s">
        <v>5983</v>
      </c>
      <c r="O1222">
        <v>36.132977</v>
      </c>
      <c r="P1222">
        <v>-5.453909</v>
      </c>
      <c r="Q1222" s="5" t="s">
        <v>770</v>
      </c>
      <c r="R1222" s="10">
        <f t="shared" si="10"/>
        <v>29</v>
      </c>
      <c r="S1222" s="5" t="s">
        <v>5984</v>
      </c>
      <c r="T1222" s="6" t="s">
        <v>72</v>
      </c>
      <c r="U1222" s="5" t="s">
        <v>2785</v>
      </c>
      <c r="V1222" s="5" t="s">
        <v>5985</v>
      </c>
    </row>
    <row r="1223" ht="12.75" customHeight="1">
      <c r="A1223" s="5">
        <v>34597.0</v>
      </c>
      <c r="B1223" s="5" t="s">
        <v>49</v>
      </c>
      <c r="C1223" s="52" t="s">
        <v>50</v>
      </c>
      <c r="D1223" s="5" t="s">
        <v>2614</v>
      </c>
      <c r="E1223" s="7" t="s">
        <v>5986</v>
      </c>
      <c r="F1223" s="5" t="s">
        <v>5853</v>
      </c>
      <c r="G1223" s="5" t="s">
        <v>5927</v>
      </c>
      <c r="H1223" s="5">
        <v>2008.0</v>
      </c>
      <c r="I1223" s="5">
        <v>0.0</v>
      </c>
      <c r="J1223" s="5">
        <v>0.0</v>
      </c>
      <c r="K1223" s="5">
        <v>2.0</v>
      </c>
      <c r="L1223" s="54"/>
      <c r="M1223" s="5" t="s">
        <v>5987</v>
      </c>
      <c r="N1223" s="53" t="s">
        <v>2680</v>
      </c>
      <c r="O1223">
        <v>36.018776</v>
      </c>
      <c r="P1223">
        <v>-5.600819</v>
      </c>
      <c r="Q1223" s="5" t="s">
        <v>761</v>
      </c>
      <c r="R1223" s="10">
        <f t="shared" si="10"/>
        <v>492</v>
      </c>
      <c r="S1223" s="5" t="s">
        <v>5988</v>
      </c>
      <c r="T1223" s="6" t="s">
        <v>72</v>
      </c>
      <c r="U1223" s="5" t="s">
        <v>2785</v>
      </c>
      <c r="V1223" s="5" t="s">
        <v>5989</v>
      </c>
    </row>
    <row r="1224" ht="12.75" customHeight="1">
      <c r="A1224" s="5">
        <v>34598.0</v>
      </c>
      <c r="B1224" s="5" t="s">
        <v>49</v>
      </c>
      <c r="C1224" s="52" t="s">
        <v>50</v>
      </c>
      <c r="D1224" s="5" t="s">
        <v>2852</v>
      </c>
      <c r="E1224" s="7" t="s">
        <v>5990</v>
      </c>
      <c r="F1224" s="5" t="s">
        <v>5853</v>
      </c>
      <c r="G1224" s="5" t="s">
        <v>5927</v>
      </c>
      <c r="H1224" s="5">
        <v>2008.0</v>
      </c>
      <c r="I1224" s="5">
        <v>0.0</v>
      </c>
      <c r="J1224" s="5">
        <v>0.0</v>
      </c>
      <c r="K1224" s="5">
        <v>1.0</v>
      </c>
      <c r="L1224" s="54"/>
      <c r="M1224" s="5" t="s">
        <v>5991</v>
      </c>
      <c r="N1224" s="53" t="s">
        <v>2680</v>
      </c>
      <c r="O1224">
        <v>36.018776</v>
      </c>
      <c r="P1224">
        <v>-5.600819</v>
      </c>
      <c r="Q1224" s="5" t="s">
        <v>761</v>
      </c>
      <c r="R1224" s="10">
        <f t="shared" si="10"/>
        <v>492</v>
      </c>
      <c r="S1224" s="5" t="s">
        <v>5992</v>
      </c>
      <c r="T1224" s="6" t="s">
        <v>72</v>
      </c>
      <c r="U1224" s="5" t="s">
        <v>5993</v>
      </c>
      <c r="V1224" s="5"/>
    </row>
    <row r="1225" ht="12.75" customHeight="1">
      <c r="A1225" s="5">
        <v>34338.0</v>
      </c>
      <c r="B1225" s="5" t="s">
        <v>41</v>
      </c>
      <c r="C1225" s="5" t="s">
        <v>42</v>
      </c>
      <c r="D1225" s="5" t="s">
        <v>2852</v>
      </c>
      <c r="E1225" s="7" t="s">
        <v>5994</v>
      </c>
      <c r="F1225" s="5" t="s">
        <v>5995</v>
      </c>
      <c r="G1225" s="5" t="s">
        <v>5996</v>
      </c>
      <c r="H1225" s="5">
        <v>2008.0</v>
      </c>
      <c r="I1225" s="5">
        <v>0.0</v>
      </c>
      <c r="J1225" s="5">
        <v>0.0</v>
      </c>
      <c r="K1225" s="5">
        <v>1.0</v>
      </c>
      <c r="L1225" s="54"/>
      <c r="M1225" s="5" t="s">
        <v>5997</v>
      </c>
      <c r="N1225" s="53" t="s">
        <v>2718</v>
      </c>
      <c r="O1225">
        <v>35.292278</v>
      </c>
      <c r="P1225">
        <v>-2.938097</v>
      </c>
      <c r="Q1225" s="5" t="s">
        <v>649</v>
      </c>
      <c r="R1225" s="10">
        <f t="shared" si="10"/>
        <v>79</v>
      </c>
      <c r="S1225" s="5" t="s">
        <v>5998</v>
      </c>
      <c r="T1225" s="6" t="s">
        <v>72</v>
      </c>
      <c r="U1225" s="5" t="s">
        <v>5999</v>
      </c>
      <c r="V1225" s="5" t="s">
        <v>6000</v>
      </c>
    </row>
    <row r="1226" ht="12.75" customHeight="1">
      <c r="A1226" s="5">
        <v>34340.0</v>
      </c>
      <c r="B1226" s="5" t="s">
        <v>49</v>
      </c>
      <c r="C1226" s="52" t="s">
        <v>50</v>
      </c>
      <c r="D1226" s="5" t="s">
        <v>2852</v>
      </c>
      <c r="E1226" s="7" t="s">
        <v>5994</v>
      </c>
      <c r="F1226" s="5" t="s">
        <v>5995</v>
      </c>
      <c r="G1226" s="5" t="s">
        <v>5996</v>
      </c>
      <c r="H1226" s="5">
        <v>2008.0</v>
      </c>
      <c r="I1226" s="5">
        <v>0.0</v>
      </c>
      <c r="J1226" s="5">
        <v>0.0</v>
      </c>
      <c r="K1226" s="5">
        <v>12.0</v>
      </c>
      <c r="L1226" s="54"/>
      <c r="M1226" s="5" t="s">
        <v>6001</v>
      </c>
      <c r="N1226" s="53" t="s">
        <v>3733</v>
      </c>
      <c r="O1226">
        <v>35.85</v>
      </c>
      <c r="P1226">
        <v>-0.316667</v>
      </c>
      <c r="Q1226" s="5" t="s">
        <v>708</v>
      </c>
      <c r="R1226" s="10">
        <f t="shared" si="10"/>
        <v>81</v>
      </c>
      <c r="S1226" s="5" t="s">
        <v>6002</v>
      </c>
      <c r="T1226" s="6" t="s">
        <v>72</v>
      </c>
      <c r="U1226" s="5" t="s">
        <v>5138</v>
      </c>
      <c r="V1226" s="5"/>
    </row>
    <row r="1227" ht="12.75" customHeight="1">
      <c r="A1227" s="5">
        <v>34339.0</v>
      </c>
      <c r="B1227" s="5" t="s">
        <v>1857</v>
      </c>
      <c r="C1227" s="52" t="s">
        <v>50</v>
      </c>
      <c r="D1227" s="5" t="s">
        <v>2852</v>
      </c>
      <c r="E1227" s="7" t="s">
        <v>5994</v>
      </c>
      <c r="F1227" s="5" t="s">
        <v>5995</v>
      </c>
      <c r="G1227" s="5" t="s">
        <v>5996</v>
      </c>
      <c r="H1227" s="5">
        <v>2008.0</v>
      </c>
      <c r="I1227" s="5">
        <v>0.0</v>
      </c>
      <c r="J1227" s="5">
        <v>0.0</v>
      </c>
      <c r="K1227" s="5">
        <v>1.0</v>
      </c>
      <c r="L1227" s="54"/>
      <c r="M1227" s="5" t="s">
        <v>6003</v>
      </c>
      <c r="N1227" s="53" t="s">
        <v>4743</v>
      </c>
      <c r="O1227">
        <v>42.675931</v>
      </c>
      <c r="P1227">
        <v>23.433222</v>
      </c>
      <c r="Q1227" s="5" t="s">
        <v>1260</v>
      </c>
      <c r="R1227" s="10">
        <f t="shared" si="10"/>
        <v>2</v>
      </c>
      <c r="S1227" s="5" t="s">
        <v>6004</v>
      </c>
      <c r="T1227" s="6" t="s">
        <v>53</v>
      </c>
      <c r="U1227" s="5" t="s">
        <v>6005</v>
      </c>
      <c r="V1227" s="5" t="s">
        <v>4745</v>
      </c>
    </row>
    <row r="1228" ht="12.75" customHeight="1">
      <c r="A1228" s="5">
        <v>34341.0</v>
      </c>
      <c r="B1228" s="5" t="s">
        <v>49</v>
      </c>
      <c r="C1228" s="52" t="s">
        <v>50</v>
      </c>
      <c r="D1228" s="5" t="s">
        <v>2852</v>
      </c>
      <c r="E1228" s="7" t="s">
        <v>6006</v>
      </c>
      <c r="F1228" s="5" t="s">
        <v>5995</v>
      </c>
      <c r="G1228" s="5" t="s">
        <v>5996</v>
      </c>
      <c r="H1228" s="5">
        <v>2008.0</v>
      </c>
      <c r="I1228" s="5">
        <v>0.0</v>
      </c>
      <c r="J1228" s="5">
        <v>0.0</v>
      </c>
      <c r="K1228" s="5">
        <v>1.0</v>
      </c>
      <c r="L1228" s="54"/>
      <c r="M1228" s="5" t="s">
        <v>6007</v>
      </c>
      <c r="N1228" s="53" t="s">
        <v>2718</v>
      </c>
      <c r="O1228">
        <v>35.292278</v>
      </c>
      <c r="P1228">
        <v>-2.938097</v>
      </c>
      <c r="Q1228" s="5" t="s">
        <v>649</v>
      </c>
      <c r="R1228" s="10">
        <f t="shared" si="10"/>
        <v>79</v>
      </c>
      <c r="S1228" s="5" t="s">
        <v>6008</v>
      </c>
      <c r="T1228" s="6" t="s">
        <v>72</v>
      </c>
      <c r="U1228" s="5" t="s">
        <v>6009</v>
      </c>
      <c r="V1228" s="5"/>
    </row>
    <row r="1229" ht="12.75" customHeight="1">
      <c r="A1229" s="5">
        <v>34342.0</v>
      </c>
      <c r="B1229" s="5" t="s">
        <v>49</v>
      </c>
      <c r="C1229" s="52" t="s">
        <v>50</v>
      </c>
      <c r="D1229" s="5" t="s">
        <v>2852</v>
      </c>
      <c r="E1229" s="7" t="s">
        <v>6010</v>
      </c>
      <c r="F1229" s="5" t="s">
        <v>5995</v>
      </c>
      <c r="G1229" s="5" t="s">
        <v>5996</v>
      </c>
      <c r="H1229" s="5">
        <v>2008.0</v>
      </c>
      <c r="I1229" s="5">
        <v>0.0</v>
      </c>
      <c r="J1229" s="5">
        <v>0.0</v>
      </c>
      <c r="K1229" s="5">
        <v>7.0</v>
      </c>
      <c r="L1229" s="54"/>
      <c r="M1229" s="5" t="s">
        <v>6011</v>
      </c>
      <c r="N1229" s="53" t="s">
        <v>6012</v>
      </c>
      <c r="O1229">
        <v>39.599541</v>
      </c>
      <c r="P1229">
        <v>26.40086</v>
      </c>
      <c r="Q1229" s="5" t="s">
        <v>1100</v>
      </c>
      <c r="R1229" s="10">
        <f t="shared" si="10"/>
        <v>11</v>
      </c>
      <c r="S1229" s="5" t="s">
        <v>6013</v>
      </c>
      <c r="T1229" s="6" t="s">
        <v>53</v>
      </c>
      <c r="U1229" s="5" t="s">
        <v>6014</v>
      </c>
      <c r="V1229" s="5" t="s">
        <v>6015</v>
      </c>
    </row>
    <row r="1230" ht="12.75" customHeight="1">
      <c r="A1230" s="5">
        <v>34343.0</v>
      </c>
      <c r="B1230" s="5" t="s">
        <v>491</v>
      </c>
      <c r="C1230" s="52" t="s">
        <v>50</v>
      </c>
      <c r="D1230" s="5" t="s">
        <v>2852</v>
      </c>
      <c r="E1230" s="7" t="s">
        <v>6016</v>
      </c>
      <c r="F1230" s="5" t="s">
        <v>5995</v>
      </c>
      <c r="G1230" s="5" t="s">
        <v>5996</v>
      </c>
      <c r="H1230" s="5">
        <v>2008.0</v>
      </c>
      <c r="I1230" s="5">
        <v>0.0</v>
      </c>
      <c r="J1230" s="5">
        <v>0.0</v>
      </c>
      <c r="K1230" s="5">
        <v>6.0</v>
      </c>
      <c r="L1230" s="54"/>
      <c r="M1230" s="5" t="s">
        <v>6017</v>
      </c>
      <c r="N1230" s="53" t="s">
        <v>5260</v>
      </c>
      <c r="O1230">
        <v>23.803497</v>
      </c>
      <c r="P1230">
        <v>11.291889</v>
      </c>
      <c r="Q1230" s="5" t="s">
        <v>324</v>
      </c>
      <c r="R1230" s="10">
        <f t="shared" si="10"/>
        <v>234</v>
      </c>
      <c r="S1230" s="5" t="s">
        <v>6018</v>
      </c>
      <c r="T1230" s="5"/>
      <c r="U1230" s="5" t="s">
        <v>6019</v>
      </c>
      <c r="V1230" s="5"/>
    </row>
    <row r="1231" ht="12.75" customHeight="1">
      <c r="A1231" s="5">
        <v>34344.0</v>
      </c>
      <c r="B1231" s="5" t="s">
        <v>2333</v>
      </c>
      <c r="C1231" s="5" t="s">
        <v>124</v>
      </c>
      <c r="D1231" s="5" t="s">
        <v>2614</v>
      </c>
      <c r="E1231" s="7" t="s">
        <v>6020</v>
      </c>
      <c r="F1231" s="5" t="s">
        <v>5995</v>
      </c>
      <c r="G1231" s="5" t="s">
        <v>5996</v>
      </c>
      <c r="H1231" s="5">
        <v>2008.0</v>
      </c>
      <c r="I1231" s="5">
        <v>0.0</v>
      </c>
      <c r="J1231" s="5">
        <v>0.0</v>
      </c>
      <c r="K1231" s="5">
        <v>1.0</v>
      </c>
      <c r="L1231" s="54"/>
      <c r="M1231" s="5" t="s">
        <v>6021</v>
      </c>
      <c r="N1231" s="53" t="s">
        <v>3131</v>
      </c>
      <c r="O1231">
        <v>45.440847</v>
      </c>
      <c r="P1231">
        <v>12.315515</v>
      </c>
      <c r="Q1231" s="5" t="s">
        <v>1317</v>
      </c>
      <c r="R1231" s="10">
        <f t="shared" si="10"/>
        <v>13</v>
      </c>
      <c r="S1231" s="5" t="s">
        <v>6022</v>
      </c>
      <c r="T1231" s="5"/>
      <c r="U1231" s="5" t="s">
        <v>6023</v>
      </c>
      <c r="V1231" s="5" t="s">
        <v>6024</v>
      </c>
    </row>
    <row r="1232" ht="12.75" customHeight="1">
      <c r="A1232" s="5">
        <v>34345.0</v>
      </c>
      <c r="B1232" s="5" t="s">
        <v>2902</v>
      </c>
      <c r="C1232" s="5" t="s">
        <v>211</v>
      </c>
      <c r="D1232" s="5" t="s">
        <v>2852</v>
      </c>
      <c r="E1232" s="7" t="s">
        <v>6020</v>
      </c>
      <c r="F1232" s="5" t="s">
        <v>5995</v>
      </c>
      <c r="G1232" s="5" t="s">
        <v>5996</v>
      </c>
      <c r="H1232" s="5">
        <v>2008.0</v>
      </c>
      <c r="I1232" s="5">
        <v>0.0</v>
      </c>
      <c r="J1232" s="5">
        <v>0.0</v>
      </c>
      <c r="K1232" s="5">
        <v>1.0</v>
      </c>
      <c r="L1232" s="54"/>
      <c r="M1232" s="5" t="s">
        <v>6025</v>
      </c>
      <c r="N1232" s="53" t="s">
        <v>4241</v>
      </c>
      <c r="O1232">
        <v>50.671046</v>
      </c>
      <c r="P1232">
        <v>5.57847</v>
      </c>
      <c r="Q1232" s="5" t="s">
        <v>1505</v>
      </c>
      <c r="R1232" s="10">
        <f t="shared" si="10"/>
        <v>2</v>
      </c>
      <c r="S1232" s="5" t="s">
        <v>6026</v>
      </c>
      <c r="T1232" s="5"/>
      <c r="U1232" s="5" t="s">
        <v>6027</v>
      </c>
      <c r="V1232" s="5"/>
    </row>
    <row r="1233" ht="12.75" customHeight="1">
      <c r="A1233" s="5">
        <v>34346.0</v>
      </c>
      <c r="B1233" s="5" t="s">
        <v>491</v>
      </c>
      <c r="C1233" s="52" t="s">
        <v>50</v>
      </c>
      <c r="D1233" s="5" t="s">
        <v>2852</v>
      </c>
      <c r="E1233" s="7" t="s">
        <v>6028</v>
      </c>
      <c r="F1233" s="5" t="s">
        <v>5995</v>
      </c>
      <c r="G1233" s="5" t="s">
        <v>5996</v>
      </c>
      <c r="H1233" s="5">
        <v>2008.0</v>
      </c>
      <c r="I1233" s="5">
        <v>0.0</v>
      </c>
      <c r="J1233" s="5">
        <v>0.0</v>
      </c>
      <c r="K1233" s="5">
        <v>25.0</v>
      </c>
      <c r="L1233" s="54"/>
      <c r="M1233" s="5" t="s">
        <v>6029</v>
      </c>
      <c r="N1233" s="53" t="s">
        <v>5260</v>
      </c>
      <c r="O1233">
        <v>23.803497</v>
      </c>
      <c r="P1233">
        <v>11.291889</v>
      </c>
      <c r="Q1233" s="5" t="s">
        <v>324</v>
      </c>
      <c r="R1233" s="10">
        <f t="shared" si="10"/>
        <v>234</v>
      </c>
      <c r="S1233" s="5" t="s">
        <v>6030</v>
      </c>
      <c r="T1233" s="5"/>
      <c r="U1233" s="5" t="s">
        <v>3128</v>
      </c>
      <c r="V1233" s="5"/>
    </row>
    <row r="1234" ht="12.75" customHeight="1">
      <c r="A1234" s="5">
        <v>34347.0</v>
      </c>
      <c r="B1234" s="5" t="s">
        <v>49</v>
      </c>
      <c r="C1234" s="52" t="s">
        <v>50</v>
      </c>
      <c r="D1234" s="5" t="s">
        <v>2614</v>
      </c>
      <c r="E1234" s="7" t="s">
        <v>6031</v>
      </c>
      <c r="F1234" s="5" t="s">
        <v>5995</v>
      </c>
      <c r="G1234" s="5" t="s">
        <v>5996</v>
      </c>
      <c r="H1234" s="5">
        <v>2008.0</v>
      </c>
      <c r="I1234" s="5">
        <v>4.0</v>
      </c>
      <c r="J1234" s="5">
        <v>0.0</v>
      </c>
      <c r="K1234" s="5">
        <v>5.0</v>
      </c>
      <c r="L1234" s="54"/>
      <c r="M1234" s="5" t="s">
        <v>6032</v>
      </c>
      <c r="N1234" s="53" t="s">
        <v>5585</v>
      </c>
      <c r="O1234">
        <v>39.33589</v>
      </c>
      <c r="P1234">
        <v>26.71281</v>
      </c>
      <c r="Q1234" s="5" t="s">
        <v>1082</v>
      </c>
      <c r="R1234" s="10">
        <f t="shared" si="10"/>
        <v>24</v>
      </c>
      <c r="S1234" s="5" t="s">
        <v>6033</v>
      </c>
      <c r="T1234" s="6" t="s">
        <v>53</v>
      </c>
      <c r="U1234" s="5" t="s">
        <v>3318</v>
      </c>
      <c r="V1234" s="5" t="s">
        <v>6034</v>
      </c>
    </row>
    <row r="1235" ht="12.75" customHeight="1">
      <c r="A1235" s="5">
        <v>34348.0</v>
      </c>
      <c r="B1235" s="5" t="s">
        <v>68</v>
      </c>
      <c r="C1235" s="5" t="s">
        <v>69</v>
      </c>
      <c r="D1235" s="5" t="s">
        <v>2614</v>
      </c>
      <c r="E1235" s="7" t="s">
        <v>6035</v>
      </c>
      <c r="F1235" s="5" t="s">
        <v>5995</v>
      </c>
      <c r="G1235" s="5" t="s">
        <v>5996</v>
      </c>
      <c r="H1235" s="5">
        <v>2008.0</v>
      </c>
      <c r="I1235" s="5">
        <v>0.0</v>
      </c>
      <c r="J1235" s="5">
        <v>0.0</v>
      </c>
      <c r="K1235" s="5">
        <v>1.0</v>
      </c>
      <c r="L1235" s="54"/>
      <c r="M1235" s="5" t="s">
        <v>6036</v>
      </c>
      <c r="N1235" s="53" t="s">
        <v>5367</v>
      </c>
      <c r="O1235">
        <v>28.291564</v>
      </c>
      <c r="P1235">
        <v>-16.62913</v>
      </c>
      <c r="Q1235" s="5" t="s">
        <v>382</v>
      </c>
      <c r="R1235" s="10">
        <f t="shared" si="10"/>
        <v>1120</v>
      </c>
      <c r="S1235" s="5" t="s">
        <v>6037</v>
      </c>
      <c r="T1235" s="5" t="s">
        <v>1040</v>
      </c>
      <c r="U1235" s="5" t="s">
        <v>3318</v>
      </c>
      <c r="V1235" s="5" t="s">
        <v>6038</v>
      </c>
    </row>
    <row r="1236" ht="12.75" customHeight="1">
      <c r="A1236" s="5">
        <v>34349.0</v>
      </c>
      <c r="B1236" s="5" t="s">
        <v>49</v>
      </c>
      <c r="C1236" s="52" t="s">
        <v>50</v>
      </c>
      <c r="D1236" s="5" t="s">
        <v>2614</v>
      </c>
      <c r="E1236" s="7" t="s">
        <v>6039</v>
      </c>
      <c r="F1236" s="5" t="s">
        <v>5995</v>
      </c>
      <c r="G1236" s="5" t="s">
        <v>5996</v>
      </c>
      <c r="H1236" s="5">
        <v>2008.0</v>
      </c>
      <c r="I1236" s="5">
        <v>1.0</v>
      </c>
      <c r="J1236" s="5">
        <v>0.0</v>
      </c>
      <c r="K1236" s="5">
        <v>1.0</v>
      </c>
      <c r="L1236" s="54"/>
      <c r="M1236" s="5" t="s">
        <v>6040</v>
      </c>
      <c r="N1236" s="53" t="s">
        <v>3340</v>
      </c>
      <c r="O1236">
        <v>37.743215</v>
      </c>
      <c r="P1236">
        <v>26.820351</v>
      </c>
      <c r="Q1236" s="5" t="s">
        <v>956</v>
      </c>
      <c r="R1236" s="10">
        <f t="shared" si="10"/>
        <v>218</v>
      </c>
      <c r="S1236" s="5" t="s">
        <v>6041</v>
      </c>
      <c r="T1236" s="6" t="s">
        <v>53</v>
      </c>
      <c r="U1236" s="5" t="s">
        <v>6042</v>
      </c>
      <c r="V1236" s="5" t="s">
        <v>6043</v>
      </c>
    </row>
    <row r="1237" ht="12.75" customHeight="1">
      <c r="A1237" s="5">
        <v>34351.0</v>
      </c>
      <c r="B1237" s="5" t="s">
        <v>215</v>
      </c>
      <c r="C1237" s="5" t="s">
        <v>62</v>
      </c>
      <c r="D1237" s="5" t="s">
        <v>2852</v>
      </c>
      <c r="E1237" s="7" t="s">
        <v>6039</v>
      </c>
      <c r="F1237" s="5" t="s">
        <v>5995</v>
      </c>
      <c r="G1237" s="5" t="s">
        <v>5996</v>
      </c>
      <c r="H1237" s="5">
        <v>2008.0</v>
      </c>
      <c r="I1237" s="5">
        <v>0.0</v>
      </c>
      <c r="J1237" s="5">
        <v>0.0</v>
      </c>
      <c r="K1237" s="5">
        <v>1.0</v>
      </c>
      <c r="L1237" s="54"/>
      <c r="M1237" s="5" t="s">
        <v>6044</v>
      </c>
      <c r="N1237" s="53" t="s">
        <v>5589</v>
      </c>
      <c r="O1237">
        <v>41.733333</v>
      </c>
      <c r="P1237">
        <v>27.216667</v>
      </c>
      <c r="Q1237" s="5" t="s">
        <v>1236</v>
      </c>
      <c r="R1237" s="10">
        <f t="shared" si="10"/>
        <v>2</v>
      </c>
      <c r="S1237" s="5" t="s">
        <v>6045</v>
      </c>
      <c r="T1237" s="6" t="s">
        <v>53</v>
      </c>
      <c r="U1237" s="5" t="s">
        <v>6046</v>
      </c>
      <c r="V1237" s="5"/>
    </row>
    <row r="1238" ht="12.75" customHeight="1">
      <c r="A1238" s="5">
        <v>34352.0</v>
      </c>
      <c r="B1238" s="5" t="s">
        <v>491</v>
      </c>
      <c r="C1238" s="52" t="s">
        <v>50</v>
      </c>
      <c r="D1238" s="5" t="s">
        <v>2852</v>
      </c>
      <c r="E1238" s="7" t="s">
        <v>6047</v>
      </c>
      <c r="F1238" s="5" t="s">
        <v>5995</v>
      </c>
      <c r="G1238" s="5" t="s">
        <v>6048</v>
      </c>
      <c r="H1238" s="5">
        <v>2008.0</v>
      </c>
      <c r="I1238" s="5">
        <v>0.0</v>
      </c>
      <c r="J1238" s="5">
        <v>0.0</v>
      </c>
      <c r="K1238" s="5">
        <v>3.0</v>
      </c>
      <c r="L1238" s="54"/>
      <c r="M1238" s="5" t="s">
        <v>6049</v>
      </c>
      <c r="N1238" s="53" t="s">
        <v>4941</v>
      </c>
      <c r="O1238">
        <v>28.291564</v>
      </c>
      <c r="P1238">
        <v>-16.62913</v>
      </c>
      <c r="Q1238" s="5" t="s">
        <v>382</v>
      </c>
      <c r="R1238" s="10">
        <f t="shared" si="10"/>
        <v>1120</v>
      </c>
      <c r="S1238" s="5" t="s">
        <v>6050</v>
      </c>
      <c r="T1238" s="5" t="s">
        <v>1040</v>
      </c>
      <c r="U1238" s="5" t="s">
        <v>6051</v>
      </c>
      <c r="V1238" s="5"/>
    </row>
    <row r="1239" ht="12.75" customHeight="1">
      <c r="A1239" s="5">
        <v>34354.0</v>
      </c>
      <c r="B1239" s="5" t="s">
        <v>68</v>
      </c>
      <c r="C1239" s="5" t="s">
        <v>69</v>
      </c>
      <c r="D1239" s="5" t="s">
        <v>2614</v>
      </c>
      <c r="E1239" s="7" t="s">
        <v>6052</v>
      </c>
      <c r="F1239" s="5" t="s">
        <v>5995</v>
      </c>
      <c r="G1239" s="5" t="s">
        <v>6048</v>
      </c>
      <c r="H1239" s="5">
        <v>2008.0</v>
      </c>
      <c r="I1239" s="5">
        <v>0.0</v>
      </c>
      <c r="J1239" s="5">
        <v>0.0</v>
      </c>
      <c r="K1239" s="5">
        <v>4.0</v>
      </c>
      <c r="L1239" s="54"/>
      <c r="M1239" s="5" t="s">
        <v>6053</v>
      </c>
      <c r="N1239" s="53" t="s">
        <v>2700</v>
      </c>
      <c r="O1239">
        <v>35.508622</v>
      </c>
      <c r="P1239">
        <v>12.59292</v>
      </c>
      <c r="Q1239" s="5" t="s">
        <v>669</v>
      </c>
      <c r="R1239" s="10">
        <f t="shared" si="10"/>
        <v>3843</v>
      </c>
      <c r="S1239" s="5" t="s">
        <v>6054</v>
      </c>
      <c r="T1239" s="6" t="s">
        <v>2130</v>
      </c>
      <c r="U1239" s="5" t="s">
        <v>2619</v>
      </c>
      <c r="V1239" s="5" t="s">
        <v>6055</v>
      </c>
    </row>
    <row r="1240" ht="12.75" customHeight="1">
      <c r="A1240" s="5">
        <v>34353.0</v>
      </c>
      <c r="B1240" s="5" t="s">
        <v>68</v>
      </c>
      <c r="C1240" s="5" t="s">
        <v>69</v>
      </c>
      <c r="D1240" s="5" t="s">
        <v>2614</v>
      </c>
      <c r="E1240" s="7" t="s">
        <v>6052</v>
      </c>
      <c r="F1240" s="5" t="s">
        <v>5995</v>
      </c>
      <c r="G1240" s="5" t="s">
        <v>6048</v>
      </c>
      <c r="H1240" s="5">
        <v>2008.0</v>
      </c>
      <c r="I1240" s="5">
        <v>0.0</v>
      </c>
      <c r="J1240" s="5">
        <v>0.0</v>
      </c>
      <c r="K1240" s="5">
        <v>2.0</v>
      </c>
      <c r="L1240" s="54"/>
      <c r="M1240" s="5" t="s">
        <v>6056</v>
      </c>
      <c r="N1240" s="53" t="s">
        <v>3251</v>
      </c>
      <c r="O1240">
        <v>39.074208</v>
      </c>
      <c r="P1240">
        <v>21.824312</v>
      </c>
      <c r="Q1240" s="5" t="s">
        <v>1061</v>
      </c>
      <c r="R1240" s="10">
        <f t="shared" si="10"/>
        <v>20</v>
      </c>
      <c r="S1240" s="5" t="s">
        <v>6057</v>
      </c>
      <c r="T1240" s="5"/>
      <c r="U1240" s="5" t="s">
        <v>1657</v>
      </c>
      <c r="V1240" s="5" t="s">
        <v>6058</v>
      </c>
    </row>
    <row r="1241" ht="12.75" customHeight="1">
      <c r="A1241" s="5">
        <v>34355.0</v>
      </c>
      <c r="B1241" s="5" t="s">
        <v>2921</v>
      </c>
      <c r="C1241" s="52" t="s">
        <v>50</v>
      </c>
      <c r="D1241" s="5" t="s">
        <v>2852</v>
      </c>
      <c r="E1241" s="7" t="s">
        <v>6059</v>
      </c>
      <c r="F1241" s="5" t="s">
        <v>5995</v>
      </c>
      <c r="G1241" s="5" t="s">
        <v>6048</v>
      </c>
      <c r="H1241" s="5">
        <v>2008.0</v>
      </c>
      <c r="I1241" s="5">
        <v>0.0</v>
      </c>
      <c r="J1241" s="5">
        <v>0.0</v>
      </c>
      <c r="K1241" s="5">
        <v>2.0</v>
      </c>
      <c r="L1241" s="54"/>
      <c r="M1241" s="5" t="s">
        <v>6060</v>
      </c>
      <c r="N1241" s="53" t="s">
        <v>6061</v>
      </c>
      <c r="O1241">
        <v>39.077771</v>
      </c>
      <c r="P1241">
        <v>21.665039</v>
      </c>
      <c r="Q1241" s="5" t="s">
        <v>1065</v>
      </c>
      <c r="R1241" s="10">
        <f t="shared" si="10"/>
        <v>2</v>
      </c>
      <c r="S1241" s="5" t="s">
        <v>6062</v>
      </c>
      <c r="T1241" s="6" t="s">
        <v>53</v>
      </c>
      <c r="U1241" s="5" t="s">
        <v>6063</v>
      </c>
      <c r="V1241" s="5"/>
    </row>
    <row r="1242" ht="12.75" customHeight="1">
      <c r="A1242" s="5">
        <v>34356.0</v>
      </c>
      <c r="B1242" s="5" t="s">
        <v>49</v>
      </c>
      <c r="C1242" s="52" t="s">
        <v>50</v>
      </c>
      <c r="D1242" s="5" t="s">
        <v>2852</v>
      </c>
      <c r="E1242" s="7" t="s">
        <v>6064</v>
      </c>
      <c r="F1242" s="5" t="s">
        <v>5995</v>
      </c>
      <c r="G1242" s="5" t="s">
        <v>6048</v>
      </c>
      <c r="H1242" s="5">
        <v>2008.0</v>
      </c>
      <c r="I1242" s="5">
        <v>0.0</v>
      </c>
      <c r="J1242" s="5">
        <v>0.0</v>
      </c>
      <c r="K1242" s="5">
        <v>21.0</v>
      </c>
      <c r="L1242" s="54"/>
      <c r="M1242" s="5" t="s">
        <v>6065</v>
      </c>
      <c r="N1242" s="53" t="s">
        <v>2944</v>
      </c>
      <c r="O1242">
        <v>-12.8275</v>
      </c>
      <c r="P1242">
        <v>45.166244</v>
      </c>
      <c r="Q1242" s="5" t="s">
        <v>228</v>
      </c>
      <c r="R1242" s="10">
        <f t="shared" si="10"/>
        <v>757</v>
      </c>
      <c r="S1242" s="5" t="s">
        <v>6066</v>
      </c>
      <c r="T1242" s="5"/>
      <c r="U1242" s="5" t="s">
        <v>6067</v>
      </c>
      <c r="V1242" s="5" t="s">
        <v>6068</v>
      </c>
    </row>
    <row r="1243" ht="12.75" customHeight="1">
      <c r="A1243" s="5">
        <v>34357.0</v>
      </c>
      <c r="B1243" s="5" t="s">
        <v>68</v>
      </c>
      <c r="C1243" s="5" t="s">
        <v>69</v>
      </c>
      <c r="D1243" s="5" t="s">
        <v>2614</v>
      </c>
      <c r="E1243" s="7" t="s">
        <v>6069</v>
      </c>
      <c r="F1243" s="5" t="s">
        <v>5995</v>
      </c>
      <c r="G1243" s="5" t="s">
        <v>6048</v>
      </c>
      <c r="H1243" s="5">
        <v>2008.0</v>
      </c>
      <c r="I1243" s="5">
        <v>0.0</v>
      </c>
      <c r="J1243" s="5">
        <v>0.0</v>
      </c>
      <c r="K1243" s="5">
        <v>6.0</v>
      </c>
      <c r="L1243" s="54"/>
      <c r="M1243" s="5" t="s">
        <v>6070</v>
      </c>
      <c r="N1243" s="53" t="s">
        <v>3798</v>
      </c>
      <c r="O1243">
        <v>28.033886</v>
      </c>
      <c r="P1243">
        <v>1.659626</v>
      </c>
      <c r="Q1243" s="5" t="s">
        <v>369</v>
      </c>
      <c r="R1243" s="10">
        <f t="shared" si="10"/>
        <v>127</v>
      </c>
      <c r="S1243" s="5" t="s">
        <v>6071</v>
      </c>
      <c r="T1243" s="5"/>
      <c r="U1243" s="5" t="s">
        <v>6072</v>
      </c>
      <c r="V1243" s="5" t="s">
        <v>6073</v>
      </c>
    </row>
    <row r="1244" ht="12.75" customHeight="1">
      <c r="A1244" s="5">
        <v>34358.0</v>
      </c>
      <c r="B1244" s="5" t="s">
        <v>1857</v>
      </c>
      <c r="C1244" s="52" t="s">
        <v>50</v>
      </c>
      <c r="D1244" s="5" t="s">
        <v>2852</v>
      </c>
      <c r="E1244" s="7" t="s">
        <v>6074</v>
      </c>
      <c r="F1244" s="5" t="s">
        <v>5995</v>
      </c>
      <c r="G1244" s="5" t="s">
        <v>6048</v>
      </c>
      <c r="H1244" s="5">
        <v>2008.0</v>
      </c>
      <c r="I1244" s="5">
        <v>0.0</v>
      </c>
      <c r="J1244" s="5">
        <v>0.0</v>
      </c>
      <c r="K1244" s="5">
        <v>1.0</v>
      </c>
      <c r="L1244" s="54"/>
      <c r="M1244" s="5" t="s">
        <v>6075</v>
      </c>
      <c r="N1244" s="53" t="s">
        <v>4556</v>
      </c>
      <c r="O1244">
        <v>28.291564</v>
      </c>
      <c r="P1244">
        <v>-16.62913</v>
      </c>
      <c r="Q1244" s="5" t="s">
        <v>382</v>
      </c>
      <c r="R1244" s="10">
        <f t="shared" si="10"/>
        <v>1120</v>
      </c>
      <c r="S1244" s="5" t="s">
        <v>6076</v>
      </c>
      <c r="T1244" s="5" t="s">
        <v>1040</v>
      </c>
      <c r="U1244" s="5" t="s">
        <v>6077</v>
      </c>
      <c r="V1244" s="5" t="s">
        <v>6078</v>
      </c>
    </row>
    <row r="1245" ht="12.75" customHeight="1">
      <c r="A1245" s="5">
        <v>34359.0</v>
      </c>
      <c r="B1245" s="5" t="s">
        <v>49</v>
      </c>
      <c r="C1245" s="52" t="s">
        <v>50</v>
      </c>
      <c r="D1245" s="5" t="s">
        <v>2852</v>
      </c>
      <c r="E1245" s="7" t="s">
        <v>6079</v>
      </c>
      <c r="F1245" s="5" t="s">
        <v>5995</v>
      </c>
      <c r="G1245" s="5" t="s">
        <v>6048</v>
      </c>
      <c r="H1245" s="5">
        <v>2008.0</v>
      </c>
      <c r="I1245" s="5">
        <v>0.0</v>
      </c>
      <c r="J1245" s="5">
        <v>0.0</v>
      </c>
      <c r="K1245" s="5">
        <v>1.0</v>
      </c>
      <c r="L1245" s="54"/>
      <c r="M1245" s="5" t="s">
        <v>6080</v>
      </c>
      <c r="N1245" s="53" t="s">
        <v>2700</v>
      </c>
      <c r="O1245">
        <v>35.508622</v>
      </c>
      <c r="P1245">
        <v>12.59292</v>
      </c>
      <c r="Q1245" s="5" t="s">
        <v>669</v>
      </c>
      <c r="R1245" s="10">
        <f t="shared" si="10"/>
        <v>3843</v>
      </c>
      <c r="S1245" s="5" t="s">
        <v>6081</v>
      </c>
      <c r="T1245" s="6" t="s">
        <v>2130</v>
      </c>
      <c r="U1245" s="5" t="s">
        <v>6082</v>
      </c>
      <c r="V1245" s="5" t="s">
        <v>6083</v>
      </c>
    </row>
    <row r="1246" ht="12.75" customHeight="1">
      <c r="A1246" s="5">
        <v>34361.0</v>
      </c>
      <c r="B1246" s="5" t="s">
        <v>68</v>
      </c>
      <c r="C1246" s="5" t="s">
        <v>69</v>
      </c>
      <c r="D1246" s="5" t="s">
        <v>2852</v>
      </c>
      <c r="E1246" s="7" t="s">
        <v>6084</v>
      </c>
      <c r="F1246" s="5" t="s">
        <v>5995</v>
      </c>
      <c r="G1246" s="5" t="s">
        <v>6048</v>
      </c>
      <c r="H1246" s="5">
        <v>2008.0</v>
      </c>
      <c r="I1246" s="5">
        <v>0.0</v>
      </c>
      <c r="J1246" s="5">
        <v>0.0</v>
      </c>
      <c r="K1246" s="5">
        <v>3.0</v>
      </c>
      <c r="L1246" s="54"/>
      <c r="M1246" s="5" t="s">
        <v>6085</v>
      </c>
      <c r="N1246" s="53" t="s">
        <v>4668</v>
      </c>
      <c r="O1246">
        <v>27.725499</v>
      </c>
      <c r="P1246">
        <v>-18.024301</v>
      </c>
      <c r="Q1246" s="5" t="s">
        <v>351</v>
      </c>
      <c r="R1246" s="10">
        <f t="shared" si="10"/>
        <v>41</v>
      </c>
      <c r="S1246" s="5" t="s">
        <v>6086</v>
      </c>
      <c r="T1246" s="5" t="s">
        <v>1040</v>
      </c>
      <c r="U1246" s="5" t="s">
        <v>6087</v>
      </c>
      <c r="V1246" s="5" t="s">
        <v>6088</v>
      </c>
    </row>
    <row r="1247" ht="12.75" customHeight="1">
      <c r="A1247" s="5">
        <v>34360.0</v>
      </c>
      <c r="B1247" s="5" t="s">
        <v>68</v>
      </c>
      <c r="C1247" s="5" t="s">
        <v>69</v>
      </c>
      <c r="D1247" s="5" t="s">
        <v>2614</v>
      </c>
      <c r="E1247" s="7" t="s">
        <v>6084</v>
      </c>
      <c r="F1247" s="5" t="s">
        <v>5995</v>
      </c>
      <c r="G1247" s="5" t="s">
        <v>6048</v>
      </c>
      <c r="H1247" s="5">
        <v>2008.0</v>
      </c>
      <c r="I1247" s="5">
        <v>0.0</v>
      </c>
      <c r="J1247" s="5">
        <v>0.0</v>
      </c>
      <c r="K1247" s="5">
        <v>1.0</v>
      </c>
      <c r="L1247" s="54"/>
      <c r="M1247" s="5" t="s">
        <v>6089</v>
      </c>
      <c r="N1247" s="53" t="s">
        <v>4556</v>
      </c>
      <c r="O1247">
        <v>28.291564</v>
      </c>
      <c r="P1247">
        <v>-16.62913</v>
      </c>
      <c r="Q1247" s="5" t="s">
        <v>382</v>
      </c>
      <c r="R1247" s="10">
        <f t="shared" si="10"/>
        <v>1120</v>
      </c>
      <c r="S1247" s="5" t="s">
        <v>6090</v>
      </c>
      <c r="T1247" s="5" t="s">
        <v>1040</v>
      </c>
      <c r="U1247" s="5" t="s">
        <v>6091</v>
      </c>
      <c r="V1247" s="5" t="s">
        <v>6088</v>
      </c>
    </row>
    <row r="1248" ht="12.75" customHeight="1">
      <c r="A1248" s="5">
        <v>34362.0</v>
      </c>
      <c r="B1248" s="5" t="s">
        <v>68</v>
      </c>
      <c r="C1248" s="5" t="s">
        <v>69</v>
      </c>
      <c r="D1248" s="5" t="s">
        <v>2614</v>
      </c>
      <c r="E1248" s="7" t="s">
        <v>6092</v>
      </c>
      <c r="F1248" s="5" t="s">
        <v>5995</v>
      </c>
      <c r="G1248" s="5" t="s">
        <v>6048</v>
      </c>
      <c r="H1248" s="5">
        <v>2008.0</v>
      </c>
      <c r="I1248" s="5">
        <v>0.0</v>
      </c>
      <c r="J1248" s="5">
        <v>0.0</v>
      </c>
      <c r="K1248" s="5">
        <v>5.0</v>
      </c>
      <c r="L1248" s="54"/>
      <c r="M1248" s="5" t="s">
        <v>6093</v>
      </c>
      <c r="N1248" s="53" t="s">
        <v>2689</v>
      </c>
      <c r="O1248">
        <v>35.937496</v>
      </c>
      <c r="P1248">
        <v>14.375416</v>
      </c>
      <c r="Q1248" s="5" t="s">
        <v>740</v>
      </c>
      <c r="R1248" s="10">
        <f t="shared" si="10"/>
        <v>655</v>
      </c>
      <c r="S1248" s="5" t="s">
        <v>6094</v>
      </c>
      <c r="T1248" s="6" t="s">
        <v>2130</v>
      </c>
      <c r="U1248" s="5" t="s">
        <v>2143</v>
      </c>
      <c r="V1248" s="5" t="s">
        <v>6095</v>
      </c>
    </row>
    <row r="1249" ht="12.75" customHeight="1">
      <c r="A1249" s="5">
        <v>34363.0</v>
      </c>
      <c r="B1249" s="5" t="s">
        <v>68</v>
      </c>
      <c r="C1249" s="5" t="s">
        <v>69</v>
      </c>
      <c r="D1249" s="5" t="s">
        <v>2852</v>
      </c>
      <c r="E1249" s="7" t="s">
        <v>6092</v>
      </c>
      <c r="F1249" s="5" t="s">
        <v>5995</v>
      </c>
      <c r="G1249" s="5" t="s">
        <v>6048</v>
      </c>
      <c r="H1249" s="5">
        <v>2008.0</v>
      </c>
      <c r="I1249" s="5">
        <v>0.0</v>
      </c>
      <c r="J1249" s="5">
        <v>0.0</v>
      </c>
      <c r="K1249" s="5">
        <v>13.0</v>
      </c>
      <c r="L1249" s="54"/>
      <c r="M1249" s="5" t="s">
        <v>6096</v>
      </c>
      <c r="N1249" s="53" t="s">
        <v>6097</v>
      </c>
      <c r="O1249">
        <v>36.68169</v>
      </c>
      <c r="P1249">
        <v>15.133875</v>
      </c>
      <c r="Q1249" s="5" t="s">
        <v>815</v>
      </c>
      <c r="R1249" s="10">
        <f t="shared" si="10"/>
        <v>17</v>
      </c>
      <c r="S1249" s="5" t="s">
        <v>6098</v>
      </c>
      <c r="T1249" s="6" t="s">
        <v>2130</v>
      </c>
      <c r="U1249" s="5" t="s">
        <v>6099</v>
      </c>
      <c r="V1249" s="5"/>
    </row>
    <row r="1250" ht="12.75" customHeight="1">
      <c r="A1250" s="5">
        <v>34365.0</v>
      </c>
      <c r="B1250" s="5" t="s">
        <v>2552</v>
      </c>
      <c r="C1250" s="52" t="s">
        <v>50</v>
      </c>
      <c r="D1250" s="5" t="s">
        <v>2852</v>
      </c>
      <c r="E1250" s="7" t="s">
        <v>6100</v>
      </c>
      <c r="F1250" s="5" t="s">
        <v>5995</v>
      </c>
      <c r="G1250" s="5" t="s">
        <v>6048</v>
      </c>
      <c r="H1250" s="5">
        <v>2008.0</v>
      </c>
      <c r="I1250" s="5">
        <v>0.0</v>
      </c>
      <c r="J1250" s="5">
        <v>0.0</v>
      </c>
      <c r="K1250" s="5">
        <v>5.0</v>
      </c>
      <c r="L1250" s="54"/>
      <c r="M1250" s="5" t="s">
        <v>6101</v>
      </c>
      <c r="N1250" s="53" t="s">
        <v>5255</v>
      </c>
      <c r="O1250">
        <v>28.103304</v>
      </c>
      <c r="P1250">
        <v>-17.219358</v>
      </c>
      <c r="Q1250" s="5" t="s">
        <v>376</v>
      </c>
      <c r="R1250" s="10">
        <f t="shared" si="10"/>
        <v>29</v>
      </c>
      <c r="S1250" s="5" t="s">
        <v>6102</v>
      </c>
      <c r="T1250" s="5" t="s">
        <v>1040</v>
      </c>
      <c r="U1250" s="5" t="s">
        <v>6103</v>
      </c>
      <c r="V1250" s="5"/>
    </row>
    <row r="1251" ht="12.75" customHeight="1">
      <c r="A1251" s="5">
        <v>34364.0</v>
      </c>
      <c r="B1251" s="5" t="s">
        <v>68</v>
      </c>
      <c r="C1251" s="5" t="s">
        <v>69</v>
      </c>
      <c r="D1251" s="5" t="s">
        <v>2852</v>
      </c>
      <c r="E1251" s="7" t="s">
        <v>6100</v>
      </c>
      <c r="F1251" s="5" t="s">
        <v>5995</v>
      </c>
      <c r="G1251" s="5" t="s">
        <v>6048</v>
      </c>
      <c r="H1251" s="5">
        <v>2008.0</v>
      </c>
      <c r="I1251" s="5">
        <v>0.0</v>
      </c>
      <c r="J1251" s="5">
        <v>0.0</v>
      </c>
      <c r="K1251" s="5">
        <v>11.0</v>
      </c>
      <c r="L1251" s="54"/>
      <c r="M1251" s="5" t="s">
        <v>6104</v>
      </c>
      <c r="N1251" s="53" t="s">
        <v>5255</v>
      </c>
      <c r="O1251">
        <v>28.103304</v>
      </c>
      <c r="P1251">
        <v>-17.219358</v>
      </c>
      <c r="Q1251" s="5" t="s">
        <v>376</v>
      </c>
      <c r="R1251" s="10">
        <f t="shared" si="10"/>
        <v>29</v>
      </c>
      <c r="S1251" s="5" t="s">
        <v>6102</v>
      </c>
      <c r="T1251" s="5" t="s">
        <v>1040</v>
      </c>
      <c r="U1251" s="5" t="s">
        <v>6105</v>
      </c>
      <c r="V1251" s="5"/>
    </row>
    <row r="1252" ht="12.75" customHeight="1">
      <c r="A1252" s="5">
        <v>34367.0</v>
      </c>
      <c r="B1252" s="5" t="s">
        <v>636</v>
      </c>
      <c r="C1252" s="52" t="s">
        <v>50</v>
      </c>
      <c r="D1252" s="5" t="s">
        <v>2852</v>
      </c>
      <c r="E1252" s="7" t="s">
        <v>6106</v>
      </c>
      <c r="F1252" s="5" t="s">
        <v>5995</v>
      </c>
      <c r="G1252" s="5" t="s">
        <v>6107</v>
      </c>
      <c r="H1252" s="5">
        <v>2008.0</v>
      </c>
      <c r="I1252" s="5">
        <v>0.0</v>
      </c>
      <c r="J1252" s="5">
        <v>0.0</v>
      </c>
      <c r="K1252" s="5">
        <v>3.0</v>
      </c>
      <c r="L1252" s="54"/>
      <c r="M1252" s="5" t="s">
        <v>6108</v>
      </c>
      <c r="N1252" s="53" t="s">
        <v>5255</v>
      </c>
      <c r="O1252">
        <v>28.103304</v>
      </c>
      <c r="P1252">
        <v>-17.219358</v>
      </c>
      <c r="Q1252" s="5" t="s">
        <v>376</v>
      </c>
      <c r="R1252" s="10">
        <f t="shared" si="10"/>
        <v>29</v>
      </c>
      <c r="S1252" s="5" t="s">
        <v>6109</v>
      </c>
      <c r="T1252" s="5" t="s">
        <v>1040</v>
      </c>
      <c r="U1252" s="5" t="s">
        <v>5422</v>
      </c>
      <c r="V1252" s="5"/>
    </row>
    <row r="1253" ht="12.75" customHeight="1">
      <c r="A1253" s="5">
        <v>34366.0</v>
      </c>
      <c r="B1253" s="5" t="s">
        <v>68</v>
      </c>
      <c r="C1253" s="5" t="s">
        <v>69</v>
      </c>
      <c r="D1253" s="5" t="s">
        <v>2614</v>
      </c>
      <c r="E1253" s="7" t="s">
        <v>6106</v>
      </c>
      <c r="F1253" s="5" t="s">
        <v>5995</v>
      </c>
      <c r="G1253" s="5" t="s">
        <v>6107</v>
      </c>
      <c r="H1253" s="5">
        <v>2008.0</v>
      </c>
      <c r="I1253" s="5">
        <v>0.0</v>
      </c>
      <c r="J1253" s="5">
        <v>0.0</v>
      </c>
      <c r="K1253" s="5">
        <v>3.0</v>
      </c>
      <c r="L1253" s="54"/>
      <c r="M1253" s="5" t="s">
        <v>6110</v>
      </c>
      <c r="N1253" s="53" t="s">
        <v>5255</v>
      </c>
      <c r="O1253">
        <v>28.103304</v>
      </c>
      <c r="P1253">
        <v>-17.219358</v>
      </c>
      <c r="Q1253" s="5" t="s">
        <v>376</v>
      </c>
      <c r="R1253" s="10">
        <f t="shared" si="10"/>
        <v>29</v>
      </c>
      <c r="S1253" s="5" t="s">
        <v>6109</v>
      </c>
      <c r="T1253" s="5" t="s">
        <v>1040</v>
      </c>
      <c r="U1253" s="5" t="s">
        <v>2785</v>
      </c>
      <c r="V1253" s="5" t="s">
        <v>6111</v>
      </c>
    </row>
    <row r="1254" ht="12.75" customHeight="1">
      <c r="A1254" s="5">
        <v>34368.0</v>
      </c>
      <c r="B1254" s="5" t="s">
        <v>49</v>
      </c>
      <c r="C1254" s="52" t="s">
        <v>50</v>
      </c>
      <c r="D1254" s="5" t="s">
        <v>2852</v>
      </c>
      <c r="E1254" s="7" t="s">
        <v>6106</v>
      </c>
      <c r="F1254" s="5" t="s">
        <v>5995</v>
      </c>
      <c r="G1254" s="5" t="s">
        <v>6107</v>
      </c>
      <c r="H1254" s="5">
        <v>2008.0</v>
      </c>
      <c r="I1254" s="5">
        <v>0.0</v>
      </c>
      <c r="J1254" s="5">
        <v>0.0</v>
      </c>
      <c r="K1254" s="5">
        <v>2.0</v>
      </c>
      <c r="L1254" s="54"/>
      <c r="M1254" s="5" t="s">
        <v>6112</v>
      </c>
      <c r="N1254" s="53" t="s">
        <v>6113</v>
      </c>
      <c r="O1254">
        <v>37.075546</v>
      </c>
      <c r="P1254">
        <v>25.520736</v>
      </c>
      <c r="Q1254" s="5" t="s">
        <v>899</v>
      </c>
      <c r="R1254" s="10">
        <f t="shared" si="10"/>
        <v>70</v>
      </c>
      <c r="S1254" s="5" t="s">
        <v>6114</v>
      </c>
      <c r="T1254" s="6" t="s">
        <v>53</v>
      </c>
      <c r="U1254" s="5" t="s">
        <v>2875</v>
      </c>
      <c r="V1254" s="5" t="s">
        <v>6115</v>
      </c>
    </row>
    <row r="1255" ht="12.75" customHeight="1">
      <c r="A1255" s="5">
        <v>34369.0</v>
      </c>
      <c r="B1255" s="5" t="s">
        <v>68</v>
      </c>
      <c r="C1255" s="5" t="s">
        <v>69</v>
      </c>
      <c r="D1255" s="5" t="s">
        <v>2614</v>
      </c>
      <c r="E1255" s="7" t="s">
        <v>6116</v>
      </c>
      <c r="F1255" s="5" t="s">
        <v>5995</v>
      </c>
      <c r="G1255" s="5" t="s">
        <v>6107</v>
      </c>
      <c r="H1255" s="5">
        <v>2008.0</v>
      </c>
      <c r="I1255" s="5">
        <v>0.0</v>
      </c>
      <c r="J1255" s="5">
        <v>0.0</v>
      </c>
      <c r="K1255" s="5">
        <v>200.0</v>
      </c>
      <c r="L1255" s="54"/>
      <c r="M1255" s="5" t="s">
        <v>6117</v>
      </c>
      <c r="N1255" s="53" t="s">
        <v>2628</v>
      </c>
      <c r="O1255">
        <v>26.820553</v>
      </c>
      <c r="P1255">
        <v>30.802498</v>
      </c>
      <c r="Q1255" s="5" t="s">
        <v>344</v>
      </c>
      <c r="R1255" s="10">
        <f t="shared" si="10"/>
        <v>427</v>
      </c>
      <c r="S1255" s="5" t="s">
        <v>6118</v>
      </c>
      <c r="T1255" s="5"/>
      <c r="U1255" s="5" t="s">
        <v>5533</v>
      </c>
      <c r="V1255" s="5" t="s">
        <v>5225</v>
      </c>
    </row>
    <row r="1256" ht="12.75" customHeight="1">
      <c r="A1256" s="5">
        <v>34370.0</v>
      </c>
      <c r="B1256" s="5" t="s">
        <v>1555</v>
      </c>
      <c r="C1256" s="5" t="s">
        <v>42</v>
      </c>
      <c r="D1256" s="5" t="s">
        <v>2852</v>
      </c>
      <c r="E1256" s="7" t="s">
        <v>6119</v>
      </c>
      <c r="F1256" s="5" t="s">
        <v>5995</v>
      </c>
      <c r="G1256" s="5" t="s">
        <v>6107</v>
      </c>
      <c r="H1256" s="5">
        <v>2008.0</v>
      </c>
      <c r="I1256" s="5">
        <v>0.0</v>
      </c>
      <c r="J1256" s="5">
        <v>0.0</v>
      </c>
      <c r="K1256" s="5">
        <v>1.0</v>
      </c>
      <c r="L1256" s="54"/>
      <c r="M1256" s="5" t="s">
        <v>6120</v>
      </c>
      <c r="N1256" s="53" t="s">
        <v>4253</v>
      </c>
      <c r="O1256">
        <v>37.983716</v>
      </c>
      <c r="P1256">
        <v>23.72931</v>
      </c>
      <c r="Q1256" s="5" t="s">
        <v>974</v>
      </c>
      <c r="R1256" s="10">
        <f t="shared" si="10"/>
        <v>13</v>
      </c>
      <c r="S1256" s="5" t="s">
        <v>6121</v>
      </c>
      <c r="T1256" s="6" t="s">
        <v>53</v>
      </c>
      <c r="U1256" s="5" t="s">
        <v>6122</v>
      </c>
      <c r="V1256" s="5"/>
    </row>
    <row r="1257" ht="12.75" customHeight="1">
      <c r="A1257" s="5">
        <v>34371.0</v>
      </c>
      <c r="B1257" s="5" t="s">
        <v>68</v>
      </c>
      <c r="C1257" s="5" t="s">
        <v>69</v>
      </c>
      <c r="D1257" s="5" t="s">
        <v>2614</v>
      </c>
      <c r="E1257" s="7" t="s">
        <v>6123</v>
      </c>
      <c r="F1257" s="5" t="s">
        <v>5995</v>
      </c>
      <c r="G1257" s="5" t="s">
        <v>6107</v>
      </c>
      <c r="H1257" s="5">
        <v>2008.0</v>
      </c>
      <c r="I1257" s="5">
        <v>0.0</v>
      </c>
      <c r="J1257" s="5">
        <v>0.0</v>
      </c>
      <c r="K1257" s="5">
        <v>1.0</v>
      </c>
      <c r="L1257" s="54"/>
      <c r="M1257" s="5" t="s">
        <v>6124</v>
      </c>
      <c r="N1257" s="53" t="s">
        <v>6125</v>
      </c>
      <c r="O1257">
        <v>39.727177</v>
      </c>
      <c r="P1257">
        <v>20.059855</v>
      </c>
      <c r="Q1257" s="5" t="s">
        <v>1106</v>
      </c>
      <c r="R1257" s="10">
        <f t="shared" si="10"/>
        <v>6</v>
      </c>
      <c r="S1257" s="5" t="s">
        <v>6126</v>
      </c>
      <c r="T1257" s="5"/>
      <c r="U1257" s="5" t="s">
        <v>92</v>
      </c>
      <c r="V1257" s="5" t="s">
        <v>6127</v>
      </c>
    </row>
    <row r="1258" ht="12.75" customHeight="1">
      <c r="A1258" s="5">
        <v>34373.0</v>
      </c>
      <c r="B1258" s="5" t="s">
        <v>49</v>
      </c>
      <c r="C1258" s="52" t="s">
        <v>50</v>
      </c>
      <c r="D1258" s="5" t="s">
        <v>2852</v>
      </c>
      <c r="E1258" s="7" t="s">
        <v>6128</v>
      </c>
      <c r="F1258" s="5" t="s">
        <v>5995</v>
      </c>
      <c r="G1258" s="5" t="s">
        <v>6107</v>
      </c>
      <c r="H1258" s="5">
        <v>2008.0</v>
      </c>
      <c r="I1258" s="5">
        <v>0.0</v>
      </c>
      <c r="J1258" s="5">
        <v>0.0</v>
      </c>
      <c r="K1258" s="5">
        <v>1.0</v>
      </c>
      <c r="L1258" s="54"/>
      <c r="M1258" s="5" t="s">
        <v>6129</v>
      </c>
      <c r="N1258" s="53" t="s">
        <v>2928</v>
      </c>
      <c r="O1258">
        <v>26.3351</v>
      </c>
      <c r="P1258">
        <v>17.228331</v>
      </c>
      <c r="Q1258" s="5" t="s">
        <v>337</v>
      </c>
      <c r="R1258" s="10">
        <f t="shared" si="10"/>
        <v>1371</v>
      </c>
      <c r="S1258" s="5" t="s">
        <v>6130</v>
      </c>
      <c r="T1258" s="6" t="s">
        <v>2130</v>
      </c>
      <c r="U1258" s="5" t="s">
        <v>3483</v>
      </c>
      <c r="V1258" s="5"/>
    </row>
    <row r="1259" ht="12.75" customHeight="1">
      <c r="A1259" s="5">
        <v>34372.0</v>
      </c>
      <c r="B1259" s="5" t="s">
        <v>49</v>
      </c>
      <c r="C1259" s="52" t="s">
        <v>50</v>
      </c>
      <c r="D1259" s="5" t="s">
        <v>2852</v>
      </c>
      <c r="E1259" s="7" t="s">
        <v>6128</v>
      </c>
      <c r="F1259" s="5" t="s">
        <v>5995</v>
      </c>
      <c r="G1259" s="5" t="s">
        <v>6107</v>
      </c>
      <c r="H1259" s="5">
        <v>2008.0</v>
      </c>
      <c r="I1259" s="5">
        <v>0.0</v>
      </c>
      <c r="J1259" s="5">
        <v>0.0</v>
      </c>
      <c r="K1259" s="5">
        <v>3.0</v>
      </c>
      <c r="L1259" s="54"/>
      <c r="M1259" s="5" t="s">
        <v>6131</v>
      </c>
      <c r="N1259" s="53" t="s">
        <v>6132</v>
      </c>
      <c r="O1259">
        <v>41.153332</v>
      </c>
      <c r="P1259">
        <v>20.168331</v>
      </c>
      <c r="Q1259" s="5" t="s">
        <v>1208</v>
      </c>
      <c r="R1259" s="10">
        <f t="shared" si="10"/>
        <v>8</v>
      </c>
      <c r="S1259" s="5" t="s">
        <v>6133</v>
      </c>
      <c r="T1259" s="5"/>
      <c r="U1259" s="5" t="s">
        <v>6134</v>
      </c>
      <c r="V1259" s="5"/>
    </row>
    <row r="1260" ht="12.75" customHeight="1">
      <c r="A1260" s="5">
        <v>34374.0</v>
      </c>
      <c r="B1260" s="5" t="s">
        <v>41</v>
      </c>
      <c r="C1260" s="5" t="s">
        <v>42</v>
      </c>
      <c r="D1260" s="5" t="s">
        <v>2614</v>
      </c>
      <c r="E1260" s="7" t="s">
        <v>6135</v>
      </c>
      <c r="F1260" s="5" t="s">
        <v>5995</v>
      </c>
      <c r="G1260" s="5" t="s">
        <v>6107</v>
      </c>
      <c r="H1260" s="5">
        <v>2008.0</v>
      </c>
      <c r="I1260" s="5">
        <v>0.0</v>
      </c>
      <c r="J1260" s="5">
        <v>0.0</v>
      </c>
      <c r="K1260" s="5">
        <v>1.0</v>
      </c>
      <c r="L1260" s="54"/>
      <c r="M1260" s="5" t="s">
        <v>6136</v>
      </c>
      <c r="N1260" s="53" t="s">
        <v>2888</v>
      </c>
      <c r="O1260">
        <v>24.088938</v>
      </c>
      <c r="P1260">
        <v>32.899829</v>
      </c>
      <c r="Q1260" s="5" t="s">
        <v>329</v>
      </c>
      <c r="R1260" s="10">
        <f t="shared" si="10"/>
        <v>129</v>
      </c>
      <c r="S1260" s="5" t="s">
        <v>6137</v>
      </c>
      <c r="T1260" s="5"/>
      <c r="U1260" s="5" t="s">
        <v>92</v>
      </c>
      <c r="V1260" s="5" t="s">
        <v>6138</v>
      </c>
    </row>
    <row r="1261" ht="12.75" customHeight="1">
      <c r="A1261" s="5">
        <v>34376.0</v>
      </c>
      <c r="B1261" s="5" t="s">
        <v>215</v>
      </c>
      <c r="C1261" s="5" t="s">
        <v>62</v>
      </c>
      <c r="D1261" s="5" t="s">
        <v>2852</v>
      </c>
      <c r="E1261" s="7" t="s">
        <v>6139</v>
      </c>
      <c r="F1261" s="5" t="s">
        <v>5995</v>
      </c>
      <c r="G1261" s="5" t="s">
        <v>6107</v>
      </c>
      <c r="H1261" s="5">
        <v>2008.0</v>
      </c>
      <c r="I1261" s="5">
        <v>0.0</v>
      </c>
      <c r="J1261" s="5">
        <v>0.0</v>
      </c>
      <c r="K1261" s="5">
        <v>1.0</v>
      </c>
      <c r="L1261" s="54"/>
      <c r="M1261" s="5" t="s">
        <v>6140</v>
      </c>
      <c r="N1261" s="53" t="s">
        <v>3295</v>
      </c>
      <c r="O1261">
        <v>26.3351</v>
      </c>
      <c r="P1261">
        <v>17.228331</v>
      </c>
      <c r="Q1261" s="5" t="s">
        <v>337</v>
      </c>
      <c r="R1261" s="10">
        <f t="shared" si="10"/>
        <v>1371</v>
      </c>
      <c r="S1261" s="5" t="s">
        <v>6141</v>
      </c>
      <c r="T1261" s="5"/>
      <c r="U1261" s="5" t="s">
        <v>6142</v>
      </c>
      <c r="V1261" s="5"/>
    </row>
    <row r="1262" ht="12.75" customHeight="1">
      <c r="A1262" s="5">
        <v>34377.0</v>
      </c>
      <c r="B1262" s="5" t="s">
        <v>68</v>
      </c>
      <c r="C1262" s="5" t="s">
        <v>69</v>
      </c>
      <c r="D1262" s="5" t="s">
        <v>2852</v>
      </c>
      <c r="E1262" s="7" t="s">
        <v>6139</v>
      </c>
      <c r="F1262" s="5" t="s">
        <v>5995</v>
      </c>
      <c r="G1262" s="5" t="s">
        <v>6107</v>
      </c>
      <c r="H1262" s="5">
        <v>2008.0</v>
      </c>
      <c r="I1262" s="5">
        <v>0.0</v>
      </c>
      <c r="J1262" s="5">
        <v>0.0</v>
      </c>
      <c r="K1262" s="5">
        <v>1.0</v>
      </c>
      <c r="L1262" s="54"/>
      <c r="M1262" s="5" t="s">
        <v>6143</v>
      </c>
      <c r="N1262" s="53" t="s">
        <v>5367</v>
      </c>
      <c r="O1262">
        <v>28.291564</v>
      </c>
      <c r="P1262">
        <v>-16.62913</v>
      </c>
      <c r="Q1262" s="5" t="s">
        <v>382</v>
      </c>
      <c r="R1262" s="10">
        <f t="shared" si="10"/>
        <v>1120</v>
      </c>
      <c r="S1262" s="5" t="s">
        <v>6144</v>
      </c>
      <c r="T1262" s="5" t="s">
        <v>1040</v>
      </c>
      <c r="U1262" s="5" t="s">
        <v>6145</v>
      </c>
      <c r="V1262" s="5"/>
    </row>
    <row r="1263" ht="12.75" customHeight="1">
      <c r="A1263" s="5">
        <v>34375.0</v>
      </c>
      <c r="B1263" s="5" t="s">
        <v>49</v>
      </c>
      <c r="C1263" s="52" t="s">
        <v>50</v>
      </c>
      <c r="D1263" s="5" t="s">
        <v>2852</v>
      </c>
      <c r="E1263" s="7" t="s">
        <v>6139</v>
      </c>
      <c r="F1263" s="5" t="s">
        <v>5995</v>
      </c>
      <c r="G1263" s="5" t="s">
        <v>6107</v>
      </c>
      <c r="H1263" s="5">
        <v>2008.0</v>
      </c>
      <c r="I1263" s="5">
        <v>0.0</v>
      </c>
      <c r="J1263" s="5">
        <v>0.0</v>
      </c>
      <c r="K1263" s="5">
        <v>2.0</v>
      </c>
      <c r="L1263" s="54"/>
      <c r="M1263" s="5" t="s">
        <v>6146</v>
      </c>
      <c r="N1263" s="53" t="s">
        <v>6147</v>
      </c>
      <c r="O1263">
        <v>40.261643</v>
      </c>
      <c r="P1263">
        <v>20.786133</v>
      </c>
      <c r="Q1263" s="5" t="s">
        <v>1125</v>
      </c>
      <c r="R1263" s="10">
        <f t="shared" si="10"/>
        <v>3</v>
      </c>
      <c r="S1263" s="5" t="s">
        <v>6148</v>
      </c>
      <c r="T1263" s="5" t="s">
        <v>1965</v>
      </c>
      <c r="U1263" s="5" t="s">
        <v>6149</v>
      </c>
      <c r="V1263" s="5"/>
    </row>
    <row r="1264" ht="12.75" customHeight="1">
      <c r="A1264" s="5">
        <v>34378.0</v>
      </c>
      <c r="B1264" s="5" t="s">
        <v>68</v>
      </c>
      <c r="C1264" s="5" t="s">
        <v>69</v>
      </c>
      <c r="D1264" s="5" t="s">
        <v>2614</v>
      </c>
      <c r="E1264" s="7" t="s">
        <v>6150</v>
      </c>
      <c r="F1264" s="5" t="s">
        <v>5995</v>
      </c>
      <c r="G1264" s="5" t="s">
        <v>6107</v>
      </c>
      <c r="H1264" s="5">
        <v>2008.0</v>
      </c>
      <c r="I1264" s="5">
        <v>0.0</v>
      </c>
      <c r="J1264" s="5">
        <v>0.0</v>
      </c>
      <c r="K1264" s="5">
        <v>5.0</v>
      </c>
      <c r="L1264" s="54"/>
      <c r="M1264" s="5" t="s">
        <v>6151</v>
      </c>
      <c r="N1264" s="53" t="s">
        <v>6152</v>
      </c>
      <c r="O1264">
        <v>39.727177</v>
      </c>
      <c r="P1264">
        <v>20.059855</v>
      </c>
      <c r="Q1264" s="5" t="s">
        <v>1106</v>
      </c>
      <c r="R1264" s="10">
        <f t="shared" si="10"/>
        <v>6</v>
      </c>
      <c r="S1264" s="5" t="s">
        <v>6153</v>
      </c>
      <c r="T1264" s="5"/>
      <c r="U1264" s="5" t="s">
        <v>2326</v>
      </c>
      <c r="V1264" s="5" t="s">
        <v>6154</v>
      </c>
    </row>
    <row r="1265" ht="12.75" customHeight="1">
      <c r="A1265" s="5">
        <v>34379.0</v>
      </c>
      <c r="B1265" s="5" t="s">
        <v>3409</v>
      </c>
      <c r="C1265" s="5" t="s">
        <v>211</v>
      </c>
      <c r="D1265" s="5" t="s">
        <v>2852</v>
      </c>
      <c r="E1265" s="7" t="s">
        <v>6150</v>
      </c>
      <c r="F1265" s="5" t="s">
        <v>5995</v>
      </c>
      <c r="G1265" s="5" t="s">
        <v>6107</v>
      </c>
      <c r="H1265" s="5">
        <v>2008.0</v>
      </c>
      <c r="I1265" s="5">
        <v>0.0</v>
      </c>
      <c r="J1265" s="5">
        <v>0.0</v>
      </c>
      <c r="K1265" s="5">
        <v>1.0</v>
      </c>
      <c r="L1265" s="54"/>
      <c r="M1265" s="5" t="s">
        <v>6155</v>
      </c>
      <c r="N1265" s="53" t="s">
        <v>6156</v>
      </c>
      <c r="O1265">
        <v>46.227638</v>
      </c>
      <c r="P1265">
        <v>2.213749</v>
      </c>
      <c r="Q1265" s="5" t="s">
        <v>1351</v>
      </c>
      <c r="R1265" s="10">
        <f t="shared" si="10"/>
        <v>8</v>
      </c>
      <c r="S1265" s="5" t="s">
        <v>6157</v>
      </c>
      <c r="T1265" s="5"/>
      <c r="U1265" s="5" t="s">
        <v>4956</v>
      </c>
      <c r="V1265" s="5"/>
    </row>
    <row r="1266" ht="12.75" customHeight="1">
      <c r="A1266" s="5">
        <v>34380.0</v>
      </c>
      <c r="B1266" s="5" t="s">
        <v>68</v>
      </c>
      <c r="C1266" s="5" t="s">
        <v>69</v>
      </c>
      <c r="D1266" s="5" t="s">
        <v>2614</v>
      </c>
      <c r="E1266" s="7" t="s">
        <v>6158</v>
      </c>
      <c r="F1266" s="5" t="s">
        <v>5995</v>
      </c>
      <c r="G1266" s="5" t="s">
        <v>6107</v>
      </c>
      <c r="H1266" s="5">
        <v>2008.0</v>
      </c>
      <c r="I1266" s="5">
        <v>1.0</v>
      </c>
      <c r="J1266" s="5">
        <v>0.0</v>
      </c>
      <c r="K1266" s="5">
        <v>1.0</v>
      </c>
      <c r="L1266" s="54"/>
      <c r="M1266" s="5" t="s">
        <v>6159</v>
      </c>
      <c r="N1266" s="53" t="s">
        <v>5367</v>
      </c>
      <c r="O1266">
        <v>28.291564</v>
      </c>
      <c r="P1266">
        <v>-16.62913</v>
      </c>
      <c r="Q1266" s="5" t="s">
        <v>382</v>
      </c>
      <c r="R1266" s="10">
        <f t="shared" si="10"/>
        <v>1120</v>
      </c>
      <c r="S1266" s="5" t="s">
        <v>6160</v>
      </c>
      <c r="T1266" s="5" t="s">
        <v>1040</v>
      </c>
      <c r="U1266" s="5" t="s">
        <v>2635</v>
      </c>
      <c r="V1266" s="5" t="s">
        <v>6161</v>
      </c>
    </row>
    <row r="1267" ht="12.75" customHeight="1">
      <c r="A1267" s="5">
        <v>34381.0</v>
      </c>
      <c r="B1267" s="5" t="s">
        <v>49</v>
      </c>
      <c r="C1267" s="52" t="s">
        <v>50</v>
      </c>
      <c r="D1267" s="5" t="s">
        <v>2852</v>
      </c>
      <c r="E1267" s="7" t="s">
        <v>6158</v>
      </c>
      <c r="F1267" s="5" t="s">
        <v>5995</v>
      </c>
      <c r="G1267" s="5" t="s">
        <v>6107</v>
      </c>
      <c r="H1267" s="5">
        <v>2008.0</v>
      </c>
      <c r="I1267" s="5">
        <v>0.0</v>
      </c>
      <c r="J1267" s="5">
        <v>0.0</v>
      </c>
      <c r="K1267" s="5">
        <v>1.0</v>
      </c>
      <c r="L1267" s="54"/>
      <c r="M1267" s="5" t="s">
        <v>6162</v>
      </c>
      <c r="N1267" s="53" t="s">
        <v>5741</v>
      </c>
      <c r="O1267">
        <v>35.834673</v>
      </c>
      <c r="P1267">
        <v>14.552498</v>
      </c>
      <c r="Q1267" s="5" t="s">
        <v>704</v>
      </c>
      <c r="R1267" s="10">
        <f t="shared" si="10"/>
        <v>6</v>
      </c>
      <c r="S1267" s="5" t="s">
        <v>6163</v>
      </c>
      <c r="T1267" s="6" t="s">
        <v>2130</v>
      </c>
      <c r="U1267" s="5" t="s">
        <v>3483</v>
      </c>
      <c r="V1267" s="5"/>
    </row>
    <row r="1268" ht="12.75" customHeight="1">
      <c r="A1268" s="5">
        <v>34382.0</v>
      </c>
      <c r="B1268" s="5" t="s">
        <v>68</v>
      </c>
      <c r="C1268" s="5" t="s">
        <v>69</v>
      </c>
      <c r="D1268" s="5" t="s">
        <v>2614</v>
      </c>
      <c r="E1268" s="7" t="s">
        <v>6164</v>
      </c>
      <c r="F1268" s="5" t="s">
        <v>5995</v>
      </c>
      <c r="G1268" s="5" t="s">
        <v>6107</v>
      </c>
      <c r="H1268" s="5">
        <v>2008.0</v>
      </c>
      <c r="I1268" s="5">
        <v>0.0</v>
      </c>
      <c r="J1268" s="5">
        <v>0.0</v>
      </c>
      <c r="K1268" s="5">
        <v>1.0</v>
      </c>
      <c r="L1268" s="54"/>
      <c r="M1268" s="5" t="s">
        <v>6165</v>
      </c>
      <c r="N1268" s="53" t="s">
        <v>4556</v>
      </c>
      <c r="O1268">
        <v>28.291564</v>
      </c>
      <c r="P1268">
        <v>-16.62913</v>
      </c>
      <c r="Q1268" s="5" t="s">
        <v>382</v>
      </c>
      <c r="R1268" s="10">
        <f t="shared" si="10"/>
        <v>1120</v>
      </c>
      <c r="S1268" s="5" t="s">
        <v>6166</v>
      </c>
      <c r="T1268" s="5" t="s">
        <v>1040</v>
      </c>
      <c r="U1268" s="5" t="s">
        <v>2635</v>
      </c>
      <c r="V1268" s="5" t="s">
        <v>6167</v>
      </c>
    </row>
    <row r="1269" ht="12.75" customHeight="1">
      <c r="A1269" s="5">
        <v>34383.0</v>
      </c>
      <c r="B1269" s="5" t="s">
        <v>49</v>
      </c>
      <c r="C1269" s="52" t="s">
        <v>50</v>
      </c>
      <c r="D1269" s="5" t="s">
        <v>2614</v>
      </c>
      <c r="E1269" s="7" t="s">
        <v>6168</v>
      </c>
      <c r="F1269" s="5" t="s">
        <v>5995</v>
      </c>
      <c r="G1269" s="5" t="s">
        <v>6107</v>
      </c>
      <c r="H1269" s="5">
        <v>2008.0</v>
      </c>
      <c r="I1269" s="5">
        <v>0.0</v>
      </c>
      <c r="J1269" s="5">
        <v>0.0</v>
      </c>
      <c r="K1269" s="5">
        <v>1.0</v>
      </c>
      <c r="L1269" s="54"/>
      <c r="M1269" s="5" t="s">
        <v>6169</v>
      </c>
      <c r="N1269" s="53" t="s">
        <v>3909</v>
      </c>
      <c r="O1269">
        <v>50.95129</v>
      </c>
      <c r="P1269">
        <v>1.858686</v>
      </c>
      <c r="Q1269" s="5" t="s">
        <v>1551</v>
      </c>
      <c r="R1269" s="10">
        <f t="shared" si="10"/>
        <v>30</v>
      </c>
      <c r="S1269" s="5" t="s">
        <v>6170</v>
      </c>
      <c r="T1269" s="5"/>
      <c r="U1269" s="5" t="s">
        <v>2010</v>
      </c>
      <c r="V1269" s="5" t="s">
        <v>6171</v>
      </c>
    </row>
    <row r="1270" ht="12.75" customHeight="1">
      <c r="A1270" s="5">
        <v>34384.0</v>
      </c>
      <c r="B1270" s="5" t="s">
        <v>41</v>
      </c>
      <c r="C1270" s="5" t="s">
        <v>42</v>
      </c>
      <c r="D1270" s="5" t="s">
        <v>2614</v>
      </c>
      <c r="E1270" s="7" t="s">
        <v>6172</v>
      </c>
      <c r="F1270" s="5" t="s">
        <v>5995</v>
      </c>
      <c r="G1270" s="5" t="s">
        <v>6107</v>
      </c>
      <c r="H1270" s="5">
        <v>2008.0</v>
      </c>
      <c r="I1270" s="5">
        <v>0.0</v>
      </c>
      <c r="J1270" s="5">
        <v>0.0</v>
      </c>
      <c r="K1270" s="5">
        <v>1.0</v>
      </c>
      <c r="L1270" s="54"/>
      <c r="M1270" s="5" t="s">
        <v>6173</v>
      </c>
      <c r="N1270" s="53" t="s">
        <v>2888</v>
      </c>
      <c r="O1270">
        <v>24.088938</v>
      </c>
      <c r="P1270">
        <v>32.899829</v>
      </c>
      <c r="Q1270" s="5" t="s">
        <v>329</v>
      </c>
      <c r="R1270" s="10">
        <f t="shared" si="10"/>
        <v>129</v>
      </c>
      <c r="S1270" s="5" t="s">
        <v>6174</v>
      </c>
      <c r="T1270" s="5"/>
      <c r="U1270" s="5" t="s">
        <v>92</v>
      </c>
      <c r="V1270" s="5" t="s">
        <v>6175</v>
      </c>
    </row>
    <row r="1271" ht="12.75" customHeight="1">
      <c r="A1271" s="5">
        <v>34385.0</v>
      </c>
      <c r="B1271" s="5" t="s">
        <v>763</v>
      </c>
      <c r="C1271" s="5" t="s">
        <v>124</v>
      </c>
      <c r="D1271" s="5" t="s">
        <v>2852</v>
      </c>
      <c r="E1271" s="7" t="s">
        <v>6176</v>
      </c>
      <c r="F1271" s="5" t="s">
        <v>5995</v>
      </c>
      <c r="G1271" s="5" t="s">
        <v>6107</v>
      </c>
      <c r="H1271" s="5">
        <v>2008.0</v>
      </c>
      <c r="I1271" s="5">
        <v>0.0</v>
      </c>
      <c r="J1271" s="5">
        <v>0.0</v>
      </c>
      <c r="K1271" s="5">
        <v>1.0</v>
      </c>
      <c r="L1271" s="54"/>
      <c r="M1271" s="5" t="s">
        <v>6177</v>
      </c>
      <c r="N1271" s="53" t="s">
        <v>3131</v>
      </c>
      <c r="O1271">
        <v>45.440847</v>
      </c>
      <c r="P1271">
        <v>12.315515</v>
      </c>
      <c r="Q1271" s="5" t="s">
        <v>1317</v>
      </c>
      <c r="R1271" s="10">
        <f t="shared" si="10"/>
        <v>13</v>
      </c>
      <c r="S1271" s="5" t="s">
        <v>6178</v>
      </c>
      <c r="T1271" s="5"/>
      <c r="U1271" s="5" t="s">
        <v>6179</v>
      </c>
      <c r="V1271" s="5"/>
    </row>
    <row r="1272" ht="12.75" customHeight="1">
      <c r="A1272" s="5">
        <v>34386.0</v>
      </c>
      <c r="B1272" s="5" t="s">
        <v>68</v>
      </c>
      <c r="C1272" s="5" t="s">
        <v>69</v>
      </c>
      <c r="D1272" s="5" t="s">
        <v>2852</v>
      </c>
      <c r="E1272" s="7" t="s">
        <v>6180</v>
      </c>
      <c r="F1272" s="5" t="s">
        <v>5995</v>
      </c>
      <c r="G1272" s="5" t="s">
        <v>6107</v>
      </c>
      <c r="H1272" s="5">
        <v>2008.0</v>
      </c>
      <c r="I1272" s="5">
        <v>0.0</v>
      </c>
      <c r="J1272" s="5">
        <v>0.0</v>
      </c>
      <c r="K1272" s="5">
        <v>1.0</v>
      </c>
      <c r="L1272" s="54"/>
      <c r="M1272" s="5" t="s">
        <v>6181</v>
      </c>
      <c r="N1272" s="53" t="s">
        <v>4556</v>
      </c>
      <c r="O1272">
        <v>28.291564</v>
      </c>
      <c r="P1272">
        <v>-16.62913</v>
      </c>
      <c r="Q1272" s="5" t="s">
        <v>382</v>
      </c>
      <c r="R1272" s="10">
        <f t="shared" si="10"/>
        <v>1120</v>
      </c>
      <c r="S1272" s="5" t="s">
        <v>6182</v>
      </c>
      <c r="T1272" s="5" t="s">
        <v>1040</v>
      </c>
      <c r="U1272" s="5" t="s">
        <v>6183</v>
      </c>
      <c r="V1272" s="5"/>
    </row>
    <row r="1273" ht="12.75" customHeight="1">
      <c r="A1273" s="5">
        <v>34387.0</v>
      </c>
      <c r="B1273" s="5" t="s">
        <v>49</v>
      </c>
      <c r="C1273" s="52" t="s">
        <v>50</v>
      </c>
      <c r="D1273" s="5" t="s">
        <v>2852</v>
      </c>
      <c r="E1273" s="7" t="s">
        <v>6184</v>
      </c>
      <c r="F1273" s="5" t="s">
        <v>5995</v>
      </c>
      <c r="G1273" s="5" t="s">
        <v>6107</v>
      </c>
      <c r="H1273" s="5">
        <v>2008.0</v>
      </c>
      <c r="I1273" s="5">
        <v>0.0</v>
      </c>
      <c r="J1273" s="5">
        <v>0.0</v>
      </c>
      <c r="K1273" s="5">
        <v>23.0</v>
      </c>
      <c r="L1273" s="54"/>
      <c r="M1273" s="5" t="s">
        <v>6185</v>
      </c>
      <c r="N1273" s="53" t="s">
        <v>2944</v>
      </c>
      <c r="O1273">
        <v>-12.8275</v>
      </c>
      <c r="P1273">
        <v>45.166244</v>
      </c>
      <c r="Q1273" s="5" t="s">
        <v>228</v>
      </c>
      <c r="R1273" s="10">
        <f t="shared" si="10"/>
        <v>757</v>
      </c>
      <c r="S1273" s="5" t="s">
        <v>6186</v>
      </c>
      <c r="T1273" s="5"/>
      <c r="U1273" s="5" t="s">
        <v>4909</v>
      </c>
      <c r="V1273" s="5"/>
    </row>
    <row r="1274" ht="12.75" customHeight="1">
      <c r="A1274" s="5">
        <v>34388.0</v>
      </c>
      <c r="B1274" s="5" t="s">
        <v>68</v>
      </c>
      <c r="C1274" s="5" t="s">
        <v>69</v>
      </c>
      <c r="D1274" s="5" t="s">
        <v>2614</v>
      </c>
      <c r="E1274" s="7" t="s">
        <v>6187</v>
      </c>
      <c r="F1274" s="5" t="s">
        <v>5995</v>
      </c>
      <c r="G1274" s="5" t="s">
        <v>6107</v>
      </c>
      <c r="H1274" s="5">
        <v>2008.0</v>
      </c>
      <c r="I1274" s="5">
        <v>0.0</v>
      </c>
      <c r="J1274" s="5">
        <v>0.0</v>
      </c>
      <c r="K1274" s="5">
        <v>49.0</v>
      </c>
      <c r="L1274" s="54"/>
      <c r="M1274" s="5" t="s">
        <v>6188</v>
      </c>
      <c r="N1274" s="53" t="s">
        <v>5473</v>
      </c>
      <c r="O1274">
        <v>34.264061</v>
      </c>
      <c r="P1274">
        <v>-6.578296</v>
      </c>
      <c r="Q1274" s="5" t="s">
        <v>578</v>
      </c>
      <c r="R1274" s="10">
        <f t="shared" si="10"/>
        <v>203</v>
      </c>
      <c r="S1274" s="5" t="s">
        <v>6189</v>
      </c>
      <c r="T1274" s="6" t="s">
        <v>72</v>
      </c>
      <c r="U1274" s="5" t="s">
        <v>2785</v>
      </c>
      <c r="V1274" s="5" t="s">
        <v>6190</v>
      </c>
    </row>
    <row r="1275" ht="12.75" customHeight="1">
      <c r="A1275" s="5">
        <v>34389.0</v>
      </c>
      <c r="B1275" s="5" t="s">
        <v>2902</v>
      </c>
      <c r="C1275" s="5" t="s">
        <v>211</v>
      </c>
      <c r="D1275" s="5" t="s">
        <v>2852</v>
      </c>
      <c r="E1275" s="7" t="s">
        <v>6191</v>
      </c>
      <c r="F1275" s="5" t="s">
        <v>5995</v>
      </c>
      <c r="G1275" s="5" t="s">
        <v>6107</v>
      </c>
      <c r="H1275" s="5">
        <v>2008.0</v>
      </c>
      <c r="I1275" s="5">
        <v>0.0</v>
      </c>
      <c r="J1275" s="5">
        <v>0.0</v>
      </c>
      <c r="K1275" s="5">
        <v>1.0</v>
      </c>
      <c r="L1275" s="54"/>
      <c r="M1275" s="5" t="s">
        <v>6192</v>
      </c>
      <c r="N1275" s="53" t="s">
        <v>6193</v>
      </c>
      <c r="O1275">
        <v>35.55</v>
      </c>
      <c r="P1275">
        <v>45.433333</v>
      </c>
      <c r="Q1275" s="5" t="s">
        <v>676</v>
      </c>
      <c r="R1275" s="10">
        <f t="shared" si="10"/>
        <v>1</v>
      </c>
      <c r="S1275" s="5" t="s">
        <v>6194</v>
      </c>
      <c r="T1275" s="5"/>
      <c r="U1275" s="5" t="s">
        <v>3219</v>
      </c>
      <c r="V1275" s="5"/>
    </row>
    <row r="1276" ht="12.75" customHeight="1">
      <c r="A1276" s="5">
        <v>34391.0</v>
      </c>
      <c r="B1276" s="5" t="s">
        <v>49</v>
      </c>
      <c r="C1276" s="52" t="s">
        <v>50</v>
      </c>
      <c r="D1276" s="5" t="s">
        <v>2852</v>
      </c>
      <c r="E1276" s="7" t="s">
        <v>6195</v>
      </c>
      <c r="F1276" s="5" t="s">
        <v>5995</v>
      </c>
      <c r="G1276" s="5" t="s">
        <v>6107</v>
      </c>
      <c r="H1276" s="5">
        <v>2008.0</v>
      </c>
      <c r="I1276" s="5">
        <v>0.0</v>
      </c>
      <c r="J1276" s="5">
        <v>0.0</v>
      </c>
      <c r="K1276" s="5">
        <v>3.0</v>
      </c>
      <c r="L1276" s="54"/>
      <c r="M1276" s="5" t="s">
        <v>6196</v>
      </c>
      <c r="N1276" s="53" t="s">
        <v>2938</v>
      </c>
      <c r="O1276">
        <v>35.937496</v>
      </c>
      <c r="P1276">
        <v>14.375416</v>
      </c>
      <c r="Q1276" s="5" t="s">
        <v>740</v>
      </c>
      <c r="R1276" s="10">
        <f t="shared" si="10"/>
        <v>655</v>
      </c>
      <c r="S1276" s="5" t="s">
        <v>6197</v>
      </c>
      <c r="T1276" s="6" t="s">
        <v>2130</v>
      </c>
      <c r="U1276" s="5" t="s">
        <v>6198</v>
      </c>
      <c r="V1276" s="5"/>
    </row>
    <row r="1277" ht="12.75" customHeight="1">
      <c r="A1277" s="5">
        <v>34392.0</v>
      </c>
      <c r="B1277" s="5" t="s">
        <v>491</v>
      </c>
      <c r="C1277" s="52" t="s">
        <v>50</v>
      </c>
      <c r="D1277" s="5" t="s">
        <v>2852</v>
      </c>
      <c r="E1277" s="7" t="s">
        <v>6195</v>
      </c>
      <c r="F1277" s="5" t="s">
        <v>5995</v>
      </c>
      <c r="G1277" s="5" t="s">
        <v>6107</v>
      </c>
      <c r="H1277" s="5">
        <v>2008.0</v>
      </c>
      <c r="I1277" s="5">
        <v>0.0</v>
      </c>
      <c r="J1277" s="5">
        <v>0.0</v>
      </c>
      <c r="K1277" s="5">
        <v>15.0</v>
      </c>
      <c r="L1277" s="54"/>
      <c r="M1277" s="5" t="s">
        <v>6199</v>
      </c>
      <c r="N1277" s="53" t="s">
        <v>3379</v>
      </c>
      <c r="O1277">
        <v>36.834047</v>
      </c>
      <c r="P1277">
        <v>-2.463714</v>
      </c>
      <c r="Q1277" s="5" t="s">
        <v>863</v>
      </c>
      <c r="R1277" s="10">
        <f t="shared" si="10"/>
        <v>208</v>
      </c>
      <c r="S1277" s="5" t="s">
        <v>6200</v>
      </c>
      <c r="T1277" s="6" t="s">
        <v>72</v>
      </c>
      <c r="U1277" s="5"/>
      <c r="V1277" s="5"/>
    </row>
    <row r="1278" ht="12.75" customHeight="1">
      <c r="A1278" s="5">
        <v>34390.0</v>
      </c>
      <c r="B1278" s="5" t="s">
        <v>68</v>
      </c>
      <c r="C1278" s="5" t="s">
        <v>69</v>
      </c>
      <c r="D1278" s="5" t="s">
        <v>2614</v>
      </c>
      <c r="E1278" s="7" t="s">
        <v>6195</v>
      </c>
      <c r="F1278" s="5" t="s">
        <v>5995</v>
      </c>
      <c r="G1278" s="5" t="s">
        <v>6107</v>
      </c>
      <c r="H1278" s="5">
        <v>2008.0</v>
      </c>
      <c r="I1278" s="5">
        <v>0.0</v>
      </c>
      <c r="J1278" s="5">
        <v>0.0</v>
      </c>
      <c r="K1278" s="5">
        <v>18.0</v>
      </c>
      <c r="L1278" s="54"/>
      <c r="M1278" s="5" t="s">
        <v>6201</v>
      </c>
      <c r="N1278" s="53" t="s">
        <v>2873</v>
      </c>
      <c r="O1278">
        <v>40.845719</v>
      </c>
      <c r="P1278">
        <v>25.873962</v>
      </c>
      <c r="Q1278" s="5" t="s">
        <v>1167</v>
      </c>
      <c r="R1278" s="10">
        <f t="shared" si="10"/>
        <v>63</v>
      </c>
      <c r="S1278" s="5" t="s">
        <v>6202</v>
      </c>
      <c r="T1278" s="5"/>
      <c r="U1278" s="5" t="s">
        <v>6203</v>
      </c>
      <c r="V1278" s="5" t="s">
        <v>6204</v>
      </c>
    </row>
    <row r="1279" ht="12.75" customHeight="1">
      <c r="A1279" s="5">
        <v>34396.0</v>
      </c>
      <c r="B1279" s="5" t="s">
        <v>49</v>
      </c>
      <c r="C1279" s="52" t="s">
        <v>50</v>
      </c>
      <c r="D1279" s="5" t="s">
        <v>2852</v>
      </c>
      <c r="E1279" s="7" t="s">
        <v>6205</v>
      </c>
      <c r="F1279" s="5" t="s">
        <v>5995</v>
      </c>
      <c r="G1279" s="5" t="s">
        <v>6107</v>
      </c>
      <c r="H1279" s="5">
        <v>2008.0</v>
      </c>
      <c r="I1279" s="5">
        <v>0.0</v>
      </c>
      <c r="J1279" s="5">
        <v>0.0</v>
      </c>
      <c r="K1279" s="5">
        <v>15.0</v>
      </c>
      <c r="L1279" s="54"/>
      <c r="M1279" s="5" t="s">
        <v>6206</v>
      </c>
      <c r="N1279" s="53" t="s">
        <v>2938</v>
      </c>
      <c r="O1279">
        <v>35.937496</v>
      </c>
      <c r="P1279">
        <v>14.375416</v>
      </c>
      <c r="Q1279" s="5" t="s">
        <v>740</v>
      </c>
      <c r="R1279" s="10">
        <f t="shared" si="10"/>
        <v>655</v>
      </c>
      <c r="S1279" s="5" t="s">
        <v>6207</v>
      </c>
      <c r="T1279" s="6" t="s">
        <v>2130</v>
      </c>
      <c r="U1279" s="5" t="s">
        <v>6208</v>
      </c>
      <c r="V1279" s="5"/>
    </row>
    <row r="1280" ht="12.75" customHeight="1">
      <c r="A1280" s="5">
        <v>34395.0</v>
      </c>
      <c r="B1280" s="5" t="s">
        <v>763</v>
      </c>
      <c r="C1280" s="5" t="s">
        <v>124</v>
      </c>
      <c r="D1280" s="5" t="s">
        <v>2852</v>
      </c>
      <c r="E1280" s="7" t="s">
        <v>6205</v>
      </c>
      <c r="F1280" s="5" t="s">
        <v>5995</v>
      </c>
      <c r="G1280" s="5" t="s">
        <v>6107</v>
      </c>
      <c r="H1280" s="5">
        <v>2008.0</v>
      </c>
      <c r="I1280" s="5">
        <v>0.0</v>
      </c>
      <c r="J1280" s="5">
        <v>0.0</v>
      </c>
      <c r="K1280" s="5">
        <v>2.0</v>
      </c>
      <c r="L1280" s="54"/>
      <c r="M1280" s="5" t="s">
        <v>6209</v>
      </c>
      <c r="N1280" s="53" t="s">
        <v>5601</v>
      </c>
      <c r="O1280">
        <v>39.54864</v>
      </c>
      <c r="P1280">
        <v>44.074207</v>
      </c>
      <c r="Q1280" s="5" t="s">
        <v>1090</v>
      </c>
      <c r="R1280" s="10">
        <f t="shared" si="10"/>
        <v>13</v>
      </c>
      <c r="S1280" s="5" t="s">
        <v>6210</v>
      </c>
      <c r="T1280" s="5"/>
      <c r="U1280" s="5" t="s">
        <v>6211</v>
      </c>
      <c r="V1280" s="5"/>
    </row>
    <row r="1281" ht="12.75" customHeight="1">
      <c r="A1281" s="5">
        <v>34394.0</v>
      </c>
      <c r="B1281" s="5" t="s">
        <v>763</v>
      </c>
      <c r="C1281" s="5" t="s">
        <v>124</v>
      </c>
      <c r="D1281" s="5" t="s">
        <v>2614</v>
      </c>
      <c r="E1281" s="7" t="s">
        <v>6205</v>
      </c>
      <c r="F1281" s="5" t="s">
        <v>5995</v>
      </c>
      <c r="G1281" s="5" t="s">
        <v>6107</v>
      </c>
      <c r="H1281" s="5">
        <v>2008.0</v>
      </c>
      <c r="I1281" s="5">
        <v>0.0</v>
      </c>
      <c r="J1281" s="5">
        <v>0.0</v>
      </c>
      <c r="K1281" s="5">
        <v>18.0</v>
      </c>
      <c r="L1281" s="54"/>
      <c r="M1281" s="5" t="s">
        <v>6212</v>
      </c>
      <c r="N1281" s="53" t="s">
        <v>6213</v>
      </c>
      <c r="O1281">
        <v>40.895168</v>
      </c>
      <c r="P1281">
        <v>26.90943</v>
      </c>
      <c r="Q1281" s="5" t="s">
        <v>1175</v>
      </c>
      <c r="R1281" s="10">
        <f t="shared" si="10"/>
        <v>18</v>
      </c>
      <c r="S1281" s="5" t="s">
        <v>6214</v>
      </c>
      <c r="T1281" s="5"/>
      <c r="U1281" s="5" t="s">
        <v>5662</v>
      </c>
      <c r="V1281" s="5" t="s">
        <v>6215</v>
      </c>
    </row>
    <row r="1282" ht="12.75" customHeight="1">
      <c r="A1282" s="5">
        <v>34393.0</v>
      </c>
      <c r="B1282" s="5" t="s">
        <v>1744</v>
      </c>
      <c r="C1282" s="5" t="s">
        <v>124</v>
      </c>
      <c r="D1282" s="5" t="s">
        <v>2614</v>
      </c>
      <c r="E1282" s="7" t="s">
        <v>6205</v>
      </c>
      <c r="F1282" s="5" t="s">
        <v>5995</v>
      </c>
      <c r="G1282" s="5" t="s">
        <v>6107</v>
      </c>
      <c r="H1282" s="5">
        <v>2008.0</v>
      </c>
      <c r="I1282" s="5">
        <v>0.0</v>
      </c>
      <c r="J1282" s="5">
        <v>0.0</v>
      </c>
      <c r="K1282" s="5">
        <v>1.0</v>
      </c>
      <c r="L1282" s="54"/>
      <c r="M1282" s="5" t="s">
        <v>6216</v>
      </c>
      <c r="N1282" s="53" t="s">
        <v>6217</v>
      </c>
      <c r="O1282">
        <v>43.351149</v>
      </c>
      <c r="P1282">
        <v>-8.185424</v>
      </c>
      <c r="Q1282" s="5" t="s">
        <v>1275</v>
      </c>
      <c r="R1282" s="10">
        <f t="shared" si="10"/>
        <v>12</v>
      </c>
      <c r="S1282" s="5" t="s">
        <v>6218</v>
      </c>
      <c r="T1282" s="5"/>
      <c r="U1282" s="5" t="s">
        <v>2785</v>
      </c>
      <c r="V1282" s="5" t="s">
        <v>6219</v>
      </c>
    </row>
    <row r="1283" ht="12.75" customHeight="1">
      <c r="A1283" s="5">
        <v>34399.0</v>
      </c>
      <c r="B1283" s="5" t="s">
        <v>491</v>
      </c>
      <c r="C1283" s="52" t="s">
        <v>50</v>
      </c>
      <c r="D1283" s="5" t="s">
        <v>2852</v>
      </c>
      <c r="E1283" s="7" t="s">
        <v>6220</v>
      </c>
      <c r="F1283" s="5" t="s">
        <v>5995</v>
      </c>
      <c r="G1283" s="5" t="s">
        <v>6107</v>
      </c>
      <c r="H1283" s="5">
        <v>2008.0</v>
      </c>
      <c r="I1283" s="5">
        <v>0.0</v>
      </c>
      <c r="J1283" s="5">
        <v>0.0</v>
      </c>
      <c r="K1283" s="5">
        <v>47.0</v>
      </c>
      <c r="L1283" s="54"/>
      <c r="M1283" s="5" t="s">
        <v>6221</v>
      </c>
      <c r="N1283" s="53" t="s">
        <v>3917</v>
      </c>
      <c r="O1283">
        <v>33.81445</v>
      </c>
      <c r="P1283">
        <v>12.700195</v>
      </c>
      <c r="Q1283" s="5" t="s">
        <v>553</v>
      </c>
      <c r="R1283" s="10">
        <f t="shared" si="10"/>
        <v>111</v>
      </c>
      <c r="S1283" s="5" t="s">
        <v>6222</v>
      </c>
      <c r="T1283" s="6" t="s">
        <v>2130</v>
      </c>
      <c r="U1283" s="5" t="s">
        <v>6223</v>
      </c>
      <c r="V1283" s="5"/>
    </row>
    <row r="1284" ht="12.75" customHeight="1">
      <c r="A1284" s="5">
        <v>34397.0</v>
      </c>
      <c r="B1284" s="5" t="s">
        <v>68</v>
      </c>
      <c r="C1284" s="5" t="s">
        <v>69</v>
      </c>
      <c r="D1284" s="5" t="s">
        <v>2614</v>
      </c>
      <c r="E1284" s="7" t="s">
        <v>6220</v>
      </c>
      <c r="F1284" s="5" t="s">
        <v>5995</v>
      </c>
      <c r="G1284" s="5" t="s">
        <v>6107</v>
      </c>
      <c r="H1284" s="5">
        <v>2008.0</v>
      </c>
      <c r="I1284" s="5">
        <v>0.0</v>
      </c>
      <c r="J1284" s="5">
        <v>0.0</v>
      </c>
      <c r="K1284" s="5">
        <v>1.0</v>
      </c>
      <c r="L1284" s="54"/>
      <c r="M1284" s="5" t="s">
        <v>6224</v>
      </c>
      <c r="N1284" s="53" t="s">
        <v>2718</v>
      </c>
      <c r="O1284">
        <v>35.292278</v>
      </c>
      <c r="P1284">
        <v>-2.938097</v>
      </c>
      <c r="Q1284" s="5" t="s">
        <v>649</v>
      </c>
      <c r="R1284" s="10">
        <f t="shared" si="10"/>
        <v>79</v>
      </c>
      <c r="S1284" s="5" t="s">
        <v>6225</v>
      </c>
      <c r="T1284" s="6" t="s">
        <v>72</v>
      </c>
      <c r="U1284" s="5" t="s">
        <v>4607</v>
      </c>
      <c r="V1284" s="5" t="s">
        <v>6226</v>
      </c>
    </row>
    <row r="1285" ht="12.75" customHeight="1">
      <c r="A1285" s="5">
        <v>34398.0</v>
      </c>
      <c r="B1285" s="5" t="s">
        <v>68</v>
      </c>
      <c r="C1285" s="5" t="s">
        <v>69</v>
      </c>
      <c r="D1285" s="5" t="s">
        <v>2614</v>
      </c>
      <c r="E1285" s="7" t="s">
        <v>6220</v>
      </c>
      <c r="F1285" s="5" t="s">
        <v>5995</v>
      </c>
      <c r="G1285" s="5" t="s">
        <v>6107</v>
      </c>
      <c r="H1285" s="5">
        <v>2008.0</v>
      </c>
      <c r="I1285" s="5">
        <v>0.0</v>
      </c>
      <c r="J1285" s="5">
        <v>0.0</v>
      </c>
      <c r="K1285" s="5">
        <v>2.0</v>
      </c>
      <c r="L1285" s="54"/>
      <c r="M1285" s="5" t="s">
        <v>6227</v>
      </c>
      <c r="N1285" s="53" t="s">
        <v>3927</v>
      </c>
      <c r="O1285">
        <v>36.42985</v>
      </c>
      <c r="P1285">
        <v>-5.149141</v>
      </c>
      <c r="Q1285" s="5" t="s">
        <v>799</v>
      </c>
      <c r="R1285" s="10">
        <f t="shared" si="10"/>
        <v>6</v>
      </c>
      <c r="S1285" s="5" t="s">
        <v>6228</v>
      </c>
      <c r="T1285" s="6" t="s">
        <v>72</v>
      </c>
      <c r="U1285" s="5" t="s">
        <v>2640</v>
      </c>
      <c r="V1285" s="5" t="s">
        <v>6229</v>
      </c>
    </row>
    <row r="1286" ht="12.75" customHeight="1">
      <c r="A1286" s="5">
        <v>34599.0</v>
      </c>
      <c r="B1286" s="5" t="s">
        <v>68</v>
      </c>
      <c r="C1286" s="5" t="s">
        <v>69</v>
      </c>
      <c r="D1286" s="5" t="s">
        <v>2614</v>
      </c>
      <c r="E1286" s="7" t="s">
        <v>6230</v>
      </c>
      <c r="F1286" s="5" t="s">
        <v>5853</v>
      </c>
      <c r="G1286" s="5" t="s">
        <v>6231</v>
      </c>
      <c r="H1286" s="5">
        <v>2008.0</v>
      </c>
      <c r="I1286" s="5">
        <v>0.0</v>
      </c>
      <c r="J1286" s="5">
        <v>0.0</v>
      </c>
      <c r="K1286" s="5">
        <v>6.0</v>
      </c>
      <c r="L1286" s="54"/>
      <c r="M1286" s="5" t="s">
        <v>6232</v>
      </c>
      <c r="N1286" s="53" t="s">
        <v>4044</v>
      </c>
      <c r="O1286">
        <v>40.120875</v>
      </c>
      <c r="P1286">
        <v>9.012893</v>
      </c>
      <c r="Q1286" s="5" t="s">
        <v>1120</v>
      </c>
      <c r="R1286" s="10">
        <f t="shared" si="10"/>
        <v>81</v>
      </c>
      <c r="S1286" s="5" t="s">
        <v>6233</v>
      </c>
      <c r="T1286" s="6" t="s">
        <v>2130</v>
      </c>
      <c r="U1286" s="5" t="s">
        <v>5920</v>
      </c>
      <c r="V1286" s="5" t="s">
        <v>6234</v>
      </c>
    </row>
    <row r="1287" ht="12.75" customHeight="1">
      <c r="A1287" s="5">
        <v>34600.0</v>
      </c>
      <c r="B1287" s="5" t="s">
        <v>41</v>
      </c>
      <c r="C1287" s="5" t="s">
        <v>42</v>
      </c>
      <c r="D1287" s="5" t="s">
        <v>2614</v>
      </c>
      <c r="E1287" s="7" t="s">
        <v>6235</v>
      </c>
      <c r="F1287" s="5" t="s">
        <v>5853</v>
      </c>
      <c r="G1287" s="5" t="s">
        <v>6231</v>
      </c>
      <c r="H1287" s="5">
        <v>2008.0</v>
      </c>
      <c r="I1287" s="5">
        <v>0.0</v>
      </c>
      <c r="J1287" s="5">
        <v>0.0</v>
      </c>
      <c r="K1287" s="5">
        <v>2.0</v>
      </c>
      <c r="L1287" s="54"/>
      <c r="M1287" s="5" t="s">
        <v>6236</v>
      </c>
      <c r="N1287" s="53" t="s">
        <v>2888</v>
      </c>
      <c r="O1287">
        <v>24.088938</v>
      </c>
      <c r="P1287">
        <v>32.899829</v>
      </c>
      <c r="Q1287" s="5" t="s">
        <v>329</v>
      </c>
      <c r="R1287" s="10">
        <f t="shared" si="10"/>
        <v>129</v>
      </c>
      <c r="S1287" s="5" t="s">
        <v>6237</v>
      </c>
      <c r="T1287" s="5"/>
      <c r="U1287" s="5" t="s">
        <v>92</v>
      </c>
      <c r="V1287" s="5" t="s">
        <v>6238</v>
      </c>
    </row>
    <row r="1288" ht="12.75" customHeight="1">
      <c r="A1288" s="5">
        <v>34601.0</v>
      </c>
      <c r="B1288" s="5" t="s">
        <v>49</v>
      </c>
      <c r="C1288" s="52" t="s">
        <v>50</v>
      </c>
      <c r="D1288" s="5" t="s">
        <v>2852</v>
      </c>
      <c r="E1288" s="7" t="s">
        <v>6239</v>
      </c>
      <c r="F1288" s="5" t="s">
        <v>5853</v>
      </c>
      <c r="G1288" s="5" t="s">
        <v>6231</v>
      </c>
      <c r="H1288" s="5">
        <v>2008.0</v>
      </c>
      <c r="I1288" s="5">
        <v>0.0</v>
      </c>
      <c r="J1288" s="5">
        <v>0.0</v>
      </c>
      <c r="K1288" s="5">
        <v>1.0</v>
      </c>
      <c r="L1288" s="54"/>
      <c r="M1288" s="5" t="s">
        <v>6240</v>
      </c>
      <c r="N1288" s="53" t="s">
        <v>6241</v>
      </c>
      <c r="O1288">
        <v>28.386856</v>
      </c>
      <c r="P1288">
        <v>-16.553251</v>
      </c>
      <c r="Q1288" s="5" t="s">
        <v>391</v>
      </c>
      <c r="R1288" s="10">
        <f t="shared" si="10"/>
        <v>1</v>
      </c>
      <c r="S1288" s="5" t="s">
        <v>6242</v>
      </c>
      <c r="T1288" s="5" t="s">
        <v>1040</v>
      </c>
      <c r="U1288" s="5" t="s">
        <v>5993</v>
      </c>
      <c r="V1288" s="5"/>
    </row>
    <row r="1289" ht="12.75" customHeight="1">
      <c r="A1289" s="5">
        <v>34602.0</v>
      </c>
      <c r="B1289" s="5" t="s">
        <v>68</v>
      </c>
      <c r="C1289" s="5" t="s">
        <v>69</v>
      </c>
      <c r="D1289" s="5" t="s">
        <v>2852</v>
      </c>
      <c r="E1289" s="7" t="s">
        <v>6239</v>
      </c>
      <c r="F1289" s="5" t="s">
        <v>5853</v>
      </c>
      <c r="G1289" s="5" t="s">
        <v>6231</v>
      </c>
      <c r="H1289" s="5">
        <v>2008.0</v>
      </c>
      <c r="I1289" s="5">
        <v>0.0</v>
      </c>
      <c r="J1289" s="5">
        <v>0.0</v>
      </c>
      <c r="K1289" s="5">
        <v>1.0</v>
      </c>
      <c r="L1289" s="54"/>
      <c r="M1289" s="5" t="s">
        <v>6243</v>
      </c>
      <c r="N1289" s="53" t="s">
        <v>3131</v>
      </c>
      <c r="O1289">
        <v>45.440847</v>
      </c>
      <c r="P1289">
        <v>12.315515</v>
      </c>
      <c r="Q1289" s="5" t="s">
        <v>1317</v>
      </c>
      <c r="R1289" s="10">
        <f t="shared" si="10"/>
        <v>13</v>
      </c>
      <c r="S1289" s="5" t="s">
        <v>6244</v>
      </c>
      <c r="T1289" s="5"/>
      <c r="U1289" s="5" t="s">
        <v>6245</v>
      </c>
      <c r="V1289" s="5" t="s">
        <v>6246</v>
      </c>
    </row>
    <row r="1290" ht="12.75" customHeight="1">
      <c r="A1290" s="5">
        <v>34603.0</v>
      </c>
      <c r="B1290" s="5" t="s">
        <v>49</v>
      </c>
      <c r="C1290" s="52" t="s">
        <v>50</v>
      </c>
      <c r="D1290" s="5" t="s">
        <v>2852</v>
      </c>
      <c r="E1290" s="7" t="s">
        <v>6247</v>
      </c>
      <c r="F1290" s="5" t="s">
        <v>5853</v>
      </c>
      <c r="G1290" s="5" t="s">
        <v>6231</v>
      </c>
      <c r="H1290" s="5">
        <v>2008.0</v>
      </c>
      <c r="I1290" s="5">
        <v>0.0</v>
      </c>
      <c r="J1290" s="5">
        <v>0.0</v>
      </c>
      <c r="K1290" s="5">
        <v>17.0</v>
      </c>
      <c r="L1290" s="54"/>
      <c r="M1290" s="5" t="s">
        <v>6248</v>
      </c>
      <c r="N1290" s="53" t="s">
        <v>6249</v>
      </c>
      <c r="O1290">
        <v>36.277685</v>
      </c>
      <c r="P1290">
        <v>-6.087779</v>
      </c>
      <c r="Q1290" s="5" t="s">
        <v>787</v>
      </c>
      <c r="R1290" s="10">
        <f t="shared" si="10"/>
        <v>17</v>
      </c>
      <c r="S1290" s="5" t="s">
        <v>6250</v>
      </c>
      <c r="T1290" s="6" t="s">
        <v>72</v>
      </c>
      <c r="U1290" s="5" t="s">
        <v>6251</v>
      </c>
      <c r="V1290" s="5"/>
    </row>
    <row r="1291" ht="12.75" customHeight="1">
      <c r="A1291" s="5">
        <v>34604.0</v>
      </c>
      <c r="B1291" s="5" t="s">
        <v>68</v>
      </c>
      <c r="C1291" s="5" t="s">
        <v>69</v>
      </c>
      <c r="D1291" s="5" t="s">
        <v>2852</v>
      </c>
      <c r="E1291" s="7" t="s">
        <v>6247</v>
      </c>
      <c r="F1291" s="5" t="s">
        <v>5853</v>
      </c>
      <c r="G1291" s="5" t="s">
        <v>6231</v>
      </c>
      <c r="H1291" s="5">
        <v>2008.0</v>
      </c>
      <c r="I1291" s="5">
        <v>0.0</v>
      </c>
      <c r="J1291" s="5">
        <v>0.0</v>
      </c>
      <c r="K1291" s="5">
        <v>1.0</v>
      </c>
      <c r="L1291" s="54"/>
      <c r="M1291" s="5" t="s">
        <v>6252</v>
      </c>
      <c r="N1291" s="53" t="s">
        <v>3352</v>
      </c>
      <c r="O1291">
        <v>36.866667</v>
      </c>
      <c r="P1291">
        <v>6.9</v>
      </c>
      <c r="Q1291" s="5" t="s">
        <v>869</v>
      </c>
      <c r="R1291" s="10">
        <f t="shared" si="10"/>
        <v>18</v>
      </c>
      <c r="S1291" s="5" t="s">
        <v>6253</v>
      </c>
      <c r="T1291" s="6" t="s">
        <v>2130</v>
      </c>
      <c r="U1291" s="5" t="s">
        <v>6254</v>
      </c>
      <c r="V1291" s="5" t="s">
        <v>6255</v>
      </c>
    </row>
    <row r="1292" ht="12.75" customHeight="1">
      <c r="A1292" s="5">
        <v>34605.0</v>
      </c>
      <c r="B1292" s="5" t="s">
        <v>49</v>
      </c>
      <c r="C1292" s="52" t="s">
        <v>50</v>
      </c>
      <c r="D1292" s="5" t="s">
        <v>2614</v>
      </c>
      <c r="E1292" s="7" t="s">
        <v>6256</v>
      </c>
      <c r="F1292" s="5" t="s">
        <v>5853</v>
      </c>
      <c r="G1292" s="5" t="s">
        <v>6231</v>
      </c>
      <c r="H1292" s="5">
        <v>2008.0</v>
      </c>
      <c r="I1292" s="5">
        <v>0.0</v>
      </c>
      <c r="J1292" s="5">
        <v>0.0</v>
      </c>
      <c r="K1292" s="5">
        <v>2.0</v>
      </c>
      <c r="L1292" s="54"/>
      <c r="M1292" s="5" t="s">
        <v>6257</v>
      </c>
      <c r="N1292" s="53" t="s">
        <v>3056</v>
      </c>
      <c r="O1292">
        <v>36.744421</v>
      </c>
      <c r="P1292">
        <v>-4.092531</v>
      </c>
      <c r="Q1292" s="5" t="s">
        <v>830</v>
      </c>
      <c r="R1292" s="10">
        <f t="shared" si="10"/>
        <v>3</v>
      </c>
      <c r="S1292" s="5" t="s">
        <v>6258</v>
      </c>
      <c r="T1292" s="6" t="s">
        <v>72</v>
      </c>
      <c r="U1292" s="5" t="s">
        <v>2785</v>
      </c>
      <c r="V1292" s="5" t="s">
        <v>6259</v>
      </c>
    </row>
    <row r="1293" ht="12.75" customHeight="1">
      <c r="A1293" s="5">
        <v>34607.0</v>
      </c>
      <c r="B1293" s="5" t="s">
        <v>49</v>
      </c>
      <c r="C1293" s="52" t="s">
        <v>50</v>
      </c>
      <c r="D1293" s="5" t="s">
        <v>2852</v>
      </c>
      <c r="E1293" s="7" t="s">
        <v>6256</v>
      </c>
      <c r="F1293" s="5" t="s">
        <v>5853</v>
      </c>
      <c r="G1293" s="5" t="s">
        <v>6231</v>
      </c>
      <c r="H1293" s="5">
        <v>2008.0</v>
      </c>
      <c r="I1293" s="5">
        <v>0.0</v>
      </c>
      <c r="J1293" s="5">
        <v>0.0</v>
      </c>
      <c r="K1293" s="5">
        <v>8.0</v>
      </c>
      <c r="L1293" s="54"/>
      <c r="M1293" s="5" t="s">
        <v>6260</v>
      </c>
      <c r="N1293" s="53" t="s">
        <v>6261</v>
      </c>
      <c r="O1293">
        <v>43.001693</v>
      </c>
      <c r="P1293">
        <v>-7.85388</v>
      </c>
      <c r="Q1293" s="5" t="s">
        <v>1263</v>
      </c>
      <c r="R1293" s="10">
        <f t="shared" si="10"/>
        <v>8</v>
      </c>
      <c r="S1293" s="5" t="s">
        <v>6262</v>
      </c>
      <c r="T1293" s="6" t="s">
        <v>72</v>
      </c>
      <c r="U1293" s="5" t="s">
        <v>6263</v>
      </c>
      <c r="V1293" s="5"/>
    </row>
    <row r="1294" ht="12.75" customHeight="1">
      <c r="A1294" s="5">
        <v>34606.0</v>
      </c>
      <c r="B1294" s="5" t="s">
        <v>763</v>
      </c>
      <c r="C1294" s="5" t="s">
        <v>124</v>
      </c>
      <c r="D1294" s="5" t="s">
        <v>2614</v>
      </c>
      <c r="E1294" s="7" t="s">
        <v>6256</v>
      </c>
      <c r="F1294" s="5" t="s">
        <v>5853</v>
      </c>
      <c r="G1294" s="5" t="s">
        <v>6231</v>
      </c>
      <c r="H1294" s="5">
        <v>2008.0</v>
      </c>
      <c r="I1294" s="5">
        <v>0.0</v>
      </c>
      <c r="J1294" s="5">
        <v>0.0</v>
      </c>
      <c r="K1294" s="5">
        <v>1.0</v>
      </c>
      <c r="L1294" s="54"/>
      <c r="M1294" s="5" t="s">
        <v>6264</v>
      </c>
      <c r="N1294" s="53" t="s">
        <v>2996</v>
      </c>
      <c r="O1294">
        <v>43.61583</v>
      </c>
      <c r="P1294">
        <v>13.518915</v>
      </c>
      <c r="Q1294" s="5" t="s">
        <v>1284</v>
      </c>
      <c r="R1294" s="10">
        <f t="shared" si="10"/>
        <v>16</v>
      </c>
      <c r="S1294" s="5" t="s">
        <v>6265</v>
      </c>
      <c r="T1294" s="5"/>
      <c r="U1294" s="5" t="s">
        <v>6266</v>
      </c>
      <c r="V1294" s="5" t="s">
        <v>6267</v>
      </c>
    </row>
    <row r="1295" ht="12.75" customHeight="1">
      <c r="A1295" s="5">
        <v>34608.0</v>
      </c>
      <c r="B1295" s="5" t="s">
        <v>763</v>
      </c>
      <c r="C1295" s="5" t="s">
        <v>124</v>
      </c>
      <c r="D1295" s="5" t="s">
        <v>2852</v>
      </c>
      <c r="E1295" s="7" t="s">
        <v>6256</v>
      </c>
      <c r="F1295" s="5" t="s">
        <v>5853</v>
      </c>
      <c r="G1295" s="5" t="s">
        <v>6231</v>
      </c>
      <c r="H1295" s="5">
        <v>2008.0</v>
      </c>
      <c r="I1295" s="5">
        <v>0.0</v>
      </c>
      <c r="J1295" s="5">
        <v>0.0</v>
      </c>
      <c r="K1295" s="5">
        <v>1.0</v>
      </c>
      <c r="L1295" s="54"/>
      <c r="M1295" s="5" t="s">
        <v>6268</v>
      </c>
      <c r="N1295" s="53" t="s">
        <v>6269</v>
      </c>
      <c r="O1295">
        <v>44.171131</v>
      </c>
      <c r="P1295">
        <v>12.161842</v>
      </c>
      <c r="Q1295" s="5" t="s">
        <v>1289</v>
      </c>
      <c r="R1295" s="10">
        <f t="shared" si="10"/>
        <v>1</v>
      </c>
      <c r="S1295" s="5" t="s">
        <v>6270</v>
      </c>
      <c r="T1295" s="5"/>
      <c r="U1295" s="5" t="s">
        <v>6271</v>
      </c>
      <c r="V1295" s="5"/>
    </row>
    <row r="1296" ht="12.75" customHeight="1">
      <c r="A1296" s="5">
        <v>34609.0</v>
      </c>
      <c r="B1296" s="5" t="s">
        <v>49</v>
      </c>
      <c r="C1296" s="52" t="s">
        <v>50</v>
      </c>
      <c r="D1296" s="5" t="s">
        <v>2852</v>
      </c>
      <c r="E1296" s="7" t="s">
        <v>6272</v>
      </c>
      <c r="F1296" s="5" t="s">
        <v>5853</v>
      </c>
      <c r="G1296" s="5" t="s">
        <v>6231</v>
      </c>
      <c r="H1296" s="5">
        <v>2008.0</v>
      </c>
      <c r="I1296" s="5">
        <v>0.0</v>
      </c>
      <c r="J1296" s="5">
        <v>0.0</v>
      </c>
      <c r="K1296" s="5">
        <v>1.0</v>
      </c>
      <c r="L1296" s="54"/>
      <c r="M1296" s="5" t="s">
        <v>6273</v>
      </c>
      <c r="N1296" s="53" t="s">
        <v>2834</v>
      </c>
      <c r="O1296">
        <v>41.244376</v>
      </c>
      <c r="P1296">
        <v>26.135943</v>
      </c>
      <c r="Q1296" s="5" t="s">
        <v>1214</v>
      </c>
      <c r="R1296" s="10">
        <f t="shared" si="10"/>
        <v>188</v>
      </c>
      <c r="S1296" s="5" t="s">
        <v>6274</v>
      </c>
      <c r="T1296" s="6" t="s">
        <v>53</v>
      </c>
      <c r="U1296" s="5" t="s">
        <v>6275</v>
      </c>
      <c r="V1296" s="5" t="s">
        <v>6276</v>
      </c>
    </row>
    <row r="1297" ht="12.75" customHeight="1">
      <c r="A1297" s="5">
        <v>34610.0</v>
      </c>
      <c r="B1297" s="5" t="s">
        <v>68</v>
      </c>
      <c r="C1297" s="5" t="s">
        <v>69</v>
      </c>
      <c r="D1297" s="5" t="s">
        <v>2614</v>
      </c>
      <c r="E1297" s="7" t="s">
        <v>6277</v>
      </c>
      <c r="F1297" s="5" t="s">
        <v>5853</v>
      </c>
      <c r="G1297" s="5" t="s">
        <v>6231</v>
      </c>
      <c r="H1297" s="5">
        <v>2008.0</v>
      </c>
      <c r="I1297" s="5">
        <v>0.0</v>
      </c>
      <c r="J1297" s="5">
        <v>0.0</v>
      </c>
      <c r="K1297" s="5">
        <v>8.0</v>
      </c>
      <c r="L1297" s="54"/>
      <c r="M1297" s="5" t="s">
        <v>6278</v>
      </c>
      <c r="N1297" s="53" t="s">
        <v>2628</v>
      </c>
      <c r="O1297">
        <v>26.820553</v>
      </c>
      <c r="P1297">
        <v>30.802498</v>
      </c>
      <c r="Q1297" s="5" t="s">
        <v>344</v>
      </c>
      <c r="R1297" s="10">
        <f t="shared" si="10"/>
        <v>427</v>
      </c>
      <c r="S1297" s="5" t="s">
        <v>6279</v>
      </c>
      <c r="T1297" s="5"/>
      <c r="U1297" s="5" t="s">
        <v>6280</v>
      </c>
      <c r="V1297" s="5" t="s">
        <v>5225</v>
      </c>
    </row>
    <row r="1298" ht="12.75" customHeight="1">
      <c r="A1298" s="5">
        <v>34611.0</v>
      </c>
      <c r="B1298" s="5" t="s">
        <v>68</v>
      </c>
      <c r="C1298" s="5" t="s">
        <v>69</v>
      </c>
      <c r="D1298" s="5" t="s">
        <v>2614</v>
      </c>
      <c r="E1298" s="7" t="s">
        <v>6281</v>
      </c>
      <c r="F1298" s="5" t="s">
        <v>5853</v>
      </c>
      <c r="G1298" s="5" t="s">
        <v>6231</v>
      </c>
      <c r="H1298" s="5">
        <v>2008.0</v>
      </c>
      <c r="I1298" s="5">
        <v>0.0</v>
      </c>
      <c r="J1298" s="5">
        <v>0.0</v>
      </c>
      <c r="K1298" s="5">
        <v>3.0</v>
      </c>
      <c r="L1298" s="54"/>
      <c r="M1298" s="5" t="s">
        <v>6282</v>
      </c>
      <c r="N1298" s="53" t="s">
        <v>5367</v>
      </c>
      <c r="O1298">
        <v>28.291564</v>
      </c>
      <c r="P1298">
        <v>-16.62913</v>
      </c>
      <c r="Q1298" s="5" t="s">
        <v>382</v>
      </c>
      <c r="R1298" s="10">
        <f t="shared" si="10"/>
        <v>1120</v>
      </c>
      <c r="S1298" s="5" t="s">
        <v>6283</v>
      </c>
      <c r="T1298" s="5" t="s">
        <v>1040</v>
      </c>
      <c r="U1298" s="5" t="s">
        <v>2785</v>
      </c>
      <c r="V1298" s="5" t="s">
        <v>6284</v>
      </c>
    </row>
    <row r="1299" ht="12.75" customHeight="1">
      <c r="A1299" s="5">
        <v>34612.0</v>
      </c>
      <c r="B1299" s="5" t="s">
        <v>49</v>
      </c>
      <c r="C1299" s="52" t="s">
        <v>50</v>
      </c>
      <c r="D1299" s="5" t="s">
        <v>2614</v>
      </c>
      <c r="E1299" s="7" t="s">
        <v>6285</v>
      </c>
      <c r="F1299" s="5" t="s">
        <v>5853</v>
      </c>
      <c r="G1299" s="5" t="s">
        <v>6231</v>
      </c>
      <c r="H1299" s="5">
        <v>2008.0</v>
      </c>
      <c r="I1299" s="5">
        <v>0.0</v>
      </c>
      <c r="J1299" s="5">
        <v>0.0</v>
      </c>
      <c r="K1299" s="5">
        <v>1.0</v>
      </c>
      <c r="L1299" s="54"/>
      <c r="M1299" s="5" t="s">
        <v>6286</v>
      </c>
      <c r="N1299" s="53" t="s">
        <v>2700</v>
      </c>
      <c r="O1299">
        <v>35.508622</v>
      </c>
      <c r="P1299">
        <v>12.59292</v>
      </c>
      <c r="Q1299" s="5" t="s">
        <v>669</v>
      </c>
      <c r="R1299" s="10">
        <f t="shared" si="10"/>
        <v>3843</v>
      </c>
      <c r="S1299" s="5" t="s">
        <v>6287</v>
      </c>
      <c r="T1299" s="6" t="s">
        <v>2130</v>
      </c>
      <c r="U1299" s="5" t="s">
        <v>2619</v>
      </c>
      <c r="V1299" s="5" t="s">
        <v>6288</v>
      </c>
    </row>
    <row r="1300" ht="12.75" customHeight="1">
      <c r="A1300" s="5">
        <v>34613.0</v>
      </c>
      <c r="B1300" s="5" t="s">
        <v>49</v>
      </c>
      <c r="C1300" s="52" t="s">
        <v>50</v>
      </c>
      <c r="D1300" s="5" t="s">
        <v>2852</v>
      </c>
      <c r="E1300" s="7" t="s">
        <v>6285</v>
      </c>
      <c r="F1300" s="5" t="s">
        <v>5853</v>
      </c>
      <c r="G1300" s="5" t="s">
        <v>6231</v>
      </c>
      <c r="H1300" s="5">
        <v>2008.0</v>
      </c>
      <c r="I1300" s="5">
        <v>0.0</v>
      </c>
      <c r="J1300" s="5">
        <v>0.0</v>
      </c>
      <c r="K1300" s="5">
        <v>1.0</v>
      </c>
      <c r="L1300" s="54"/>
      <c r="M1300" s="5" t="s">
        <v>6289</v>
      </c>
      <c r="N1300" s="53" t="s">
        <v>5741</v>
      </c>
      <c r="O1300">
        <v>35.834673</v>
      </c>
      <c r="P1300">
        <v>14.552498</v>
      </c>
      <c r="Q1300" s="5" t="s">
        <v>704</v>
      </c>
      <c r="R1300" s="10">
        <f t="shared" si="10"/>
        <v>6</v>
      </c>
      <c r="S1300" s="5" t="s">
        <v>6290</v>
      </c>
      <c r="T1300" s="6" t="s">
        <v>2130</v>
      </c>
      <c r="U1300" s="5" t="s">
        <v>5438</v>
      </c>
      <c r="V1300" s="5"/>
    </row>
    <row r="1301" ht="12.75" customHeight="1">
      <c r="A1301" s="5">
        <v>34614.0</v>
      </c>
      <c r="B1301" s="5" t="s">
        <v>68</v>
      </c>
      <c r="C1301" s="5" t="s">
        <v>69</v>
      </c>
      <c r="D1301" s="5" t="s">
        <v>2614</v>
      </c>
      <c r="E1301" s="7" t="s">
        <v>6291</v>
      </c>
      <c r="F1301" s="5" t="s">
        <v>5853</v>
      </c>
      <c r="G1301" s="5" t="s">
        <v>6231</v>
      </c>
      <c r="H1301" s="5">
        <v>2008.0</v>
      </c>
      <c r="I1301" s="5">
        <v>0.0</v>
      </c>
      <c r="J1301" s="5">
        <v>0.0</v>
      </c>
      <c r="K1301" s="5">
        <v>1.0</v>
      </c>
      <c r="L1301" s="54"/>
      <c r="M1301" s="5" t="s">
        <v>6292</v>
      </c>
      <c r="N1301" s="53" t="s">
        <v>4663</v>
      </c>
      <c r="O1301">
        <v>36.19002</v>
      </c>
      <c r="P1301">
        <v>-5.92248</v>
      </c>
      <c r="Q1301" s="5" t="s">
        <v>778</v>
      </c>
      <c r="R1301" s="10">
        <f t="shared" si="10"/>
        <v>74</v>
      </c>
      <c r="S1301" s="5" t="s">
        <v>6293</v>
      </c>
      <c r="T1301" s="6" t="s">
        <v>72</v>
      </c>
      <c r="U1301" s="5" t="s">
        <v>2635</v>
      </c>
      <c r="V1301" s="5" t="s">
        <v>6294</v>
      </c>
    </row>
    <row r="1302" ht="12.75" customHeight="1">
      <c r="A1302" s="5">
        <v>34616.0</v>
      </c>
      <c r="B1302" s="5" t="s">
        <v>49</v>
      </c>
      <c r="C1302" s="52" t="s">
        <v>50</v>
      </c>
      <c r="D1302" s="5" t="s">
        <v>2852</v>
      </c>
      <c r="E1302" s="7" t="s">
        <v>6291</v>
      </c>
      <c r="F1302" s="5" t="s">
        <v>5853</v>
      </c>
      <c r="G1302" s="5" t="s">
        <v>6231</v>
      </c>
      <c r="H1302" s="5">
        <v>2008.0</v>
      </c>
      <c r="I1302" s="5">
        <v>0.0</v>
      </c>
      <c r="J1302" s="5">
        <v>0.0</v>
      </c>
      <c r="K1302" s="5">
        <v>1.0</v>
      </c>
      <c r="L1302" s="54"/>
      <c r="M1302" s="5" t="s">
        <v>6295</v>
      </c>
      <c r="N1302" s="53" t="s">
        <v>6113</v>
      </c>
      <c r="O1302">
        <v>37.075546</v>
      </c>
      <c r="P1302">
        <v>25.520736</v>
      </c>
      <c r="Q1302" s="5" t="s">
        <v>899</v>
      </c>
      <c r="R1302" s="10">
        <f t="shared" si="10"/>
        <v>70</v>
      </c>
      <c r="S1302" s="5" t="s">
        <v>6296</v>
      </c>
      <c r="T1302" s="6" t="s">
        <v>53</v>
      </c>
      <c r="U1302" s="5" t="s">
        <v>6297</v>
      </c>
      <c r="V1302" s="5"/>
    </row>
    <row r="1303" ht="12.75" customHeight="1">
      <c r="A1303" s="5">
        <v>34615.0</v>
      </c>
      <c r="B1303" s="5" t="s">
        <v>49</v>
      </c>
      <c r="C1303" s="52" t="s">
        <v>50</v>
      </c>
      <c r="D1303" s="5" t="s">
        <v>2852</v>
      </c>
      <c r="E1303" s="7" t="s">
        <v>6291</v>
      </c>
      <c r="F1303" s="5" t="s">
        <v>5853</v>
      </c>
      <c r="G1303" s="5" t="s">
        <v>6231</v>
      </c>
      <c r="H1303" s="5">
        <v>2008.0</v>
      </c>
      <c r="I1303" s="5">
        <v>0.0</v>
      </c>
      <c r="J1303" s="5">
        <v>0.0</v>
      </c>
      <c r="K1303" s="5">
        <v>19.0</v>
      </c>
      <c r="L1303" s="54"/>
      <c r="M1303" s="5" t="s">
        <v>6298</v>
      </c>
      <c r="N1303" s="53" t="s">
        <v>6113</v>
      </c>
      <c r="O1303">
        <v>37.075546</v>
      </c>
      <c r="P1303">
        <v>25.520736</v>
      </c>
      <c r="Q1303" s="5" t="s">
        <v>899</v>
      </c>
      <c r="R1303" s="10">
        <f t="shared" si="10"/>
        <v>70</v>
      </c>
      <c r="S1303" s="5" t="s">
        <v>6296</v>
      </c>
      <c r="T1303" s="6" t="s">
        <v>53</v>
      </c>
      <c r="U1303" s="5" t="s">
        <v>6297</v>
      </c>
      <c r="V1303" s="5"/>
    </row>
    <row r="1304" ht="12.75" customHeight="1">
      <c r="A1304" s="5">
        <v>34617.0</v>
      </c>
      <c r="B1304" s="5" t="s">
        <v>2962</v>
      </c>
      <c r="C1304" s="5" t="s">
        <v>211</v>
      </c>
      <c r="D1304" s="5" t="s">
        <v>2852</v>
      </c>
      <c r="E1304" s="7" t="s">
        <v>6291</v>
      </c>
      <c r="F1304" s="5" t="s">
        <v>5853</v>
      </c>
      <c r="G1304" s="5" t="s">
        <v>6231</v>
      </c>
      <c r="H1304" s="5">
        <v>2008.0</v>
      </c>
      <c r="I1304" s="5">
        <v>0.0</v>
      </c>
      <c r="J1304" s="5">
        <v>0.0</v>
      </c>
      <c r="K1304" s="5">
        <v>1.0</v>
      </c>
      <c r="L1304" s="54"/>
      <c r="M1304" s="5" t="s">
        <v>6299</v>
      </c>
      <c r="N1304" s="53" t="s">
        <v>6300</v>
      </c>
      <c r="O1304">
        <v>51.182293</v>
      </c>
      <c r="P1304">
        <v>14.423775</v>
      </c>
      <c r="Q1304" s="5" t="s">
        <v>1608</v>
      </c>
      <c r="R1304" s="10">
        <f t="shared" si="10"/>
        <v>1</v>
      </c>
      <c r="S1304" s="5" t="s">
        <v>6301</v>
      </c>
      <c r="T1304" s="5"/>
      <c r="U1304" s="5" t="s">
        <v>6302</v>
      </c>
      <c r="V1304" s="5"/>
    </row>
    <row r="1305" ht="12.75" customHeight="1">
      <c r="A1305" s="5">
        <v>34618.0</v>
      </c>
      <c r="B1305" s="5" t="s">
        <v>68</v>
      </c>
      <c r="C1305" s="5" t="s">
        <v>69</v>
      </c>
      <c r="D1305" s="5" t="s">
        <v>2852</v>
      </c>
      <c r="E1305" s="7" t="s">
        <v>6303</v>
      </c>
      <c r="F1305" s="5" t="s">
        <v>5853</v>
      </c>
      <c r="G1305" s="5" t="s">
        <v>6231</v>
      </c>
      <c r="H1305" s="5">
        <v>2008.0</v>
      </c>
      <c r="I1305" s="5">
        <v>0.0</v>
      </c>
      <c r="J1305" s="5">
        <v>0.0</v>
      </c>
      <c r="K1305" s="5">
        <v>14.0</v>
      </c>
      <c r="L1305" s="54"/>
      <c r="M1305" s="5" t="s">
        <v>6304</v>
      </c>
      <c r="N1305" s="53" t="s">
        <v>5273</v>
      </c>
      <c r="O1305">
        <v>27.793611</v>
      </c>
      <c r="P1305">
        <v>-15.658889</v>
      </c>
      <c r="Q1305" s="5" t="s">
        <v>357</v>
      </c>
      <c r="R1305" s="10">
        <f t="shared" si="10"/>
        <v>30</v>
      </c>
      <c r="S1305" s="5" t="s">
        <v>6305</v>
      </c>
      <c r="T1305" s="5" t="s">
        <v>1040</v>
      </c>
      <c r="U1305" s="5" t="s">
        <v>6306</v>
      </c>
      <c r="V1305" s="5"/>
    </row>
    <row r="1306" ht="12.75" customHeight="1">
      <c r="A1306" s="5">
        <v>34619.0</v>
      </c>
      <c r="B1306" s="5" t="s">
        <v>68</v>
      </c>
      <c r="C1306" s="5" t="s">
        <v>69</v>
      </c>
      <c r="D1306" s="5" t="s">
        <v>2852</v>
      </c>
      <c r="E1306" s="7" t="s">
        <v>6303</v>
      </c>
      <c r="F1306" s="5" t="s">
        <v>5853</v>
      </c>
      <c r="G1306" s="5" t="s">
        <v>6231</v>
      </c>
      <c r="H1306" s="5">
        <v>2008.0</v>
      </c>
      <c r="I1306" s="5">
        <v>0.0</v>
      </c>
      <c r="J1306" s="5">
        <v>0.0</v>
      </c>
      <c r="K1306" s="5">
        <v>4.0</v>
      </c>
      <c r="L1306" s="54"/>
      <c r="M1306" s="5" t="s">
        <v>6307</v>
      </c>
      <c r="N1306" s="53" t="s">
        <v>6308</v>
      </c>
      <c r="O1306">
        <v>28.009757</v>
      </c>
      <c r="P1306">
        <v>-15.53205</v>
      </c>
      <c r="Q1306" s="5" t="s">
        <v>366</v>
      </c>
      <c r="R1306" s="10">
        <f t="shared" si="10"/>
        <v>5</v>
      </c>
      <c r="S1306" s="5" t="s">
        <v>6309</v>
      </c>
      <c r="T1306" s="5" t="s">
        <v>1040</v>
      </c>
      <c r="U1306" s="5" t="s">
        <v>6310</v>
      </c>
      <c r="V1306" s="5"/>
    </row>
    <row r="1307" ht="12.75" customHeight="1">
      <c r="A1307" s="5">
        <v>34622.0</v>
      </c>
      <c r="B1307" s="5" t="s">
        <v>49</v>
      </c>
      <c r="C1307" s="52" t="s">
        <v>50</v>
      </c>
      <c r="D1307" s="5" t="s">
        <v>2852</v>
      </c>
      <c r="E1307" s="7" t="s">
        <v>6303</v>
      </c>
      <c r="F1307" s="5" t="s">
        <v>5853</v>
      </c>
      <c r="G1307" s="5" t="s">
        <v>6231</v>
      </c>
      <c r="H1307" s="5">
        <v>2008.0</v>
      </c>
      <c r="I1307" s="5">
        <v>0.0</v>
      </c>
      <c r="J1307" s="5">
        <v>0.0</v>
      </c>
      <c r="K1307" s="5">
        <v>12.0</v>
      </c>
      <c r="L1307" s="54"/>
      <c r="M1307" s="5" t="s">
        <v>6311</v>
      </c>
      <c r="N1307" s="53" t="s">
        <v>5250</v>
      </c>
      <c r="O1307">
        <v>35.89779</v>
      </c>
      <c r="P1307">
        <v>14.514106</v>
      </c>
      <c r="Q1307" s="5" t="s">
        <v>726</v>
      </c>
      <c r="R1307" s="10">
        <f t="shared" si="10"/>
        <v>71</v>
      </c>
      <c r="S1307" s="5" t="s">
        <v>6312</v>
      </c>
      <c r="T1307" s="6" t="s">
        <v>2130</v>
      </c>
      <c r="U1307" s="5" t="s">
        <v>6313</v>
      </c>
      <c r="V1307" s="5"/>
    </row>
    <row r="1308" ht="12.75" customHeight="1">
      <c r="A1308" s="5">
        <v>34623.0</v>
      </c>
      <c r="B1308" s="5" t="s">
        <v>49</v>
      </c>
      <c r="C1308" s="52" t="s">
        <v>50</v>
      </c>
      <c r="D1308" s="5" t="s">
        <v>2852</v>
      </c>
      <c r="E1308" s="7" t="s">
        <v>6303</v>
      </c>
      <c r="F1308" s="5" t="s">
        <v>5853</v>
      </c>
      <c r="G1308" s="5" t="s">
        <v>6231</v>
      </c>
      <c r="H1308" s="5">
        <v>2008.0</v>
      </c>
      <c r="I1308" s="5">
        <v>0.0</v>
      </c>
      <c r="J1308" s="5">
        <v>0.0</v>
      </c>
      <c r="K1308" s="5">
        <v>13.0</v>
      </c>
      <c r="L1308" s="54"/>
      <c r="M1308" s="5" t="s">
        <v>6314</v>
      </c>
      <c r="N1308" s="53" t="s">
        <v>3314</v>
      </c>
      <c r="O1308">
        <v>37.599994</v>
      </c>
      <c r="P1308">
        <v>14.015356</v>
      </c>
      <c r="Q1308" s="5" t="s">
        <v>949</v>
      </c>
      <c r="R1308" s="10">
        <f t="shared" si="10"/>
        <v>363</v>
      </c>
      <c r="S1308" s="5" t="s">
        <v>6315</v>
      </c>
      <c r="T1308" s="6" t="s">
        <v>2130</v>
      </c>
      <c r="U1308" s="5" t="s">
        <v>6316</v>
      </c>
      <c r="V1308" s="5"/>
    </row>
    <row r="1309" ht="12.75" customHeight="1">
      <c r="A1309" s="5">
        <v>34621.0</v>
      </c>
      <c r="B1309" s="5" t="s">
        <v>1995</v>
      </c>
      <c r="C1309" s="52" t="s">
        <v>50</v>
      </c>
      <c r="D1309" s="5" t="s">
        <v>2852</v>
      </c>
      <c r="E1309" s="7" t="s">
        <v>6303</v>
      </c>
      <c r="F1309" s="5" t="s">
        <v>5853</v>
      </c>
      <c r="G1309" s="5" t="s">
        <v>6231</v>
      </c>
      <c r="H1309" s="5">
        <v>2008.0</v>
      </c>
      <c r="I1309" s="5">
        <v>0.0</v>
      </c>
      <c r="J1309" s="5">
        <v>0.0</v>
      </c>
      <c r="K1309" s="5">
        <v>1.0</v>
      </c>
      <c r="L1309" s="54"/>
      <c r="M1309" s="5" t="s">
        <v>6317</v>
      </c>
      <c r="N1309" s="53" t="s">
        <v>3763</v>
      </c>
      <c r="O1309">
        <v>51.481969</v>
      </c>
      <c r="P1309">
        <v>-0.526243</v>
      </c>
      <c r="Q1309" s="5" t="s">
        <v>1645</v>
      </c>
      <c r="R1309" s="10">
        <f t="shared" si="10"/>
        <v>3</v>
      </c>
      <c r="S1309" s="5" t="s">
        <v>6318</v>
      </c>
      <c r="T1309" s="5"/>
      <c r="U1309" s="5" t="s">
        <v>3219</v>
      </c>
      <c r="V1309" s="5"/>
    </row>
    <row r="1310" ht="12.75" customHeight="1">
      <c r="A1310" s="5">
        <v>34620.0</v>
      </c>
      <c r="B1310" s="5" t="s">
        <v>763</v>
      </c>
      <c r="C1310" s="5" t="s">
        <v>124</v>
      </c>
      <c r="D1310" s="5" t="s">
        <v>2852</v>
      </c>
      <c r="E1310" s="7" t="s">
        <v>6303</v>
      </c>
      <c r="F1310" s="5" t="s">
        <v>5853</v>
      </c>
      <c r="G1310" s="5" t="s">
        <v>6231</v>
      </c>
      <c r="H1310" s="5">
        <v>2008.0</v>
      </c>
      <c r="I1310" s="5">
        <v>0.0</v>
      </c>
      <c r="J1310" s="5">
        <v>0.0</v>
      </c>
      <c r="K1310" s="5">
        <v>1.0</v>
      </c>
      <c r="L1310" s="54"/>
      <c r="M1310" s="5" t="s">
        <v>6319</v>
      </c>
      <c r="N1310" s="53" t="s">
        <v>6320</v>
      </c>
      <c r="O1310">
        <v>52.988024</v>
      </c>
      <c r="P1310">
        <v>-2.20218</v>
      </c>
      <c r="Q1310" s="5" t="s">
        <v>1810</v>
      </c>
      <c r="R1310" s="10">
        <f t="shared" si="10"/>
        <v>1</v>
      </c>
      <c r="S1310" s="5" t="s">
        <v>6321</v>
      </c>
      <c r="T1310" s="5"/>
      <c r="U1310" s="5" t="s">
        <v>6322</v>
      </c>
      <c r="V1310" s="5"/>
    </row>
    <row r="1311" ht="12.75" customHeight="1">
      <c r="A1311" s="5">
        <v>34626.0</v>
      </c>
      <c r="B1311" s="5" t="s">
        <v>215</v>
      </c>
      <c r="C1311" s="5" t="s">
        <v>62</v>
      </c>
      <c r="D1311" s="5" t="s">
        <v>2852</v>
      </c>
      <c r="E1311" s="7" t="s">
        <v>6323</v>
      </c>
      <c r="F1311" s="5" t="s">
        <v>5853</v>
      </c>
      <c r="G1311" s="5" t="s">
        <v>6231</v>
      </c>
      <c r="H1311" s="5">
        <v>2008.0</v>
      </c>
      <c r="I1311" s="5">
        <v>0.0</v>
      </c>
      <c r="J1311" s="5">
        <v>0.0</v>
      </c>
      <c r="K1311" s="5">
        <v>2.0</v>
      </c>
      <c r="L1311" s="54"/>
      <c r="M1311" s="5" t="s">
        <v>6324</v>
      </c>
      <c r="N1311" s="53" t="s">
        <v>6325</v>
      </c>
      <c r="O1311">
        <v>12.862807</v>
      </c>
      <c r="P1311">
        <v>30.217636</v>
      </c>
      <c r="Q1311" s="5" t="s">
        <v>245</v>
      </c>
      <c r="R1311" s="10">
        <f t="shared" si="10"/>
        <v>47</v>
      </c>
      <c r="S1311" s="5" t="s">
        <v>6326</v>
      </c>
      <c r="T1311" s="5"/>
      <c r="U1311" s="5" t="s">
        <v>6327</v>
      </c>
      <c r="V1311" s="5"/>
    </row>
    <row r="1312" ht="12.75" customHeight="1">
      <c r="A1312" s="5">
        <v>34625.0</v>
      </c>
      <c r="B1312" s="5" t="s">
        <v>49</v>
      </c>
      <c r="C1312" s="52" t="s">
        <v>50</v>
      </c>
      <c r="D1312" s="5" t="s">
        <v>2852</v>
      </c>
      <c r="E1312" s="7" t="s">
        <v>6323</v>
      </c>
      <c r="F1312" s="5" t="s">
        <v>5853</v>
      </c>
      <c r="G1312" s="5" t="s">
        <v>6231</v>
      </c>
      <c r="H1312" s="5">
        <v>2008.0</v>
      </c>
      <c r="I1312" s="5">
        <v>0.0</v>
      </c>
      <c r="J1312" s="5">
        <v>0.0</v>
      </c>
      <c r="K1312" s="5">
        <v>75.0</v>
      </c>
      <c r="L1312" s="54"/>
      <c r="M1312" s="5" t="s">
        <v>6328</v>
      </c>
      <c r="N1312" s="53" t="s">
        <v>2928</v>
      </c>
      <c r="O1312">
        <v>26.3351</v>
      </c>
      <c r="P1312">
        <v>17.228331</v>
      </c>
      <c r="Q1312" s="5" t="s">
        <v>337</v>
      </c>
      <c r="R1312" s="10">
        <f t="shared" si="10"/>
        <v>1371</v>
      </c>
      <c r="S1312" s="5" t="s">
        <v>6329</v>
      </c>
      <c r="T1312" s="6" t="s">
        <v>2130</v>
      </c>
      <c r="U1312" s="5" t="s">
        <v>5364</v>
      </c>
      <c r="V1312" s="5"/>
    </row>
    <row r="1313" ht="12.75" customHeight="1">
      <c r="A1313" s="5">
        <v>34624.0</v>
      </c>
      <c r="B1313" s="5" t="s">
        <v>491</v>
      </c>
      <c r="C1313" s="52" t="s">
        <v>50</v>
      </c>
      <c r="D1313" s="5" t="s">
        <v>2852</v>
      </c>
      <c r="E1313" s="7" t="s">
        <v>6323</v>
      </c>
      <c r="F1313" s="5" t="s">
        <v>5853</v>
      </c>
      <c r="G1313" s="5" t="s">
        <v>6231</v>
      </c>
      <c r="H1313" s="5">
        <v>2008.0</v>
      </c>
      <c r="I1313" s="5">
        <v>0.0</v>
      </c>
      <c r="J1313" s="5">
        <v>0.0</v>
      </c>
      <c r="K1313" s="5">
        <v>2.0</v>
      </c>
      <c r="L1313" s="54"/>
      <c r="M1313" s="5" t="s">
        <v>6330</v>
      </c>
      <c r="N1313" s="53" t="s">
        <v>3917</v>
      </c>
      <c r="O1313">
        <v>33.81445</v>
      </c>
      <c r="P1313">
        <v>12.700195</v>
      </c>
      <c r="Q1313" s="5" t="s">
        <v>553</v>
      </c>
      <c r="R1313" s="10">
        <f t="shared" si="10"/>
        <v>111</v>
      </c>
      <c r="S1313" s="5" t="s">
        <v>6331</v>
      </c>
      <c r="T1313" s="6" t="s">
        <v>2130</v>
      </c>
      <c r="U1313" s="5" t="s">
        <v>6332</v>
      </c>
      <c r="V1313" s="5"/>
    </row>
    <row r="1314" ht="12.75" customHeight="1">
      <c r="A1314" s="5">
        <v>34627.0</v>
      </c>
      <c r="B1314" s="5" t="s">
        <v>49</v>
      </c>
      <c r="C1314" s="52" t="s">
        <v>50</v>
      </c>
      <c r="D1314" s="5" t="s">
        <v>2852</v>
      </c>
      <c r="E1314" s="7" t="s">
        <v>6333</v>
      </c>
      <c r="F1314" s="5" t="s">
        <v>5853</v>
      </c>
      <c r="G1314" s="5" t="s">
        <v>6231</v>
      </c>
      <c r="H1314" s="5">
        <v>2008.0</v>
      </c>
      <c r="I1314" s="5">
        <v>0.0</v>
      </c>
      <c r="J1314" s="5">
        <v>0.0</v>
      </c>
      <c r="K1314" s="5">
        <v>37.0</v>
      </c>
      <c r="L1314" s="54"/>
      <c r="M1314" s="5" t="s">
        <v>6334</v>
      </c>
      <c r="N1314" s="53" t="s">
        <v>6335</v>
      </c>
      <c r="O1314">
        <v>0.390841</v>
      </c>
      <c r="P1314">
        <v>9.453644</v>
      </c>
      <c r="Q1314" s="5" t="s">
        <v>239</v>
      </c>
      <c r="R1314" s="10">
        <f t="shared" si="10"/>
        <v>37</v>
      </c>
      <c r="S1314" s="5" t="s">
        <v>6336</v>
      </c>
      <c r="T1314" s="5"/>
      <c r="U1314" s="5" t="s">
        <v>4929</v>
      </c>
      <c r="V1314" s="5"/>
    </row>
    <row r="1315" ht="12.75" customHeight="1">
      <c r="A1315" s="5">
        <v>34628.0</v>
      </c>
      <c r="B1315" s="5" t="s">
        <v>1076</v>
      </c>
      <c r="C1315" s="52" t="s">
        <v>50</v>
      </c>
      <c r="D1315" s="5" t="s">
        <v>2852</v>
      </c>
      <c r="E1315" s="7" t="s">
        <v>6333</v>
      </c>
      <c r="F1315" s="5" t="s">
        <v>5853</v>
      </c>
      <c r="G1315" s="5" t="s">
        <v>6231</v>
      </c>
      <c r="H1315" s="5">
        <v>2008.0</v>
      </c>
      <c r="I1315" s="5">
        <v>0.0</v>
      </c>
      <c r="J1315" s="5">
        <v>0.0</v>
      </c>
      <c r="K1315" s="5">
        <v>13.0</v>
      </c>
      <c r="L1315" s="54"/>
      <c r="M1315" s="5" t="s">
        <v>6337</v>
      </c>
      <c r="N1315" s="53" t="s">
        <v>5392</v>
      </c>
      <c r="O1315">
        <v>41.00527</v>
      </c>
      <c r="P1315">
        <v>28.97696</v>
      </c>
      <c r="Q1315" s="5" t="s">
        <v>1180</v>
      </c>
      <c r="R1315" s="10">
        <f t="shared" si="10"/>
        <v>47</v>
      </c>
      <c r="S1315" s="5" t="s">
        <v>6338</v>
      </c>
      <c r="T1315" s="6" t="s">
        <v>53</v>
      </c>
      <c r="U1315" s="5" t="s">
        <v>6339</v>
      </c>
      <c r="V1315" s="5"/>
    </row>
    <row r="1316" ht="12.75" customHeight="1">
      <c r="A1316" s="5">
        <v>34630.0</v>
      </c>
      <c r="B1316" s="5" t="s">
        <v>68</v>
      </c>
      <c r="C1316" s="5" t="s">
        <v>69</v>
      </c>
      <c r="D1316" s="5" t="s">
        <v>2614</v>
      </c>
      <c r="E1316" s="7" t="s">
        <v>6340</v>
      </c>
      <c r="F1316" s="5" t="s">
        <v>5853</v>
      </c>
      <c r="G1316" s="5" t="s">
        <v>6231</v>
      </c>
      <c r="H1316" s="5">
        <v>2008.0</v>
      </c>
      <c r="I1316" s="5">
        <v>0.0</v>
      </c>
      <c r="J1316" s="5">
        <v>0.0</v>
      </c>
      <c r="K1316" s="5">
        <v>51.0</v>
      </c>
      <c r="L1316" s="54"/>
      <c r="M1316" s="5" t="s">
        <v>6341</v>
      </c>
      <c r="N1316" s="53" t="s">
        <v>5282</v>
      </c>
      <c r="O1316">
        <v>30.597246</v>
      </c>
      <c r="P1316">
        <v>30.987632</v>
      </c>
      <c r="Q1316" s="5" t="s">
        <v>418</v>
      </c>
      <c r="R1316" s="10">
        <f t="shared" si="10"/>
        <v>101</v>
      </c>
      <c r="S1316" s="5" t="s">
        <v>6342</v>
      </c>
      <c r="T1316" s="5"/>
      <c r="U1316" s="5" t="s">
        <v>6343</v>
      </c>
      <c r="V1316" s="5" t="s">
        <v>5225</v>
      </c>
    </row>
    <row r="1317" ht="12.75" customHeight="1">
      <c r="A1317" s="5">
        <v>34631.0</v>
      </c>
      <c r="B1317" s="5" t="s">
        <v>49</v>
      </c>
      <c r="C1317" s="52" t="s">
        <v>50</v>
      </c>
      <c r="D1317" s="5" t="s">
        <v>2852</v>
      </c>
      <c r="E1317" s="7" t="s">
        <v>6340</v>
      </c>
      <c r="F1317" s="5" t="s">
        <v>5853</v>
      </c>
      <c r="G1317" s="5" t="s">
        <v>6231</v>
      </c>
      <c r="H1317" s="5">
        <v>2008.0</v>
      </c>
      <c r="I1317" s="5">
        <v>0.0</v>
      </c>
      <c r="J1317" s="5">
        <v>0.0</v>
      </c>
      <c r="K1317" s="5">
        <v>6.0</v>
      </c>
      <c r="L1317" s="54"/>
      <c r="M1317" s="5" t="s">
        <v>6344</v>
      </c>
      <c r="N1317" s="53" t="s">
        <v>2938</v>
      </c>
      <c r="O1317">
        <v>35.937496</v>
      </c>
      <c r="P1317">
        <v>14.375416</v>
      </c>
      <c r="Q1317" s="5" t="s">
        <v>740</v>
      </c>
      <c r="R1317" s="10">
        <f t="shared" si="10"/>
        <v>655</v>
      </c>
      <c r="S1317" s="5" t="s">
        <v>6345</v>
      </c>
      <c r="T1317" s="6" t="s">
        <v>2130</v>
      </c>
      <c r="U1317" s="5" t="s">
        <v>6346</v>
      </c>
      <c r="V1317" s="5"/>
    </row>
    <row r="1318" ht="12.75" customHeight="1">
      <c r="A1318" s="5">
        <v>34629.0</v>
      </c>
      <c r="B1318" s="5" t="s">
        <v>49</v>
      </c>
      <c r="C1318" s="52" t="s">
        <v>50</v>
      </c>
      <c r="D1318" s="5" t="s">
        <v>2614</v>
      </c>
      <c r="E1318" s="7" t="s">
        <v>6340</v>
      </c>
      <c r="F1318" s="5" t="s">
        <v>5853</v>
      </c>
      <c r="G1318" s="5" t="s">
        <v>6231</v>
      </c>
      <c r="H1318" s="5">
        <v>2008.0</v>
      </c>
      <c r="I1318" s="5">
        <v>0.0</v>
      </c>
      <c r="J1318" s="5">
        <v>0.0</v>
      </c>
      <c r="K1318" s="5">
        <v>6.0</v>
      </c>
      <c r="L1318" s="54"/>
      <c r="M1318" s="5" t="s">
        <v>6347</v>
      </c>
      <c r="N1318" s="53" t="s">
        <v>4663</v>
      </c>
      <c r="O1318">
        <v>36.19002</v>
      </c>
      <c r="P1318">
        <v>-5.92248</v>
      </c>
      <c r="Q1318" s="5" t="s">
        <v>778</v>
      </c>
      <c r="R1318" s="10">
        <f t="shared" si="10"/>
        <v>74</v>
      </c>
      <c r="S1318" s="5" t="s">
        <v>6348</v>
      </c>
      <c r="T1318" s="6" t="s">
        <v>72</v>
      </c>
      <c r="U1318" s="5" t="s">
        <v>2785</v>
      </c>
      <c r="V1318" s="5" t="s">
        <v>6349</v>
      </c>
    </row>
    <row r="1319" ht="12.75" customHeight="1">
      <c r="A1319" s="5">
        <v>34632.0</v>
      </c>
      <c r="B1319" s="5" t="s">
        <v>49</v>
      </c>
      <c r="C1319" s="52" t="s">
        <v>50</v>
      </c>
      <c r="D1319" s="5" t="s">
        <v>2852</v>
      </c>
      <c r="E1319" s="7" t="s">
        <v>6340</v>
      </c>
      <c r="F1319" s="5" t="s">
        <v>5853</v>
      </c>
      <c r="G1319" s="5" t="s">
        <v>6231</v>
      </c>
      <c r="H1319" s="5">
        <v>2008.0</v>
      </c>
      <c r="I1319" s="5">
        <v>0.0</v>
      </c>
      <c r="J1319" s="5">
        <v>0.0</v>
      </c>
      <c r="K1319" s="5">
        <v>3.0</v>
      </c>
      <c r="L1319" s="54"/>
      <c r="M1319" s="5" t="s">
        <v>6350</v>
      </c>
      <c r="N1319" s="53" t="s">
        <v>3268</v>
      </c>
      <c r="O1319">
        <v>44.348399</v>
      </c>
      <c r="P1319">
        <v>9.234647</v>
      </c>
      <c r="Q1319" s="5" t="s">
        <v>1290</v>
      </c>
      <c r="R1319" s="10">
        <f t="shared" si="10"/>
        <v>57</v>
      </c>
      <c r="S1319" s="5" t="s">
        <v>6351</v>
      </c>
      <c r="T1319" s="5"/>
      <c r="U1319" s="5" t="s">
        <v>6352</v>
      </c>
      <c r="V1319" s="5"/>
    </row>
    <row r="1320" ht="12.75" customHeight="1">
      <c r="A1320" s="5">
        <v>34633.0</v>
      </c>
      <c r="B1320" s="5" t="s">
        <v>49</v>
      </c>
      <c r="C1320" s="52" t="s">
        <v>50</v>
      </c>
      <c r="D1320" s="5" t="s">
        <v>2614</v>
      </c>
      <c r="E1320" s="7" t="s">
        <v>6353</v>
      </c>
      <c r="F1320" s="5" t="s">
        <v>5853</v>
      </c>
      <c r="G1320" s="5" t="s">
        <v>6231</v>
      </c>
      <c r="H1320" s="5">
        <v>2008.0</v>
      </c>
      <c r="I1320" s="5">
        <v>0.0</v>
      </c>
      <c r="J1320" s="5">
        <v>0.0</v>
      </c>
      <c r="K1320" s="5">
        <v>45.0</v>
      </c>
      <c r="L1320" s="54"/>
      <c r="M1320" s="5" t="s">
        <v>6354</v>
      </c>
      <c r="N1320" s="53" t="s">
        <v>131</v>
      </c>
      <c r="O1320">
        <v>26.3351</v>
      </c>
      <c r="P1320">
        <v>17.228331</v>
      </c>
      <c r="Q1320" s="5" t="s">
        <v>337</v>
      </c>
      <c r="R1320" s="10">
        <f t="shared" si="10"/>
        <v>1371</v>
      </c>
      <c r="S1320" s="5" t="s">
        <v>6355</v>
      </c>
      <c r="T1320" s="5"/>
      <c r="U1320" s="5" t="s">
        <v>6356</v>
      </c>
      <c r="V1320" s="5" t="s">
        <v>5225</v>
      </c>
    </row>
    <row r="1321" ht="12.75" customHeight="1">
      <c r="A1321" s="5">
        <v>34634.0</v>
      </c>
      <c r="B1321" s="5" t="s">
        <v>763</v>
      </c>
      <c r="C1321" s="5" t="s">
        <v>124</v>
      </c>
      <c r="D1321" s="5" t="s">
        <v>2852</v>
      </c>
      <c r="E1321" s="7" t="s">
        <v>6353</v>
      </c>
      <c r="F1321" s="5" t="s">
        <v>5853</v>
      </c>
      <c r="G1321" s="5" t="s">
        <v>6231</v>
      </c>
      <c r="H1321" s="5">
        <v>2008.0</v>
      </c>
      <c r="I1321" s="5">
        <v>0.0</v>
      </c>
      <c r="J1321" s="5">
        <v>0.0</v>
      </c>
      <c r="K1321" s="5">
        <v>1.0</v>
      </c>
      <c r="L1321" s="54"/>
      <c r="M1321" s="5" t="s">
        <v>6357</v>
      </c>
      <c r="N1321" s="53" t="s">
        <v>3923</v>
      </c>
      <c r="O1321">
        <v>35.166667</v>
      </c>
      <c r="P1321">
        <v>33.366667</v>
      </c>
      <c r="Q1321" s="5" t="s">
        <v>632</v>
      </c>
      <c r="R1321" s="10">
        <f t="shared" si="10"/>
        <v>3</v>
      </c>
      <c r="S1321" s="5" t="s">
        <v>6358</v>
      </c>
      <c r="T1321" s="5"/>
      <c r="U1321" s="5" t="s">
        <v>6359</v>
      </c>
      <c r="V1321" s="5"/>
    </row>
    <row r="1322" ht="12.75" customHeight="1">
      <c r="A1322" s="5">
        <v>34635.0</v>
      </c>
      <c r="B1322" s="5" t="s">
        <v>2962</v>
      </c>
      <c r="C1322" s="5" t="s">
        <v>211</v>
      </c>
      <c r="D1322" s="5" t="s">
        <v>2852</v>
      </c>
      <c r="E1322" s="7" t="s">
        <v>6353</v>
      </c>
      <c r="F1322" s="5" t="s">
        <v>5853</v>
      </c>
      <c r="G1322" s="5" t="s">
        <v>6231</v>
      </c>
      <c r="H1322" s="5">
        <v>2008.0</v>
      </c>
      <c r="I1322" s="5">
        <v>0.0</v>
      </c>
      <c r="J1322" s="5">
        <v>0.0</v>
      </c>
      <c r="K1322" s="5">
        <v>1.0</v>
      </c>
      <c r="L1322" s="54"/>
      <c r="M1322" s="5" t="s">
        <v>6360</v>
      </c>
      <c r="N1322" s="53" t="s">
        <v>5774</v>
      </c>
      <c r="O1322">
        <v>51.35819</v>
      </c>
      <c r="P1322">
        <v>4.863547</v>
      </c>
      <c r="Q1322" s="5" t="s">
        <v>1617</v>
      </c>
      <c r="R1322" s="10">
        <f t="shared" si="10"/>
        <v>4</v>
      </c>
      <c r="S1322" s="5" t="s">
        <v>6361</v>
      </c>
      <c r="T1322" s="5"/>
      <c r="U1322" s="5" t="s">
        <v>6362</v>
      </c>
      <c r="V1322" s="5"/>
    </row>
    <row r="1323" ht="12.75" customHeight="1">
      <c r="A1323" s="5">
        <v>34636.0</v>
      </c>
      <c r="B1323" s="5" t="s">
        <v>2902</v>
      </c>
      <c r="C1323" s="5" t="s">
        <v>211</v>
      </c>
      <c r="D1323" s="5" t="s">
        <v>2852</v>
      </c>
      <c r="E1323" s="7" t="s">
        <v>6353</v>
      </c>
      <c r="F1323" s="5" t="s">
        <v>5853</v>
      </c>
      <c r="G1323" s="5" t="s">
        <v>6231</v>
      </c>
      <c r="H1323" s="5">
        <v>2008.0</v>
      </c>
      <c r="I1323" s="5">
        <v>0.0</v>
      </c>
      <c r="J1323" s="5">
        <v>0.0</v>
      </c>
      <c r="K1323" s="5">
        <v>1.0</v>
      </c>
      <c r="L1323" s="54"/>
      <c r="M1323" s="5" t="s">
        <v>6363</v>
      </c>
      <c r="N1323" s="53" t="s">
        <v>4095</v>
      </c>
      <c r="O1323">
        <v>55.378051</v>
      </c>
      <c r="P1323">
        <v>-3.435973</v>
      </c>
      <c r="Q1323" s="5" t="s">
        <v>1882</v>
      </c>
      <c r="R1323" s="10">
        <f t="shared" si="10"/>
        <v>23</v>
      </c>
      <c r="S1323" s="5" t="s">
        <v>6364</v>
      </c>
      <c r="T1323" s="5"/>
      <c r="U1323" s="5" t="s">
        <v>3219</v>
      </c>
      <c r="V1323" s="5"/>
    </row>
    <row r="1324" ht="12.75" customHeight="1">
      <c r="A1324" s="5">
        <v>34637.0</v>
      </c>
      <c r="B1324" s="5" t="s">
        <v>49</v>
      </c>
      <c r="C1324" s="52" t="s">
        <v>50</v>
      </c>
      <c r="D1324" s="5" t="s">
        <v>2614</v>
      </c>
      <c r="E1324" s="7" t="s">
        <v>6365</v>
      </c>
      <c r="F1324" s="5" t="s">
        <v>5853</v>
      </c>
      <c r="G1324" s="5" t="s">
        <v>6231</v>
      </c>
      <c r="H1324" s="5">
        <v>2008.0</v>
      </c>
      <c r="I1324" s="5">
        <v>0.0</v>
      </c>
      <c r="J1324" s="5">
        <v>0.0</v>
      </c>
      <c r="K1324" s="5">
        <v>4.0</v>
      </c>
      <c r="L1324" s="54"/>
      <c r="M1324" s="5" t="s">
        <v>6366</v>
      </c>
      <c r="N1324" s="53" t="s">
        <v>5291</v>
      </c>
      <c r="O1324">
        <v>23.69751</v>
      </c>
      <c r="P1324">
        <v>-15.93698</v>
      </c>
      <c r="Q1324" s="5" t="s">
        <v>323</v>
      </c>
      <c r="R1324" s="10">
        <f t="shared" si="10"/>
        <v>177</v>
      </c>
      <c r="S1324" s="5" t="s">
        <v>6367</v>
      </c>
      <c r="T1324" s="5" t="s">
        <v>1040</v>
      </c>
      <c r="U1324" s="5" t="s">
        <v>6368</v>
      </c>
      <c r="V1324" s="5" t="s">
        <v>6369</v>
      </c>
    </row>
    <row r="1325" ht="12.75" customHeight="1">
      <c r="A1325" s="5">
        <v>34638.0</v>
      </c>
      <c r="B1325" s="5" t="s">
        <v>2693</v>
      </c>
      <c r="C1325" s="5" t="s">
        <v>62</v>
      </c>
      <c r="D1325" s="5" t="s">
        <v>2852</v>
      </c>
      <c r="E1325" s="7" t="s">
        <v>6365</v>
      </c>
      <c r="F1325" s="5" t="s">
        <v>5853</v>
      </c>
      <c r="G1325" s="5" t="s">
        <v>6231</v>
      </c>
      <c r="H1325" s="5">
        <v>2008.0</v>
      </c>
      <c r="I1325" s="5">
        <v>0.0</v>
      </c>
      <c r="J1325" s="5">
        <v>0.0</v>
      </c>
      <c r="K1325" s="5">
        <v>7.0</v>
      </c>
      <c r="L1325" s="54"/>
      <c r="M1325" s="5" t="s">
        <v>6370</v>
      </c>
      <c r="N1325" s="53" t="s">
        <v>6371</v>
      </c>
      <c r="O1325">
        <v>34.686667</v>
      </c>
      <c r="P1325">
        <v>-1.911389</v>
      </c>
      <c r="Q1325" s="5" t="s">
        <v>586</v>
      </c>
      <c r="R1325" s="10">
        <f t="shared" si="10"/>
        <v>17</v>
      </c>
      <c r="S1325" s="5" t="s">
        <v>6372</v>
      </c>
      <c r="T1325" s="6" t="s">
        <v>72</v>
      </c>
      <c r="U1325" s="5" t="s">
        <v>2934</v>
      </c>
      <c r="V1325" s="5"/>
    </row>
    <row r="1326" ht="12.75" customHeight="1">
      <c r="A1326" s="5">
        <v>34639.0</v>
      </c>
      <c r="B1326" s="5" t="s">
        <v>3409</v>
      </c>
      <c r="C1326" s="5" t="s">
        <v>211</v>
      </c>
      <c r="D1326" s="5" t="s">
        <v>2852</v>
      </c>
      <c r="E1326" s="7" t="s">
        <v>6365</v>
      </c>
      <c r="F1326" s="5" t="s">
        <v>5853</v>
      </c>
      <c r="G1326" s="5" t="s">
        <v>6231</v>
      </c>
      <c r="H1326" s="5">
        <v>2008.0</v>
      </c>
      <c r="I1326" s="5">
        <v>0.0</v>
      </c>
      <c r="J1326" s="5">
        <v>0.0</v>
      </c>
      <c r="K1326" s="5">
        <v>1.0</v>
      </c>
      <c r="L1326" s="54"/>
      <c r="M1326" s="5" t="s">
        <v>6373</v>
      </c>
      <c r="N1326" s="53" t="s">
        <v>6374</v>
      </c>
      <c r="O1326">
        <v>49.815273</v>
      </c>
      <c r="P1326">
        <v>6.129583</v>
      </c>
      <c r="Q1326" s="5" t="s">
        <v>1475</v>
      </c>
      <c r="R1326" s="10">
        <f t="shared" si="10"/>
        <v>2</v>
      </c>
      <c r="S1326" s="5" t="s">
        <v>6375</v>
      </c>
      <c r="T1326" s="5"/>
      <c r="U1326" s="5" t="s">
        <v>6376</v>
      </c>
      <c r="V1326" s="5"/>
    </row>
    <row r="1327" ht="12.75" customHeight="1">
      <c r="A1327" s="5">
        <v>34643.0</v>
      </c>
      <c r="B1327" s="5" t="s">
        <v>49</v>
      </c>
      <c r="C1327" s="52" t="s">
        <v>50</v>
      </c>
      <c r="D1327" s="5" t="s">
        <v>2852</v>
      </c>
      <c r="E1327" s="7" t="s">
        <v>6377</v>
      </c>
      <c r="F1327" s="5" t="s">
        <v>5853</v>
      </c>
      <c r="G1327" s="5" t="s">
        <v>6231</v>
      </c>
      <c r="H1327" s="5">
        <v>2008.0</v>
      </c>
      <c r="I1327" s="5">
        <v>0.0</v>
      </c>
      <c r="J1327" s="5">
        <v>0.0</v>
      </c>
      <c r="K1327" s="5">
        <v>1.0</v>
      </c>
      <c r="L1327" s="54"/>
      <c r="M1327" s="5" t="s">
        <v>6378</v>
      </c>
      <c r="N1327" s="53" t="s">
        <v>6379</v>
      </c>
      <c r="O1327">
        <v>35.37849</v>
      </c>
      <c r="P1327">
        <v>1.32569</v>
      </c>
      <c r="Q1327" s="5" t="s">
        <v>653</v>
      </c>
      <c r="R1327" s="10">
        <f t="shared" si="10"/>
        <v>1</v>
      </c>
      <c r="S1327" s="5" t="s">
        <v>6380</v>
      </c>
      <c r="T1327" s="6" t="s">
        <v>72</v>
      </c>
      <c r="U1327" s="5" t="s">
        <v>6381</v>
      </c>
      <c r="V1327" s="5"/>
    </row>
    <row r="1328" ht="12.75" customHeight="1">
      <c r="A1328" s="5">
        <v>34642.0</v>
      </c>
      <c r="B1328" s="5" t="s">
        <v>49</v>
      </c>
      <c r="C1328" s="52" t="s">
        <v>50</v>
      </c>
      <c r="D1328" s="5" t="s">
        <v>2852</v>
      </c>
      <c r="E1328" s="7" t="s">
        <v>6377</v>
      </c>
      <c r="F1328" s="5" t="s">
        <v>5853</v>
      </c>
      <c r="G1328" s="5" t="s">
        <v>6231</v>
      </c>
      <c r="H1328" s="5">
        <v>2008.0</v>
      </c>
      <c r="I1328" s="5">
        <v>0.0</v>
      </c>
      <c r="J1328" s="5">
        <v>0.0</v>
      </c>
      <c r="K1328" s="5">
        <v>1.0</v>
      </c>
      <c r="L1328" s="54"/>
      <c r="M1328" s="5" t="s">
        <v>6382</v>
      </c>
      <c r="N1328" s="53" t="s">
        <v>6383</v>
      </c>
      <c r="O1328">
        <v>35.533333</v>
      </c>
      <c r="P1328">
        <v>1.016667</v>
      </c>
      <c r="Q1328" s="5" t="s">
        <v>675</v>
      </c>
      <c r="R1328" s="10">
        <f t="shared" si="10"/>
        <v>1</v>
      </c>
      <c r="S1328" s="5" t="s">
        <v>6384</v>
      </c>
      <c r="T1328" s="6" t="s">
        <v>72</v>
      </c>
      <c r="U1328" s="5" t="s">
        <v>6381</v>
      </c>
      <c r="V1328" s="5"/>
    </row>
    <row r="1329" ht="12.75" customHeight="1">
      <c r="A1329" s="5">
        <v>34646.0</v>
      </c>
      <c r="B1329" s="5" t="s">
        <v>68</v>
      </c>
      <c r="C1329" s="5" t="s">
        <v>69</v>
      </c>
      <c r="D1329" s="5" t="s">
        <v>2852</v>
      </c>
      <c r="E1329" s="7" t="s">
        <v>6377</v>
      </c>
      <c r="F1329" s="5" t="s">
        <v>5853</v>
      </c>
      <c r="G1329" s="5" t="s">
        <v>6231</v>
      </c>
      <c r="H1329" s="5">
        <v>2008.0</v>
      </c>
      <c r="I1329" s="5">
        <v>0.0</v>
      </c>
      <c r="J1329" s="5">
        <v>0.0</v>
      </c>
      <c r="K1329" s="5">
        <v>4.0</v>
      </c>
      <c r="L1329" s="54"/>
      <c r="M1329" s="5" t="s">
        <v>6385</v>
      </c>
      <c r="N1329" s="53" t="s">
        <v>6386</v>
      </c>
      <c r="O1329">
        <v>35.8</v>
      </c>
      <c r="P1329">
        <v>-0.266667</v>
      </c>
      <c r="Q1329" s="5" t="s">
        <v>697</v>
      </c>
      <c r="R1329" s="10">
        <f t="shared" si="10"/>
        <v>5</v>
      </c>
      <c r="S1329" s="5" t="s">
        <v>6387</v>
      </c>
      <c r="T1329" s="6" t="s">
        <v>72</v>
      </c>
      <c r="U1329" s="5" t="s">
        <v>6254</v>
      </c>
      <c r="V1329" s="5"/>
    </row>
    <row r="1330" ht="12.75" customHeight="1">
      <c r="A1330" s="5">
        <v>34641.0</v>
      </c>
      <c r="B1330" s="5" t="s">
        <v>49</v>
      </c>
      <c r="C1330" s="52" t="s">
        <v>50</v>
      </c>
      <c r="D1330" s="5" t="s">
        <v>2852</v>
      </c>
      <c r="E1330" s="7" t="s">
        <v>6377</v>
      </c>
      <c r="F1330" s="5" t="s">
        <v>5853</v>
      </c>
      <c r="G1330" s="5" t="s">
        <v>6231</v>
      </c>
      <c r="H1330" s="5">
        <v>2008.0</v>
      </c>
      <c r="I1330" s="5">
        <v>0.0</v>
      </c>
      <c r="J1330" s="5">
        <v>0.0</v>
      </c>
      <c r="K1330" s="5">
        <v>1.0</v>
      </c>
      <c r="L1330" s="54"/>
      <c r="M1330" s="5" t="s">
        <v>6388</v>
      </c>
      <c r="N1330" s="53" t="s">
        <v>6386</v>
      </c>
      <c r="O1330">
        <v>35.8</v>
      </c>
      <c r="P1330">
        <v>-0.266667</v>
      </c>
      <c r="Q1330" s="5" t="s">
        <v>697</v>
      </c>
      <c r="R1330" s="10">
        <f t="shared" si="10"/>
        <v>5</v>
      </c>
      <c r="S1330" s="5" t="s">
        <v>6387</v>
      </c>
      <c r="T1330" s="6" t="s">
        <v>72</v>
      </c>
      <c r="U1330" s="5" t="s">
        <v>6254</v>
      </c>
      <c r="V1330" s="5"/>
    </row>
    <row r="1331" ht="12.75" customHeight="1">
      <c r="A1331" s="5">
        <v>34645.0</v>
      </c>
      <c r="B1331" s="5" t="s">
        <v>68</v>
      </c>
      <c r="C1331" s="5" t="s">
        <v>69</v>
      </c>
      <c r="D1331" s="5" t="s">
        <v>2852</v>
      </c>
      <c r="E1331" s="7" t="s">
        <v>6377</v>
      </c>
      <c r="F1331" s="5" t="s">
        <v>5853</v>
      </c>
      <c r="G1331" s="5" t="s">
        <v>6231</v>
      </c>
      <c r="H1331" s="5">
        <v>2008.0</v>
      </c>
      <c r="I1331" s="5">
        <v>0.0</v>
      </c>
      <c r="J1331" s="5">
        <v>0.0</v>
      </c>
      <c r="K1331" s="5">
        <v>3.0</v>
      </c>
      <c r="L1331" s="54"/>
      <c r="M1331" s="5" t="s">
        <v>6389</v>
      </c>
      <c r="N1331" s="53" t="s">
        <v>2867</v>
      </c>
      <c r="O1331">
        <v>35.939838</v>
      </c>
      <c r="P1331">
        <v>0.089767</v>
      </c>
      <c r="Q1331" s="5" t="s">
        <v>741</v>
      </c>
      <c r="R1331" s="10">
        <f t="shared" si="10"/>
        <v>38</v>
      </c>
      <c r="S1331" s="5" t="s">
        <v>6390</v>
      </c>
      <c r="T1331" s="6" t="s">
        <v>72</v>
      </c>
      <c r="U1331" s="5" t="s">
        <v>6381</v>
      </c>
      <c r="V1331" s="5"/>
    </row>
    <row r="1332" ht="12.75" customHeight="1">
      <c r="A1332" s="5">
        <v>34644.0</v>
      </c>
      <c r="B1332" s="5" t="s">
        <v>68</v>
      </c>
      <c r="C1332" s="5" t="s">
        <v>69</v>
      </c>
      <c r="D1332" s="5" t="s">
        <v>2852</v>
      </c>
      <c r="E1332" s="7" t="s">
        <v>6377</v>
      </c>
      <c r="F1332" s="5" t="s">
        <v>5853</v>
      </c>
      <c r="G1332" s="5" t="s">
        <v>6231</v>
      </c>
      <c r="H1332" s="5">
        <v>2008.0</v>
      </c>
      <c r="I1332" s="5">
        <v>0.0</v>
      </c>
      <c r="J1332" s="5">
        <v>0.0</v>
      </c>
      <c r="K1332" s="5">
        <v>3.0</v>
      </c>
      <c r="L1332" s="54"/>
      <c r="M1332" s="5" t="s">
        <v>6391</v>
      </c>
      <c r="N1332" s="53" t="s">
        <v>3358</v>
      </c>
      <c r="O1332">
        <v>36.146155</v>
      </c>
      <c r="P1332">
        <v>-1.494141</v>
      </c>
      <c r="Q1332" s="5" t="s">
        <v>776</v>
      </c>
      <c r="R1332" s="10">
        <f t="shared" si="10"/>
        <v>15</v>
      </c>
      <c r="S1332" s="5" t="s">
        <v>6392</v>
      </c>
      <c r="T1332" s="6" t="s">
        <v>72</v>
      </c>
      <c r="U1332" s="5" t="s">
        <v>6254</v>
      </c>
      <c r="V1332" s="5"/>
    </row>
    <row r="1333" ht="12.75" customHeight="1">
      <c r="A1333" s="5">
        <v>34640.0</v>
      </c>
      <c r="B1333" s="5" t="s">
        <v>49</v>
      </c>
      <c r="C1333" s="52" t="s">
        <v>50</v>
      </c>
      <c r="D1333" s="5" t="s">
        <v>2852</v>
      </c>
      <c r="E1333" s="7" t="s">
        <v>6377</v>
      </c>
      <c r="F1333" s="5" t="s">
        <v>5853</v>
      </c>
      <c r="G1333" s="5" t="s">
        <v>6231</v>
      </c>
      <c r="H1333" s="5">
        <v>2008.0</v>
      </c>
      <c r="I1333" s="5">
        <v>0.0</v>
      </c>
      <c r="J1333" s="5">
        <v>0.0</v>
      </c>
      <c r="K1333" s="5">
        <v>6.0</v>
      </c>
      <c r="L1333" s="54"/>
      <c r="M1333" s="5" t="s">
        <v>6393</v>
      </c>
      <c r="N1333" s="53" t="s">
        <v>5334</v>
      </c>
      <c r="O1333">
        <v>37.369342</v>
      </c>
      <c r="P1333">
        <v>27.27349</v>
      </c>
      <c r="Q1333" s="5" t="s">
        <v>931</v>
      </c>
      <c r="R1333" s="10">
        <f t="shared" si="10"/>
        <v>13</v>
      </c>
      <c r="S1333" s="5" t="s">
        <v>6394</v>
      </c>
      <c r="T1333" s="6" t="s">
        <v>53</v>
      </c>
      <c r="U1333" s="5" t="s">
        <v>6395</v>
      </c>
      <c r="V1333" s="5"/>
    </row>
    <row r="1334" ht="12.75" customHeight="1">
      <c r="A1334" s="5">
        <v>34647.0</v>
      </c>
      <c r="B1334" s="5" t="s">
        <v>1995</v>
      </c>
      <c r="C1334" s="52" t="s">
        <v>50</v>
      </c>
      <c r="D1334" s="5" t="s">
        <v>2852</v>
      </c>
      <c r="E1334" s="7" t="s">
        <v>6377</v>
      </c>
      <c r="F1334" s="5" t="s">
        <v>5853</v>
      </c>
      <c r="G1334" s="5" t="s">
        <v>6231</v>
      </c>
      <c r="H1334" s="5">
        <v>2008.0</v>
      </c>
      <c r="I1334" s="5">
        <v>0.0</v>
      </c>
      <c r="J1334" s="5">
        <v>0.0</v>
      </c>
      <c r="K1334" s="5">
        <v>1.0</v>
      </c>
      <c r="L1334" s="54"/>
      <c r="M1334" s="5" t="s">
        <v>6396</v>
      </c>
      <c r="N1334" s="53" t="s">
        <v>6397</v>
      </c>
      <c r="O1334">
        <v>51.924216</v>
      </c>
      <c r="P1334">
        <v>4.481776</v>
      </c>
      <c r="Q1334" s="5" t="s">
        <v>1697</v>
      </c>
      <c r="R1334" s="10">
        <f t="shared" si="10"/>
        <v>2</v>
      </c>
      <c r="S1334" s="5" t="s">
        <v>6398</v>
      </c>
      <c r="T1334" s="5"/>
      <c r="U1334" s="5" t="s">
        <v>6399</v>
      </c>
      <c r="V1334" s="5"/>
    </row>
    <row r="1335" ht="12.75" customHeight="1">
      <c r="A1335" s="5">
        <v>53692.0</v>
      </c>
      <c r="B1335" s="5" t="s">
        <v>49</v>
      </c>
      <c r="C1335" s="52" t="s">
        <v>50</v>
      </c>
      <c r="D1335" s="5"/>
      <c r="E1335" s="7" t="s">
        <v>6400</v>
      </c>
      <c r="F1335" s="5" t="s">
        <v>5853</v>
      </c>
      <c r="G1335" s="5" t="s">
        <v>6231</v>
      </c>
      <c r="H1335" s="5">
        <v>2008.0</v>
      </c>
      <c r="I1335" s="5">
        <v>0.0</v>
      </c>
      <c r="J1335" s="5">
        <v>0.0</v>
      </c>
      <c r="K1335" s="5">
        <v>1.0</v>
      </c>
      <c r="L1335" s="54"/>
      <c r="M1335" s="5" t="s">
        <v>4002</v>
      </c>
      <c r="N1335" s="53" t="s">
        <v>4003</v>
      </c>
      <c r="O1335">
        <v>52.825559</v>
      </c>
      <c r="P1335">
        <v>14.197083</v>
      </c>
      <c r="Q1335" s="5" t="s">
        <v>1796</v>
      </c>
      <c r="R1335" s="10">
        <f t="shared" si="10"/>
        <v>6</v>
      </c>
      <c r="S1335" s="5" t="s">
        <v>6401</v>
      </c>
      <c r="T1335" s="5"/>
      <c r="U1335" s="5" t="s">
        <v>4005</v>
      </c>
      <c r="V1335" s="5"/>
    </row>
    <row r="1336" ht="12.75" customHeight="1">
      <c r="A1336" s="5">
        <v>34707.0</v>
      </c>
      <c r="B1336" s="5" t="s">
        <v>68</v>
      </c>
      <c r="C1336" s="5" t="s">
        <v>69</v>
      </c>
      <c r="D1336" s="5" t="s">
        <v>2614</v>
      </c>
      <c r="E1336" s="7" t="s">
        <v>6402</v>
      </c>
      <c r="F1336" s="5" t="s">
        <v>6403</v>
      </c>
      <c r="G1336" s="5" t="s">
        <v>6404</v>
      </c>
      <c r="H1336" s="5">
        <v>2007.0</v>
      </c>
      <c r="I1336" s="5">
        <v>0.0</v>
      </c>
      <c r="J1336" s="5">
        <v>0.0</v>
      </c>
      <c r="K1336" s="5">
        <v>1.0</v>
      </c>
      <c r="L1336" s="54"/>
      <c r="M1336" s="5" t="s">
        <v>6405</v>
      </c>
      <c r="N1336" s="53" t="s">
        <v>2938</v>
      </c>
      <c r="O1336">
        <v>35.937496</v>
      </c>
      <c r="P1336">
        <v>14.375416</v>
      </c>
      <c r="Q1336" s="5" t="s">
        <v>740</v>
      </c>
      <c r="R1336" s="10">
        <f t="shared" si="10"/>
        <v>655</v>
      </c>
      <c r="S1336" s="5" t="s">
        <v>6406</v>
      </c>
      <c r="T1336" s="6" t="s">
        <v>2130</v>
      </c>
      <c r="U1336" s="5" t="s">
        <v>3388</v>
      </c>
      <c r="V1336" s="5" t="s">
        <v>6407</v>
      </c>
    </row>
    <row r="1337" ht="12.75" customHeight="1">
      <c r="A1337" s="5">
        <v>34706.0</v>
      </c>
      <c r="B1337" s="5" t="s">
        <v>68</v>
      </c>
      <c r="C1337" s="5" t="s">
        <v>69</v>
      </c>
      <c r="D1337" s="5" t="s">
        <v>2614</v>
      </c>
      <c r="E1337" s="7" t="s">
        <v>6402</v>
      </c>
      <c r="F1337" s="5" t="s">
        <v>6403</v>
      </c>
      <c r="G1337" s="5" t="s">
        <v>6404</v>
      </c>
      <c r="H1337" s="5">
        <v>2007.0</v>
      </c>
      <c r="I1337" s="5">
        <v>0.0</v>
      </c>
      <c r="J1337" s="5">
        <v>0.0</v>
      </c>
      <c r="K1337" s="5">
        <v>16.0</v>
      </c>
      <c r="L1337" s="54"/>
      <c r="M1337" s="5" t="s">
        <v>6408</v>
      </c>
      <c r="N1337" s="53" t="s">
        <v>6409</v>
      </c>
      <c r="O1337">
        <v>39.648369</v>
      </c>
      <c r="P1337">
        <v>27.88261</v>
      </c>
      <c r="Q1337" s="5" t="s">
        <v>1103</v>
      </c>
      <c r="R1337" s="10">
        <f t="shared" si="10"/>
        <v>31</v>
      </c>
      <c r="S1337" s="5" t="s">
        <v>6410</v>
      </c>
      <c r="T1337" s="6" t="s">
        <v>53</v>
      </c>
      <c r="U1337" s="5" t="s">
        <v>5198</v>
      </c>
      <c r="V1337" s="5" t="s">
        <v>6411</v>
      </c>
    </row>
    <row r="1338" ht="12.75" customHeight="1">
      <c r="A1338" s="5">
        <v>34709.0</v>
      </c>
      <c r="B1338" s="5" t="s">
        <v>1076</v>
      </c>
      <c r="C1338" s="52" t="s">
        <v>50</v>
      </c>
      <c r="D1338" s="5" t="s">
        <v>2852</v>
      </c>
      <c r="E1338" s="7" t="s">
        <v>6412</v>
      </c>
      <c r="F1338" s="5" t="s">
        <v>6403</v>
      </c>
      <c r="G1338" s="5" t="s">
        <v>6404</v>
      </c>
      <c r="H1338" s="5">
        <v>2007.0</v>
      </c>
      <c r="I1338" s="5">
        <v>0.0</v>
      </c>
      <c r="J1338" s="5">
        <v>0.0</v>
      </c>
      <c r="K1338" s="5">
        <v>1.0</v>
      </c>
      <c r="L1338" s="54"/>
      <c r="M1338" s="5" t="s">
        <v>6413</v>
      </c>
      <c r="N1338" s="53" t="s">
        <v>2638</v>
      </c>
      <c r="O1338">
        <v>35.888384</v>
      </c>
      <c r="P1338">
        <v>-5.324636</v>
      </c>
      <c r="Q1338" s="5" t="s">
        <v>717</v>
      </c>
      <c r="R1338" s="10">
        <f t="shared" si="10"/>
        <v>213</v>
      </c>
      <c r="S1338" s="5" t="s">
        <v>6414</v>
      </c>
      <c r="T1338" s="6" t="s">
        <v>72</v>
      </c>
      <c r="U1338" s="5" t="s">
        <v>6415</v>
      </c>
      <c r="V1338" s="5"/>
    </row>
    <row r="1339" ht="12.75" customHeight="1">
      <c r="A1339" s="5">
        <v>34708.0</v>
      </c>
      <c r="B1339" s="5" t="s">
        <v>49</v>
      </c>
      <c r="C1339" s="52" t="s">
        <v>50</v>
      </c>
      <c r="D1339" s="5" t="s">
        <v>2614</v>
      </c>
      <c r="E1339" s="7" t="s">
        <v>6412</v>
      </c>
      <c r="F1339" s="5" t="s">
        <v>6403</v>
      </c>
      <c r="G1339" s="5" t="s">
        <v>6404</v>
      </c>
      <c r="H1339" s="5">
        <v>2007.0</v>
      </c>
      <c r="I1339" s="5">
        <v>0.0</v>
      </c>
      <c r="J1339" s="5">
        <v>0.0</v>
      </c>
      <c r="K1339" s="5">
        <v>1.0</v>
      </c>
      <c r="L1339" s="54"/>
      <c r="M1339" s="5" t="s">
        <v>6416</v>
      </c>
      <c r="N1339" s="53" t="s">
        <v>2638</v>
      </c>
      <c r="O1339">
        <v>35.888384</v>
      </c>
      <c r="P1339">
        <v>-5.324636</v>
      </c>
      <c r="Q1339" s="5" t="s">
        <v>717</v>
      </c>
      <c r="R1339" s="10">
        <f t="shared" si="10"/>
        <v>213</v>
      </c>
      <c r="S1339" s="5" t="s">
        <v>6414</v>
      </c>
      <c r="T1339" s="6" t="s">
        <v>72</v>
      </c>
      <c r="U1339" s="5" t="s">
        <v>3584</v>
      </c>
      <c r="V1339" s="5" t="s">
        <v>6417</v>
      </c>
    </row>
    <row r="1340" ht="12.75" customHeight="1">
      <c r="A1340" s="5">
        <v>34710.0</v>
      </c>
      <c r="B1340" s="5" t="s">
        <v>98</v>
      </c>
      <c r="C1340" s="5" t="s">
        <v>62</v>
      </c>
      <c r="D1340" s="5" t="s">
        <v>2852</v>
      </c>
      <c r="E1340" s="7" t="s">
        <v>6412</v>
      </c>
      <c r="F1340" s="5" t="s">
        <v>6403</v>
      </c>
      <c r="G1340" s="5" t="s">
        <v>6404</v>
      </c>
      <c r="H1340" s="5">
        <v>2007.0</v>
      </c>
      <c r="I1340" s="5">
        <v>0.0</v>
      </c>
      <c r="J1340" s="5">
        <v>0.0</v>
      </c>
      <c r="K1340" s="5">
        <v>1.0</v>
      </c>
      <c r="L1340" s="54"/>
      <c r="M1340" s="5" t="s">
        <v>6418</v>
      </c>
      <c r="N1340" s="53" t="s">
        <v>2638</v>
      </c>
      <c r="O1340">
        <v>35.98</v>
      </c>
      <c r="P1340">
        <v>-5.32</v>
      </c>
      <c r="Q1340" s="5" t="s">
        <v>751</v>
      </c>
      <c r="R1340" s="10">
        <f t="shared" si="10"/>
        <v>1</v>
      </c>
      <c r="S1340" s="5" t="s">
        <v>6419</v>
      </c>
      <c r="T1340" s="6" t="s">
        <v>72</v>
      </c>
      <c r="U1340" s="5" t="s">
        <v>6420</v>
      </c>
      <c r="V1340" s="5"/>
    </row>
    <row r="1341" ht="12.75" customHeight="1">
      <c r="A1341" s="5">
        <v>34711.0</v>
      </c>
      <c r="B1341" s="5" t="s">
        <v>49</v>
      </c>
      <c r="C1341" s="52" t="s">
        <v>50</v>
      </c>
      <c r="D1341" s="5" t="s">
        <v>2852</v>
      </c>
      <c r="E1341" s="7" t="s">
        <v>6421</v>
      </c>
      <c r="F1341" s="5" t="s">
        <v>6403</v>
      </c>
      <c r="G1341" s="5" t="s">
        <v>6404</v>
      </c>
      <c r="H1341" s="5">
        <v>2007.0</v>
      </c>
      <c r="I1341" s="5">
        <v>0.0</v>
      </c>
      <c r="J1341" s="5">
        <v>0.0</v>
      </c>
      <c r="K1341" s="5">
        <v>3.0</v>
      </c>
      <c r="L1341" s="54"/>
      <c r="M1341" s="5" t="s">
        <v>6422</v>
      </c>
      <c r="N1341" s="53" t="s">
        <v>6423</v>
      </c>
      <c r="O1341">
        <v>35.1</v>
      </c>
      <c r="P1341">
        <v>-1.85</v>
      </c>
      <c r="Q1341" s="5" t="s">
        <v>619</v>
      </c>
      <c r="R1341" s="10">
        <f t="shared" si="10"/>
        <v>7</v>
      </c>
      <c r="S1341" s="5" t="s">
        <v>6424</v>
      </c>
      <c r="T1341" s="6" t="s">
        <v>72</v>
      </c>
      <c r="U1341" s="5" t="s">
        <v>4504</v>
      </c>
      <c r="V1341" s="5" t="s">
        <v>6425</v>
      </c>
    </row>
    <row r="1342" ht="12.75" customHeight="1">
      <c r="A1342" s="5">
        <v>34713.0</v>
      </c>
      <c r="B1342" s="5" t="s">
        <v>49</v>
      </c>
      <c r="C1342" s="52" t="s">
        <v>50</v>
      </c>
      <c r="D1342" s="5" t="s">
        <v>2852</v>
      </c>
      <c r="E1342" s="7" t="s">
        <v>6426</v>
      </c>
      <c r="F1342" s="5" t="s">
        <v>6403</v>
      </c>
      <c r="G1342" s="5" t="s">
        <v>6404</v>
      </c>
      <c r="H1342" s="5">
        <v>2007.0</v>
      </c>
      <c r="I1342" s="5">
        <v>0.0</v>
      </c>
      <c r="J1342" s="5">
        <v>0.0</v>
      </c>
      <c r="K1342" s="5">
        <v>2.0</v>
      </c>
      <c r="L1342" s="54"/>
      <c r="M1342" s="5" t="s">
        <v>6427</v>
      </c>
      <c r="N1342" s="53" t="s">
        <v>3340</v>
      </c>
      <c r="O1342">
        <v>37.743215</v>
      </c>
      <c r="P1342">
        <v>26.820351</v>
      </c>
      <c r="Q1342" s="5" t="s">
        <v>956</v>
      </c>
      <c r="R1342" s="10">
        <f t="shared" si="10"/>
        <v>218</v>
      </c>
      <c r="S1342" s="5" t="s">
        <v>6428</v>
      </c>
      <c r="T1342" s="6" t="s">
        <v>53</v>
      </c>
      <c r="U1342" s="5" t="s">
        <v>6245</v>
      </c>
      <c r="V1342" s="5" t="s">
        <v>6429</v>
      </c>
    </row>
    <row r="1343" ht="12.75" customHeight="1">
      <c r="A1343" s="5">
        <v>34712.0</v>
      </c>
      <c r="B1343" s="5" t="s">
        <v>49</v>
      </c>
      <c r="C1343" s="52" t="s">
        <v>50</v>
      </c>
      <c r="D1343" s="5" t="s">
        <v>2852</v>
      </c>
      <c r="E1343" s="7" t="s">
        <v>6426</v>
      </c>
      <c r="F1343" s="5" t="s">
        <v>6403</v>
      </c>
      <c r="G1343" s="5" t="s">
        <v>6404</v>
      </c>
      <c r="H1343" s="5">
        <v>2007.0</v>
      </c>
      <c r="I1343" s="5">
        <v>0.0</v>
      </c>
      <c r="J1343" s="5">
        <v>0.0</v>
      </c>
      <c r="K1343" s="5">
        <v>2.0</v>
      </c>
      <c r="L1343" s="54"/>
      <c r="M1343" s="5" t="s">
        <v>6430</v>
      </c>
      <c r="N1343" s="53" t="s">
        <v>6431</v>
      </c>
      <c r="O1343">
        <v>43.355524</v>
      </c>
      <c r="P1343">
        <v>-8.255738</v>
      </c>
      <c r="Q1343" s="5" t="s">
        <v>1278</v>
      </c>
      <c r="R1343" s="10">
        <f t="shared" si="10"/>
        <v>57</v>
      </c>
      <c r="S1343" s="5" t="s">
        <v>6432</v>
      </c>
      <c r="T1343" s="6" t="s">
        <v>53</v>
      </c>
      <c r="U1343" s="5" t="s">
        <v>6245</v>
      </c>
      <c r="V1343" s="5" t="s">
        <v>6433</v>
      </c>
    </row>
    <row r="1344" ht="12.75" customHeight="1">
      <c r="A1344" s="5">
        <v>34714.0</v>
      </c>
      <c r="B1344" s="5" t="s">
        <v>68</v>
      </c>
      <c r="C1344" s="5" t="s">
        <v>69</v>
      </c>
      <c r="D1344" s="5" t="s">
        <v>2852</v>
      </c>
      <c r="E1344" s="7" t="s">
        <v>6434</v>
      </c>
      <c r="F1344" s="5" t="s">
        <v>6403</v>
      </c>
      <c r="G1344" s="5" t="s">
        <v>6404</v>
      </c>
      <c r="H1344" s="5">
        <v>2007.0</v>
      </c>
      <c r="I1344" s="5">
        <v>0.0</v>
      </c>
      <c r="J1344" s="5">
        <v>0.0</v>
      </c>
      <c r="K1344" s="5">
        <v>1.0</v>
      </c>
      <c r="L1344" s="54"/>
      <c r="M1344" s="5" t="s">
        <v>6435</v>
      </c>
      <c r="N1344" s="53" t="s">
        <v>4941</v>
      </c>
      <c r="O1344">
        <v>28.291564</v>
      </c>
      <c r="P1344">
        <v>-16.62913</v>
      </c>
      <c r="Q1344" s="5" t="s">
        <v>382</v>
      </c>
      <c r="R1344" s="10">
        <f t="shared" si="10"/>
        <v>1120</v>
      </c>
      <c r="S1344" s="5" t="s">
        <v>6436</v>
      </c>
      <c r="T1344" s="5" t="s">
        <v>1040</v>
      </c>
      <c r="U1344" s="5" t="s">
        <v>6437</v>
      </c>
      <c r="V1344" s="5"/>
    </row>
    <row r="1345" ht="12.75" customHeight="1">
      <c r="A1345" s="5">
        <v>34715.0</v>
      </c>
      <c r="B1345" s="5" t="s">
        <v>763</v>
      </c>
      <c r="C1345" s="5" t="s">
        <v>124</v>
      </c>
      <c r="D1345" s="5" t="s">
        <v>2614</v>
      </c>
      <c r="E1345" s="7" t="s">
        <v>6438</v>
      </c>
      <c r="F1345" s="5" t="s">
        <v>6403</v>
      </c>
      <c r="G1345" s="5" t="s">
        <v>6404</v>
      </c>
      <c r="H1345" s="5">
        <v>2007.0</v>
      </c>
      <c r="I1345" s="5">
        <v>0.0</v>
      </c>
      <c r="J1345" s="5">
        <v>0.0</v>
      </c>
      <c r="K1345" s="5">
        <v>1.0</v>
      </c>
      <c r="L1345" s="54"/>
      <c r="M1345" s="5" t="s">
        <v>6439</v>
      </c>
      <c r="N1345" s="53" t="s">
        <v>4253</v>
      </c>
      <c r="O1345">
        <v>37.983716</v>
      </c>
      <c r="P1345">
        <v>23.72931</v>
      </c>
      <c r="Q1345" s="5" t="s">
        <v>974</v>
      </c>
      <c r="R1345" s="10">
        <f t="shared" si="10"/>
        <v>13</v>
      </c>
      <c r="S1345" s="5" t="s">
        <v>6440</v>
      </c>
      <c r="T1345" s="6" t="s">
        <v>53</v>
      </c>
      <c r="U1345" s="5" t="s">
        <v>3318</v>
      </c>
      <c r="V1345" s="5" t="s">
        <v>6441</v>
      </c>
    </row>
    <row r="1346" ht="12.75" customHeight="1">
      <c r="A1346" s="5">
        <v>34716.0</v>
      </c>
      <c r="B1346" s="5" t="s">
        <v>68</v>
      </c>
      <c r="C1346" s="5" t="s">
        <v>69</v>
      </c>
      <c r="D1346" s="5" t="s">
        <v>2852</v>
      </c>
      <c r="E1346" s="7" t="s">
        <v>6442</v>
      </c>
      <c r="F1346" s="5" t="s">
        <v>6403</v>
      </c>
      <c r="G1346" s="5" t="s">
        <v>6404</v>
      </c>
      <c r="H1346" s="5">
        <v>2007.0</v>
      </c>
      <c r="I1346" s="5">
        <v>0.0</v>
      </c>
      <c r="J1346" s="5">
        <v>0.0</v>
      </c>
      <c r="K1346" s="5">
        <v>1.0</v>
      </c>
      <c r="L1346" s="54"/>
      <c r="M1346" s="5" t="s">
        <v>6443</v>
      </c>
      <c r="N1346" s="53" t="s">
        <v>3328</v>
      </c>
      <c r="O1346">
        <v>48.856614</v>
      </c>
      <c r="P1346">
        <v>2.352222</v>
      </c>
      <c r="Q1346" s="5" t="s">
        <v>3329</v>
      </c>
      <c r="R1346" s="10">
        <f t="shared" si="10"/>
        <v>30</v>
      </c>
      <c r="S1346" s="5" t="s">
        <v>6444</v>
      </c>
      <c r="T1346" s="5"/>
      <c r="U1346" s="5" t="s">
        <v>6445</v>
      </c>
      <c r="V1346" s="5"/>
    </row>
    <row r="1347" ht="12.75" customHeight="1">
      <c r="A1347" s="5">
        <v>34717.0</v>
      </c>
      <c r="B1347" s="5" t="s">
        <v>3409</v>
      </c>
      <c r="C1347" s="5" t="s">
        <v>211</v>
      </c>
      <c r="D1347" s="5" t="s">
        <v>2852</v>
      </c>
      <c r="E1347" s="7" t="s">
        <v>6446</v>
      </c>
      <c r="F1347" s="5" t="s">
        <v>6403</v>
      </c>
      <c r="G1347" s="5" t="s">
        <v>6404</v>
      </c>
      <c r="H1347" s="5">
        <v>2007.0</v>
      </c>
      <c r="I1347" s="5">
        <v>0.0</v>
      </c>
      <c r="J1347" s="5">
        <v>0.0</v>
      </c>
      <c r="K1347" s="5">
        <v>1.0</v>
      </c>
      <c r="L1347" s="54"/>
      <c r="M1347" s="5" t="s">
        <v>6447</v>
      </c>
      <c r="N1347" s="53" t="s">
        <v>6448</v>
      </c>
      <c r="O1347">
        <v>39.984458</v>
      </c>
      <c r="P1347">
        <v>-0.04495</v>
      </c>
      <c r="Q1347" s="5" t="s">
        <v>1119</v>
      </c>
      <c r="R1347" s="10">
        <f t="shared" si="10"/>
        <v>1</v>
      </c>
      <c r="S1347" s="5" t="s">
        <v>6449</v>
      </c>
      <c r="T1347" s="6" t="s">
        <v>72</v>
      </c>
      <c r="U1347" s="5" t="s">
        <v>3128</v>
      </c>
      <c r="V1347" s="5"/>
    </row>
    <row r="1348" ht="12.75" customHeight="1">
      <c r="A1348" s="5">
        <v>34718.0</v>
      </c>
      <c r="B1348" s="5" t="s">
        <v>68</v>
      </c>
      <c r="C1348" s="5" t="s">
        <v>69</v>
      </c>
      <c r="D1348" s="5" t="s">
        <v>2614</v>
      </c>
      <c r="E1348" s="7" t="s">
        <v>6450</v>
      </c>
      <c r="F1348" s="5" t="s">
        <v>6403</v>
      </c>
      <c r="G1348" s="5" t="s">
        <v>6404</v>
      </c>
      <c r="H1348" s="5">
        <v>2007.0</v>
      </c>
      <c r="I1348" s="5">
        <v>0.0</v>
      </c>
      <c r="J1348" s="5">
        <v>0.0</v>
      </c>
      <c r="K1348" s="5">
        <v>5.0</v>
      </c>
      <c r="L1348" s="54"/>
      <c r="M1348" s="5" t="s">
        <v>6451</v>
      </c>
      <c r="N1348" s="53" t="s">
        <v>4760</v>
      </c>
      <c r="O1348">
        <v>38.77474</v>
      </c>
      <c r="P1348">
        <v>0.08519</v>
      </c>
      <c r="Q1348" s="5" t="s">
        <v>1035</v>
      </c>
      <c r="R1348" s="10">
        <f t="shared" si="10"/>
        <v>52</v>
      </c>
      <c r="S1348" s="5" t="s">
        <v>6452</v>
      </c>
      <c r="T1348" s="6" t="s">
        <v>72</v>
      </c>
      <c r="U1348" s="5" t="s">
        <v>2785</v>
      </c>
      <c r="V1348" s="5" t="s">
        <v>6453</v>
      </c>
    </row>
    <row r="1349" ht="12.75" customHeight="1">
      <c r="A1349" s="5">
        <v>34719.0</v>
      </c>
      <c r="B1349" s="5" t="s">
        <v>68</v>
      </c>
      <c r="C1349" s="5" t="s">
        <v>69</v>
      </c>
      <c r="D1349" s="5" t="s">
        <v>2614</v>
      </c>
      <c r="E1349" s="7" t="s">
        <v>6454</v>
      </c>
      <c r="F1349" s="5" t="s">
        <v>6403</v>
      </c>
      <c r="G1349" s="5" t="s">
        <v>6404</v>
      </c>
      <c r="H1349" s="5">
        <v>2007.0</v>
      </c>
      <c r="I1349" s="5">
        <v>0.0</v>
      </c>
      <c r="J1349" s="5">
        <v>0.0</v>
      </c>
      <c r="K1349" s="5">
        <v>1.0</v>
      </c>
      <c r="L1349" s="54"/>
      <c r="M1349" s="5" t="s">
        <v>6455</v>
      </c>
      <c r="N1349" s="53" t="s">
        <v>2888</v>
      </c>
      <c r="O1349">
        <v>24.088938</v>
      </c>
      <c r="P1349">
        <v>32.899829</v>
      </c>
      <c r="Q1349" s="5" t="s">
        <v>329</v>
      </c>
      <c r="R1349" s="10">
        <f t="shared" si="10"/>
        <v>129</v>
      </c>
      <c r="S1349" s="5" t="s">
        <v>6456</v>
      </c>
      <c r="T1349" s="5"/>
      <c r="U1349" s="5" t="s">
        <v>92</v>
      </c>
      <c r="V1349" s="5" t="s">
        <v>6457</v>
      </c>
    </row>
    <row r="1350" ht="12.75" customHeight="1">
      <c r="A1350" s="5">
        <v>34721.0</v>
      </c>
      <c r="B1350" s="5" t="s">
        <v>49</v>
      </c>
      <c r="C1350" s="52" t="s">
        <v>50</v>
      </c>
      <c r="D1350" s="5" t="s">
        <v>2852</v>
      </c>
      <c r="E1350" s="7" t="s">
        <v>6458</v>
      </c>
      <c r="F1350" s="5" t="s">
        <v>6403</v>
      </c>
      <c r="G1350" s="5" t="s">
        <v>6404</v>
      </c>
      <c r="H1350" s="5">
        <v>2007.0</v>
      </c>
      <c r="I1350" s="5">
        <v>0.0</v>
      </c>
      <c r="J1350" s="5">
        <v>0.0</v>
      </c>
      <c r="K1350" s="5">
        <v>6.0</v>
      </c>
      <c r="L1350" s="54"/>
      <c r="M1350" s="5" t="s">
        <v>6459</v>
      </c>
      <c r="N1350" s="53" t="s">
        <v>4760</v>
      </c>
      <c r="O1350">
        <v>38.77474</v>
      </c>
      <c r="P1350">
        <v>0.08519</v>
      </c>
      <c r="Q1350" s="5" t="s">
        <v>1035</v>
      </c>
      <c r="R1350" s="10">
        <f t="shared" si="10"/>
        <v>52</v>
      </c>
      <c r="S1350" s="5" t="s">
        <v>6460</v>
      </c>
      <c r="T1350" s="6" t="s">
        <v>72</v>
      </c>
      <c r="U1350" s="5" t="s">
        <v>6461</v>
      </c>
      <c r="V1350" s="5"/>
    </row>
    <row r="1351" ht="12.75" customHeight="1">
      <c r="A1351" s="5">
        <v>34720.0</v>
      </c>
      <c r="B1351" s="5" t="s">
        <v>49</v>
      </c>
      <c r="C1351" s="52" t="s">
        <v>50</v>
      </c>
      <c r="D1351" s="5" t="s">
        <v>2852</v>
      </c>
      <c r="E1351" s="7" t="s">
        <v>6458</v>
      </c>
      <c r="F1351" s="5" t="s">
        <v>6403</v>
      </c>
      <c r="G1351" s="5" t="s">
        <v>6404</v>
      </c>
      <c r="H1351" s="5">
        <v>2007.0</v>
      </c>
      <c r="I1351" s="5">
        <v>0.0</v>
      </c>
      <c r="J1351" s="5">
        <v>0.0</v>
      </c>
      <c r="K1351" s="5">
        <v>1.0</v>
      </c>
      <c r="L1351" s="54"/>
      <c r="M1351" s="5" t="s">
        <v>6462</v>
      </c>
      <c r="N1351" s="53" t="s">
        <v>4760</v>
      </c>
      <c r="O1351">
        <v>38.77474</v>
      </c>
      <c r="P1351">
        <v>0.08519</v>
      </c>
      <c r="Q1351" s="5" t="s">
        <v>1035</v>
      </c>
      <c r="R1351" s="10">
        <f t="shared" si="10"/>
        <v>52</v>
      </c>
      <c r="S1351" s="5" t="s">
        <v>6460</v>
      </c>
      <c r="T1351" s="6" t="s">
        <v>72</v>
      </c>
      <c r="U1351" s="5" t="s">
        <v>6145</v>
      </c>
      <c r="V1351" s="5"/>
    </row>
    <row r="1352" ht="12.75" customHeight="1">
      <c r="A1352" s="5">
        <v>34722.0</v>
      </c>
      <c r="B1352" s="5" t="s">
        <v>68</v>
      </c>
      <c r="C1352" s="5" t="s">
        <v>69</v>
      </c>
      <c r="D1352" s="5" t="s">
        <v>2614</v>
      </c>
      <c r="E1352" s="7" t="s">
        <v>6463</v>
      </c>
      <c r="F1352" s="5" t="s">
        <v>6403</v>
      </c>
      <c r="G1352" s="5" t="s">
        <v>6404</v>
      </c>
      <c r="H1352" s="5">
        <v>2007.0</v>
      </c>
      <c r="I1352" s="5">
        <v>0.0</v>
      </c>
      <c r="J1352" s="5">
        <v>0.0</v>
      </c>
      <c r="K1352" s="5">
        <v>8.0</v>
      </c>
      <c r="L1352" s="54"/>
      <c r="M1352" s="5" t="s">
        <v>6464</v>
      </c>
      <c r="N1352" s="53" t="s">
        <v>2820</v>
      </c>
      <c r="O1352">
        <v>31.200092</v>
      </c>
      <c r="P1352">
        <v>29.918739</v>
      </c>
      <c r="Q1352" s="5" t="s">
        <v>427</v>
      </c>
      <c r="R1352" s="10">
        <f t="shared" si="10"/>
        <v>133</v>
      </c>
      <c r="S1352" s="5" t="s">
        <v>6465</v>
      </c>
      <c r="T1352" s="5"/>
      <c r="U1352" s="5" t="s">
        <v>1657</v>
      </c>
      <c r="V1352" s="5" t="s">
        <v>6466</v>
      </c>
    </row>
    <row r="1353" ht="12.75" customHeight="1">
      <c r="A1353" s="5">
        <v>34723.0</v>
      </c>
      <c r="B1353" s="5" t="s">
        <v>49</v>
      </c>
      <c r="C1353" s="52" t="s">
        <v>50</v>
      </c>
      <c r="D1353" s="5" t="s">
        <v>2852</v>
      </c>
      <c r="E1353" s="7" t="s">
        <v>6467</v>
      </c>
      <c r="F1353" s="5" t="s">
        <v>6403</v>
      </c>
      <c r="G1353" s="5" t="s">
        <v>6404</v>
      </c>
      <c r="H1353" s="5">
        <v>2007.0</v>
      </c>
      <c r="I1353" s="5">
        <v>0.0</v>
      </c>
      <c r="J1353" s="5">
        <v>0.0</v>
      </c>
      <c r="K1353" s="5">
        <v>1.0</v>
      </c>
      <c r="L1353" s="54"/>
      <c r="M1353" s="5" t="s">
        <v>6468</v>
      </c>
      <c r="N1353" s="53" t="s">
        <v>3570</v>
      </c>
      <c r="O1353">
        <v>36.828221</v>
      </c>
      <c r="P1353">
        <v>11.940496</v>
      </c>
      <c r="Q1353" s="5" t="s">
        <v>857</v>
      </c>
      <c r="R1353" s="10">
        <f t="shared" si="10"/>
        <v>37</v>
      </c>
      <c r="S1353" s="5" t="s">
        <v>6469</v>
      </c>
      <c r="T1353" s="6" t="s">
        <v>2130</v>
      </c>
      <c r="U1353" s="5" t="s">
        <v>3490</v>
      </c>
      <c r="V1353" s="5" t="s">
        <v>6470</v>
      </c>
    </row>
    <row r="1354" ht="12.75" customHeight="1">
      <c r="A1354" s="5">
        <v>34725.0</v>
      </c>
      <c r="B1354" s="5" t="s">
        <v>49</v>
      </c>
      <c r="C1354" s="52" t="s">
        <v>50</v>
      </c>
      <c r="D1354" s="5" t="s">
        <v>2852</v>
      </c>
      <c r="E1354" s="7" t="s">
        <v>6471</v>
      </c>
      <c r="F1354" s="5" t="s">
        <v>6403</v>
      </c>
      <c r="G1354" s="5" t="s">
        <v>6404</v>
      </c>
      <c r="H1354" s="5">
        <v>2007.0</v>
      </c>
      <c r="I1354" s="5">
        <v>0.0</v>
      </c>
      <c r="J1354" s="5">
        <v>0.0</v>
      </c>
      <c r="K1354" s="5">
        <v>8.0</v>
      </c>
      <c r="L1354" s="54"/>
      <c r="M1354" s="5" t="s">
        <v>6472</v>
      </c>
      <c r="N1354" s="53" t="s">
        <v>6473</v>
      </c>
      <c r="O1354">
        <v>51.4025</v>
      </c>
      <c r="P1354">
        <v>8.641667</v>
      </c>
      <c r="Q1354" s="5" t="s">
        <v>1619</v>
      </c>
      <c r="R1354" s="10">
        <f t="shared" si="10"/>
        <v>8</v>
      </c>
      <c r="S1354" s="5" t="s">
        <v>6474</v>
      </c>
      <c r="T1354" s="6" t="s">
        <v>2130</v>
      </c>
      <c r="U1354" s="5" t="s">
        <v>6475</v>
      </c>
      <c r="V1354" s="5"/>
    </row>
    <row r="1355" ht="12.75" customHeight="1">
      <c r="A1355" s="5">
        <v>34724.0</v>
      </c>
      <c r="B1355" s="5" t="s">
        <v>491</v>
      </c>
      <c r="C1355" s="52" t="s">
        <v>50</v>
      </c>
      <c r="D1355" s="5" t="s">
        <v>2852</v>
      </c>
      <c r="E1355" s="7" t="s">
        <v>6471</v>
      </c>
      <c r="F1355" s="5" t="s">
        <v>6403</v>
      </c>
      <c r="G1355" s="5" t="s">
        <v>6404</v>
      </c>
      <c r="H1355" s="5">
        <v>2007.0</v>
      </c>
      <c r="I1355" s="5">
        <v>0.0</v>
      </c>
      <c r="J1355" s="5">
        <v>0.0</v>
      </c>
      <c r="K1355" s="5">
        <v>3.0</v>
      </c>
      <c r="L1355" s="54"/>
      <c r="M1355" s="5" t="s">
        <v>6476</v>
      </c>
      <c r="N1355" s="53" t="s">
        <v>6477</v>
      </c>
      <c r="O1355">
        <v>51.919438</v>
      </c>
      <c r="P1355">
        <v>19.145136</v>
      </c>
      <c r="Q1355" s="5" t="s">
        <v>1692</v>
      </c>
      <c r="R1355" s="10">
        <f t="shared" si="10"/>
        <v>4</v>
      </c>
      <c r="S1355" s="5" t="s">
        <v>6478</v>
      </c>
      <c r="T1355" s="5"/>
      <c r="U1355" s="5" t="s">
        <v>6479</v>
      </c>
      <c r="V1355" s="5" t="s">
        <v>6480</v>
      </c>
    </row>
    <row r="1356" ht="12.75" customHeight="1">
      <c r="A1356" s="5">
        <v>34726.0</v>
      </c>
      <c r="B1356" s="5" t="s">
        <v>68</v>
      </c>
      <c r="C1356" s="5" t="s">
        <v>69</v>
      </c>
      <c r="D1356" s="5" t="s">
        <v>2614</v>
      </c>
      <c r="E1356" s="7" t="s">
        <v>6481</v>
      </c>
      <c r="F1356" s="5" t="s">
        <v>6403</v>
      </c>
      <c r="G1356" s="5" t="s">
        <v>6404</v>
      </c>
      <c r="H1356" s="5">
        <v>2007.0</v>
      </c>
      <c r="I1356" s="5">
        <v>0.0</v>
      </c>
      <c r="J1356" s="5">
        <v>0.0</v>
      </c>
      <c r="K1356" s="5">
        <v>19.0</v>
      </c>
      <c r="L1356" s="54"/>
      <c r="M1356" s="5" t="s">
        <v>6482</v>
      </c>
      <c r="N1356" s="53" t="s">
        <v>2944</v>
      </c>
      <c r="O1356">
        <v>-12.8275</v>
      </c>
      <c r="P1356">
        <v>45.166244</v>
      </c>
      <c r="Q1356" s="5" t="s">
        <v>228</v>
      </c>
      <c r="R1356" s="10">
        <f t="shared" si="10"/>
        <v>757</v>
      </c>
      <c r="S1356" s="5" t="s">
        <v>6483</v>
      </c>
      <c r="T1356" s="5"/>
      <c r="U1356" s="5" t="s">
        <v>6484</v>
      </c>
      <c r="V1356" s="5" t="s">
        <v>6485</v>
      </c>
    </row>
    <row r="1357" ht="12.75" customHeight="1">
      <c r="A1357" s="5">
        <v>34727.0</v>
      </c>
      <c r="B1357" s="5" t="s">
        <v>49</v>
      </c>
      <c r="C1357" s="52" t="s">
        <v>50</v>
      </c>
      <c r="D1357" s="5" t="s">
        <v>2852</v>
      </c>
      <c r="E1357" s="7" t="s">
        <v>6481</v>
      </c>
      <c r="F1357" s="5" t="s">
        <v>6403</v>
      </c>
      <c r="G1357" s="5" t="s">
        <v>6404</v>
      </c>
      <c r="H1357" s="5">
        <v>2007.0</v>
      </c>
      <c r="I1357" s="5">
        <v>0.0</v>
      </c>
      <c r="J1357" s="5">
        <v>0.0</v>
      </c>
      <c r="K1357" s="5">
        <v>50.0</v>
      </c>
      <c r="L1357" s="54"/>
      <c r="M1357" s="5" t="s">
        <v>6486</v>
      </c>
      <c r="N1357" s="53" t="s">
        <v>5291</v>
      </c>
      <c r="O1357">
        <v>23.69751</v>
      </c>
      <c r="P1357">
        <v>-15.93698</v>
      </c>
      <c r="Q1357" s="5" t="s">
        <v>323</v>
      </c>
      <c r="R1357" s="10">
        <f t="shared" si="10"/>
        <v>177</v>
      </c>
      <c r="S1357" s="5" t="s">
        <v>6487</v>
      </c>
      <c r="T1357" s="5" t="s">
        <v>1040</v>
      </c>
      <c r="U1357" s="5" t="s">
        <v>6488</v>
      </c>
      <c r="V1357" s="5"/>
    </row>
    <row r="1358" ht="12.75" customHeight="1">
      <c r="A1358" s="5">
        <v>34728.0</v>
      </c>
      <c r="B1358" s="5" t="s">
        <v>68</v>
      </c>
      <c r="C1358" s="5" t="s">
        <v>69</v>
      </c>
      <c r="D1358" s="5" t="s">
        <v>2852</v>
      </c>
      <c r="E1358" s="7" t="s">
        <v>6481</v>
      </c>
      <c r="F1358" s="5" t="s">
        <v>6403</v>
      </c>
      <c r="G1358" s="5" t="s">
        <v>6404</v>
      </c>
      <c r="H1358" s="5">
        <v>2007.0</v>
      </c>
      <c r="I1358" s="5">
        <v>0.0</v>
      </c>
      <c r="J1358" s="5">
        <v>0.0</v>
      </c>
      <c r="K1358" s="5">
        <v>1.0</v>
      </c>
      <c r="L1358" s="54"/>
      <c r="M1358" s="5" t="s">
        <v>6489</v>
      </c>
      <c r="N1358" s="53" t="s">
        <v>4668</v>
      </c>
      <c r="O1358">
        <v>27.725499</v>
      </c>
      <c r="P1358">
        <v>-18.024301</v>
      </c>
      <c r="Q1358" s="5" t="s">
        <v>351</v>
      </c>
      <c r="R1358" s="10">
        <f t="shared" si="10"/>
        <v>41</v>
      </c>
      <c r="S1358" s="5" t="s">
        <v>6490</v>
      </c>
      <c r="T1358" s="5" t="s">
        <v>1040</v>
      </c>
      <c r="U1358" s="5" t="s">
        <v>5422</v>
      </c>
      <c r="V1358" s="5"/>
    </row>
    <row r="1359" ht="12.75" customHeight="1">
      <c r="A1359" s="5">
        <v>34730.0</v>
      </c>
      <c r="B1359" s="5" t="s">
        <v>49</v>
      </c>
      <c r="C1359" s="52" t="s">
        <v>50</v>
      </c>
      <c r="D1359" s="5" t="s">
        <v>2852</v>
      </c>
      <c r="E1359" s="7" t="s">
        <v>6491</v>
      </c>
      <c r="F1359" s="5" t="s">
        <v>6403</v>
      </c>
      <c r="G1359" s="5" t="s">
        <v>6404</v>
      </c>
      <c r="H1359" s="5">
        <v>2007.0</v>
      </c>
      <c r="I1359" s="5">
        <v>0.0</v>
      </c>
      <c r="J1359" s="5">
        <v>0.0</v>
      </c>
      <c r="K1359" s="5">
        <v>58.0</v>
      </c>
      <c r="L1359" s="54"/>
      <c r="M1359" s="5" t="s">
        <v>6492</v>
      </c>
      <c r="N1359" s="53" t="s">
        <v>6493</v>
      </c>
      <c r="O1359">
        <v>13.443182</v>
      </c>
      <c r="P1359">
        <v>-15.310139</v>
      </c>
      <c r="Q1359" s="5" t="s">
        <v>256</v>
      </c>
      <c r="R1359" s="10">
        <f t="shared" si="10"/>
        <v>58</v>
      </c>
      <c r="S1359" s="5" t="s">
        <v>6494</v>
      </c>
      <c r="T1359" s="5" t="s">
        <v>1040</v>
      </c>
      <c r="U1359" s="5" t="s">
        <v>6495</v>
      </c>
      <c r="V1359" s="5"/>
    </row>
    <row r="1360" ht="12.75" customHeight="1">
      <c r="A1360" s="5">
        <v>34729.0</v>
      </c>
      <c r="B1360" s="5" t="s">
        <v>68</v>
      </c>
      <c r="C1360" s="5" t="s">
        <v>69</v>
      </c>
      <c r="D1360" s="5" t="s">
        <v>2852</v>
      </c>
      <c r="E1360" s="7" t="s">
        <v>6491</v>
      </c>
      <c r="F1360" s="5" t="s">
        <v>6403</v>
      </c>
      <c r="G1360" s="5" t="s">
        <v>6404</v>
      </c>
      <c r="H1360" s="5">
        <v>2007.0</v>
      </c>
      <c r="I1360" s="5">
        <v>0.0</v>
      </c>
      <c r="J1360" s="5">
        <v>0.0</v>
      </c>
      <c r="K1360" s="5">
        <v>5.0</v>
      </c>
      <c r="L1360" s="54"/>
      <c r="M1360" s="5" t="s">
        <v>6496</v>
      </c>
      <c r="N1360" s="53" t="s">
        <v>4814</v>
      </c>
      <c r="O1360">
        <v>20.942518</v>
      </c>
      <c r="P1360">
        <v>-17.036227</v>
      </c>
      <c r="Q1360" s="5" t="s">
        <v>309</v>
      </c>
      <c r="R1360" s="10">
        <f t="shared" si="10"/>
        <v>83</v>
      </c>
      <c r="S1360" s="5" t="s">
        <v>6497</v>
      </c>
      <c r="T1360" s="5" t="s">
        <v>1040</v>
      </c>
      <c r="U1360" s="5" t="s">
        <v>106</v>
      </c>
      <c r="V1360" s="5"/>
    </row>
    <row r="1361" ht="12.75" customHeight="1">
      <c r="A1361" s="5">
        <v>34731.0</v>
      </c>
      <c r="B1361" s="5" t="s">
        <v>68</v>
      </c>
      <c r="C1361" s="5" t="s">
        <v>69</v>
      </c>
      <c r="D1361" s="5" t="s">
        <v>2614</v>
      </c>
      <c r="E1361" s="7" t="s">
        <v>6498</v>
      </c>
      <c r="F1361" s="5" t="s">
        <v>6403</v>
      </c>
      <c r="G1361" s="5" t="s">
        <v>6404</v>
      </c>
      <c r="H1361" s="5">
        <v>2007.0</v>
      </c>
      <c r="I1361" s="5">
        <v>0.0</v>
      </c>
      <c r="J1361" s="5">
        <v>0.0</v>
      </c>
      <c r="K1361" s="5">
        <v>1.0</v>
      </c>
      <c r="L1361" s="54"/>
      <c r="M1361" s="5" t="s">
        <v>6499</v>
      </c>
      <c r="N1361" s="53" t="s">
        <v>3533</v>
      </c>
      <c r="O1361">
        <v>36.695639</v>
      </c>
      <c r="P1361">
        <v>-3.465102</v>
      </c>
      <c r="Q1361" s="5" t="s">
        <v>818</v>
      </c>
      <c r="R1361" s="10">
        <f t="shared" si="10"/>
        <v>2</v>
      </c>
      <c r="S1361" s="5" t="s">
        <v>6500</v>
      </c>
      <c r="T1361" s="6" t="s">
        <v>72</v>
      </c>
      <c r="U1361" s="5" t="s">
        <v>2635</v>
      </c>
      <c r="V1361" s="5" t="s">
        <v>6501</v>
      </c>
    </row>
    <row r="1362" ht="12.75" customHeight="1">
      <c r="A1362" s="5">
        <v>34732.0</v>
      </c>
      <c r="B1362" s="5" t="s">
        <v>1995</v>
      </c>
      <c r="C1362" s="52" t="s">
        <v>50</v>
      </c>
      <c r="D1362" s="5" t="s">
        <v>2852</v>
      </c>
      <c r="E1362" s="7" t="s">
        <v>6498</v>
      </c>
      <c r="F1362" s="5" t="s">
        <v>6403</v>
      </c>
      <c r="G1362" s="5" t="s">
        <v>6404</v>
      </c>
      <c r="H1362" s="5">
        <v>2007.0</v>
      </c>
      <c r="I1362" s="5">
        <v>0.0</v>
      </c>
      <c r="J1362" s="5">
        <v>0.0</v>
      </c>
      <c r="K1362" s="5">
        <v>1.0</v>
      </c>
      <c r="L1362" s="54"/>
      <c r="M1362" s="5" t="s">
        <v>6502</v>
      </c>
      <c r="N1362" s="53" t="s">
        <v>6503</v>
      </c>
      <c r="O1362">
        <v>43.342273</v>
      </c>
      <c r="P1362">
        <v>17.812754</v>
      </c>
      <c r="Q1362" s="5" t="s">
        <v>1271</v>
      </c>
      <c r="R1362" s="10">
        <f t="shared" si="10"/>
        <v>1</v>
      </c>
      <c r="S1362" s="5" t="s">
        <v>6504</v>
      </c>
      <c r="T1362" s="5"/>
      <c r="U1362" s="5" t="s">
        <v>6302</v>
      </c>
      <c r="V1362" s="5"/>
    </row>
    <row r="1363" ht="12.75" customHeight="1">
      <c r="A1363" s="5">
        <v>34733.0</v>
      </c>
      <c r="B1363" s="5" t="s">
        <v>49</v>
      </c>
      <c r="C1363" s="52" t="s">
        <v>50</v>
      </c>
      <c r="D1363" s="5" t="s">
        <v>2852</v>
      </c>
      <c r="E1363" s="7" t="s">
        <v>6505</v>
      </c>
      <c r="F1363" s="5" t="s">
        <v>6403</v>
      </c>
      <c r="G1363" s="5" t="s">
        <v>6404</v>
      </c>
      <c r="H1363" s="5">
        <v>2007.0</v>
      </c>
      <c r="I1363" s="5">
        <v>0.0</v>
      </c>
      <c r="J1363" s="5">
        <v>0.0</v>
      </c>
      <c r="K1363" s="5">
        <v>2.0</v>
      </c>
      <c r="L1363" s="54"/>
      <c r="M1363" s="5" t="s">
        <v>6506</v>
      </c>
      <c r="N1363" s="53" t="s">
        <v>3146</v>
      </c>
      <c r="O1363">
        <v>39.16408</v>
      </c>
      <c r="P1363">
        <v>26.372171</v>
      </c>
      <c r="Q1363" s="5" t="s">
        <v>1068</v>
      </c>
      <c r="R1363" s="10">
        <f t="shared" si="10"/>
        <v>101</v>
      </c>
      <c r="S1363" s="5" t="s">
        <v>6507</v>
      </c>
      <c r="T1363" s="6" t="s">
        <v>53</v>
      </c>
      <c r="U1363" s="5" t="s">
        <v>6508</v>
      </c>
      <c r="V1363" s="5"/>
    </row>
    <row r="1364" ht="12.75" customHeight="1">
      <c r="A1364" s="5">
        <v>34734.0</v>
      </c>
      <c r="B1364" s="5" t="s">
        <v>68</v>
      </c>
      <c r="C1364" s="5" t="s">
        <v>69</v>
      </c>
      <c r="D1364" s="5" t="s">
        <v>2614</v>
      </c>
      <c r="E1364" s="7" t="s">
        <v>6509</v>
      </c>
      <c r="F1364" s="5" t="s">
        <v>6403</v>
      </c>
      <c r="G1364" s="5" t="s">
        <v>6404</v>
      </c>
      <c r="H1364" s="5">
        <v>2007.0</v>
      </c>
      <c r="I1364" s="5">
        <v>0.0</v>
      </c>
      <c r="J1364" s="5">
        <v>0.0</v>
      </c>
      <c r="K1364" s="5">
        <v>10.0</v>
      </c>
      <c r="L1364" s="54"/>
      <c r="M1364" s="5" t="s">
        <v>6510</v>
      </c>
      <c r="N1364" s="53" t="s">
        <v>5367</v>
      </c>
      <c r="O1364">
        <v>28.291564</v>
      </c>
      <c r="P1364">
        <v>-16.62913</v>
      </c>
      <c r="Q1364" s="5" t="s">
        <v>382</v>
      </c>
      <c r="R1364" s="10">
        <f t="shared" si="10"/>
        <v>1120</v>
      </c>
      <c r="S1364" s="5" t="s">
        <v>6511</v>
      </c>
      <c r="T1364" s="5" t="s">
        <v>1040</v>
      </c>
      <c r="U1364" s="5" t="s">
        <v>2785</v>
      </c>
      <c r="V1364" s="5" t="s">
        <v>6512</v>
      </c>
    </row>
    <row r="1365" ht="12.75" customHeight="1">
      <c r="A1365" s="5">
        <v>34736.0</v>
      </c>
      <c r="B1365" s="5" t="s">
        <v>1076</v>
      </c>
      <c r="C1365" s="52" t="s">
        <v>50</v>
      </c>
      <c r="D1365" s="5" t="s">
        <v>2852</v>
      </c>
      <c r="E1365" s="7" t="s">
        <v>6513</v>
      </c>
      <c r="F1365" s="5" t="s">
        <v>6403</v>
      </c>
      <c r="G1365" s="5" t="s">
        <v>6404</v>
      </c>
      <c r="H1365" s="5">
        <v>2007.0</v>
      </c>
      <c r="I1365" s="5">
        <v>0.0</v>
      </c>
      <c r="J1365" s="5">
        <v>0.0</v>
      </c>
      <c r="K1365" s="5">
        <v>1.0</v>
      </c>
      <c r="L1365" s="54"/>
      <c r="M1365" s="5" t="s">
        <v>6514</v>
      </c>
      <c r="N1365" s="53" t="s">
        <v>6515</v>
      </c>
      <c r="O1365">
        <v>17.607789</v>
      </c>
      <c r="P1365">
        <v>8.081666</v>
      </c>
      <c r="Q1365" s="5" t="s">
        <v>284</v>
      </c>
      <c r="R1365" s="10">
        <f t="shared" si="10"/>
        <v>164</v>
      </c>
      <c r="S1365" s="5" t="s">
        <v>6516</v>
      </c>
      <c r="T1365" s="5"/>
      <c r="U1365" s="5" t="s">
        <v>6517</v>
      </c>
      <c r="V1365" s="5"/>
    </row>
    <row r="1366" ht="12.75" customHeight="1">
      <c r="A1366" s="5">
        <v>34735.0</v>
      </c>
      <c r="B1366" s="5" t="s">
        <v>49</v>
      </c>
      <c r="C1366" s="52" t="s">
        <v>50</v>
      </c>
      <c r="D1366" s="5" t="s">
        <v>2852</v>
      </c>
      <c r="E1366" s="7" t="s">
        <v>6513</v>
      </c>
      <c r="F1366" s="5" t="s">
        <v>6403</v>
      </c>
      <c r="G1366" s="5" t="s">
        <v>6404</v>
      </c>
      <c r="H1366" s="5">
        <v>2007.0</v>
      </c>
      <c r="I1366" s="5">
        <v>0.0</v>
      </c>
      <c r="J1366" s="5">
        <v>0.0</v>
      </c>
      <c r="K1366" s="5">
        <v>2.0</v>
      </c>
      <c r="L1366" s="54"/>
      <c r="M1366" s="5" t="s">
        <v>6518</v>
      </c>
      <c r="N1366" s="53" t="s">
        <v>3340</v>
      </c>
      <c r="O1366">
        <v>37.743215</v>
      </c>
      <c r="P1366">
        <v>26.820351</v>
      </c>
      <c r="Q1366" s="5" t="s">
        <v>956</v>
      </c>
      <c r="R1366" s="10">
        <f t="shared" si="10"/>
        <v>218</v>
      </c>
      <c r="S1366" s="5" t="s">
        <v>6519</v>
      </c>
      <c r="T1366" s="6" t="s">
        <v>53</v>
      </c>
      <c r="U1366" s="5" t="s">
        <v>6520</v>
      </c>
      <c r="V1366" s="5"/>
    </row>
    <row r="1367" ht="12.75" customHeight="1">
      <c r="A1367" s="5">
        <v>34737.0</v>
      </c>
      <c r="B1367" s="5" t="s">
        <v>68</v>
      </c>
      <c r="C1367" s="5" t="s">
        <v>69</v>
      </c>
      <c r="D1367" s="5" t="s">
        <v>2614</v>
      </c>
      <c r="E1367" s="7" t="s">
        <v>6521</v>
      </c>
      <c r="F1367" s="5" t="s">
        <v>6403</v>
      </c>
      <c r="G1367" s="5" t="s">
        <v>6404</v>
      </c>
      <c r="H1367" s="5">
        <v>2007.0</v>
      </c>
      <c r="I1367" s="5">
        <v>0.0</v>
      </c>
      <c r="J1367" s="5">
        <v>0.0</v>
      </c>
      <c r="K1367" s="5">
        <v>32.0</v>
      </c>
      <c r="L1367" s="54"/>
      <c r="M1367" s="5" t="s">
        <v>6522</v>
      </c>
      <c r="N1367" s="53" t="s">
        <v>5291</v>
      </c>
      <c r="O1367">
        <v>23.69751</v>
      </c>
      <c r="P1367">
        <v>-15.93698</v>
      </c>
      <c r="Q1367" s="5" t="s">
        <v>323</v>
      </c>
      <c r="R1367" s="10">
        <f t="shared" si="10"/>
        <v>177</v>
      </c>
      <c r="S1367" s="5" t="s">
        <v>6523</v>
      </c>
      <c r="T1367" s="5" t="s">
        <v>1040</v>
      </c>
      <c r="U1367" s="5" t="s">
        <v>6524</v>
      </c>
      <c r="V1367" s="5" t="s">
        <v>6525</v>
      </c>
    </row>
    <row r="1368" ht="12.75" customHeight="1">
      <c r="A1368" s="5">
        <v>34738.0</v>
      </c>
      <c r="B1368" s="5" t="s">
        <v>68</v>
      </c>
      <c r="C1368" s="5" t="s">
        <v>69</v>
      </c>
      <c r="D1368" s="5" t="s">
        <v>2614</v>
      </c>
      <c r="E1368" s="7" t="s">
        <v>6526</v>
      </c>
      <c r="F1368" s="5" t="s">
        <v>6403</v>
      </c>
      <c r="G1368" s="5" t="s">
        <v>6527</v>
      </c>
      <c r="H1368" s="5">
        <v>2007.0</v>
      </c>
      <c r="I1368" s="5">
        <v>0.0</v>
      </c>
      <c r="J1368" s="5">
        <v>0.0</v>
      </c>
      <c r="K1368" s="5">
        <v>4.0</v>
      </c>
      <c r="L1368" s="54"/>
      <c r="M1368" s="5" t="s">
        <v>6528</v>
      </c>
      <c r="N1368" s="53" t="s">
        <v>6529</v>
      </c>
      <c r="O1368">
        <v>37.075474</v>
      </c>
      <c r="P1368">
        <v>15.286586</v>
      </c>
      <c r="Q1368" s="5" t="s">
        <v>895</v>
      </c>
      <c r="R1368" s="10">
        <f t="shared" si="10"/>
        <v>14</v>
      </c>
      <c r="S1368" s="5" t="s">
        <v>6530</v>
      </c>
      <c r="T1368" s="6" t="s">
        <v>2130</v>
      </c>
      <c r="U1368" s="5" t="s">
        <v>2619</v>
      </c>
      <c r="V1368" s="5" t="s">
        <v>6531</v>
      </c>
    </row>
    <row r="1369" ht="12.75" customHeight="1">
      <c r="A1369" s="5">
        <v>34740.0</v>
      </c>
      <c r="B1369" s="5" t="s">
        <v>49</v>
      </c>
      <c r="C1369" s="52" t="s">
        <v>50</v>
      </c>
      <c r="D1369" s="5" t="s">
        <v>2852</v>
      </c>
      <c r="E1369" s="7" t="s">
        <v>6532</v>
      </c>
      <c r="F1369" s="5" t="s">
        <v>6403</v>
      </c>
      <c r="G1369" s="5" t="s">
        <v>6527</v>
      </c>
      <c r="H1369" s="5">
        <v>2007.0</v>
      </c>
      <c r="I1369" s="5">
        <v>0.0</v>
      </c>
      <c r="J1369" s="5">
        <v>0.0</v>
      </c>
      <c r="K1369" s="5">
        <v>25.0</v>
      </c>
      <c r="L1369" s="54"/>
      <c r="M1369" s="5" t="s">
        <v>6533</v>
      </c>
      <c r="N1369" s="53" t="s">
        <v>2938</v>
      </c>
      <c r="O1369">
        <v>35.937496</v>
      </c>
      <c r="P1369">
        <v>14.375416</v>
      </c>
      <c r="Q1369" s="5" t="s">
        <v>740</v>
      </c>
      <c r="R1369" s="10">
        <f t="shared" si="10"/>
        <v>655</v>
      </c>
      <c r="S1369" s="5" t="s">
        <v>6534</v>
      </c>
      <c r="T1369" s="6" t="s">
        <v>2130</v>
      </c>
      <c r="U1369" s="5" t="s">
        <v>6535</v>
      </c>
      <c r="V1369" s="5" t="s">
        <v>6536</v>
      </c>
    </row>
    <row r="1370" ht="12.75" customHeight="1">
      <c r="A1370" s="5">
        <v>34739.0</v>
      </c>
      <c r="B1370" s="5" t="s">
        <v>68</v>
      </c>
      <c r="C1370" s="5" t="s">
        <v>69</v>
      </c>
      <c r="D1370" s="5" t="s">
        <v>2614</v>
      </c>
      <c r="E1370" s="7" t="s">
        <v>6532</v>
      </c>
      <c r="F1370" s="5" t="s">
        <v>6403</v>
      </c>
      <c r="G1370" s="5" t="s">
        <v>6527</v>
      </c>
      <c r="H1370" s="5">
        <v>2007.0</v>
      </c>
      <c r="I1370" s="5">
        <v>0.0</v>
      </c>
      <c r="J1370" s="5">
        <v>0.0</v>
      </c>
      <c r="K1370" s="5">
        <v>1.0</v>
      </c>
      <c r="L1370" s="54"/>
      <c r="M1370" s="5" t="s">
        <v>6537</v>
      </c>
      <c r="N1370" s="53" t="s">
        <v>3340</v>
      </c>
      <c r="O1370">
        <v>37.743215</v>
      </c>
      <c r="P1370">
        <v>26.820351</v>
      </c>
      <c r="Q1370" s="5" t="s">
        <v>956</v>
      </c>
      <c r="R1370" s="10">
        <f t="shared" si="10"/>
        <v>218</v>
      </c>
      <c r="S1370" s="5" t="s">
        <v>6538</v>
      </c>
      <c r="T1370" s="6" t="s">
        <v>53</v>
      </c>
      <c r="U1370" s="5" t="s">
        <v>3318</v>
      </c>
      <c r="V1370" s="5" t="s">
        <v>6539</v>
      </c>
    </row>
    <row r="1371" ht="12.75" customHeight="1">
      <c r="A1371" s="5">
        <v>34741.0</v>
      </c>
      <c r="B1371" s="5" t="s">
        <v>2902</v>
      </c>
      <c r="C1371" s="5" t="s">
        <v>211</v>
      </c>
      <c r="D1371" s="5" t="s">
        <v>2852</v>
      </c>
      <c r="E1371" s="7" t="s">
        <v>6540</v>
      </c>
      <c r="F1371" s="5" t="s">
        <v>6403</v>
      </c>
      <c r="G1371" s="5" t="s">
        <v>6527</v>
      </c>
      <c r="H1371" s="5">
        <v>2007.0</v>
      </c>
      <c r="I1371" s="5">
        <v>0.0</v>
      </c>
      <c r="J1371" s="5">
        <v>0.0</v>
      </c>
      <c r="K1371" s="5">
        <v>1.0</v>
      </c>
      <c r="L1371" s="54"/>
      <c r="M1371" s="5" t="s">
        <v>6541</v>
      </c>
      <c r="N1371" s="53" t="s">
        <v>6542</v>
      </c>
      <c r="O1371">
        <v>54.083419</v>
      </c>
      <c r="P1371">
        <v>12.100429</v>
      </c>
      <c r="Q1371" s="5" t="s">
        <v>1867</v>
      </c>
      <c r="R1371" s="10">
        <f t="shared" si="10"/>
        <v>1</v>
      </c>
      <c r="S1371" s="5" t="s">
        <v>6543</v>
      </c>
      <c r="T1371" s="5"/>
      <c r="U1371" s="5" t="s">
        <v>3219</v>
      </c>
      <c r="V1371" s="5"/>
    </row>
    <row r="1372" ht="12.75" customHeight="1">
      <c r="A1372" s="5">
        <v>34742.0</v>
      </c>
      <c r="B1372" s="5" t="s">
        <v>491</v>
      </c>
      <c r="C1372" s="52" t="s">
        <v>50</v>
      </c>
      <c r="D1372" s="5" t="s">
        <v>2852</v>
      </c>
      <c r="E1372" s="7" t="s">
        <v>6544</v>
      </c>
      <c r="F1372" s="5" t="s">
        <v>6403</v>
      </c>
      <c r="G1372" s="5" t="s">
        <v>6527</v>
      </c>
      <c r="H1372" s="5">
        <v>2007.0</v>
      </c>
      <c r="I1372" s="5">
        <v>0.0</v>
      </c>
      <c r="J1372" s="5">
        <v>0.0</v>
      </c>
      <c r="K1372" s="5">
        <v>2.0</v>
      </c>
      <c r="L1372" s="54"/>
      <c r="M1372" s="5" t="s">
        <v>6545</v>
      </c>
      <c r="N1372" s="53" t="s">
        <v>2700</v>
      </c>
      <c r="O1372">
        <v>35.508622</v>
      </c>
      <c r="P1372">
        <v>12.59292</v>
      </c>
      <c r="Q1372" s="5" t="s">
        <v>669</v>
      </c>
      <c r="R1372" s="10">
        <f t="shared" si="10"/>
        <v>3843</v>
      </c>
      <c r="S1372" s="5" t="s">
        <v>6546</v>
      </c>
      <c r="T1372" s="6" t="s">
        <v>2130</v>
      </c>
      <c r="U1372" s="5" t="s">
        <v>6547</v>
      </c>
      <c r="V1372" s="5" t="s">
        <v>6548</v>
      </c>
    </row>
    <row r="1373" ht="12.75" customHeight="1">
      <c r="A1373" s="5">
        <v>34745.0</v>
      </c>
      <c r="B1373" s="5" t="s">
        <v>49</v>
      </c>
      <c r="C1373" s="52" t="s">
        <v>50</v>
      </c>
      <c r="D1373" s="5" t="s">
        <v>2852</v>
      </c>
      <c r="E1373" s="7" t="s">
        <v>6549</v>
      </c>
      <c r="F1373" s="5" t="s">
        <v>6403</v>
      </c>
      <c r="G1373" s="5" t="s">
        <v>6527</v>
      </c>
      <c r="H1373" s="5">
        <v>2007.0</v>
      </c>
      <c r="I1373" s="5">
        <v>0.0</v>
      </c>
      <c r="J1373" s="5">
        <v>0.0</v>
      </c>
      <c r="K1373" s="5">
        <v>45.0</v>
      </c>
      <c r="L1373" s="54"/>
      <c r="M1373" s="5" t="s">
        <v>6550</v>
      </c>
      <c r="N1373" s="53" t="s">
        <v>2700</v>
      </c>
      <c r="O1373">
        <v>35.508622</v>
      </c>
      <c r="P1373">
        <v>12.59292</v>
      </c>
      <c r="Q1373" s="5" t="s">
        <v>669</v>
      </c>
      <c r="R1373" s="10">
        <f t="shared" si="10"/>
        <v>3843</v>
      </c>
      <c r="S1373" s="5" t="s">
        <v>6551</v>
      </c>
      <c r="T1373" s="6" t="s">
        <v>2130</v>
      </c>
      <c r="U1373" s="5" t="s">
        <v>6552</v>
      </c>
      <c r="V1373" s="5" t="s">
        <v>6553</v>
      </c>
    </row>
    <row r="1374" ht="12.75" customHeight="1">
      <c r="A1374" s="5">
        <v>34743.0</v>
      </c>
      <c r="B1374" s="5" t="s">
        <v>68</v>
      </c>
      <c r="C1374" s="5" t="s">
        <v>69</v>
      </c>
      <c r="D1374" s="5" t="s">
        <v>2614</v>
      </c>
      <c r="E1374" s="7" t="s">
        <v>6549</v>
      </c>
      <c r="F1374" s="5" t="s">
        <v>6403</v>
      </c>
      <c r="G1374" s="5" t="s">
        <v>6527</v>
      </c>
      <c r="H1374" s="5">
        <v>2007.0</v>
      </c>
      <c r="I1374" s="5">
        <v>0.0</v>
      </c>
      <c r="J1374" s="5">
        <v>0.0</v>
      </c>
      <c r="K1374" s="5">
        <v>6.0</v>
      </c>
      <c r="L1374" s="54"/>
      <c r="M1374" s="5" t="s">
        <v>6554</v>
      </c>
      <c r="N1374" s="53" t="s">
        <v>2700</v>
      </c>
      <c r="O1374">
        <v>35.508622</v>
      </c>
      <c r="P1374">
        <v>12.59292</v>
      </c>
      <c r="Q1374" s="5" t="s">
        <v>669</v>
      </c>
      <c r="R1374" s="10">
        <f t="shared" si="10"/>
        <v>3843</v>
      </c>
      <c r="S1374" s="5" t="s">
        <v>6551</v>
      </c>
      <c r="T1374" s="6" t="s">
        <v>2130</v>
      </c>
      <c r="U1374" s="5" t="s">
        <v>2326</v>
      </c>
      <c r="V1374" s="5" t="s">
        <v>6555</v>
      </c>
    </row>
    <row r="1375" ht="12.75" customHeight="1">
      <c r="A1375" s="5">
        <v>34744.0</v>
      </c>
      <c r="B1375" s="5" t="s">
        <v>1773</v>
      </c>
      <c r="C1375" s="5" t="s">
        <v>124</v>
      </c>
      <c r="D1375" s="5" t="s">
        <v>2852</v>
      </c>
      <c r="E1375" s="7" t="s">
        <v>6549</v>
      </c>
      <c r="F1375" s="5" t="s">
        <v>6403</v>
      </c>
      <c r="G1375" s="5" t="s">
        <v>6527</v>
      </c>
      <c r="H1375" s="5">
        <v>2007.0</v>
      </c>
      <c r="I1375" s="5">
        <v>0.0</v>
      </c>
      <c r="J1375" s="5">
        <v>0.0</v>
      </c>
      <c r="K1375" s="5">
        <v>1.0</v>
      </c>
      <c r="L1375" s="54"/>
      <c r="M1375" s="5" t="s">
        <v>6556</v>
      </c>
      <c r="N1375" s="53" t="s">
        <v>6557</v>
      </c>
      <c r="O1375">
        <v>46.198392</v>
      </c>
      <c r="P1375">
        <v>6.142296</v>
      </c>
      <c r="Q1375" s="5" t="s">
        <v>1345</v>
      </c>
      <c r="R1375" s="10">
        <f t="shared" si="10"/>
        <v>3</v>
      </c>
      <c r="S1375" s="5" t="s">
        <v>6558</v>
      </c>
      <c r="T1375" s="5"/>
      <c r="U1375" s="5" t="s">
        <v>6559</v>
      </c>
      <c r="V1375" s="5"/>
    </row>
    <row r="1376" ht="12.75" customHeight="1">
      <c r="A1376" s="5">
        <v>34746.0</v>
      </c>
      <c r="B1376" s="5" t="s">
        <v>49</v>
      </c>
      <c r="C1376" s="52" t="s">
        <v>50</v>
      </c>
      <c r="D1376" s="5" t="s">
        <v>2852</v>
      </c>
      <c r="E1376" s="7" t="s">
        <v>6560</v>
      </c>
      <c r="F1376" s="5" t="s">
        <v>6403</v>
      </c>
      <c r="G1376" s="5" t="s">
        <v>6527</v>
      </c>
      <c r="H1376" s="5">
        <v>2007.0</v>
      </c>
      <c r="I1376" s="5">
        <v>0.0</v>
      </c>
      <c r="J1376" s="5">
        <v>0.0</v>
      </c>
      <c r="K1376" s="5">
        <v>3.0</v>
      </c>
      <c r="L1376" s="54"/>
      <c r="M1376" s="5" t="s">
        <v>6561</v>
      </c>
      <c r="N1376" s="53" t="s">
        <v>6562</v>
      </c>
      <c r="O1376">
        <v>38.32981</v>
      </c>
      <c r="P1376">
        <v>26.314921</v>
      </c>
      <c r="Q1376" s="5" t="s">
        <v>1015</v>
      </c>
      <c r="R1376" s="10">
        <f t="shared" si="10"/>
        <v>66</v>
      </c>
      <c r="S1376" s="5" t="s">
        <v>6563</v>
      </c>
      <c r="T1376" s="6" t="s">
        <v>53</v>
      </c>
      <c r="U1376" s="5" t="s">
        <v>3128</v>
      </c>
      <c r="V1376" s="5"/>
    </row>
    <row r="1377" ht="12.75" customHeight="1">
      <c r="A1377" s="5">
        <v>34748.0</v>
      </c>
      <c r="B1377" s="5" t="s">
        <v>68</v>
      </c>
      <c r="C1377" s="5" t="s">
        <v>69</v>
      </c>
      <c r="D1377" s="5" t="s">
        <v>2614</v>
      </c>
      <c r="E1377" s="7" t="s">
        <v>6564</v>
      </c>
      <c r="F1377" s="5" t="s">
        <v>6403</v>
      </c>
      <c r="G1377" s="5" t="s">
        <v>6527</v>
      </c>
      <c r="H1377" s="5">
        <v>2007.0</v>
      </c>
      <c r="I1377" s="5">
        <v>0.0</v>
      </c>
      <c r="J1377" s="5">
        <v>0.0</v>
      </c>
      <c r="K1377" s="5">
        <v>1.0</v>
      </c>
      <c r="L1377" s="54"/>
      <c r="M1377" s="5" t="s">
        <v>6565</v>
      </c>
      <c r="N1377" s="53" t="s">
        <v>3733</v>
      </c>
      <c r="O1377">
        <v>35.85</v>
      </c>
      <c r="P1377">
        <v>-0.316667</v>
      </c>
      <c r="Q1377" s="5" t="s">
        <v>708</v>
      </c>
      <c r="R1377" s="10">
        <f t="shared" si="10"/>
        <v>81</v>
      </c>
      <c r="S1377" s="5" t="s">
        <v>6566</v>
      </c>
      <c r="T1377" s="6" t="s">
        <v>72</v>
      </c>
      <c r="U1377" s="5" t="s">
        <v>5920</v>
      </c>
      <c r="V1377" s="5" t="s">
        <v>6567</v>
      </c>
    </row>
    <row r="1378" ht="12.75" customHeight="1">
      <c r="A1378" s="5">
        <v>34749.0</v>
      </c>
      <c r="B1378" s="5" t="s">
        <v>49</v>
      </c>
      <c r="C1378" s="52" t="s">
        <v>50</v>
      </c>
      <c r="D1378" s="5" t="s">
        <v>2852</v>
      </c>
      <c r="E1378" s="7" t="s">
        <v>6564</v>
      </c>
      <c r="F1378" s="5" t="s">
        <v>6403</v>
      </c>
      <c r="G1378" s="5" t="s">
        <v>6527</v>
      </c>
      <c r="H1378" s="5">
        <v>2007.0</v>
      </c>
      <c r="I1378" s="5">
        <v>0.0</v>
      </c>
      <c r="J1378" s="5">
        <v>0.0</v>
      </c>
      <c r="K1378" s="5">
        <v>14.0</v>
      </c>
      <c r="L1378" s="54"/>
      <c r="M1378" s="5" t="s">
        <v>6568</v>
      </c>
      <c r="N1378" s="53" t="s">
        <v>2844</v>
      </c>
      <c r="O1378">
        <v>38.370981</v>
      </c>
      <c r="P1378">
        <v>26.136346</v>
      </c>
      <c r="Q1378" s="5" t="s">
        <v>1020</v>
      </c>
      <c r="R1378" s="10">
        <f t="shared" si="10"/>
        <v>31</v>
      </c>
      <c r="S1378" s="5" t="s">
        <v>6569</v>
      </c>
      <c r="T1378" s="6" t="s">
        <v>53</v>
      </c>
      <c r="U1378" s="5" t="s">
        <v>3128</v>
      </c>
      <c r="V1378" s="5" t="s">
        <v>6570</v>
      </c>
    </row>
    <row r="1379" ht="12.75" customHeight="1">
      <c r="A1379" s="5">
        <v>34747.0</v>
      </c>
      <c r="B1379" s="5" t="s">
        <v>68</v>
      </c>
      <c r="C1379" s="5" t="s">
        <v>69</v>
      </c>
      <c r="D1379" s="5" t="s">
        <v>2614</v>
      </c>
      <c r="E1379" s="7" t="s">
        <v>6564</v>
      </c>
      <c r="F1379" s="5" t="s">
        <v>6403</v>
      </c>
      <c r="G1379" s="5" t="s">
        <v>6527</v>
      </c>
      <c r="H1379" s="5">
        <v>2007.0</v>
      </c>
      <c r="I1379" s="5">
        <v>0.0</v>
      </c>
      <c r="J1379" s="5">
        <v>0.0</v>
      </c>
      <c r="K1379" s="5">
        <v>45.0</v>
      </c>
      <c r="L1379" s="54"/>
      <c r="M1379" s="5" t="s">
        <v>6571</v>
      </c>
      <c r="N1379" s="53" t="s">
        <v>3548</v>
      </c>
      <c r="O1379">
        <v>42.434479</v>
      </c>
      <c r="P1379">
        <v>9.137443</v>
      </c>
      <c r="Q1379" s="5" t="s">
        <v>1253</v>
      </c>
      <c r="R1379" s="10">
        <f t="shared" si="10"/>
        <v>52</v>
      </c>
      <c r="S1379" s="5" t="s">
        <v>6572</v>
      </c>
      <c r="T1379" s="5"/>
      <c r="U1379" s="5" t="s">
        <v>3388</v>
      </c>
      <c r="V1379" s="5" t="s">
        <v>6573</v>
      </c>
    </row>
    <row r="1380" ht="12.75" customHeight="1">
      <c r="A1380" s="5">
        <v>34754.0</v>
      </c>
      <c r="B1380" s="5" t="s">
        <v>491</v>
      </c>
      <c r="C1380" s="52" t="s">
        <v>50</v>
      </c>
      <c r="D1380" s="5" t="s">
        <v>2852</v>
      </c>
      <c r="E1380" s="7" t="s">
        <v>6574</v>
      </c>
      <c r="F1380" s="5" t="s">
        <v>6403</v>
      </c>
      <c r="G1380" s="5" t="s">
        <v>6527</v>
      </c>
      <c r="H1380" s="5">
        <v>2007.0</v>
      </c>
      <c r="I1380" s="5">
        <v>0.0</v>
      </c>
      <c r="J1380" s="5">
        <v>0.0</v>
      </c>
      <c r="K1380" s="5">
        <v>11.0</v>
      </c>
      <c r="L1380" s="54"/>
      <c r="M1380" s="5" t="s">
        <v>6575</v>
      </c>
      <c r="N1380" s="53" t="s">
        <v>4941</v>
      </c>
      <c r="O1380">
        <v>28.291564</v>
      </c>
      <c r="P1380">
        <v>-16.62913</v>
      </c>
      <c r="Q1380" s="5" t="s">
        <v>382</v>
      </c>
      <c r="R1380" s="10">
        <f t="shared" si="10"/>
        <v>1120</v>
      </c>
      <c r="S1380" s="5" t="s">
        <v>6576</v>
      </c>
      <c r="T1380" s="5" t="s">
        <v>1040</v>
      </c>
      <c r="U1380" s="5" t="s">
        <v>6577</v>
      </c>
      <c r="V1380" s="5" t="s">
        <v>6578</v>
      </c>
    </row>
    <row r="1381" ht="12.75" customHeight="1">
      <c r="A1381" s="5">
        <v>34751.0</v>
      </c>
      <c r="B1381" s="5" t="s">
        <v>2921</v>
      </c>
      <c r="C1381" s="52" t="s">
        <v>50</v>
      </c>
      <c r="D1381" s="5" t="s">
        <v>2852</v>
      </c>
      <c r="E1381" s="7" t="s">
        <v>6574</v>
      </c>
      <c r="F1381" s="5" t="s">
        <v>6403</v>
      </c>
      <c r="G1381" s="5" t="s">
        <v>6527</v>
      </c>
      <c r="H1381" s="5">
        <v>2007.0</v>
      </c>
      <c r="I1381" s="5">
        <v>0.0</v>
      </c>
      <c r="J1381" s="5">
        <v>0.0</v>
      </c>
      <c r="K1381" s="5">
        <v>1.0</v>
      </c>
      <c r="L1381" s="54"/>
      <c r="M1381" s="5" t="s">
        <v>6579</v>
      </c>
      <c r="N1381" s="53" t="s">
        <v>5367</v>
      </c>
      <c r="O1381">
        <v>28.291564</v>
      </c>
      <c r="P1381">
        <v>-16.62913</v>
      </c>
      <c r="Q1381" s="5" t="s">
        <v>382</v>
      </c>
      <c r="R1381" s="10">
        <f t="shared" si="10"/>
        <v>1120</v>
      </c>
      <c r="S1381" s="5" t="s">
        <v>6580</v>
      </c>
      <c r="T1381" s="5" t="s">
        <v>1040</v>
      </c>
      <c r="U1381" s="5" t="s">
        <v>6577</v>
      </c>
      <c r="V1381" s="5"/>
    </row>
    <row r="1382" ht="12.75" customHeight="1">
      <c r="A1382" s="5">
        <v>34750.0</v>
      </c>
      <c r="B1382" s="5" t="s">
        <v>491</v>
      </c>
      <c r="C1382" s="52" t="s">
        <v>50</v>
      </c>
      <c r="D1382" s="5" t="s">
        <v>2852</v>
      </c>
      <c r="E1382" s="7" t="s">
        <v>6574</v>
      </c>
      <c r="F1382" s="5" t="s">
        <v>6403</v>
      </c>
      <c r="G1382" s="5" t="s">
        <v>6527</v>
      </c>
      <c r="H1382" s="5">
        <v>2007.0</v>
      </c>
      <c r="I1382" s="5">
        <v>0.0</v>
      </c>
      <c r="J1382" s="5">
        <v>0.0</v>
      </c>
      <c r="K1382" s="5">
        <v>13.0</v>
      </c>
      <c r="L1382" s="54"/>
      <c r="M1382" s="5" t="s">
        <v>6581</v>
      </c>
      <c r="N1382" s="53" t="s">
        <v>4941</v>
      </c>
      <c r="O1382">
        <v>28.291564</v>
      </c>
      <c r="P1382">
        <v>-16.62913</v>
      </c>
      <c r="Q1382" s="5" t="s">
        <v>382</v>
      </c>
      <c r="R1382" s="10">
        <f t="shared" si="10"/>
        <v>1120</v>
      </c>
      <c r="S1382" s="5" t="s">
        <v>6576</v>
      </c>
      <c r="T1382" s="5" t="s">
        <v>1040</v>
      </c>
      <c r="U1382" s="5" t="s">
        <v>6582</v>
      </c>
      <c r="V1382" s="5"/>
    </row>
    <row r="1383" ht="12.75" customHeight="1">
      <c r="A1383" s="5">
        <v>34752.0</v>
      </c>
      <c r="B1383" s="5" t="s">
        <v>491</v>
      </c>
      <c r="C1383" s="52" t="s">
        <v>50</v>
      </c>
      <c r="D1383" s="5" t="s">
        <v>2852</v>
      </c>
      <c r="E1383" s="7" t="s">
        <v>6574</v>
      </c>
      <c r="F1383" s="5" t="s">
        <v>6403</v>
      </c>
      <c r="G1383" s="5" t="s">
        <v>6527</v>
      </c>
      <c r="H1383" s="5">
        <v>2007.0</v>
      </c>
      <c r="I1383" s="5">
        <v>0.0</v>
      </c>
      <c r="J1383" s="5">
        <v>0.0</v>
      </c>
      <c r="K1383" s="5">
        <v>6.0</v>
      </c>
      <c r="L1383" s="54"/>
      <c r="M1383" s="5" t="s">
        <v>6583</v>
      </c>
      <c r="N1383" s="53" t="s">
        <v>2700</v>
      </c>
      <c r="O1383">
        <v>35.508622</v>
      </c>
      <c r="P1383">
        <v>12.59292</v>
      </c>
      <c r="Q1383" s="5" t="s">
        <v>669</v>
      </c>
      <c r="R1383" s="10">
        <f t="shared" si="10"/>
        <v>3843</v>
      </c>
      <c r="S1383" s="5" t="s">
        <v>6584</v>
      </c>
      <c r="T1383" s="6" t="s">
        <v>2130</v>
      </c>
      <c r="U1383" s="5" t="s">
        <v>6585</v>
      </c>
      <c r="V1383" s="5" t="s">
        <v>6586</v>
      </c>
    </row>
    <row r="1384" ht="12.75" customHeight="1">
      <c r="A1384" s="5">
        <v>34753.0</v>
      </c>
      <c r="B1384" s="5" t="s">
        <v>491</v>
      </c>
      <c r="C1384" s="52" t="s">
        <v>50</v>
      </c>
      <c r="D1384" s="5" t="s">
        <v>2852</v>
      </c>
      <c r="E1384" s="7" t="s">
        <v>6574</v>
      </c>
      <c r="F1384" s="5" t="s">
        <v>6403</v>
      </c>
      <c r="G1384" s="5" t="s">
        <v>6527</v>
      </c>
      <c r="H1384" s="5">
        <v>2007.0</v>
      </c>
      <c r="I1384" s="5">
        <v>0.0</v>
      </c>
      <c r="J1384" s="5">
        <v>0.0</v>
      </c>
      <c r="K1384" s="5">
        <v>1.0</v>
      </c>
      <c r="L1384" s="54"/>
      <c r="M1384" s="5" t="s">
        <v>6587</v>
      </c>
      <c r="N1384" s="53" t="s">
        <v>5387</v>
      </c>
      <c r="O1384">
        <v>37.931706</v>
      </c>
      <c r="P1384">
        <v>-0.660553</v>
      </c>
      <c r="Q1384" s="5" t="s">
        <v>964</v>
      </c>
      <c r="R1384" s="10">
        <f t="shared" si="10"/>
        <v>19</v>
      </c>
      <c r="S1384" s="5" t="s">
        <v>6588</v>
      </c>
      <c r="T1384" s="6" t="s">
        <v>72</v>
      </c>
      <c r="U1384" s="5" t="s">
        <v>6577</v>
      </c>
      <c r="V1384" s="5"/>
    </row>
    <row r="1385" ht="12.75" customHeight="1">
      <c r="A1385" s="5">
        <v>63125.0</v>
      </c>
      <c r="B1385" s="5" t="s">
        <v>41</v>
      </c>
      <c r="C1385" s="5" t="s">
        <v>42</v>
      </c>
      <c r="D1385" s="5"/>
      <c r="E1385" s="7" t="s">
        <v>6574</v>
      </c>
      <c r="F1385" s="5" t="s">
        <v>6403</v>
      </c>
      <c r="G1385" s="5" t="s">
        <v>6527</v>
      </c>
      <c r="H1385" s="5">
        <v>2007.0</v>
      </c>
      <c r="I1385" s="5">
        <v>1.0</v>
      </c>
      <c r="J1385" s="5">
        <v>0.0</v>
      </c>
      <c r="K1385" s="5">
        <v>1.0</v>
      </c>
      <c r="L1385" s="54"/>
      <c r="M1385" s="5" t="s">
        <v>6589</v>
      </c>
      <c r="N1385" s="53" t="s">
        <v>6590</v>
      </c>
      <c r="O1385">
        <v>41.036944</v>
      </c>
      <c r="P1385">
        <v>28.9775</v>
      </c>
      <c r="Q1385" s="5" t="s">
        <v>1186</v>
      </c>
      <c r="R1385" s="10">
        <f t="shared" si="10"/>
        <v>1</v>
      </c>
      <c r="S1385" s="5" t="s">
        <v>6591</v>
      </c>
      <c r="T1385" s="5"/>
      <c r="U1385" s="5" t="s">
        <v>6592</v>
      </c>
      <c r="V1385" s="5"/>
    </row>
    <row r="1386" ht="12.75" customHeight="1">
      <c r="A1386" s="5">
        <v>34755.0</v>
      </c>
      <c r="B1386" s="5" t="s">
        <v>1773</v>
      </c>
      <c r="C1386" s="5" t="s">
        <v>124</v>
      </c>
      <c r="D1386" s="5" t="s">
        <v>2852</v>
      </c>
      <c r="E1386" s="7" t="s">
        <v>6593</v>
      </c>
      <c r="F1386" s="5" t="s">
        <v>6403</v>
      </c>
      <c r="G1386" s="5" t="s">
        <v>6527</v>
      </c>
      <c r="H1386" s="5">
        <v>2007.0</v>
      </c>
      <c r="I1386" s="5">
        <v>0.0</v>
      </c>
      <c r="J1386" s="5">
        <v>0.0</v>
      </c>
      <c r="K1386" s="5">
        <v>1.0</v>
      </c>
      <c r="L1386" s="54"/>
      <c r="M1386" s="5" t="s">
        <v>6594</v>
      </c>
      <c r="N1386" s="53" t="s">
        <v>6595</v>
      </c>
      <c r="O1386">
        <v>40.63935</v>
      </c>
      <c r="P1386">
        <v>22.944606</v>
      </c>
      <c r="Q1386" s="5" t="s">
        <v>1157</v>
      </c>
      <c r="R1386" s="10">
        <f t="shared" si="10"/>
        <v>12</v>
      </c>
      <c r="S1386" s="5" t="s">
        <v>6596</v>
      </c>
      <c r="T1386" s="6" t="s">
        <v>53</v>
      </c>
      <c r="U1386" s="5" t="s">
        <v>6597</v>
      </c>
      <c r="V1386" s="5"/>
    </row>
    <row r="1387" ht="12.75" customHeight="1">
      <c r="A1387" s="5">
        <v>34756.0</v>
      </c>
      <c r="B1387" s="5" t="s">
        <v>2552</v>
      </c>
      <c r="C1387" s="52" t="s">
        <v>50</v>
      </c>
      <c r="D1387" s="5" t="s">
        <v>2852</v>
      </c>
      <c r="E1387" s="7" t="s">
        <v>6598</v>
      </c>
      <c r="F1387" s="5" t="s">
        <v>6403</v>
      </c>
      <c r="G1387" s="5" t="s">
        <v>6527</v>
      </c>
      <c r="H1387" s="5">
        <v>2007.0</v>
      </c>
      <c r="I1387" s="5">
        <v>0.0</v>
      </c>
      <c r="J1387" s="5">
        <v>0.0</v>
      </c>
      <c r="K1387" s="5">
        <v>1.0</v>
      </c>
      <c r="L1387" s="54"/>
      <c r="M1387" s="5" t="s">
        <v>6599</v>
      </c>
      <c r="N1387" s="53" t="s">
        <v>5367</v>
      </c>
      <c r="O1387">
        <v>28.291564</v>
      </c>
      <c r="P1387">
        <v>-16.62913</v>
      </c>
      <c r="Q1387" s="5" t="s">
        <v>382</v>
      </c>
      <c r="R1387" s="10">
        <f t="shared" si="10"/>
        <v>1120</v>
      </c>
      <c r="S1387" s="5" t="s">
        <v>6600</v>
      </c>
      <c r="T1387" s="5" t="s">
        <v>1040</v>
      </c>
      <c r="U1387" s="5" t="s">
        <v>6601</v>
      </c>
      <c r="V1387" s="5"/>
    </row>
    <row r="1388" ht="12.75" customHeight="1">
      <c r="A1388" s="5">
        <v>34757.0</v>
      </c>
      <c r="B1388" s="5" t="s">
        <v>491</v>
      </c>
      <c r="C1388" s="52" t="s">
        <v>50</v>
      </c>
      <c r="D1388" s="5" t="s">
        <v>2852</v>
      </c>
      <c r="E1388" s="7" t="s">
        <v>6598</v>
      </c>
      <c r="F1388" s="5" t="s">
        <v>6403</v>
      </c>
      <c r="G1388" s="5" t="s">
        <v>6527</v>
      </c>
      <c r="H1388" s="5">
        <v>2007.0</v>
      </c>
      <c r="I1388" s="5">
        <v>0.0</v>
      </c>
      <c r="J1388" s="5">
        <v>0.0</v>
      </c>
      <c r="K1388" s="5">
        <v>13.0</v>
      </c>
      <c r="L1388" s="54"/>
      <c r="M1388" s="5" t="s">
        <v>6602</v>
      </c>
      <c r="N1388" s="53" t="s">
        <v>5814</v>
      </c>
      <c r="O1388">
        <v>28.358744</v>
      </c>
      <c r="P1388">
        <v>-14.053676</v>
      </c>
      <c r="Q1388" s="5" t="s">
        <v>390</v>
      </c>
      <c r="R1388" s="10">
        <f t="shared" si="10"/>
        <v>488</v>
      </c>
      <c r="S1388" s="5" t="s">
        <v>6603</v>
      </c>
      <c r="T1388" s="5" t="s">
        <v>1040</v>
      </c>
      <c r="U1388" s="5" t="s">
        <v>6604</v>
      </c>
      <c r="V1388" s="5"/>
    </row>
    <row r="1389" ht="12.75" customHeight="1">
      <c r="A1389" s="5">
        <v>34758.0</v>
      </c>
      <c r="B1389" s="5" t="s">
        <v>49</v>
      </c>
      <c r="C1389" s="52" t="s">
        <v>50</v>
      </c>
      <c r="D1389" s="5" t="s">
        <v>2852</v>
      </c>
      <c r="E1389" s="7" t="s">
        <v>6605</v>
      </c>
      <c r="F1389" s="5" t="s">
        <v>6403</v>
      </c>
      <c r="G1389" s="5" t="s">
        <v>6527</v>
      </c>
      <c r="H1389" s="5">
        <v>2007.0</v>
      </c>
      <c r="I1389" s="5">
        <v>0.0</v>
      </c>
      <c r="J1389" s="5">
        <v>0.0</v>
      </c>
      <c r="K1389" s="5">
        <v>11.0</v>
      </c>
      <c r="L1389" s="54"/>
      <c r="M1389" s="5" t="s">
        <v>6606</v>
      </c>
      <c r="N1389" s="53" t="s">
        <v>3014</v>
      </c>
      <c r="O1389">
        <v>38.41885</v>
      </c>
      <c r="P1389">
        <v>27.12872</v>
      </c>
      <c r="Q1389" s="5" t="s">
        <v>1022</v>
      </c>
      <c r="R1389" s="10">
        <f t="shared" si="10"/>
        <v>152</v>
      </c>
      <c r="S1389" s="5" t="s">
        <v>6607</v>
      </c>
      <c r="T1389" s="6" t="s">
        <v>53</v>
      </c>
      <c r="U1389" s="5" t="s">
        <v>3128</v>
      </c>
      <c r="V1389" s="5" t="s">
        <v>6608</v>
      </c>
    </row>
    <row r="1390" ht="12.75" customHeight="1">
      <c r="A1390" s="5">
        <v>34760.0</v>
      </c>
      <c r="B1390" s="5" t="s">
        <v>68</v>
      </c>
      <c r="C1390" s="5" t="s">
        <v>69</v>
      </c>
      <c r="D1390" s="5" t="s">
        <v>2852</v>
      </c>
      <c r="E1390" s="7" t="s">
        <v>6609</v>
      </c>
      <c r="F1390" s="5" t="s">
        <v>6403</v>
      </c>
      <c r="G1390" s="5" t="s">
        <v>6527</v>
      </c>
      <c r="H1390" s="5">
        <v>2007.0</v>
      </c>
      <c r="I1390" s="5">
        <v>0.0</v>
      </c>
      <c r="J1390" s="5">
        <v>0.0</v>
      </c>
      <c r="K1390" s="5">
        <v>14.0</v>
      </c>
      <c r="L1390" s="54"/>
      <c r="M1390" s="5" t="s">
        <v>6610</v>
      </c>
      <c r="N1390" s="53" t="s">
        <v>2700</v>
      </c>
      <c r="O1390">
        <v>35.508622</v>
      </c>
      <c r="P1390">
        <v>12.59292</v>
      </c>
      <c r="Q1390" s="5" t="s">
        <v>669</v>
      </c>
      <c r="R1390" s="10">
        <f t="shared" si="10"/>
        <v>3843</v>
      </c>
      <c r="S1390" s="5" t="s">
        <v>6611</v>
      </c>
      <c r="T1390" s="6" t="s">
        <v>2130</v>
      </c>
      <c r="U1390" s="5" t="s">
        <v>6612</v>
      </c>
      <c r="V1390" s="5"/>
    </row>
    <row r="1391" ht="12.75" customHeight="1">
      <c r="A1391" s="5">
        <v>34759.0</v>
      </c>
      <c r="B1391" s="5" t="s">
        <v>68</v>
      </c>
      <c r="C1391" s="5" t="s">
        <v>69</v>
      </c>
      <c r="D1391" s="5" t="s">
        <v>2852</v>
      </c>
      <c r="E1391" s="7" t="s">
        <v>6609</v>
      </c>
      <c r="F1391" s="5" t="s">
        <v>6403</v>
      </c>
      <c r="G1391" s="5" t="s">
        <v>6527</v>
      </c>
      <c r="H1391" s="5">
        <v>2007.0</v>
      </c>
      <c r="I1391" s="5">
        <v>0.0</v>
      </c>
      <c r="J1391" s="5">
        <v>0.0</v>
      </c>
      <c r="K1391" s="5">
        <v>15.0</v>
      </c>
      <c r="L1391" s="54"/>
      <c r="M1391" s="5" t="s">
        <v>6613</v>
      </c>
      <c r="N1391" s="53" t="s">
        <v>2700</v>
      </c>
      <c r="O1391">
        <v>35.508622</v>
      </c>
      <c r="P1391">
        <v>12.59292</v>
      </c>
      <c r="Q1391" s="5" t="s">
        <v>669</v>
      </c>
      <c r="R1391" s="10">
        <f t="shared" si="10"/>
        <v>3843</v>
      </c>
      <c r="S1391" s="5" t="s">
        <v>6611</v>
      </c>
      <c r="T1391" s="6" t="s">
        <v>2130</v>
      </c>
      <c r="U1391" s="5" t="s">
        <v>3128</v>
      </c>
      <c r="V1391" s="5" t="s">
        <v>6614</v>
      </c>
    </row>
    <row r="1392" ht="12.75" customHeight="1">
      <c r="A1392" s="5">
        <v>34761.0</v>
      </c>
      <c r="B1392" s="5" t="s">
        <v>763</v>
      </c>
      <c r="C1392" s="5" t="s">
        <v>124</v>
      </c>
      <c r="D1392" s="5" t="s">
        <v>2852</v>
      </c>
      <c r="E1392" s="7" t="s">
        <v>6609</v>
      </c>
      <c r="F1392" s="5" t="s">
        <v>6403</v>
      </c>
      <c r="G1392" s="5" t="s">
        <v>6527</v>
      </c>
      <c r="H1392" s="5">
        <v>2007.0</v>
      </c>
      <c r="I1392" s="5">
        <v>0.0</v>
      </c>
      <c r="J1392" s="5">
        <v>0.0</v>
      </c>
      <c r="K1392" s="5">
        <v>2.0</v>
      </c>
      <c r="L1392" s="54"/>
      <c r="M1392" s="5" t="s">
        <v>6615</v>
      </c>
      <c r="N1392" s="53" t="s">
        <v>6616</v>
      </c>
      <c r="O1392">
        <v>41.025869</v>
      </c>
      <c r="P1392">
        <v>33.189515</v>
      </c>
      <c r="Q1392" s="5" t="s">
        <v>1183</v>
      </c>
      <c r="R1392" s="10">
        <f t="shared" si="10"/>
        <v>2</v>
      </c>
      <c r="S1392" s="5" t="s">
        <v>6617</v>
      </c>
      <c r="T1392" s="5"/>
      <c r="U1392" s="5" t="s">
        <v>6618</v>
      </c>
      <c r="V1392" s="5" t="s">
        <v>6619</v>
      </c>
    </row>
    <row r="1393" ht="12.75" customHeight="1">
      <c r="A1393" s="5">
        <v>34763.0</v>
      </c>
      <c r="B1393" s="5" t="s">
        <v>49</v>
      </c>
      <c r="C1393" s="52" t="s">
        <v>50</v>
      </c>
      <c r="D1393" s="5" t="s">
        <v>2852</v>
      </c>
      <c r="E1393" s="7" t="s">
        <v>6620</v>
      </c>
      <c r="F1393" s="5" t="s">
        <v>6403</v>
      </c>
      <c r="G1393" s="5" t="s">
        <v>6527</v>
      </c>
      <c r="H1393" s="5">
        <v>2007.0</v>
      </c>
      <c r="I1393" s="5">
        <v>0.0</v>
      </c>
      <c r="J1393" s="5">
        <v>0.0</v>
      </c>
      <c r="K1393" s="5">
        <v>19.0</v>
      </c>
      <c r="L1393" s="54"/>
      <c r="M1393" s="5" t="s">
        <v>6621</v>
      </c>
      <c r="N1393" s="53" t="s">
        <v>2944</v>
      </c>
      <c r="O1393">
        <v>-12.8275</v>
      </c>
      <c r="P1393">
        <v>45.166244</v>
      </c>
      <c r="Q1393" s="5" t="s">
        <v>228</v>
      </c>
      <c r="R1393" s="10">
        <f t="shared" si="10"/>
        <v>757</v>
      </c>
      <c r="S1393" s="5" t="s">
        <v>6622</v>
      </c>
      <c r="T1393" s="5"/>
      <c r="U1393" s="5" t="s">
        <v>6623</v>
      </c>
      <c r="V1393" s="5"/>
    </row>
    <row r="1394" ht="12.75" customHeight="1">
      <c r="A1394" s="5">
        <v>34762.0</v>
      </c>
      <c r="B1394" s="5" t="s">
        <v>49</v>
      </c>
      <c r="C1394" s="52" t="s">
        <v>50</v>
      </c>
      <c r="D1394" s="5" t="s">
        <v>2852</v>
      </c>
      <c r="E1394" s="7" t="s">
        <v>6620</v>
      </c>
      <c r="F1394" s="5" t="s">
        <v>6403</v>
      </c>
      <c r="G1394" s="5" t="s">
        <v>6527</v>
      </c>
      <c r="H1394" s="5">
        <v>2007.0</v>
      </c>
      <c r="I1394" s="5">
        <v>0.0</v>
      </c>
      <c r="J1394" s="5">
        <v>0.0</v>
      </c>
      <c r="K1394" s="5">
        <v>17.0</v>
      </c>
      <c r="L1394" s="54"/>
      <c r="M1394" s="5" t="s">
        <v>6624</v>
      </c>
      <c r="N1394" s="53" t="s">
        <v>2944</v>
      </c>
      <c r="O1394">
        <v>-12.8275</v>
      </c>
      <c r="P1394">
        <v>45.166244</v>
      </c>
      <c r="Q1394" s="5" t="s">
        <v>228</v>
      </c>
      <c r="R1394" s="10">
        <f t="shared" si="10"/>
        <v>757</v>
      </c>
      <c r="S1394" s="5" t="s">
        <v>6622</v>
      </c>
      <c r="T1394" s="5"/>
      <c r="U1394" s="5" t="s">
        <v>6623</v>
      </c>
      <c r="V1394" s="5" t="s">
        <v>6625</v>
      </c>
    </row>
    <row r="1395" ht="12.75" customHeight="1">
      <c r="A1395" s="5">
        <v>34766.0</v>
      </c>
      <c r="B1395" s="5" t="s">
        <v>68</v>
      </c>
      <c r="C1395" s="5" t="s">
        <v>69</v>
      </c>
      <c r="D1395" s="5" t="s">
        <v>2852</v>
      </c>
      <c r="E1395" s="7" t="s">
        <v>6626</v>
      </c>
      <c r="F1395" s="5" t="s">
        <v>6403</v>
      </c>
      <c r="G1395" s="5" t="s">
        <v>6527</v>
      </c>
      <c r="H1395" s="5">
        <v>2007.0</v>
      </c>
      <c r="I1395" s="5">
        <v>0.0</v>
      </c>
      <c r="J1395" s="5">
        <v>0.0</v>
      </c>
      <c r="K1395" s="5">
        <v>1.0</v>
      </c>
      <c r="L1395" s="54"/>
      <c r="M1395" s="5" t="s">
        <v>6627</v>
      </c>
      <c r="N1395" s="53" t="s">
        <v>5160</v>
      </c>
      <c r="O1395">
        <v>14.764504</v>
      </c>
      <c r="P1395">
        <v>-17.366029</v>
      </c>
      <c r="Q1395" s="5" t="s">
        <v>266</v>
      </c>
      <c r="R1395" s="10">
        <f t="shared" si="10"/>
        <v>133</v>
      </c>
      <c r="S1395" s="5" t="s">
        <v>6628</v>
      </c>
      <c r="T1395" s="5" t="s">
        <v>1040</v>
      </c>
      <c r="U1395" s="5" t="s">
        <v>6629</v>
      </c>
      <c r="V1395" s="5"/>
    </row>
    <row r="1396" ht="12.75" customHeight="1">
      <c r="A1396" s="5">
        <v>34764.0</v>
      </c>
      <c r="B1396" s="5" t="s">
        <v>49</v>
      </c>
      <c r="C1396" s="52" t="s">
        <v>50</v>
      </c>
      <c r="D1396" s="5" t="s">
        <v>2614</v>
      </c>
      <c r="E1396" s="7" t="s">
        <v>6626</v>
      </c>
      <c r="F1396" s="5" t="s">
        <v>6403</v>
      </c>
      <c r="G1396" s="5" t="s">
        <v>6527</v>
      </c>
      <c r="H1396" s="5">
        <v>2007.0</v>
      </c>
      <c r="I1396" s="5">
        <v>0.0</v>
      </c>
      <c r="J1396" s="5">
        <v>0.0</v>
      </c>
      <c r="K1396" s="5">
        <v>1.0</v>
      </c>
      <c r="L1396" s="54"/>
      <c r="M1396" s="5" t="s">
        <v>6630</v>
      </c>
      <c r="N1396" s="53" t="s">
        <v>2700</v>
      </c>
      <c r="O1396">
        <v>35.508622</v>
      </c>
      <c r="P1396">
        <v>12.59292</v>
      </c>
      <c r="Q1396" s="5" t="s">
        <v>669</v>
      </c>
      <c r="R1396" s="10">
        <f t="shared" si="10"/>
        <v>3843</v>
      </c>
      <c r="S1396" s="5" t="s">
        <v>6631</v>
      </c>
      <c r="T1396" s="6" t="s">
        <v>2130</v>
      </c>
      <c r="U1396" s="5" t="s">
        <v>3388</v>
      </c>
      <c r="V1396" s="5" t="s">
        <v>6632</v>
      </c>
    </row>
    <row r="1397" ht="12.75" customHeight="1">
      <c r="A1397" s="5">
        <v>34767.0</v>
      </c>
      <c r="B1397" s="5" t="s">
        <v>49</v>
      </c>
      <c r="C1397" s="52" t="s">
        <v>50</v>
      </c>
      <c r="D1397" s="5" t="s">
        <v>2852</v>
      </c>
      <c r="E1397" s="7" t="s">
        <v>6626</v>
      </c>
      <c r="F1397" s="5" t="s">
        <v>6403</v>
      </c>
      <c r="G1397" s="5" t="s">
        <v>6527</v>
      </c>
      <c r="H1397" s="5">
        <v>2007.0</v>
      </c>
      <c r="I1397" s="5">
        <v>0.0</v>
      </c>
      <c r="J1397" s="5">
        <v>0.0</v>
      </c>
      <c r="K1397" s="5">
        <v>1.0</v>
      </c>
      <c r="L1397" s="54"/>
      <c r="M1397" s="5" t="s">
        <v>6633</v>
      </c>
      <c r="N1397" s="53" t="s">
        <v>6634</v>
      </c>
      <c r="O1397">
        <v>36.142015</v>
      </c>
      <c r="P1397">
        <v>4.240723</v>
      </c>
      <c r="Q1397" s="5" t="s">
        <v>775</v>
      </c>
      <c r="R1397" s="10">
        <f t="shared" si="10"/>
        <v>1</v>
      </c>
      <c r="S1397" s="5" t="s">
        <v>6635</v>
      </c>
      <c r="T1397" s="6" t="s">
        <v>72</v>
      </c>
      <c r="U1397" s="5" t="s">
        <v>6636</v>
      </c>
      <c r="V1397" s="5"/>
    </row>
    <row r="1398" ht="12.75" customHeight="1">
      <c r="A1398" s="5">
        <v>34765.0</v>
      </c>
      <c r="B1398" s="5" t="s">
        <v>49</v>
      </c>
      <c r="C1398" s="52" t="s">
        <v>50</v>
      </c>
      <c r="D1398" s="5" t="s">
        <v>2852</v>
      </c>
      <c r="E1398" s="7" t="s">
        <v>6626</v>
      </c>
      <c r="F1398" s="5" t="s">
        <v>6403</v>
      </c>
      <c r="G1398" s="5" t="s">
        <v>6527</v>
      </c>
      <c r="H1398" s="5">
        <v>2007.0</v>
      </c>
      <c r="I1398" s="5">
        <v>0.0</v>
      </c>
      <c r="J1398" s="5">
        <v>0.0</v>
      </c>
      <c r="K1398" s="5">
        <v>86.0</v>
      </c>
      <c r="L1398" s="54"/>
      <c r="M1398" s="5" t="s">
        <v>6637</v>
      </c>
      <c r="N1398" s="53" t="s">
        <v>6638</v>
      </c>
      <c r="O1398">
        <v>38.2</v>
      </c>
      <c r="P1398">
        <v>26.833333</v>
      </c>
      <c r="Q1398" s="5" t="s">
        <v>1006</v>
      </c>
      <c r="R1398" s="10">
        <f t="shared" si="10"/>
        <v>137</v>
      </c>
      <c r="S1398" s="5" t="s">
        <v>6639</v>
      </c>
      <c r="T1398" s="6" t="s">
        <v>53</v>
      </c>
      <c r="U1398" s="5" t="s">
        <v>6640</v>
      </c>
      <c r="V1398" s="5"/>
    </row>
    <row r="1399" ht="12.75" customHeight="1">
      <c r="A1399" s="5">
        <v>34770.0</v>
      </c>
      <c r="B1399" s="5" t="s">
        <v>68</v>
      </c>
      <c r="C1399" s="5" t="s">
        <v>69</v>
      </c>
      <c r="D1399" s="5" t="s">
        <v>2614</v>
      </c>
      <c r="E1399" s="7" t="s">
        <v>6641</v>
      </c>
      <c r="F1399" s="5" t="s">
        <v>6403</v>
      </c>
      <c r="G1399" s="5" t="s">
        <v>6527</v>
      </c>
      <c r="H1399" s="5">
        <v>2007.0</v>
      </c>
      <c r="I1399" s="5">
        <v>0.0</v>
      </c>
      <c r="J1399" s="5">
        <v>0.0</v>
      </c>
      <c r="K1399" s="5">
        <v>1.0</v>
      </c>
      <c r="L1399" s="54"/>
      <c r="M1399" s="5" t="s">
        <v>6642</v>
      </c>
      <c r="N1399" s="53" t="s">
        <v>2700</v>
      </c>
      <c r="O1399">
        <v>35.508622</v>
      </c>
      <c r="P1399">
        <v>12.59292</v>
      </c>
      <c r="Q1399" s="5" t="s">
        <v>669</v>
      </c>
      <c r="R1399" s="10">
        <f t="shared" si="10"/>
        <v>3843</v>
      </c>
      <c r="S1399" s="5" t="s">
        <v>6643</v>
      </c>
      <c r="T1399" s="6" t="s">
        <v>2130</v>
      </c>
      <c r="U1399" s="5" t="s">
        <v>2326</v>
      </c>
      <c r="V1399" s="5" t="s">
        <v>6644</v>
      </c>
    </row>
    <row r="1400" ht="12.75" customHeight="1">
      <c r="A1400" s="5">
        <v>34769.0</v>
      </c>
      <c r="B1400" s="5" t="s">
        <v>68</v>
      </c>
      <c r="C1400" s="5" t="s">
        <v>69</v>
      </c>
      <c r="D1400" s="5" t="s">
        <v>2614</v>
      </c>
      <c r="E1400" s="7" t="s">
        <v>6641</v>
      </c>
      <c r="F1400" s="5" t="s">
        <v>6403</v>
      </c>
      <c r="G1400" s="5" t="s">
        <v>6527</v>
      </c>
      <c r="H1400" s="5">
        <v>2007.0</v>
      </c>
      <c r="I1400" s="5">
        <v>0.0</v>
      </c>
      <c r="J1400" s="5">
        <v>0.0</v>
      </c>
      <c r="K1400" s="5">
        <v>11.0</v>
      </c>
      <c r="L1400" s="54"/>
      <c r="M1400" s="5" t="s">
        <v>6645</v>
      </c>
      <c r="N1400" s="53" t="s">
        <v>2689</v>
      </c>
      <c r="O1400">
        <v>35.937496</v>
      </c>
      <c r="P1400">
        <v>14.375416</v>
      </c>
      <c r="Q1400" s="5" t="s">
        <v>740</v>
      </c>
      <c r="R1400" s="10">
        <f t="shared" si="10"/>
        <v>655</v>
      </c>
      <c r="S1400" s="5" t="s">
        <v>6646</v>
      </c>
      <c r="T1400" s="6" t="s">
        <v>2130</v>
      </c>
      <c r="U1400" s="5" t="s">
        <v>2143</v>
      </c>
      <c r="V1400" s="5" t="s">
        <v>6647</v>
      </c>
    </row>
    <row r="1401" ht="12.75" customHeight="1">
      <c r="A1401" s="5">
        <v>34768.0</v>
      </c>
      <c r="B1401" s="5" t="s">
        <v>68</v>
      </c>
      <c r="C1401" s="5" t="s">
        <v>69</v>
      </c>
      <c r="D1401" s="5" t="s">
        <v>2614</v>
      </c>
      <c r="E1401" s="7" t="s">
        <v>6641</v>
      </c>
      <c r="F1401" s="5" t="s">
        <v>6403</v>
      </c>
      <c r="G1401" s="5" t="s">
        <v>6527</v>
      </c>
      <c r="H1401" s="5">
        <v>2007.0</v>
      </c>
      <c r="I1401" s="5">
        <v>0.0</v>
      </c>
      <c r="J1401" s="5">
        <v>0.0</v>
      </c>
      <c r="K1401" s="5">
        <v>1.0</v>
      </c>
      <c r="L1401" s="54"/>
      <c r="M1401" s="5" t="s">
        <v>6648</v>
      </c>
      <c r="N1401" s="53" t="s">
        <v>2689</v>
      </c>
      <c r="O1401">
        <v>35.937496</v>
      </c>
      <c r="P1401">
        <v>14.375416</v>
      </c>
      <c r="Q1401" s="5" t="s">
        <v>740</v>
      </c>
      <c r="R1401" s="10">
        <f t="shared" si="10"/>
        <v>655</v>
      </c>
      <c r="S1401" s="5" t="s">
        <v>6646</v>
      </c>
      <c r="T1401" s="6" t="s">
        <v>2130</v>
      </c>
      <c r="U1401" s="5" t="s">
        <v>2143</v>
      </c>
      <c r="V1401" s="5" t="s">
        <v>6647</v>
      </c>
    </row>
    <row r="1402" ht="12.75" customHeight="1">
      <c r="A1402" s="5">
        <v>34772.0</v>
      </c>
      <c r="B1402" s="5" t="s">
        <v>41</v>
      </c>
      <c r="C1402" s="5" t="s">
        <v>42</v>
      </c>
      <c r="D1402" s="5" t="s">
        <v>2852</v>
      </c>
      <c r="E1402" s="7" t="s">
        <v>6641</v>
      </c>
      <c r="F1402" s="5" t="s">
        <v>6403</v>
      </c>
      <c r="G1402" s="5" t="s">
        <v>6527</v>
      </c>
      <c r="H1402" s="5">
        <v>2007.0</v>
      </c>
      <c r="I1402" s="5">
        <v>0.0</v>
      </c>
      <c r="J1402" s="5">
        <v>0.0</v>
      </c>
      <c r="K1402" s="5">
        <v>1.0</v>
      </c>
      <c r="L1402" s="54"/>
      <c r="M1402" s="5" t="s">
        <v>6649</v>
      </c>
      <c r="N1402" s="53" t="s">
        <v>3251</v>
      </c>
      <c r="O1402">
        <v>39.074208</v>
      </c>
      <c r="P1402">
        <v>21.824312</v>
      </c>
      <c r="Q1402" s="5" t="s">
        <v>1061</v>
      </c>
      <c r="R1402" s="10">
        <f t="shared" si="10"/>
        <v>20</v>
      </c>
      <c r="S1402" s="5" t="s">
        <v>6650</v>
      </c>
      <c r="T1402" s="5"/>
      <c r="U1402" s="5" t="s">
        <v>6651</v>
      </c>
      <c r="V1402" s="5"/>
    </row>
    <row r="1403" ht="12.75" customHeight="1">
      <c r="A1403" s="5">
        <v>34771.0</v>
      </c>
      <c r="B1403" s="5" t="s">
        <v>1857</v>
      </c>
      <c r="C1403" s="52" t="s">
        <v>50</v>
      </c>
      <c r="D1403" s="5" t="s">
        <v>2614</v>
      </c>
      <c r="E1403" s="7" t="s">
        <v>6641</v>
      </c>
      <c r="F1403" s="5" t="s">
        <v>6403</v>
      </c>
      <c r="G1403" s="5" t="s">
        <v>6527</v>
      </c>
      <c r="H1403" s="5">
        <v>2007.0</v>
      </c>
      <c r="I1403" s="5">
        <v>0.0</v>
      </c>
      <c r="J1403" s="5">
        <v>0.0</v>
      </c>
      <c r="K1403" s="5">
        <v>1.0</v>
      </c>
      <c r="L1403" s="54"/>
      <c r="M1403" s="5" t="s">
        <v>6652</v>
      </c>
      <c r="N1403" s="53" t="s">
        <v>6132</v>
      </c>
      <c r="O1403">
        <v>41.153332</v>
      </c>
      <c r="P1403">
        <v>20.168331</v>
      </c>
      <c r="Q1403" s="5" t="s">
        <v>1208</v>
      </c>
      <c r="R1403" s="10">
        <f t="shared" si="10"/>
        <v>8</v>
      </c>
      <c r="S1403" s="5" t="s">
        <v>6653</v>
      </c>
      <c r="T1403" s="5"/>
      <c r="U1403" s="5" t="s">
        <v>6654</v>
      </c>
      <c r="V1403" s="5" t="s">
        <v>6655</v>
      </c>
    </row>
    <row r="1404" ht="12.75" customHeight="1">
      <c r="A1404" s="5">
        <v>34774.0</v>
      </c>
      <c r="B1404" s="5" t="s">
        <v>49</v>
      </c>
      <c r="C1404" s="52" t="s">
        <v>50</v>
      </c>
      <c r="D1404" s="5" t="s">
        <v>2852</v>
      </c>
      <c r="E1404" s="7" t="s">
        <v>6656</v>
      </c>
      <c r="F1404" s="5" t="s">
        <v>6403</v>
      </c>
      <c r="G1404" s="5" t="s">
        <v>6527</v>
      </c>
      <c r="H1404" s="5">
        <v>2007.0</v>
      </c>
      <c r="I1404" s="5">
        <v>0.0</v>
      </c>
      <c r="J1404" s="5">
        <v>0.0</v>
      </c>
      <c r="K1404" s="5">
        <v>3.0</v>
      </c>
      <c r="L1404" s="54"/>
      <c r="M1404" s="5" t="s">
        <v>6657</v>
      </c>
      <c r="N1404" s="53" t="s">
        <v>6658</v>
      </c>
      <c r="O1404">
        <v>37.78816</v>
      </c>
      <c r="P1404">
        <v>20.898827</v>
      </c>
      <c r="Q1404" s="5" t="s">
        <v>960</v>
      </c>
      <c r="R1404" s="10">
        <f t="shared" si="10"/>
        <v>3</v>
      </c>
      <c r="S1404" s="5" t="s">
        <v>6659</v>
      </c>
      <c r="T1404" s="5"/>
      <c r="U1404" s="5" t="s">
        <v>4492</v>
      </c>
      <c r="V1404" s="5"/>
    </row>
    <row r="1405" ht="12.75" customHeight="1">
      <c r="A1405" s="5">
        <v>34773.0</v>
      </c>
      <c r="B1405" s="5" t="s">
        <v>68</v>
      </c>
      <c r="C1405" s="5" t="s">
        <v>69</v>
      </c>
      <c r="D1405" s="5" t="s">
        <v>2614</v>
      </c>
      <c r="E1405" s="7" t="s">
        <v>6656</v>
      </c>
      <c r="F1405" s="5" t="s">
        <v>6403</v>
      </c>
      <c r="G1405" s="5" t="s">
        <v>6527</v>
      </c>
      <c r="H1405" s="5">
        <v>2007.0</v>
      </c>
      <c r="I1405" s="5">
        <v>0.0</v>
      </c>
      <c r="J1405" s="5">
        <v>0.0</v>
      </c>
      <c r="K1405" s="5">
        <v>2.0</v>
      </c>
      <c r="L1405" s="54"/>
      <c r="M1405" s="5" t="s">
        <v>6660</v>
      </c>
      <c r="N1405" s="53" t="s">
        <v>3146</v>
      </c>
      <c r="O1405">
        <v>39.16408</v>
      </c>
      <c r="P1405">
        <v>26.372171</v>
      </c>
      <c r="Q1405" s="5" t="s">
        <v>1068</v>
      </c>
      <c r="R1405" s="10">
        <f t="shared" si="10"/>
        <v>101</v>
      </c>
      <c r="S1405" s="5" t="s">
        <v>6661</v>
      </c>
      <c r="T1405" s="6" t="s">
        <v>53</v>
      </c>
      <c r="U1405" s="5" t="s">
        <v>3318</v>
      </c>
      <c r="V1405" s="5" t="s">
        <v>6662</v>
      </c>
    </row>
    <row r="1406" ht="12.75" customHeight="1">
      <c r="A1406" s="5">
        <v>34776.0</v>
      </c>
      <c r="B1406" s="5" t="s">
        <v>68</v>
      </c>
      <c r="C1406" s="5" t="s">
        <v>69</v>
      </c>
      <c r="D1406" s="5" t="s">
        <v>2852</v>
      </c>
      <c r="E1406" s="7" t="s">
        <v>6663</v>
      </c>
      <c r="F1406" s="5" t="s">
        <v>6403</v>
      </c>
      <c r="G1406" s="5" t="s">
        <v>6527</v>
      </c>
      <c r="H1406" s="5">
        <v>2007.0</v>
      </c>
      <c r="I1406" s="5">
        <v>0.0</v>
      </c>
      <c r="J1406" s="5">
        <v>0.0</v>
      </c>
      <c r="K1406" s="5">
        <v>1.0</v>
      </c>
      <c r="L1406" s="54"/>
      <c r="M1406" s="5" t="s">
        <v>6664</v>
      </c>
      <c r="N1406" s="53" t="s">
        <v>5185</v>
      </c>
      <c r="O1406">
        <v>36.748374</v>
      </c>
      <c r="P1406">
        <v>-3.516861</v>
      </c>
      <c r="Q1406" s="5" t="s">
        <v>832</v>
      </c>
      <c r="R1406" s="10">
        <f t="shared" si="10"/>
        <v>69</v>
      </c>
      <c r="S1406" s="5" t="s">
        <v>6665</v>
      </c>
      <c r="T1406" s="6" t="s">
        <v>72</v>
      </c>
      <c r="U1406" s="5" t="s">
        <v>106</v>
      </c>
      <c r="V1406" s="5"/>
    </row>
    <row r="1407" ht="12.75" customHeight="1">
      <c r="A1407" s="5">
        <v>34775.0</v>
      </c>
      <c r="B1407" s="5" t="s">
        <v>49</v>
      </c>
      <c r="C1407" s="52" t="s">
        <v>50</v>
      </c>
      <c r="D1407" s="5" t="s">
        <v>2614</v>
      </c>
      <c r="E1407" s="7" t="s">
        <v>6663</v>
      </c>
      <c r="F1407" s="5" t="s">
        <v>6403</v>
      </c>
      <c r="G1407" s="5" t="s">
        <v>6527</v>
      </c>
      <c r="H1407" s="5">
        <v>2007.0</v>
      </c>
      <c r="I1407" s="5">
        <v>0.0</v>
      </c>
      <c r="J1407" s="5">
        <v>0.0</v>
      </c>
      <c r="K1407" s="5">
        <v>1.0</v>
      </c>
      <c r="L1407" s="54"/>
      <c r="M1407" s="5" t="s">
        <v>6666</v>
      </c>
      <c r="N1407" s="53" t="s">
        <v>4290</v>
      </c>
      <c r="O1407">
        <v>38.158524</v>
      </c>
      <c r="P1407">
        <v>14.742693</v>
      </c>
      <c r="Q1407" s="5" t="s">
        <v>1001</v>
      </c>
      <c r="R1407" s="10">
        <f t="shared" si="10"/>
        <v>75</v>
      </c>
      <c r="S1407" s="5" t="s">
        <v>6667</v>
      </c>
      <c r="T1407" s="6" t="s">
        <v>2130</v>
      </c>
      <c r="U1407" s="5" t="s">
        <v>3388</v>
      </c>
      <c r="V1407" s="5" t="s">
        <v>6668</v>
      </c>
    </row>
    <row r="1408" ht="12.75" customHeight="1">
      <c r="A1408" s="5">
        <v>34778.0</v>
      </c>
      <c r="B1408" s="5" t="s">
        <v>49</v>
      </c>
      <c r="C1408" s="52" t="s">
        <v>50</v>
      </c>
      <c r="D1408" s="5" t="s">
        <v>2852</v>
      </c>
      <c r="E1408" s="7" t="s">
        <v>6669</v>
      </c>
      <c r="F1408" s="5" t="s">
        <v>6403</v>
      </c>
      <c r="G1408" s="5" t="s">
        <v>6527</v>
      </c>
      <c r="H1408" s="5">
        <v>2007.0</v>
      </c>
      <c r="I1408" s="5">
        <v>0.0</v>
      </c>
      <c r="J1408" s="5">
        <v>0.0</v>
      </c>
      <c r="K1408" s="5">
        <v>1.0</v>
      </c>
      <c r="L1408" s="54"/>
      <c r="M1408" s="5" t="s">
        <v>6670</v>
      </c>
      <c r="N1408" s="53" t="s">
        <v>2938</v>
      </c>
      <c r="O1408">
        <v>35.937496</v>
      </c>
      <c r="P1408">
        <v>14.375416</v>
      </c>
      <c r="Q1408" s="5" t="s">
        <v>740</v>
      </c>
      <c r="R1408" s="10">
        <f t="shared" si="10"/>
        <v>655</v>
      </c>
      <c r="S1408" s="5" t="s">
        <v>6671</v>
      </c>
      <c r="T1408" s="6" t="s">
        <v>2130</v>
      </c>
      <c r="U1408" s="5" t="s">
        <v>3128</v>
      </c>
      <c r="V1408" s="5"/>
    </row>
    <row r="1409" ht="12.75" customHeight="1">
      <c r="A1409" s="5">
        <v>34777.0</v>
      </c>
      <c r="B1409" s="5" t="s">
        <v>2333</v>
      </c>
      <c r="C1409" s="5" t="s">
        <v>124</v>
      </c>
      <c r="D1409" s="5" t="s">
        <v>2614</v>
      </c>
      <c r="E1409" s="7" t="s">
        <v>6669</v>
      </c>
      <c r="F1409" s="5" t="s">
        <v>6403</v>
      </c>
      <c r="G1409" s="5" t="s">
        <v>6527</v>
      </c>
      <c r="H1409" s="5">
        <v>2007.0</v>
      </c>
      <c r="I1409" s="5">
        <v>0.0</v>
      </c>
      <c r="J1409" s="5">
        <v>0.0</v>
      </c>
      <c r="K1409" s="5">
        <v>1.0</v>
      </c>
      <c r="L1409" s="54"/>
      <c r="M1409" s="5" t="s">
        <v>6672</v>
      </c>
      <c r="N1409" s="53" t="s">
        <v>5983</v>
      </c>
      <c r="O1409">
        <v>36.132977</v>
      </c>
      <c r="P1409">
        <v>-5.453909</v>
      </c>
      <c r="Q1409" s="5" t="s">
        <v>770</v>
      </c>
      <c r="R1409" s="10">
        <f t="shared" si="10"/>
        <v>29</v>
      </c>
      <c r="S1409" s="5" t="s">
        <v>6673</v>
      </c>
      <c r="T1409" s="6" t="s">
        <v>72</v>
      </c>
      <c r="U1409" s="5" t="s">
        <v>2785</v>
      </c>
      <c r="V1409" s="5" t="s">
        <v>6674</v>
      </c>
    </row>
    <row r="1410" ht="12.75" customHeight="1">
      <c r="A1410" s="5">
        <v>34779.0</v>
      </c>
      <c r="B1410" s="5" t="s">
        <v>68</v>
      </c>
      <c r="C1410" s="5" t="s">
        <v>69</v>
      </c>
      <c r="D1410" s="5" t="s">
        <v>2614</v>
      </c>
      <c r="E1410" s="7" t="s">
        <v>6675</v>
      </c>
      <c r="F1410" s="5" t="s">
        <v>6403</v>
      </c>
      <c r="G1410" s="5" t="s">
        <v>6527</v>
      </c>
      <c r="H1410" s="5">
        <v>2007.0</v>
      </c>
      <c r="I1410" s="5">
        <v>0.0</v>
      </c>
      <c r="J1410" s="5">
        <v>0.0</v>
      </c>
      <c r="K1410" s="5">
        <v>3.0</v>
      </c>
      <c r="L1410" s="54"/>
      <c r="M1410" s="5" t="s">
        <v>6676</v>
      </c>
      <c r="N1410" s="53" t="s">
        <v>3570</v>
      </c>
      <c r="O1410">
        <v>36.828221</v>
      </c>
      <c r="P1410">
        <v>11.940496</v>
      </c>
      <c r="Q1410" s="5" t="s">
        <v>857</v>
      </c>
      <c r="R1410" s="10">
        <f t="shared" si="10"/>
        <v>37</v>
      </c>
      <c r="S1410" s="5" t="s">
        <v>6677</v>
      </c>
      <c r="T1410" s="6" t="s">
        <v>2130</v>
      </c>
      <c r="U1410" s="5" t="s">
        <v>3388</v>
      </c>
      <c r="V1410" s="5" t="s">
        <v>6678</v>
      </c>
    </row>
    <row r="1411" ht="12.75" customHeight="1">
      <c r="A1411" s="5">
        <v>34780.0</v>
      </c>
      <c r="B1411" s="5" t="s">
        <v>68</v>
      </c>
      <c r="C1411" s="5" t="s">
        <v>69</v>
      </c>
      <c r="D1411" s="5" t="s">
        <v>2852</v>
      </c>
      <c r="E1411" s="7" t="s">
        <v>6679</v>
      </c>
      <c r="F1411" s="5" t="s">
        <v>6403</v>
      </c>
      <c r="G1411" s="5" t="s">
        <v>6527</v>
      </c>
      <c r="H1411" s="5">
        <v>2007.0</v>
      </c>
      <c r="I1411" s="5">
        <v>0.0</v>
      </c>
      <c r="J1411" s="5">
        <v>0.0</v>
      </c>
      <c r="K1411" s="5">
        <v>3.0</v>
      </c>
      <c r="L1411" s="54"/>
      <c r="M1411" s="5" t="s">
        <v>6680</v>
      </c>
      <c r="N1411" s="53" t="s">
        <v>4556</v>
      </c>
      <c r="O1411">
        <v>28.291564</v>
      </c>
      <c r="P1411">
        <v>-16.62913</v>
      </c>
      <c r="Q1411" s="5" t="s">
        <v>382</v>
      </c>
      <c r="R1411" s="10">
        <f t="shared" si="10"/>
        <v>1120</v>
      </c>
      <c r="S1411" s="5" t="s">
        <v>6681</v>
      </c>
      <c r="T1411" s="5" t="s">
        <v>1040</v>
      </c>
      <c r="U1411" s="5" t="s">
        <v>6682</v>
      </c>
      <c r="V1411" s="5"/>
    </row>
    <row r="1412" ht="12.75" customHeight="1">
      <c r="A1412" s="5">
        <v>34781.0</v>
      </c>
      <c r="B1412" s="5" t="s">
        <v>49</v>
      </c>
      <c r="C1412" s="52" t="s">
        <v>50</v>
      </c>
      <c r="D1412" s="5" t="s">
        <v>2614</v>
      </c>
      <c r="E1412" s="7" t="s">
        <v>6683</v>
      </c>
      <c r="F1412" s="5" t="s">
        <v>6403</v>
      </c>
      <c r="G1412" s="5" t="s">
        <v>6527</v>
      </c>
      <c r="H1412" s="5">
        <v>2007.0</v>
      </c>
      <c r="I1412" s="5">
        <v>0.0</v>
      </c>
      <c r="J1412" s="5">
        <v>0.0</v>
      </c>
      <c r="K1412" s="5">
        <v>1.0</v>
      </c>
      <c r="L1412" s="54"/>
      <c r="M1412" s="5" t="s">
        <v>6684</v>
      </c>
      <c r="N1412" s="53" t="s">
        <v>3340</v>
      </c>
      <c r="O1412">
        <v>37.743215</v>
      </c>
      <c r="P1412">
        <v>26.820351</v>
      </c>
      <c r="Q1412" s="5" t="s">
        <v>956</v>
      </c>
      <c r="R1412" s="10">
        <f t="shared" si="10"/>
        <v>218</v>
      </c>
      <c r="S1412" s="5" t="s">
        <v>6685</v>
      </c>
      <c r="T1412" s="6" t="s">
        <v>53</v>
      </c>
      <c r="U1412" s="5" t="s">
        <v>3318</v>
      </c>
      <c r="V1412" s="5" t="s">
        <v>6686</v>
      </c>
    </row>
    <row r="1413" ht="12.75" customHeight="1">
      <c r="A1413" s="5">
        <v>34782.0</v>
      </c>
      <c r="B1413" s="5" t="s">
        <v>41</v>
      </c>
      <c r="C1413" s="5" t="s">
        <v>42</v>
      </c>
      <c r="D1413" s="5" t="s">
        <v>2614</v>
      </c>
      <c r="E1413" s="7" t="s">
        <v>6687</v>
      </c>
      <c r="F1413" s="5" t="s">
        <v>6403</v>
      </c>
      <c r="G1413" s="5" t="s">
        <v>6688</v>
      </c>
      <c r="H1413" s="5">
        <v>2007.0</v>
      </c>
      <c r="I1413" s="5">
        <v>0.0</v>
      </c>
      <c r="J1413" s="5">
        <v>0.0</v>
      </c>
      <c r="K1413" s="5">
        <v>2.0</v>
      </c>
      <c r="L1413" s="54"/>
      <c r="M1413" s="5" t="s">
        <v>6689</v>
      </c>
      <c r="N1413" s="53" t="s">
        <v>6690</v>
      </c>
      <c r="O1413">
        <v>16.666667</v>
      </c>
      <c r="P1413">
        <v>-9.616667</v>
      </c>
      <c r="Q1413" s="5" t="s">
        <v>273</v>
      </c>
      <c r="R1413" s="10">
        <f t="shared" si="10"/>
        <v>44</v>
      </c>
      <c r="S1413" s="5" t="s">
        <v>6691</v>
      </c>
      <c r="T1413" s="5"/>
      <c r="U1413" s="5" t="s">
        <v>6692</v>
      </c>
      <c r="V1413" s="5" t="s">
        <v>6693</v>
      </c>
    </row>
    <row r="1414" ht="12.75" customHeight="1">
      <c r="A1414" s="5">
        <v>34784.0</v>
      </c>
      <c r="B1414" s="5" t="s">
        <v>49</v>
      </c>
      <c r="C1414" s="52" t="s">
        <v>50</v>
      </c>
      <c r="D1414" s="5" t="s">
        <v>2852</v>
      </c>
      <c r="E1414" s="7" t="s">
        <v>6694</v>
      </c>
      <c r="F1414" s="5" t="s">
        <v>6403</v>
      </c>
      <c r="G1414" s="5" t="s">
        <v>6688</v>
      </c>
      <c r="H1414" s="5">
        <v>2007.0</v>
      </c>
      <c r="I1414" s="5">
        <v>0.0</v>
      </c>
      <c r="J1414" s="5">
        <v>0.0</v>
      </c>
      <c r="K1414" s="5">
        <v>20.0</v>
      </c>
      <c r="L1414" s="54"/>
      <c r="M1414" s="5" t="s">
        <v>6695</v>
      </c>
      <c r="N1414" s="53" t="s">
        <v>2944</v>
      </c>
      <c r="O1414">
        <v>-12.8275</v>
      </c>
      <c r="P1414">
        <v>45.166244</v>
      </c>
      <c r="Q1414" s="5" t="s">
        <v>228</v>
      </c>
      <c r="R1414" s="10">
        <f t="shared" si="10"/>
        <v>757</v>
      </c>
      <c r="S1414" s="5" t="s">
        <v>6696</v>
      </c>
      <c r="T1414" s="5"/>
      <c r="U1414" s="5" t="s">
        <v>5296</v>
      </c>
      <c r="V1414" s="5"/>
    </row>
    <row r="1415" ht="12.75" customHeight="1">
      <c r="A1415" s="5">
        <v>34783.0</v>
      </c>
      <c r="B1415" s="5" t="s">
        <v>68</v>
      </c>
      <c r="C1415" s="5" t="s">
        <v>69</v>
      </c>
      <c r="D1415" s="5" t="s">
        <v>2852</v>
      </c>
      <c r="E1415" s="7" t="s">
        <v>6694</v>
      </c>
      <c r="F1415" s="5" t="s">
        <v>6403</v>
      </c>
      <c r="G1415" s="5" t="s">
        <v>6688</v>
      </c>
      <c r="H1415" s="5">
        <v>2007.0</v>
      </c>
      <c r="I1415" s="5">
        <v>0.0</v>
      </c>
      <c r="J1415" s="5">
        <v>0.0</v>
      </c>
      <c r="K1415" s="5">
        <v>4.0</v>
      </c>
      <c r="L1415" s="54"/>
      <c r="M1415" s="5" t="s">
        <v>6697</v>
      </c>
      <c r="N1415" s="53" t="s">
        <v>2944</v>
      </c>
      <c r="O1415">
        <v>-12.8275</v>
      </c>
      <c r="P1415">
        <v>45.166244</v>
      </c>
      <c r="Q1415" s="5" t="s">
        <v>228</v>
      </c>
      <c r="R1415" s="10">
        <f t="shared" si="10"/>
        <v>757</v>
      </c>
      <c r="S1415" s="5" t="s">
        <v>6696</v>
      </c>
      <c r="T1415" s="5"/>
      <c r="U1415" s="5" t="s">
        <v>5296</v>
      </c>
      <c r="V1415" s="5"/>
    </row>
    <row r="1416" ht="12.75" customHeight="1">
      <c r="A1416" s="5">
        <v>34786.0</v>
      </c>
      <c r="B1416" s="5" t="s">
        <v>49</v>
      </c>
      <c r="C1416" s="52" t="s">
        <v>50</v>
      </c>
      <c r="D1416" s="5" t="s">
        <v>2852</v>
      </c>
      <c r="E1416" s="7" t="s">
        <v>6698</v>
      </c>
      <c r="F1416" s="5" t="s">
        <v>6403</v>
      </c>
      <c r="G1416" s="5" t="s">
        <v>6688</v>
      </c>
      <c r="H1416" s="5">
        <v>2007.0</v>
      </c>
      <c r="I1416" s="5">
        <v>0.0</v>
      </c>
      <c r="J1416" s="5">
        <v>0.0</v>
      </c>
      <c r="K1416" s="5">
        <v>8.0</v>
      </c>
      <c r="L1416" s="54"/>
      <c r="M1416" s="5" t="s">
        <v>6699</v>
      </c>
      <c r="N1416" s="53" t="s">
        <v>2928</v>
      </c>
      <c r="O1416">
        <v>26.3351</v>
      </c>
      <c r="P1416">
        <v>17.228331</v>
      </c>
      <c r="Q1416" s="5" t="s">
        <v>337</v>
      </c>
      <c r="R1416" s="10">
        <f t="shared" si="10"/>
        <v>1371</v>
      </c>
      <c r="S1416" s="5" t="s">
        <v>6700</v>
      </c>
      <c r="T1416" s="6" t="s">
        <v>2130</v>
      </c>
      <c r="U1416" s="5" t="s">
        <v>3128</v>
      </c>
      <c r="V1416" s="5"/>
    </row>
    <row r="1417" ht="12.75" customHeight="1">
      <c r="A1417" s="5">
        <v>34785.0</v>
      </c>
      <c r="B1417" s="5" t="s">
        <v>68</v>
      </c>
      <c r="C1417" s="5" t="s">
        <v>69</v>
      </c>
      <c r="D1417" s="5" t="s">
        <v>2614</v>
      </c>
      <c r="E1417" s="7" t="s">
        <v>6698</v>
      </c>
      <c r="F1417" s="5" t="s">
        <v>6403</v>
      </c>
      <c r="G1417" s="5" t="s">
        <v>6688</v>
      </c>
      <c r="H1417" s="5">
        <v>2007.0</v>
      </c>
      <c r="I1417" s="5">
        <v>0.0</v>
      </c>
      <c r="J1417" s="5">
        <v>0.0</v>
      </c>
      <c r="K1417" s="5">
        <v>25.0</v>
      </c>
      <c r="L1417" s="54"/>
      <c r="M1417" s="5" t="s">
        <v>6701</v>
      </c>
      <c r="N1417" s="53" t="s">
        <v>2938</v>
      </c>
      <c r="O1417">
        <v>35.937496</v>
      </c>
      <c r="P1417">
        <v>14.375416</v>
      </c>
      <c r="Q1417" s="5" t="s">
        <v>740</v>
      </c>
      <c r="R1417" s="10">
        <f t="shared" si="10"/>
        <v>655</v>
      </c>
      <c r="S1417" s="5" t="s">
        <v>6702</v>
      </c>
      <c r="T1417" s="6" t="s">
        <v>2130</v>
      </c>
      <c r="U1417" s="5" t="s">
        <v>2143</v>
      </c>
      <c r="V1417" s="5" t="s">
        <v>6703</v>
      </c>
    </row>
    <row r="1418" ht="12.75" customHeight="1">
      <c r="A1418" s="5">
        <v>34787.0</v>
      </c>
      <c r="B1418" s="5" t="s">
        <v>68</v>
      </c>
      <c r="C1418" s="5" t="s">
        <v>69</v>
      </c>
      <c r="D1418" s="5" t="s">
        <v>2614</v>
      </c>
      <c r="E1418" s="7" t="s">
        <v>6704</v>
      </c>
      <c r="F1418" s="5" t="s">
        <v>6403</v>
      </c>
      <c r="G1418" s="5" t="s">
        <v>6688</v>
      </c>
      <c r="H1418" s="5">
        <v>2007.0</v>
      </c>
      <c r="I1418" s="5">
        <v>0.0</v>
      </c>
      <c r="J1418" s="5">
        <v>0.0</v>
      </c>
      <c r="K1418" s="5">
        <v>1.0</v>
      </c>
      <c r="L1418" s="54"/>
      <c r="M1418" s="5" t="s">
        <v>6705</v>
      </c>
      <c r="N1418" s="53" t="s">
        <v>4044</v>
      </c>
      <c r="O1418">
        <v>40.120875</v>
      </c>
      <c r="P1418">
        <v>9.012893</v>
      </c>
      <c r="Q1418" s="5" t="s">
        <v>1120</v>
      </c>
      <c r="R1418" s="10">
        <f t="shared" si="10"/>
        <v>81</v>
      </c>
      <c r="S1418" s="5" t="s">
        <v>6706</v>
      </c>
      <c r="T1418" s="6" t="s">
        <v>2130</v>
      </c>
      <c r="U1418" s="5" t="s">
        <v>4655</v>
      </c>
      <c r="V1418" s="5" t="s">
        <v>6707</v>
      </c>
    </row>
    <row r="1419" ht="12.75" customHeight="1">
      <c r="A1419" s="5">
        <v>34788.0</v>
      </c>
      <c r="B1419" s="5" t="s">
        <v>68</v>
      </c>
      <c r="C1419" s="5" t="s">
        <v>69</v>
      </c>
      <c r="D1419" s="5" t="s">
        <v>2614</v>
      </c>
      <c r="E1419" s="7" t="s">
        <v>6708</v>
      </c>
      <c r="F1419" s="5" t="s">
        <v>6403</v>
      </c>
      <c r="G1419" s="5" t="s">
        <v>6688</v>
      </c>
      <c r="H1419" s="5">
        <v>2007.0</v>
      </c>
      <c r="I1419" s="5">
        <v>0.0</v>
      </c>
      <c r="J1419" s="5">
        <v>0.0</v>
      </c>
      <c r="K1419" s="5">
        <v>1.0</v>
      </c>
      <c r="L1419" s="54"/>
      <c r="M1419" s="5" t="s">
        <v>6709</v>
      </c>
      <c r="N1419" s="53" t="s">
        <v>4412</v>
      </c>
      <c r="O1419">
        <v>35.696944</v>
      </c>
      <c r="P1419">
        <v>-0.633056</v>
      </c>
      <c r="Q1419" s="5" t="s">
        <v>690</v>
      </c>
      <c r="R1419" s="10">
        <f t="shared" si="10"/>
        <v>120</v>
      </c>
      <c r="S1419" s="5" t="s">
        <v>6710</v>
      </c>
      <c r="T1419" s="6" t="s">
        <v>72</v>
      </c>
      <c r="U1419" s="5" t="s">
        <v>5920</v>
      </c>
      <c r="V1419" s="5" t="s">
        <v>6711</v>
      </c>
    </row>
    <row r="1420" ht="12.75" customHeight="1">
      <c r="A1420" s="5">
        <v>34791.0</v>
      </c>
      <c r="B1420" s="5" t="s">
        <v>68</v>
      </c>
      <c r="C1420" s="5" t="s">
        <v>69</v>
      </c>
      <c r="D1420" s="5" t="s">
        <v>2852</v>
      </c>
      <c r="E1420" s="7" t="s">
        <v>6712</v>
      </c>
      <c r="F1420" s="5" t="s">
        <v>6403</v>
      </c>
      <c r="G1420" s="5" t="s">
        <v>6688</v>
      </c>
      <c r="H1420" s="5">
        <v>2007.0</v>
      </c>
      <c r="I1420" s="5">
        <v>0.0</v>
      </c>
      <c r="J1420" s="5">
        <v>0.0</v>
      </c>
      <c r="K1420" s="5">
        <v>3.0</v>
      </c>
      <c r="L1420" s="54"/>
      <c r="M1420" s="5" t="s">
        <v>6713</v>
      </c>
      <c r="N1420" s="53" t="s">
        <v>2928</v>
      </c>
      <c r="O1420">
        <v>26.3351</v>
      </c>
      <c r="P1420">
        <v>17.228331</v>
      </c>
      <c r="Q1420" s="5" t="s">
        <v>337</v>
      </c>
      <c r="R1420" s="10">
        <f t="shared" si="10"/>
        <v>1371</v>
      </c>
      <c r="S1420" s="5" t="s">
        <v>6714</v>
      </c>
      <c r="T1420" s="5"/>
      <c r="U1420" s="5" t="s">
        <v>3128</v>
      </c>
      <c r="V1420" s="5"/>
    </row>
    <row r="1421" ht="12.75" customHeight="1">
      <c r="A1421" s="5">
        <v>34790.0</v>
      </c>
      <c r="B1421" s="5" t="s">
        <v>49</v>
      </c>
      <c r="C1421" s="52" t="s">
        <v>50</v>
      </c>
      <c r="D1421" s="5" t="s">
        <v>2852</v>
      </c>
      <c r="E1421" s="7" t="s">
        <v>6712</v>
      </c>
      <c r="F1421" s="5" t="s">
        <v>6403</v>
      </c>
      <c r="G1421" s="5" t="s">
        <v>6688</v>
      </c>
      <c r="H1421" s="5">
        <v>2007.0</v>
      </c>
      <c r="I1421" s="5">
        <v>0.0</v>
      </c>
      <c r="J1421" s="5">
        <v>0.0</v>
      </c>
      <c r="K1421" s="5">
        <v>9.0</v>
      </c>
      <c r="L1421" s="54"/>
      <c r="M1421" s="5" t="s">
        <v>6715</v>
      </c>
      <c r="N1421" s="53" t="s">
        <v>3314</v>
      </c>
      <c r="O1421">
        <v>37.599994</v>
      </c>
      <c r="P1421">
        <v>14.015356</v>
      </c>
      <c r="Q1421" s="5" t="s">
        <v>949</v>
      </c>
      <c r="R1421" s="10">
        <f t="shared" si="10"/>
        <v>363</v>
      </c>
      <c r="S1421" s="5" t="s">
        <v>6716</v>
      </c>
      <c r="T1421" s="6" t="s">
        <v>2130</v>
      </c>
      <c r="U1421" s="5" t="s">
        <v>3128</v>
      </c>
      <c r="V1421" s="5" t="s">
        <v>6703</v>
      </c>
    </row>
    <row r="1422" ht="12.75" customHeight="1">
      <c r="A1422" s="5">
        <v>34789.0</v>
      </c>
      <c r="B1422" s="5" t="s">
        <v>68</v>
      </c>
      <c r="C1422" s="5" t="s">
        <v>69</v>
      </c>
      <c r="D1422" s="5" t="s">
        <v>2614</v>
      </c>
      <c r="E1422" s="7" t="s">
        <v>6712</v>
      </c>
      <c r="F1422" s="5" t="s">
        <v>6403</v>
      </c>
      <c r="G1422" s="5" t="s">
        <v>6688</v>
      </c>
      <c r="H1422" s="5">
        <v>2007.0</v>
      </c>
      <c r="I1422" s="5">
        <v>0.0</v>
      </c>
      <c r="J1422" s="5">
        <v>0.0</v>
      </c>
      <c r="K1422" s="5">
        <v>1.0</v>
      </c>
      <c r="L1422" s="54"/>
      <c r="M1422" s="5" t="s">
        <v>6717</v>
      </c>
      <c r="N1422" s="53" t="s">
        <v>4290</v>
      </c>
      <c r="O1422">
        <v>38.158524</v>
      </c>
      <c r="P1422">
        <v>14.742693</v>
      </c>
      <c r="Q1422" s="5" t="s">
        <v>1001</v>
      </c>
      <c r="R1422" s="10">
        <f t="shared" si="10"/>
        <v>75</v>
      </c>
      <c r="S1422" s="5" t="s">
        <v>6718</v>
      </c>
      <c r="T1422" s="6" t="s">
        <v>2130</v>
      </c>
      <c r="U1422" s="5" t="s">
        <v>6719</v>
      </c>
      <c r="V1422" s="5" t="s">
        <v>6720</v>
      </c>
    </row>
    <row r="1423" ht="12.75" customHeight="1">
      <c r="A1423" s="5">
        <v>34794.0</v>
      </c>
      <c r="B1423" s="5" t="s">
        <v>49</v>
      </c>
      <c r="C1423" s="52" t="s">
        <v>50</v>
      </c>
      <c r="D1423" s="5" t="s">
        <v>2852</v>
      </c>
      <c r="E1423" s="7" t="s">
        <v>6721</v>
      </c>
      <c r="F1423" s="5" t="s">
        <v>6403</v>
      </c>
      <c r="G1423" s="5" t="s">
        <v>6688</v>
      </c>
      <c r="H1423" s="5">
        <v>2007.0</v>
      </c>
      <c r="I1423" s="5">
        <v>0.0</v>
      </c>
      <c r="J1423" s="5">
        <v>0.0</v>
      </c>
      <c r="K1423" s="5">
        <v>29.0</v>
      </c>
      <c r="L1423" s="54"/>
      <c r="M1423" s="5" t="s">
        <v>6722</v>
      </c>
      <c r="N1423" s="53" t="s">
        <v>2944</v>
      </c>
      <c r="O1423">
        <v>-12.8275</v>
      </c>
      <c r="P1423">
        <v>45.166244</v>
      </c>
      <c r="Q1423" s="5" t="s">
        <v>228</v>
      </c>
      <c r="R1423" s="10">
        <f t="shared" si="10"/>
        <v>757</v>
      </c>
      <c r="S1423" s="5" t="s">
        <v>6723</v>
      </c>
      <c r="T1423" s="5"/>
      <c r="U1423" s="5" t="s">
        <v>5296</v>
      </c>
      <c r="V1423" s="5" t="s">
        <v>6625</v>
      </c>
    </row>
    <row r="1424" ht="12.75" customHeight="1">
      <c r="A1424" s="5">
        <v>34792.0</v>
      </c>
      <c r="B1424" s="5" t="s">
        <v>68</v>
      </c>
      <c r="C1424" s="5" t="s">
        <v>69</v>
      </c>
      <c r="D1424" s="5" t="s">
        <v>2614</v>
      </c>
      <c r="E1424" s="7" t="s">
        <v>6721</v>
      </c>
      <c r="F1424" s="5" t="s">
        <v>6403</v>
      </c>
      <c r="G1424" s="5" t="s">
        <v>6688</v>
      </c>
      <c r="H1424" s="5">
        <v>2007.0</v>
      </c>
      <c r="I1424" s="5">
        <v>0.0</v>
      </c>
      <c r="J1424" s="5">
        <v>0.0</v>
      </c>
      <c r="K1424" s="5">
        <v>2.0</v>
      </c>
      <c r="L1424" s="54"/>
      <c r="M1424" s="5" t="s">
        <v>6724</v>
      </c>
      <c r="N1424" s="53" t="s">
        <v>4826</v>
      </c>
      <c r="O1424">
        <v>23.14632</v>
      </c>
      <c r="P1424">
        <v>58.825119</v>
      </c>
      <c r="Q1424" s="5" t="s">
        <v>319</v>
      </c>
      <c r="R1424" s="10">
        <f t="shared" si="10"/>
        <v>5</v>
      </c>
      <c r="S1424" s="5" t="s">
        <v>6725</v>
      </c>
      <c r="T1424" s="5"/>
      <c r="U1424" s="5" t="s">
        <v>2619</v>
      </c>
      <c r="V1424" s="5" t="s">
        <v>6726</v>
      </c>
    </row>
    <row r="1425" ht="12.75" customHeight="1">
      <c r="A1425" s="5">
        <v>34793.0</v>
      </c>
      <c r="B1425" s="5" t="s">
        <v>41</v>
      </c>
      <c r="C1425" s="5" t="s">
        <v>42</v>
      </c>
      <c r="D1425" s="5" t="s">
        <v>2614</v>
      </c>
      <c r="E1425" s="7" t="s">
        <v>6721</v>
      </c>
      <c r="F1425" s="5" t="s">
        <v>6403</v>
      </c>
      <c r="G1425" s="5" t="s">
        <v>6688</v>
      </c>
      <c r="H1425" s="5">
        <v>2007.0</v>
      </c>
      <c r="I1425" s="5">
        <v>0.0</v>
      </c>
      <c r="J1425" s="5">
        <v>0.0</v>
      </c>
      <c r="K1425" s="5">
        <v>1.0</v>
      </c>
      <c r="L1425" s="54"/>
      <c r="M1425" s="5" t="s">
        <v>6727</v>
      </c>
      <c r="N1425" s="53" t="s">
        <v>5518</v>
      </c>
      <c r="O1425">
        <v>31.280267</v>
      </c>
      <c r="P1425">
        <v>34.240191</v>
      </c>
      <c r="Q1425" s="5" t="s">
        <v>432</v>
      </c>
      <c r="R1425" s="10">
        <f t="shared" si="10"/>
        <v>4</v>
      </c>
      <c r="S1425" s="5" t="s">
        <v>6728</v>
      </c>
      <c r="T1425" s="5"/>
      <c r="U1425" s="5" t="s">
        <v>254</v>
      </c>
      <c r="V1425" s="5" t="s">
        <v>6729</v>
      </c>
    </row>
    <row r="1426" ht="12.75" customHeight="1">
      <c r="A1426" s="5">
        <v>34795.0</v>
      </c>
      <c r="B1426" s="5" t="s">
        <v>49</v>
      </c>
      <c r="C1426" s="52" t="s">
        <v>50</v>
      </c>
      <c r="D1426" s="5" t="s">
        <v>2852</v>
      </c>
      <c r="E1426" s="7" t="s">
        <v>6721</v>
      </c>
      <c r="F1426" s="5" t="s">
        <v>6403</v>
      </c>
      <c r="G1426" s="5" t="s">
        <v>6688</v>
      </c>
      <c r="H1426" s="5">
        <v>2007.0</v>
      </c>
      <c r="I1426" s="5">
        <v>0.0</v>
      </c>
      <c r="J1426" s="5">
        <v>0.0</v>
      </c>
      <c r="K1426" s="5">
        <v>3.0</v>
      </c>
      <c r="L1426" s="54"/>
      <c r="M1426" s="5" t="s">
        <v>6730</v>
      </c>
      <c r="N1426" s="53" t="s">
        <v>2938</v>
      </c>
      <c r="O1426">
        <v>35.937496</v>
      </c>
      <c r="P1426">
        <v>14.375416</v>
      </c>
      <c r="Q1426" s="5" t="s">
        <v>740</v>
      </c>
      <c r="R1426" s="10">
        <f t="shared" si="10"/>
        <v>655</v>
      </c>
      <c r="S1426" s="5" t="s">
        <v>6731</v>
      </c>
      <c r="T1426" s="6" t="s">
        <v>2130</v>
      </c>
      <c r="U1426" s="5" t="s">
        <v>59</v>
      </c>
      <c r="V1426" s="5"/>
    </row>
    <row r="1427" ht="12.75" customHeight="1">
      <c r="A1427" s="5">
        <v>34797.0</v>
      </c>
      <c r="B1427" s="5" t="s">
        <v>68</v>
      </c>
      <c r="C1427" s="5" t="s">
        <v>69</v>
      </c>
      <c r="D1427" s="5" t="s">
        <v>2614</v>
      </c>
      <c r="E1427" s="7" t="s">
        <v>6732</v>
      </c>
      <c r="F1427" s="5" t="s">
        <v>6403</v>
      </c>
      <c r="G1427" s="5" t="s">
        <v>6688</v>
      </c>
      <c r="H1427" s="5">
        <v>2007.0</v>
      </c>
      <c r="I1427" s="5">
        <v>0.0</v>
      </c>
      <c r="J1427" s="5">
        <v>0.0</v>
      </c>
      <c r="K1427" s="5">
        <v>42.0</v>
      </c>
      <c r="L1427" s="54"/>
      <c r="M1427" s="5" t="s">
        <v>6733</v>
      </c>
      <c r="N1427" s="53" t="s">
        <v>6690</v>
      </c>
      <c r="O1427">
        <v>16.666667</v>
      </c>
      <c r="P1427">
        <v>-9.616667</v>
      </c>
      <c r="Q1427" s="5" t="s">
        <v>273</v>
      </c>
      <c r="R1427" s="10">
        <f t="shared" si="10"/>
        <v>44</v>
      </c>
      <c r="S1427" s="5" t="s">
        <v>6734</v>
      </c>
      <c r="T1427" s="5"/>
      <c r="U1427" s="5" t="s">
        <v>6735</v>
      </c>
      <c r="V1427" s="5" t="s">
        <v>6736</v>
      </c>
    </row>
    <row r="1428" ht="12.75" customHeight="1">
      <c r="A1428" s="5">
        <v>34798.0</v>
      </c>
      <c r="B1428" s="5" t="s">
        <v>49</v>
      </c>
      <c r="C1428" s="52" t="s">
        <v>50</v>
      </c>
      <c r="D1428" s="5" t="s">
        <v>2852</v>
      </c>
      <c r="E1428" s="7" t="s">
        <v>6732</v>
      </c>
      <c r="F1428" s="5" t="s">
        <v>6403</v>
      </c>
      <c r="G1428" s="5" t="s">
        <v>6688</v>
      </c>
      <c r="H1428" s="5">
        <v>2007.0</v>
      </c>
      <c r="I1428" s="5">
        <v>0.0</v>
      </c>
      <c r="J1428" s="5">
        <v>0.0</v>
      </c>
      <c r="K1428" s="5">
        <v>2.0</v>
      </c>
      <c r="L1428" s="54"/>
      <c r="M1428" s="5" t="s">
        <v>6737</v>
      </c>
      <c r="N1428" s="53" t="s">
        <v>3295</v>
      </c>
      <c r="O1428">
        <v>26.3351</v>
      </c>
      <c r="P1428">
        <v>17.228331</v>
      </c>
      <c r="Q1428" s="5" t="s">
        <v>337</v>
      </c>
      <c r="R1428" s="10">
        <f t="shared" si="10"/>
        <v>1371</v>
      </c>
      <c r="S1428" s="5" t="s">
        <v>6738</v>
      </c>
      <c r="T1428" s="5"/>
      <c r="U1428" s="5" t="s">
        <v>59</v>
      </c>
      <c r="V1428" s="5"/>
    </row>
    <row r="1429" ht="12.75" customHeight="1">
      <c r="A1429" s="5">
        <v>34796.0</v>
      </c>
      <c r="B1429" s="5" t="s">
        <v>68</v>
      </c>
      <c r="C1429" s="5" t="s">
        <v>69</v>
      </c>
      <c r="D1429" s="5" t="s">
        <v>2614</v>
      </c>
      <c r="E1429" s="7" t="s">
        <v>6732</v>
      </c>
      <c r="F1429" s="5" t="s">
        <v>6403</v>
      </c>
      <c r="G1429" s="5" t="s">
        <v>6688</v>
      </c>
      <c r="H1429" s="5">
        <v>2007.0</v>
      </c>
      <c r="I1429" s="5">
        <v>0.0</v>
      </c>
      <c r="J1429" s="5">
        <v>0.0</v>
      </c>
      <c r="K1429" s="5">
        <v>3.0</v>
      </c>
      <c r="L1429" s="54"/>
      <c r="M1429" s="5" t="s">
        <v>6739</v>
      </c>
      <c r="N1429" s="53" t="s">
        <v>2938</v>
      </c>
      <c r="O1429">
        <v>35.937496</v>
      </c>
      <c r="P1429">
        <v>14.375416</v>
      </c>
      <c r="Q1429" s="5" t="s">
        <v>740</v>
      </c>
      <c r="R1429" s="10">
        <f t="shared" si="10"/>
        <v>655</v>
      </c>
      <c r="S1429" s="5" t="s">
        <v>6740</v>
      </c>
      <c r="T1429" s="6" t="s">
        <v>2130</v>
      </c>
      <c r="U1429" s="5" t="s">
        <v>2143</v>
      </c>
      <c r="V1429" s="5" t="s">
        <v>6741</v>
      </c>
    </row>
    <row r="1430" ht="12.75" customHeight="1">
      <c r="A1430" s="5">
        <v>34800.0</v>
      </c>
      <c r="B1430" s="5" t="s">
        <v>49</v>
      </c>
      <c r="C1430" s="52" t="s">
        <v>50</v>
      </c>
      <c r="D1430" s="5" t="s">
        <v>2852</v>
      </c>
      <c r="E1430" s="7" t="s">
        <v>6742</v>
      </c>
      <c r="F1430" s="5" t="s">
        <v>6403</v>
      </c>
      <c r="G1430" s="5" t="s">
        <v>6688</v>
      </c>
      <c r="H1430" s="5">
        <v>2007.0</v>
      </c>
      <c r="I1430" s="5">
        <v>0.0</v>
      </c>
      <c r="J1430" s="5">
        <v>0.0</v>
      </c>
      <c r="K1430" s="5">
        <v>52.0</v>
      </c>
      <c r="L1430" s="54"/>
      <c r="M1430" s="5" t="s">
        <v>6743</v>
      </c>
      <c r="N1430" s="53" t="s">
        <v>4556</v>
      </c>
      <c r="O1430">
        <v>28.291564</v>
      </c>
      <c r="P1430">
        <v>-16.62913</v>
      </c>
      <c r="Q1430" s="5" t="s">
        <v>382</v>
      </c>
      <c r="R1430" s="10">
        <f t="shared" si="10"/>
        <v>1120</v>
      </c>
      <c r="S1430" s="5" t="s">
        <v>6744</v>
      </c>
      <c r="T1430" s="5" t="s">
        <v>1040</v>
      </c>
      <c r="U1430" s="5" t="s">
        <v>6745</v>
      </c>
      <c r="V1430" s="5" t="s">
        <v>6746</v>
      </c>
    </row>
    <row r="1431" ht="12.75" customHeight="1">
      <c r="A1431" s="5">
        <v>34799.0</v>
      </c>
      <c r="B1431" s="5" t="s">
        <v>68</v>
      </c>
      <c r="C1431" s="5" t="s">
        <v>69</v>
      </c>
      <c r="D1431" s="5" t="s">
        <v>2614</v>
      </c>
      <c r="E1431" s="7" t="s">
        <v>6742</v>
      </c>
      <c r="F1431" s="5" t="s">
        <v>6403</v>
      </c>
      <c r="G1431" s="5" t="s">
        <v>6688</v>
      </c>
      <c r="H1431" s="5">
        <v>2007.0</v>
      </c>
      <c r="I1431" s="5">
        <v>0.0</v>
      </c>
      <c r="J1431" s="5">
        <v>0.0</v>
      </c>
      <c r="K1431" s="5">
        <v>3.0</v>
      </c>
      <c r="L1431" s="54"/>
      <c r="M1431" s="5" t="s">
        <v>6747</v>
      </c>
      <c r="N1431" s="53" t="s">
        <v>4556</v>
      </c>
      <c r="O1431">
        <v>28.291564</v>
      </c>
      <c r="P1431">
        <v>-16.62913</v>
      </c>
      <c r="Q1431" s="5" t="s">
        <v>382</v>
      </c>
      <c r="R1431" s="10">
        <f t="shared" si="10"/>
        <v>1120</v>
      </c>
      <c r="S1431" s="5" t="s">
        <v>6744</v>
      </c>
      <c r="T1431" s="5" t="s">
        <v>1040</v>
      </c>
      <c r="U1431" s="5" t="s">
        <v>2785</v>
      </c>
      <c r="V1431" s="5" t="s">
        <v>6748</v>
      </c>
    </row>
    <row r="1432" ht="12.75" customHeight="1">
      <c r="A1432" s="5">
        <v>34802.0</v>
      </c>
      <c r="B1432" s="5" t="s">
        <v>49</v>
      </c>
      <c r="C1432" s="52" t="s">
        <v>50</v>
      </c>
      <c r="D1432" s="5" t="s">
        <v>2852</v>
      </c>
      <c r="E1432" s="7" t="s">
        <v>6749</v>
      </c>
      <c r="F1432" s="5" t="s">
        <v>6403</v>
      </c>
      <c r="G1432" s="5" t="s">
        <v>6688</v>
      </c>
      <c r="H1432" s="5">
        <v>2007.0</v>
      </c>
      <c r="I1432" s="5">
        <v>0.0</v>
      </c>
      <c r="J1432" s="5">
        <v>0.0</v>
      </c>
      <c r="K1432" s="5">
        <v>16.0</v>
      </c>
      <c r="L1432" s="54"/>
      <c r="M1432" s="5" t="s">
        <v>6750</v>
      </c>
      <c r="N1432" s="53" t="s">
        <v>2700</v>
      </c>
      <c r="O1432">
        <v>35.508622</v>
      </c>
      <c r="P1432">
        <v>12.59292</v>
      </c>
      <c r="Q1432" s="5" t="s">
        <v>669</v>
      </c>
      <c r="R1432" s="10">
        <f t="shared" si="10"/>
        <v>3843</v>
      </c>
      <c r="S1432" s="5" t="s">
        <v>6751</v>
      </c>
      <c r="T1432" s="6" t="s">
        <v>2130</v>
      </c>
      <c r="U1432" s="5" t="s">
        <v>6752</v>
      </c>
      <c r="V1432" s="5" t="s">
        <v>6753</v>
      </c>
    </row>
    <row r="1433" ht="12.75" customHeight="1">
      <c r="A1433" s="5">
        <v>34801.0</v>
      </c>
      <c r="B1433" s="5" t="s">
        <v>49</v>
      </c>
      <c r="C1433" s="52" t="s">
        <v>50</v>
      </c>
      <c r="D1433" s="5" t="s">
        <v>2614</v>
      </c>
      <c r="E1433" s="7" t="s">
        <v>6749</v>
      </c>
      <c r="F1433" s="5" t="s">
        <v>6403</v>
      </c>
      <c r="G1433" s="5" t="s">
        <v>6688</v>
      </c>
      <c r="H1433" s="5">
        <v>2007.0</v>
      </c>
      <c r="I1433" s="5">
        <v>0.0</v>
      </c>
      <c r="J1433" s="5">
        <v>0.0</v>
      </c>
      <c r="K1433" s="5">
        <v>4.0</v>
      </c>
      <c r="L1433" s="54"/>
      <c r="M1433" s="5" t="s">
        <v>6754</v>
      </c>
      <c r="N1433" s="53" t="s">
        <v>2700</v>
      </c>
      <c r="O1433">
        <v>35.508622</v>
      </c>
      <c r="P1433">
        <v>12.59292</v>
      </c>
      <c r="Q1433" s="5" t="s">
        <v>669</v>
      </c>
      <c r="R1433" s="10">
        <f t="shared" si="10"/>
        <v>3843</v>
      </c>
      <c r="S1433" s="5" t="s">
        <v>6751</v>
      </c>
      <c r="T1433" s="6" t="s">
        <v>2130</v>
      </c>
      <c r="U1433" s="5" t="s">
        <v>2619</v>
      </c>
      <c r="V1433" s="5" t="s">
        <v>6753</v>
      </c>
    </row>
    <row r="1434" ht="12.75" customHeight="1">
      <c r="A1434" s="5">
        <v>34804.0</v>
      </c>
      <c r="B1434" s="5" t="s">
        <v>49</v>
      </c>
      <c r="C1434" s="52" t="s">
        <v>50</v>
      </c>
      <c r="D1434" s="5" t="s">
        <v>2852</v>
      </c>
      <c r="E1434" s="7" t="s">
        <v>6755</v>
      </c>
      <c r="F1434" s="5" t="s">
        <v>6403</v>
      </c>
      <c r="G1434" s="5" t="s">
        <v>6688</v>
      </c>
      <c r="H1434" s="5">
        <v>2007.0</v>
      </c>
      <c r="I1434" s="5">
        <v>0.0</v>
      </c>
      <c r="J1434" s="5">
        <v>0.0</v>
      </c>
      <c r="K1434" s="5">
        <v>12.0</v>
      </c>
      <c r="L1434" s="54"/>
      <c r="M1434" s="5" t="s">
        <v>6756</v>
      </c>
      <c r="N1434" s="53" t="s">
        <v>2928</v>
      </c>
      <c r="O1434">
        <v>26.3351</v>
      </c>
      <c r="P1434">
        <v>17.228331</v>
      </c>
      <c r="Q1434" s="5" t="s">
        <v>337</v>
      </c>
      <c r="R1434" s="10">
        <f t="shared" si="10"/>
        <v>1371</v>
      </c>
      <c r="S1434" s="5" t="s">
        <v>6757</v>
      </c>
      <c r="T1434" s="6" t="s">
        <v>2130</v>
      </c>
      <c r="U1434" s="5" t="s">
        <v>6758</v>
      </c>
      <c r="V1434" s="5"/>
    </row>
    <row r="1435" ht="12.75" customHeight="1">
      <c r="A1435" s="5">
        <v>34803.0</v>
      </c>
      <c r="B1435" s="5" t="s">
        <v>68</v>
      </c>
      <c r="C1435" s="5" t="s">
        <v>69</v>
      </c>
      <c r="D1435" s="5" t="s">
        <v>2852</v>
      </c>
      <c r="E1435" s="7" t="s">
        <v>6755</v>
      </c>
      <c r="F1435" s="5" t="s">
        <v>6403</v>
      </c>
      <c r="G1435" s="5" t="s">
        <v>6688</v>
      </c>
      <c r="H1435" s="5">
        <v>2007.0</v>
      </c>
      <c r="I1435" s="5">
        <v>0.0</v>
      </c>
      <c r="J1435" s="5">
        <v>0.0</v>
      </c>
      <c r="K1435" s="5">
        <v>1.0</v>
      </c>
      <c r="L1435" s="54"/>
      <c r="M1435" s="5" t="s">
        <v>6759</v>
      </c>
      <c r="N1435" s="53" t="s">
        <v>4556</v>
      </c>
      <c r="O1435">
        <v>28.291564</v>
      </c>
      <c r="P1435">
        <v>-16.62913</v>
      </c>
      <c r="Q1435" s="5" t="s">
        <v>382</v>
      </c>
      <c r="R1435" s="10">
        <f t="shared" si="10"/>
        <v>1120</v>
      </c>
      <c r="S1435" s="5" t="s">
        <v>6760</v>
      </c>
      <c r="T1435" s="5" t="s">
        <v>1040</v>
      </c>
      <c r="U1435" s="5" t="s">
        <v>6761</v>
      </c>
      <c r="V1435" s="5" t="s">
        <v>6762</v>
      </c>
    </row>
    <row r="1436" ht="12.75" customHeight="1">
      <c r="A1436" s="5">
        <v>34805.0</v>
      </c>
      <c r="B1436" s="5" t="s">
        <v>2040</v>
      </c>
      <c r="C1436" s="52" t="s">
        <v>50</v>
      </c>
      <c r="D1436" s="5" t="s">
        <v>2614</v>
      </c>
      <c r="E1436" s="7" t="s">
        <v>6763</v>
      </c>
      <c r="F1436" s="5" t="s">
        <v>6403</v>
      </c>
      <c r="G1436" s="5" t="s">
        <v>6688</v>
      </c>
      <c r="H1436" s="5">
        <v>2007.0</v>
      </c>
      <c r="I1436" s="5">
        <v>0.0</v>
      </c>
      <c r="J1436" s="5">
        <v>0.0</v>
      </c>
      <c r="K1436" s="5">
        <v>34.0</v>
      </c>
      <c r="L1436" s="54"/>
      <c r="M1436" s="5" t="s">
        <v>6764</v>
      </c>
      <c r="N1436" s="53" t="s">
        <v>2700</v>
      </c>
      <c r="O1436">
        <v>35.508622</v>
      </c>
      <c r="P1436">
        <v>12.59292</v>
      </c>
      <c r="Q1436" s="5" t="s">
        <v>669</v>
      </c>
      <c r="R1436" s="10">
        <f t="shared" si="10"/>
        <v>3843</v>
      </c>
      <c r="S1436" s="5" t="s">
        <v>6765</v>
      </c>
      <c r="T1436" s="6" t="s">
        <v>2130</v>
      </c>
      <c r="U1436" s="5" t="s">
        <v>3540</v>
      </c>
      <c r="V1436" s="5" t="s">
        <v>6766</v>
      </c>
    </row>
    <row r="1437" ht="12.75" customHeight="1">
      <c r="A1437" s="5">
        <v>34806.0</v>
      </c>
      <c r="B1437" s="5" t="s">
        <v>1076</v>
      </c>
      <c r="C1437" s="52" t="s">
        <v>50</v>
      </c>
      <c r="D1437" s="5" t="s">
        <v>2852</v>
      </c>
      <c r="E1437" s="7" t="s">
        <v>6767</v>
      </c>
      <c r="F1437" s="5" t="s">
        <v>6403</v>
      </c>
      <c r="G1437" s="5" t="s">
        <v>6688</v>
      </c>
      <c r="H1437" s="5">
        <v>2007.0</v>
      </c>
      <c r="I1437" s="5">
        <v>0.0</v>
      </c>
      <c r="J1437" s="5">
        <v>0.0</v>
      </c>
      <c r="K1437" s="5">
        <v>3.0</v>
      </c>
      <c r="L1437" s="54"/>
      <c r="M1437" s="5" t="s">
        <v>6768</v>
      </c>
      <c r="N1437" s="53" t="s">
        <v>6769</v>
      </c>
      <c r="O1437">
        <v>45.493488</v>
      </c>
      <c r="P1437">
        <v>12.246318</v>
      </c>
      <c r="Q1437" s="5" t="s">
        <v>1329</v>
      </c>
      <c r="R1437" s="10">
        <f t="shared" si="10"/>
        <v>3</v>
      </c>
      <c r="S1437" s="5" t="s">
        <v>6770</v>
      </c>
      <c r="T1437" s="5"/>
      <c r="U1437" s="5" t="s">
        <v>6771</v>
      </c>
      <c r="V1437" s="5" t="s">
        <v>6772</v>
      </c>
    </row>
    <row r="1438" ht="12.75" customHeight="1">
      <c r="A1438" s="5">
        <v>34807.0</v>
      </c>
      <c r="B1438" s="5" t="s">
        <v>68</v>
      </c>
      <c r="C1438" s="5" t="s">
        <v>69</v>
      </c>
      <c r="D1438" s="5" t="s">
        <v>2852</v>
      </c>
      <c r="E1438" s="7" t="s">
        <v>6773</v>
      </c>
      <c r="F1438" s="5" t="s">
        <v>6403</v>
      </c>
      <c r="G1438" s="5" t="s">
        <v>6688</v>
      </c>
      <c r="H1438" s="5">
        <v>2007.0</v>
      </c>
      <c r="I1438" s="5">
        <v>0.0</v>
      </c>
      <c r="J1438" s="5">
        <v>0.0</v>
      </c>
      <c r="K1438" s="5">
        <v>1.0</v>
      </c>
      <c r="L1438" s="54"/>
      <c r="M1438" s="5" t="s">
        <v>6774</v>
      </c>
      <c r="N1438" s="53" t="s">
        <v>3503</v>
      </c>
      <c r="O1438">
        <v>35.240117</v>
      </c>
      <c r="P1438">
        <v>24.809269</v>
      </c>
      <c r="Q1438" s="5" t="s">
        <v>641</v>
      </c>
      <c r="R1438" s="10">
        <f t="shared" si="10"/>
        <v>84</v>
      </c>
      <c r="S1438" s="5" t="s">
        <v>6775</v>
      </c>
      <c r="T1438" s="6" t="s">
        <v>53</v>
      </c>
      <c r="U1438" s="5" t="s">
        <v>6776</v>
      </c>
      <c r="V1438" s="5"/>
    </row>
    <row r="1439" ht="12.75" customHeight="1">
      <c r="A1439" s="5">
        <v>34808.0</v>
      </c>
      <c r="B1439" s="5" t="s">
        <v>3409</v>
      </c>
      <c r="C1439" s="5" t="s">
        <v>211</v>
      </c>
      <c r="D1439" s="5" t="s">
        <v>2852</v>
      </c>
      <c r="E1439" s="7" t="s">
        <v>6773</v>
      </c>
      <c r="F1439" s="5" t="s">
        <v>6403</v>
      </c>
      <c r="G1439" s="5" t="s">
        <v>6688</v>
      </c>
      <c r="H1439" s="5">
        <v>2007.0</v>
      </c>
      <c r="I1439" s="5">
        <v>0.0</v>
      </c>
      <c r="J1439" s="5">
        <v>0.0</v>
      </c>
      <c r="K1439" s="5">
        <v>1.0</v>
      </c>
      <c r="L1439" s="54"/>
      <c r="M1439" s="5" t="s">
        <v>6777</v>
      </c>
      <c r="N1439" s="53" t="s">
        <v>6778</v>
      </c>
      <c r="O1439">
        <v>53.171826</v>
      </c>
      <c r="P1439">
        <v>6.605243</v>
      </c>
      <c r="Q1439" s="5" t="s">
        <v>1813</v>
      </c>
      <c r="R1439" s="10">
        <f t="shared" si="10"/>
        <v>1</v>
      </c>
      <c r="S1439" s="5" t="s">
        <v>6779</v>
      </c>
      <c r="T1439" s="5"/>
      <c r="U1439" s="5" t="s">
        <v>6780</v>
      </c>
      <c r="V1439" s="5"/>
    </row>
    <row r="1440" ht="12.75" customHeight="1">
      <c r="A1440" s="5">
        <v>34809.0</v>
      </c>
      <c r="B1440" s="5" t="s">
        <v>491</v>
      </c>
      <c r="C1440" s="52" t="s">
        <v>50</v>
      </c>
      <c r="D1440" s="5" t="s">
        <v>2852</v>
      </c>
      <c r="E1440" s="7" t="s">
        <v>6781</v>
      </c>
      <c r="F1440" s="5" t="s">
        <v>6403</v>
      </c>
      <c r="G1440" s="5" t="s">
        <v>6688</v>
      </c>
      <c r="H1440" s="5">
        <v>2007.0</v>
      </c>
      <c r="I1440" s="5">
        <v>0.0</v>
      </c>
      <c r="J1440" s="5">
        <v>0.0</v>
      </c>
      <c r="K1440" s="5">
        <v>52.0</v>
      </c>
      <c r="L1440" s="54"/>
      <c r="M1440" s="5" t="s">
        <v>6782</v>
      </c>
      <c r="N1440" s="53" t="s">
        <v>4502</v>
      </c>
      <c r="O1440">
        <v>14.497401</v>
      </c>
      <c r="P1440">
        <v>-14.452362</v>
      </c>
      <c r="Q1440" s="5" t="s">
        <v>258</v>
      </c>
      <c r="R1440" s="10">
        <f t="shared" si="10"/>
        <v>200</v>
      </c>
      <c r="S1440" s="5" t="s">
        <v>6783</v>
      </c>
      <c r="T1440" s="5" t="s">
        <v>1040</v>
      </c>
      <c r="U1440" s="5" t="s">
        <v>6784</v>
      </c>
      <c r="V1440" s="5"/>
    </row>
    <row r="1441" ht="12.75" customHeight="1">
      <c r="A1441" s="5">
        <v>34810.0</v>
      </c>
      <c r="B1441" s="5" t="s">
        <v>49</v>
      </c>
      <c r="C1441" s="52" t="s">
        <v>50</v>
      </c>
      <c r="D1441" s="5" t="s">
        <v>2852</v>
      </c>
      <c r="E1441" s="7" t="s">
        <v>6785</v>
      </c>
      <c r="F1441" s="5" t="s">
        <v>6403</v>
      </c>
      <c r="G1441" s="5" t="s">
        <v>6688</v>
      </c>
      <c r="H1441" s="5">
        <v>2007.0</v>
      </c>
      <c r="I1441" s="5">
        <v>0.0</v>
      </c>
      <c r="J1441" s="5">
        <v>0.0</v>
      </c>
      <c r="K1441" s="5">
        <v>10.0</v>
      </c>
      <c r="L1441" s="54"/>
      <c r="M1441" s="5" t="s">
        <v>6786</v>
      </c>
      <c r="N1441" s="53" t="s">
        <v>5367</v>
      </c>
      <c r="O1441">
        <v>28.291564</v>
      </c>
      <c r="P1441">
        <v>-16.62913</v>
      </c>
      <c r="Q1441" s="5" t="s">
        <v>382</v>
      </c>
      <c r="R1441" s="10">
        <f t="shared" si="10"/>
        <v>1120</v>
      </c>
      <c r="S1441" s="5" t="s">
        <v>6787</v>
      </c>
      <c r="T1441" s="5" t="s">
        <v>1040</v>
      </c>
      <c r="U1441" s="5" t="s">
        <v>6788</v>
      </c>
      <c r="V1441" s="5"/>
    </row>
    <row r="1442" ht="12.75" customHeight="1">
      <c r="A1442" s="5">
        <v>34811.0</v>
      </c>
      <c r="B1442" s="5" t="s">
        <v>2333</v>
      </c>
      <c r="C1442" s="5" t="s">
        <v>124</v>
      </c>
      <c r="D1442" s="5" t="s">
        <v>2852</v>
      </c>
      <c r="E1442" s="7" t="s">
        <v>6789</v>
      </c>
      <c r="F1442" s="5" t="s">
        <v>6403</v>
      </c>
      <c r="G1442" s="5" t="s">
        <v>6688</v>
      </c>
      <c r="H1442" s="5">
        <v>2007.0</v>
      </c>
      <c r="I1442" s="5">
        <v>0.0</v>
      </c>
      <c r="J1442" s="5">
        <v>0.0</v>
      </c>
      <c r="K1442" s="5">
        <v>1.0</v>
      </c>
      <c r="L1442" s="54"/>
      <c r="M1442" s="5" t="s">
        <v>6790</v>
      </c>
      <c r="N1442" s="53" t="s">
        <v>5983</v>
      </c>
      <c r="O1442">
        <v>36.132977</v>
      </c>
      <c r="P1442">
        <v>-5.453909</v>
      </c>
      <c r="Q1442" s="5" t="s">
        <v>770</v>
      </c>
      <c r="R1442" s="10">
        <f t="shared" si="10"/>
        <v>29</v>
      </c>
      <c r="S1442" s="5" t="s">
        <v>6791</v>
      </c>
      <c r="T1442" s="6" t="s">
        <v>72</v>
      </c>
      <c r="U1442" s="5" t="s">
        <v>4736</v>
      </c>
      <c r="V1442" s="5"/>
    </row>
    <row r="1443" ht="12.75" customHeight="1">
      <c r="A1443" s="5">
        <v>34813.0</v>
      </c>
      <c r="B1443" s="5" t="s">
        <v>49</v>
      </c>
      <c r="C1443" s="52" t="s">
        <v>50</v>
      </c>
      <c r="D1443" s="5" t="s">
        <v>2852</v>
      </c>
      <c r="E1443" s="7" t="s">
        <v>6792</v>
      </c>
      <c r="F1443" s="5" t="s">
        <v>6403</v>
      </c>
      <c r="G1443" s="5" t="s">
        <v>6688</v>
      </c>
      <c r="H1443" s="5">
        <v>2007.0</v>
      </c>
      <c r="I1443" s="5">
        <v>0.0</v>
      </c>
      <c r="J1443" s="5">
        <v>0.0</v>
      </c>
      <c r="K1443" s="5">
        <v>1.0</v>
      </c>
      <c r="L1443" s="54"/>
      <c r="M1443" s="5" t="s">
        <v>6793</v>
      </c>
      <c r="N1443" s="53" t="s">
        <v>6794</v>
      </c>
      <c r="O1443">
        <v>35.861313</v>
      </c>
      <c r="P1443">
        <v>14.565384</v>
      </c>
      <c r="Q1443" s="5" t="s">
        <v>710</v>
      </c>
      <c r="R1443" s="10">
        <f t="shared" si="10"/>
        <v>2</v>
      </c>
      <c r="S1443" s="5" t="s">
        <v>6795</v>
      </c>
      <c r="T1443" s="6" t="s">
        <v>2130</v>
      </c>
      <c r="U1443" s="5" t="s">
        <v>3128</v>
      </c>
      <c r="V1443" s="5" t="s">
        <v>6796</v>
      </c>
    </row>
    <row r="1444" ht="12.75" customHeight="1">
      <c r="A1444" s="5">
        <v>34812.0</v>
      </c>
      <c r="B1444" s="5" t="s">
        <v>763</v>
      </c>
      <c r="C1444" s="5" t="s">
        <v>124</v>
      </c>
      <c r="D1444" s="5" t="s">
        <v>2852</v>
      </c>
      <c r="E1444" s="7" t="s">
        <v>6792</v>
      </c>
      <c r="F1444" s="5" t="s">
        <v>6403</v>
      </c>
      <c r="G1444" s="5" t="s">
        <v>6688</v>
      </c>
      <c r="H1444" s="5">
        <v>2007.0</v>
      </c>
      <c r="I1444" s="5">
        <v>0.0</v>
      </c>
      <c r="J1444" s="5">
        <v>0.0</v>
      </c>
      <c r="K1444" s="5">
        <v>1.0</v>
      </c>
      <c r="L1444" s="54"/>
      <c r="M1444" s="5" t="s">
        <v>6797</v>
      </c>
      <c r="N1444" s="53" t="s">
        <v>3909</v>
      </c>
      <c r="O1444">
        <v>50.95129</v>
      </c>
      <c r="P1444">
        <v>1.858686</v>
      </c>
      <c r="Q1444" s="5" t="s">
        <v>1551</v>
      </c>
      <c r="R1444" s="10">
        <f t="shared" si="10"/>
        <v>30</v>
      </c>
      <c r="S1444" s="5" t="s">
        <v>6798</v>
      </c>
      <c r="T1444" s="5"/>
      <c r="U1444" s="5" t="s">
        <v>6799</v>
      </c>
      <c r="V1444" s="5" t="s">
        <v>6800</v>
      </c>
    </row>
    <row r="1445" ht="12.75" customHeight="1">
      <c r="A1445" s="5">
        <v>34814.0</v>
      </c>
      <c r="B1445" s="5" t="s">
        <v>1995</v>
      </c>
      <c r="C1445" s="52" t="s">
        <v>50</v>
      </c>
      <c r="D1445" s="5" t="s">
        <v>2852</v>
      </c>
      <c r="E1445" s="7" t="s">
        <v>6801</v>
      </c>
      <c r="F1445" s="5" t="s">
        <v>6403</v>
      </c>
      <c r="G1445" s="5" t="s">
        <v>6688</v>
      </c>
      <c r="H1445" s="5">
        <v>2007.0</v>
      </c>
      <c r="I1445" s="5">
        <v>0.0</v>
      </c>
      <c r="J1445" s="5">
        <v>0.0</v>
      </c>
      <c r="K1445" s="5">
        <v>1.0</v>
      </c>
      <c r="L1445" s="54"/>
      <c r="M1445" s="5" t="s">
        <v>6802</v>
      </c>
      <c r="N1445" s="53" t="s">
        <v>6803</v>
      </c>
      <c r="O1445">
        <v>-11.202692</v>
      </c>
      <c r="P1445">
        <v>17.873887</v>
      </c>
      <c r="Q1445" s="5" t="s">
        <v>223</v>
      </c>
      <c r="R1445" s="10">
        <f t="shared" si="10"/>
        <v>1</v>
      </c>
      <c r="S1445" s="5" t="s">
        <v>6804</v>
      </c>
      <c r="T1445" s="5"/>
      <c r="U1445" s="5" t="s">
        <v>3219</v>
      </c>
      <c r="V1445" s="5"/>
    </row>
    <row r="1446" ht="12.75" customHeight="1">
      <c r="A1446" s="5">
        <v>34815.0</v>
      </c>
      <c r="B1446" s="5" t="s">
        <v>68</v>
      </c>
      <c r="C1446" s="5" t="s">
        <v>69</v>
      </c>
      <c r="D1446" s="5" t="s">
        <v>2852</v>
      </c>
      <c r="E1446" s="7" t="s">
        <v>6805</v>
      </c>
      <c r="F1446" s="5" t="s">
        <v>6403</v>
      </c>
      <c r="G1446" s="5" t="s">
        <v>6688</v>
      </c>
      <c r="H1446" s="5">
        <v>2007.0</v>
      </c>
      <c r="I1446" s="5">
        <v>0.0</v>
      </c>
      <c r="J1446" s="5">
        <v>0.0</v>
      </c>
      <c r="K1446" s="5">
        <v>1.0</v>
      </c>
      <c r="L1446" s="54"/>
      <c r="M1446" s="5" t="s">
        <v>6806</v>
      </c>
      <c r="N1446" s="53" t="s">
        <v>3141</v>
      </c>
      <c r="O1446">
        <v>36.140751</v>
      </c>
      <c r="P1446">
        <v>-5.353585</v>
      </c>
      <c r="Q1446" s="5" t="s">
        <v>774</v>
      </c>
      <c r="R1446" s="10">
        <f t="shared" si="10"/>
        <v>107</v>
      </c>
      <c r="S1446" s="5" t="s">
        <v>6807</v>
      </c>
      <c r="T1446" s="6" t="s">
        <v>72</v>
      </c>
      <c r="U1446" s="5" t="s">
        <v>6808</v>
      </c>
      <c r="V1446" s="5"/>
    </row>
    <row r="1447" ht="12.75" customHeight="1">
      <c r="A1447" s="5">
        <v>34816.0</v>
      </c>
      <c r="B1447" s="5" t="s">
        <v>491</v>
      </c>
      <c r="C1447" s="52" t="s">
        <v>50</v>
      </c>
      <c r="D1447" s="5" t="s">
        <v>2852</v>
      </c>
      <c r="E1447" s="7" t="s">
        <v>6805</v>
      </c>
      <c r="F1447" s="5" t="s">
        <v>6403</v>
      </c>
      <c r="G1447" s="5" t="s">
        <v>6688</v>
      </c>
      <c r="H1447" s="5">
        <v>2007.0</v>
      </c>
      <c r="I1447" s="5">
        <v>0.0</v>
      </c>
      <c r="J1447" s="5">
        <v>0.0</v>
      </c>
      <c r="K1447" s="5">
        <v>1.0</v>
      </c>
      <c r="L1447" s="54"/>
      <c r="M1447" s="5" t="s">
        <v>6809</v>
      </c>
      <c r="N1447" s="53" t="s">
        <v>6810</v>
      </c>
      <c r="O1447">
        <v>38.115688</v>
      </c>
      <c r="P1447">
        <v>13.361267</v>
      </c>
      <c r="Q1447" s="5" t="s">
        <v>995</v>
      </c>
      <c r="R1447" s="10">
        <f t="shared" si="10"/>
        <v>2</v>
      </c>
      <c r="S1447" s="5" t="s">
        <v>6811</v>
      </c>
      <c r="T1447" s="6" t="s">
        <v>2130</v>
      </c>
      <c r="U1447" s="5" t="s">
        <v>6812</v>
      </c>
      <c r="V1447" s="5"/>
    </row>
    <row r="1448" ht="12.75" customHeight="1">
      <c r="A1448" s="5">
        <v>34817.0</v>
      </c>
      <c r="B1448" s="5" t="s">
        <v>68</v>
      </c>
      <c r="C1448" s="5" t="s">
        <v>69</v>
      </c>
      <c r="D1448" s="5" t="s">
        <v>2614</v>
      </c>
      <c r="E1448" s="7" t="s">
        <v>6813</v>
      </c>
      <c r="F1448" s="5" t="s">
        <v>6403</v>
      </c>
      <c r="G1448" s="5" t="s">
        <v>6688</v>
      </c>
      <c r="H1448" s="5">
        <v>2007.0</v>
      </c>
      <c r="I1448" s="5">
        <v>0.0</v>
      </c>
      <c r="J1448" s="5">
        <v>0.0</v>
      </c>
      <c r="K1448" s="5">
        <v>2.0</v>
      </c>
      <c r="L1448" s="54"/>
      <c r="M1448" s="5" t="s">
        <v>6814</v>
      </c>
      <c r="N1448" s="53" t="s">
        <v>4556</v>
      </c>
      <c r="O1448">
        <v>28.291564</v>
      </c>
      <c r="P1448">
        <v>-16.62913</v>
      </c>
      <c r="Q1448" s="5" t="s">
        <v>382</v>
      </c>
      <c r="R1448" s="10">
        <f t="shared" si="10"/>
        <v>1120</v>
      </c>
      <c r="S1448" s="5" t="s">
        <v>6815</v>
      </c>
      <c r="T1448" s="5" t="s">
        <v>1040</v>
      </c>
      <c r="U1448" s="5" t="s">
        <v>2785</v>
      </c>
      <c r="V1448" s="5" t="s">
        <v>6816</v>
      </c>
    </row>
    <row r="1449" ht="12.75" customHeight="1">
      <c r="A1449" s="5">
        <v>34818.0</v>
      </c>
      <c r="B1449" s="5" t="s">
        <v>68</v>
      </c>
      <c r="C1449" s="5" t="s">
        <v>69</v>
      </c>
      <c r="D1449" s="5" t="s">
        <v>2614</v>
      </c>
      <c r="E1449" s="7" t="s">
        <v>6813</v>
      </c>
      <c r="F1449" s="5" t="s">
        <v>6403</v>
      </c>
      <c r="G1449" s="5" t="s">
        <v>6688</v>
      </c>
      <c r="H1449" s="5">
        <v>2007.0</v>
      </c>
      <c r="I1449" s="5">
        <v>0.0</v>
      </c>
      <c r="J1449" s="5">
        <v>0.0</v>
      </c>
      <c r="K1449" s="5">
        <v>20.0</v>
      </c>
      <c r="L1449" s="54"/>
      <c r="M1449" s="5" t="s">
        <v>6817</v>
      </c>
      <c r="N1449" s="53" t="s">
        <v>3524</v>
      </c>
      <c r="O1449">
        <v>36.81881</v>
      </c>
      <c r="P1449">
        <v>10.16596</v>
      </c>
      <c r="Q1449" s="5" t="s">
        <v>854</v>
      </c>
      <c r="R1449" s="10">
        <f t="shared" si="10"/>
        <v>540</v>
      </c>
      <c r="S1449" s="5" t="s">
        <v>6818</v>
      </c>
      <c r="T1449" s="6" t="s">
        <v>2130</v>
      </c>
      <c r="U1449" s="5" t="s">
        <v>327</v>
      </c>
      <c r="V1449" s="5" t="s">
        <v>4840</v>
      </c>
    </row>
    <row r="1450" ht="12.75" customHeight="1">
      <c r="A1450" s="5">
        <v>34819.0</v>
      </c>
      <c r="B1450" s="5" t="s">
        <v>68</v>
      </c>
      <c r="C1450" s="5" t="s">
        <v>69</v>
      </c>
      <c r="D1450" s="5" t="s">
        <v>2614</v>
      </c>
      <c r="E1450" s="7" t="s">
        <v>6819</v>
      </c>
      <c r="F1450" s="5" t="s">
        <v>6403</v>
      </c>
      <c r="G1450" s="5" t="s">
        <v>6688</v>
      </c>
      <c r="H1450" s="5">
        <v>2007.0</v>
      </c>
      <c r="I1450" s="5">
        <v>0.0</v>
      </c>
      <c r="J1450" s="5">
        <v>0.0</v>
      </c>
      <c r="K1450" s="5">
        <v>4.0</v>
      </c>
      <c r="L1450" s="54"/>
      <c r="M1450" s="5" t="s">
        <v>6820</v>
      </c>
      <c r="N1450" s="53" t="s">
        <v>3733</v>
      </c>
      <c r="O1450">
        <v>35.85</v>
      </c>
      <c r="P1450">
        <v>-0.316667</v>
      </c>
      <c r="Q1450" s="5" t="s">
        <v>708</v>
      </c>
      <c r="R1450" s="10">
        <f t="shared" si="10"/>
        <v>81</v>
      </c>
      <c r="S1450" s="5" t="s">
        <v>6821</v>
      </c>
      <c r="T1450" s="6" t="s">
        <v>72</v>
      </c>
      <c r="U1450" s="5" t="s">
        <v>5920</v>
      </c>
      <c r="V1450" s="5" t="s">
        <v>6822</v>
      </c>
    </row>
    <row r="1451" ht="12.75" customHeight="1">
      <c r="A1451" s="5">
        <v>34820.0</v>
      </c>
      <c r="B1451" s="5" t="s">
        <v>49</v>
      </c>
      <c r="C1451" s="52" t="s">
        <v>50</v>
      </c>
      <c r="D1451" s="5" t="s">
        <v>2852</v>
      </c>
      <c r="E1451" s="7" t="s">
        <v>6823</v>
      </c>
      <c r="F1451" s="5" t="s">
        <v>6824</v>
      </c>
      <c r="G1451" s="5" t="s">
        <v>6825</v>
      </c>
      <c r="H1451" s="5">
        <v>2007.0</v>
      </c>
      <c r="I1451" s="5">
        <v>0.0</v>
      </c>
      <c r="J1451" s="5">
        <v>0.0</v>
      </c>
      <c r="K1451" s="5">
        <v>11.0</v>
      </c>
      <c r="L1451" s="54"/>
      <c r="M1451" s="5" t="s">
        <v>6826</v>
      </c>
      <c r="N1451" s="53" t="s">
        <v>2938</v>
      </c>
      <c r="O1451">
        <v>35.937496</v>
      </c>
      <c r="P1451">
        <v>14.375416</v>
      </c>
      <c r="Q1451" s="5" t="s">
        <v>740</v>
      </c>
      <c r="R1451" s="10">
        <f t="shared" si="10"/>
        <v>655</v>
      </c>
      <c r="S1451" s="5" t="s">
        <v>6827</v>
      </c>
      <c r="T1451" s="6" t="s">
        <v>2130</v>
      </c>
      <c r="U1451" s="5" t="s">
        <v>6828</v>
      </c>
      <c r="V1451" s="5"/>
    </row>
    <row r="1452" ht="12.75" customHeight="1">
      <c r="A1452" s="5">
        <v>34822.0</v>
      </c>
      <c r="B1452" s="5" t="s">
        <v>49</v>
      </c>
      <c r="C1452" s="52" t="s">
        <v>50</v>
      </c>
      <c r="D1452" s="5" t="s">
        <v>2614</v>
      </c>
      <c r="E1452" s="7" t="s">
        <v>6829</v>
      </c>
      <c r="F1452" s="5" t="s">
        <v>6824</v>
      </c>
      <c r="G1452" s="5" t="s">
        <v>6825</v>
      </c>
      <c r="H1452" s="5">
        <v>2007.0</v>
      </c>
      <c r="I1452" s="5">
        <v>0.0</v>
      </c>
      <c r="J1452" s="5">
        <v>0.0</v>
      </c>
      <c r="K1452" s="5">
        <v>8.0</v>
      </c>
      <c r="L1452" s="54"/>
      <c r="M1452" s="5" t="s">
        <v>6830</v>
      </c>
      <c r="N1452" s="53" t="s">
        <v>3295</v>
      </c>
      <c r="O1452">
        <v>26.3351</v>
      </c>
      <c r="P1452">
        <v>17.228331</v>
      </c>
      <c r="Q1452" s="5" t="s">
        <v>337</v>
      </c>
      <c r="R1452" s="10">
        <f t="shared" si="10"/>
        <v>1371</v>
      </c>
      <c r="S1452" s="5" t="s">
        <v>6831</v>
      </c>
      <c r="T1452" s="5"/>
      <c r="U1452" s="5" t="s">
        <v>2143</v>
      </c>
      <c r="V1452" s="5" t="s">
        <v>6832</v>
      </c>
    </row>
    <row r="1453" ht="12.75" customHeight="1">
      <c r="A1453" s="5">
        <v>34823.0</v>
      </c>
      <c r="B1453" s="5" t="s">
        <v>49</v>
      </c>
      <c r="C1453" s="52" t="s">
        <v>50</v>
      </c>
      <c r="D1453" s="5" t="s">
        <v>2614</v>
      </c>
      <c r="E1453" s="7" t="s">
        <v>6829</v>
      </c>
      <c r="F1453" s="5" t="s">
        <v>6824</v>
      </c>
      <c r="G1453" s="5" t="s">
        <v>6825</v>
      </c>
      <c r="H1453" s="5">
        <v>2007.0</v>
      </c>
      <c r="I1453" s="5">
        <v>0.0</v>
      </c>
      <c r="J1453" s="5">
        <v>0.0</v>
      </c>
      <c r="K1453" s="5">
        <v>1.0</v>
      </c>
      <c r="L1453" s="54"/>
      <c r="M1453" s="5" t="s">
        <v>6833</v>
      </c>
      <c r="N1453" s="53" t="s">
        <v>2700</v>
      </c>
      <c r="O1453">
        <v>35.508622</v>
      </c>
      <c r="P1453">
        <v>12.59292</v>
      </c>
      <c r="Q1453" s="5" t="s">
        <v>669</v>
      </c>
      <c r="R1453" s="10">
        <f t="shared" si="10"/>
        <v>3843</v>
      </c>
      <c r="S1453" s="5" t="s">
        <v>6834</v>
      </c>
      <c r="T1453" s="6" t="s">
        <v>2130</v>
      </c>
      <c r="U1453" s="5" t="s">
        <v>2619</v>
      </c>
      <c r="V1453" s="5" t="s">
        <v>6835</v>
      </c>
    </row>
    <row r="1454" ht="12.75" customHeight="1">
      <c r="A1454" s="5">
        <v>34821.0</v>
      </c>
      <c r="B1454" s="5" t="s">
        <v>68</v>
      </c>
      <c r="C1454" s="5" t="s">
        <v>69</v>
      </c>
      <c r="D1454" s="5" t="s">
        <v>2614</v>
      </c>
      <c r="E1454" s="7" t="s">
        <v>6829</v>
      </c>
      <c r="F1454" s="5" t="s">
        <v>6824</v>
      </c>
      <c r="G1454" s="5" t="s">
        <v>6825</v>
      </c>
      <c r="H1454" s="5">
        <v>2007.0</v>
      </c>
      <c r="I1454" s="5">
        <v>0.0</v>
      </c>
      <c r="J1454" s="5">
        <v>0.0</v>
      </c>
      <c r="K1454" s="5">
        <v>4.0</v>
      </c>
      <c r="L1454" s="54"/>
      <c r="M1454" s="5" t="s">
        <v>6836</v>
      </c>
      <c r="N1454" s="53" t="s">
        <v>2700</v>
      </c>
      <c r="O1454">
        <v>35.508622</v>
      </c>
      <c r="P1454">
        <v>12.59292</v>
      </c>
      <c r="Q1454" s="5" t="s">
        <v>669</v>
      </c>
      <c r="R1454" s="10">
        <f t="shared" si="10"/>
        <v>3843</v>
      </c>
      <c r="S1454" s="5" t="s">
        <v>6834</v>
      </c>
      <c r="T1454" s="6" t="s">
        <v>2130</v>
      </c>
      <c r="U1454" s="5" t="s">
        <v>3388</v>
      </c>
      <c r="V1454" s="5" t="s">
        <v>6837</v>
      </c>
    </row>
    <row r="1455" ht="12.75" customHeight="1">
      <c r="A1455" s="5">
        <v>34824.0</v>
      </c>
      <c r="B1455" s="5" t="s">
        <v>2902</v>
      </c>
      <c r="C1455" s="5" t="s">
        <v>211</v>
      </c>
      <c r="D1455" s="5" t="s">
        <v>2852</v>
      </c>
      <c r="E1455" s="7" t="s">
        <v>6829</v>
      </c>
      <c r="F1455" s="5" t="s">
        <v>6824</v>
      </c>
      <c r="G1455" s="5" t="s">
        <v>6825</v>
      </c>
      <c r="H1455" s="5">
        <v>2007.0</v>
      </c>
      <c r="I1455" s="5">
        <v>0.0</v>
      </c>
      <c r="J1455" s="5">
        <v>0.0</v>
      </c>
      <c r="K1455" s="5">
        <v>1.0</v>
      </c>
      <c r="L1455" s="54"/>
      <c r="M1455" s="5" t="s">
        <v>6838</v>
      </c>
      <c r="N1455" s="53" t="s">
        <v>3810</v>
      </c>
      <c r="O1455">
        <v>55.57156</v>
      </c>
      <c r="P1455">
        <v>-4.410332</v>
      </c>
      <c r="Q1455" s="5" t="s">
        <v>1888</v>
      </c>
      <c r="R1455" s="10">
        <f t="shared" si="10"/>
        <v>11</v>
      </c>
      <c r="S1455" s="5" t="s">
        <v>6839</v>
      </c>
      <c r="T1455" s="5"/>
      <c r="U1455" s="5" t="s">
        <v>6840</v>
      </c>
      <c r="V1455" s="5"/>
    </row>
    <row r="1456" ht="12.75" customHeight="1">
      <c r="A1456" s="5">
        <v>34825.0</v>
      </c>
      <c r="B1456" s="5" t="s">
        <v>49</v>
      </c>
      <c r="C1456" s="52" t="s">
        <v>50</v>
      </c>
      <c r="D1456" s="5" t="s">
        <v>2614</v>
      </c>
      <c r="E1456" s="7" t="s">
        <v>6841</v>
      </c>
      <c r="F1456" s="5" t="s">
        <v>6824</v>
      </c>
      <c r="G1456" s="5" t="s">
        <v>6825</v>
      </c>
      <c r="H1456" s="5">
        <v>2007.0</v>
      </c>
      <c r="I1456" s="5">
        <v>0.0</v>
      </c>
      <c r="J1456" s="5">
        <v>0.0</v>
      </c>
      <c r="K1456" s="5">
        <v>1.0</v>
      </c>
      <c r="L1456" s="54"/>
      <c r="M1456" s="5" t="s">
        <v>6842</v>
      </c>
      <c r="N1456" s="53" t="s">
        <v>6843</v>
      </c>
      <c r="O1456">
        <v>35.860278</v>
      </c>
      <c r="P1456">
        <v>14.381389</v>
      </c>
      <c r="Q1456" s="5" t="s">
        <v>709</v>
      </c>
      <c r="R1456" s="10">
        <f t="shared" si="10"/>
        <v>1</v>
      </c>
      <c r="S1456" s="5" t="s">
        <v>6844</v>
      </c>
      <c r="T1456" s="6" t="s">
        <v>2130</v>
      </c>
      <c r="U1456" s="5" t="s">
        <v>2143</v>
      </c>
      <c r="V1456" s="5" t="s">
        <v>6845</v>
      </c>
    </row>
    <row r="1457" ht="12.75" customHeight="1">
      <c r="A1457" s="5">
        <v>34826.0</v>
      </c>
      <c r="B1457" s="5" t="s">
        <v>68</v>
      </c>
      <c r="C1457" s="5" t="s">
        <v>69</v>
      </c>
      <c r="D1457" s="5" t="s">
        <v>2614</v>
      </c>
      <c r="E1457" s="7" t="s">
        <v>6841</v>
      </c>
      <c r="F1457" s="5" t="s">
        <v>6824</v>
      </c>
      <c r="G1457" s="5" t="s">
        <v>6825</v>
      </c>
      <c r="H1457" s="5">
        <v>2007.0</v>
      </c>
      <c r="I1457" s="5">
        <v>0.0</v>
      </c>
      <c r="J1457" s="5">
        <v>0.0</v>
      </c>
      <c r="K1457" s="5">
        <v>1.0</v>
      </c>
      <c r="L1457" s="54"/>
      <c r="M1457" s="5" t="s">
        <v>6846</v>
      </c>
      <c r="N1457" s="53" t="s">
        <v>2938</v>
      </c>
      <c r="O1457">
        <v>35.937496</v>
      </c>
      <c r="P1457">
        <v>14.375416</v>
      </c>
      <c r="Q1457" s="5" t="s">
        <v>740</v>
      </c>
      <c r="R1457" s="10">
        <f t="shared" si="10"/>
        <v>655</v>
      </c>
      <c r="S1457" s="5" t="s">
        <v>6847</v>
      </c>
      <c r="T1457" s="6" t="s">
        <v>2130</v>
      </c>
      <c r="U1457" s="5" t="s">
        <v>2326</v>
      </c>
      <c r="V1457" s="5" t="s">
        <v>6848</v>
      </c>
    </row>
    <row r="1458" ht="12.75" customHeight="1">
      <c r="A1458" s="5">
        <v>34827.0</v>
      </c>
      <c r="B1458" s="5" t="s">
        <v>491</v>
      </c>
      <c r="C1458" s="52" t="s">
        <v>50</v>
      </c>
      <c r="D1458" s="5" t="s">
        <v>2852</v>
      </c>
      <c r="E1458" s="7" t="s">
        <v>6841</v>
      </c>
      <c r="F1458" s="5" t="s">
        <v>6824</v>
      </c>
      <c r="G1458" s="5" t="s">
        <v>6825</v>
      </c>
      <c r="H1458" s="5">
        <v>2007.0</v>
      </c>
      <c r="I1458" s="5">
        <v>0.0</v>
      </c>
      <c r="J1458" s="5">
        <v>0.0</v>
      </c>
      <c r="K1458" s="5">
        <v>3.0</v>
      </c>
      <c r="L1458" s="54"/>
      <c r="M1458" s="5" t="s">
        <v>6849</v>
      </c>
      <c r="N1458" s="53" t="s">
        <v>5692</v>
      </c>
      <c r="O1458">
        <v>36.926927</v>
      </c>
      <c r="P1458">
        <v>14.725513</v>
      </c>
      <c r="Q1458" s="5" t="s">
        <v>887</v>
      </c>
      <c r="R1458" s="10">
        <f t="shared" si="10"/>
        <v>58</v>
      </c>
      <c r="S1458" s="5" t="s">
        <v>6850</v>
      </c>
      <c r="T1458" s="6" t="s">
        <v>2130</v>
      </c>
      <c r="U1458" s="5" t="s">
        <v>3490</v>
      </c>
      <c r="V1458" s="5" t="s">
        <v>4777</v>
      </c>
    </row>
    <row r="1459" ht="12.75" customHeight="1">
      <c r="A1459" s="5">
        <v>34828.0</v>
      </c>
      <c r="B1459" s="5" t="s">
        <v>68</v>
      </c>
      <c r="C1459" s="5" t="s">
        <v>69</v>
      </c>
      <c r="D1459" s="5" t="s">
        <v>2852</v>
      </c>
      <c r="E1459" s="7" t="s">
        <v>6851</v>
      </c>
      <c r="F1459" s="5" t="s">
        <v>6824</v>
      </c>
      <c r="G1459" s="5" t="s">
        <v>6825</v>
      </c>
      <c r="H1459" s="5">
        <v>2007.0</v>
      </c>
      <c r="I1459" s="5">
        <v>0.0</v>
      </c>
      <c r="J1459" s="5">
        <v>0.0</v>
      </c>
      <c r="K1459" s="5">
        <v>1.0</v>
      </c>
      <c r="L1459" s="54"/>
      <c r="M1459" s="5" t="s">
        <v>6852</v>
      </c>
      <c r="N1459" s="53" t="s">
        <v>5367</v>
      </c>
      <c r="O1459">
        <v>28.291564</v>
      </c>
      <c r="P1459">
        <v>-16.62913</v>
      </c>
      <c r="Q1459" s="5" t="s">
        <v>382</v>
      </c>
      <c r="R1459" s="10">
        <f t="shared" si="10"/>
        <v>1120</v>
      </c>
      <c r="S1459" s="5" t="s">
        <v>6853</v>
      </c>
      <c r="T1459" s="5" t="s">
        <v>1040</v>
      </c>
      <c r="U1459" s="5" t="s">
        <v>6854</v>
      </c>
      <c r="V1459" s="5" t="s">
        <v>6855</v>
      </c>
    </row>
    <row r="1460" ht="12.75" customHeight="1">
      <c r="A1460" s="5">
        <v>34829.0</v>
      </c>
      <c r="B1460" s="5" t="s">
        <v>2962</v>
      </c>
      <c r="C1460" s="5" t="s">
        <v>211</v>
      </c>
      <c r="D1460" s="5" t="s">
        <v>2852</v>
      </c>
      <c r="E1460" s="7" t="s">
        <v>6851</v>
      </c>
      <c r="F1460" s="5" t="s">
        <v>6824</v>
      </c>
      <c r="G1460" s="5" t="s">
        <v>6825</v>
      </c>
      <c r="H1460" s="5">
        <v>2007.0</v>
      </c>
      <c r="I1460" s="5">
        <v>0.0</v>
      </c>
      <c r="J1460" s="5">
        <v>0.0</v>
      </c>
      <c r="K1460" s="5">
        <v>1.0</v>
      </c>
      <c r="L1460" s="54"/>
      <c r="M1460" s="5" t="s">
        <v>6856</v>
      </c>
      <c r="N1460" s="53" t="s">
        <v>6857</v>
      </c>
      <c r="O1460">
        <v>50.110922</v>
      </c>
      <c r="P1460">
        <v>8.682127</v>
      </c>
      <c r="Q1460" s="5" t="s">
        <v>1485</v>
      </c>
      <c r="R1460" s="10">
        <f t="shared" si="10"/>
        <v>6</v>
      </c>
      <c r="S1460" s="5" t="s">
        <v>6858</v>
      </c>
      <c r="T1460" s="5"/>
      <c r="U1460" s="5" t="s">
        <v>6859</v>
      </c>
      <c r="V1460" s="5"/>
    </row>
    <row r="1461" ht="12.75" customHeight="1">
      <c r="A1461" s="5">
        <v>34831.0</v>
      </c>
      <c r="B1461" s="5" t="s">
        <v>491</v>
      </c>
      <c r="C1461" s="52" t="s">
        <v>50</v>
      </c>
      <c r="D1461" s="5" t="s">
        <v>2614</v>
      </c>
      <c r="E1461" s="7" t="s">
        <v>6860</v>
      </c>
      <c r="F1461" s="5" t="s">
        <v>6824</v>
      </c>
      <c r="G1461" s="5" t="s">
        <v>6825</v>
      </c>
      <c r="H1461" s="5">
        <v>2007.0</v>
      </c>
      <c r="I1461" s="5">
        <v>0.0</v>
      </c>
      <c r="J1461" s="5">
        <v>0.0</v>
      </c>
      <c r="K1461" s="5">
        <v>2.0</v>
      </c>
      <c r="L1461" s="54"/>
      <c r="M1461" s="5" t="s">
        <v>6861</v>
      </c>
      <c r="N1461" s="53" t="s">
        <v>2938</v>
      </c>
      <c r="O1461">
        <v>35.937496</v>
      </c>
      <c r="P1461">
        <v>14.375416</v>
      </c>
      <c r="Q1461" s="5" t="s">
        <v>740</v>
      </c>
      <c r="R1461" s="10">
        <f t="shared" si="10"/>
        <v>655</v>
      </c>
      <c r="S1461" s="5" t="s">
        <v>6862</v>
      </c>
      <c r="T1461" s="6" t="s">
        <v>2130</v>
      </c>
      <c r="U1461" s="5" t="s">
        <v>2143</v>
      </c>
      <c r="V1461" s="5" t="s">
        <v>6863</v>
      </c>
    </row>
    <row r="1462" ht="12.75" customHeight="1">
      <c r="A1462" s="5">
        <v>34832.0</v>
      </c>
      <c r="B1462" s="5" t="s">
        <v>49</v>
      </c>
      <c r="C1462" s="52" t="s">
        <v>50</v>
      </c>
      <c r="D1462" s="5" t="s">
        <v>2614</v>
      </c>
      <c r="E1462" s="7" t="s">
        <v>6860</v>
      </c>
      <c r="F1462" s="5" t="s">
        <v>6824</v>
      </c>
      <c r="G1462" s="5" t="s">
        <v>6825</v>
      </c>
      <c r="H1462" s="5">
        <v>2007.0</v>
      </c>
      <c r="I1462" s="5">
        <v>0.0</v>
      </c>
      <c r="J1462" s="5">
        <v>0.0</v>
      </c>
      <c r="K1462" s="5">
        <v>1.0</v>
      </c>
      <c r="L1462" s="54"/>
      <c r="M1462" s="5" t="s">
        <v>6864</v>
      </c>
      <c r="N1462" s="53" t="s">
        <v>6865</v>
      </c>
      <c r="O1462">
        <v>36.0443</v>
      </c>
      <c r="P1462">
        <v>14.251222</v>
      </c>
      <c r="Q1462" s="5" t="s">
        <v>762</v>
      </c>
      <c r="R1462" s="10">
        <f t="shared" si="10"/>
        <v>1</v>
      </c>
      <c r="S1462" s="5" t="s">
        <v>6866</v>
      </c>
      <c r="T1462" s="6" t="s">
        <v>2130</v>
      </c>
      <c r="U1462" s="5" t="s">
        <v>2326</v>
      </c>
      <c r="V1462" s="5" t="s">
        <v>4777</v>
      </c>
    </row>
    <row r="1463" ht="12.75" customHeight="1">
      <c r="A1463" s="5">
        <v>34830.0</v>
      </c>
      <c r="B1463" s="5" t="s">
        <v>68</v>
      </c>
      <c r="C1463" s="5" t="s">
        <v>69</v>
      </c>
      <c r="D1463" s="5" t="s">
        <v>2614</v>
      </c>
      <c r="E1463" s="7" t="s">
        <v>6860</v>
      </c>
      <c r="F1463" s="5" t="s">
        <v>6824</v>
      </c>
      <c r="G1463" s="5" t="s">
        <v>6825</v>
      </c>
      <c r="H1463" s="5">
        <v>2007.0</v>
      </c>
      <c r="I1463" s="5">
        <v>0.0</v>
      </c>
      <c r="J1463" s="5">
        <v>0.0</v>
      </c>
      <c r="K1463" s="5">
        <v>3.0</v>
      </c>
      <c r="L1463" s="54"/>
      <c r="M1463" s="5" t="s">
        <v>6867</v>
      </c>
      <c r="N1463" s="53" t="s">
        <v>4290</v>
      </c>
      <c r="O1463">
        <v>38.158524</v>
      </c>
      <c r="P1463">
        <v>14.742693</v>
      </c>
      <c r="Q1463" s="5" t="s">
        <v>1001</v>
      </c>
      <c r="R1463" s="10">
        <f t="shared" si="10"/>
        <v>75</v>
      </c>
      <c r="S1463" s="5" t="s">
        <v>6868</v>
      </c>
      <c r="T1463" s="6" t="s">
        <v>2130</v>
      </c>
      <c r="U1463" s="5" t="s">
        <v>2619</v>
      </c>
      <c r="V1463" s="5" t="s">
        <v>6869</v>
      </c>
    </row>
    <row r="1464" ht="12.75" customHeight="1">
      <c r="A1464" s="5">
        <v>34833.0</v>
      </c>
      <c r="B1464" s="5" t="s">
        <v>49</v>
      </c>
      <c r="C1464" s="52" t="s">
        <v>50</v>
      </c>
      <c r="D1464" s="5" t="s">
        <v>2852</v>
      </c>
      <c r="E1464" s="7" t="s">
        <v>6870</v>
      </c>
      <c r="F1464" s="5" t="s">
        <v>6824</v>
      </c>
      <c r="G1464" s="5" t="s">
        <v>6825</v>
      </c>
      <c r="H1464" s="5">
        <v>2007.0</v>
      </c>
      <c r="I1464" s="5">
        <v>0.0</v>
      </c>
      <c r="J1464" s="5">
        <v>0.0</v>
      </c>
      <c r="K1464" s="5">
        <v>20.0</v>
      </c>
      <c r="L1464" s="54"/>
      <c r="M1464" s="5" t="s">
        <v>6871</v>
      </c>
      <c r="N1464" s="53" t="s">
        <v>2700</v>
      </c>
      <c r="O1464">
        <v>35.508622</v>
      </c>
      <c r="P1464">
        <v>12.59292</v>
      </c>
      <c r="Q1464" s="5" t="s">
        <v>669</v>
      </c>
      <c r="R1464" s="10">
        <f t="shared" si="10"/>
        <v>3843</v>
      </c>
      <c r="S1464" s="5" t="s">
        <v>6872</v>
      </c>
      <c r="T1464" s="6" t="s">
        <v>2130</v>
      </c>
      <c r="U1464" s="5" t="s">
        <v>3490</v>
      </c>
      <c r="V1464" s="5" t="s">
        <v>6873</v>
      </c>
    </row>
    <row r="1465" ht="12.75" customHeight="1">
      <c r="A1465" s="5">
        <v>34834.0</v>
      </c>
      <c r="B1465" s="5" t="s">
        <v>68</v>
      </c>
      <c r="C1465" s="5" t="s">
        <v>69</v>
      </c>
      <c r="D1465" s="5" t="s">
        <v>2614</v>
      </c>
      <c r="E1465" s="7" t="s">
        <v>6874</v>
      </c>
      <c r="F1465" s="5" t="s">
        <v>6824</v>
      </c>
      <c r="G1465" s="5" t="s">
        <v>6825</v>
      </c>
      <c r="H1465" s="5">
        <v>2007.0</v>
      </c>
      <c r="I1465" s="5">
        <v>0.0</v>
      </c>
      <c r="J1465" s="5">
        <v>0.0</v>
      </c>
      <c r="K1465" s="5">
        <v>4.0</v>
      </c>
      <c r="L1465" s="54"/>
      <c r="M1465" s="5" t="s">
        <v>6875</v>
      </c>
      <c r="N1465" s="53" t="s">
        <v>2689</v>
      </c>
      <c r="O1465">
        <v>35.937496</v>
      </c>
      <c r="P1465">
        <v>14.375416</v>
      </c>
      <c r="Q1465" s="5" t="s">
        <v>740</v>
      </c>
      <c r="R1465" s="10">
        <f t="shared" si="10"/>
        <v>655</v>
      </c>
      <c r="S1465" s="5" t="s">
        <v>6876</v>
      </c>
      <c r="T1465" s="6" t="s">
        <v>2130</v>
      </c>
      <c r="U1465" s="5" t="s">
        <v>2143</v>
      </c>
      <c r="V1465" s="5" t="s">
        <v>6877</v>
      </c>
    </row>
    <row r="1466" ht="12.75" customHeight="1">
      <c r="A1466" s="5">
        <v>34835.0</v>
      </c>
      <c r="B1466" s="5" t="s">
        <v>49</v>
      </c>
      <c r="C1466" s="52" t="s">
        <v>50</v>
      </c>
      <c r="D1466" s="5" t="s">
        <v>2852</v>
      </c>
      <c r="E1466" s="7" t="s">
        <v>6878</v>
      </c>
      <c r="F1466" s="5" t="s">
        <v>6824</v>
      </c>
      <c r="G1466" s="5" t="s">
        <v>6825</v>
      </c>
      <c r="H1466" s="5">
        <v>2007.0</v>
      </c>
      <c r="I1466" s="5">
        <v>0.0</v>
      </c>
      <c r="J1466" s="5">
        <v>0.0</v>
      </c>
      <c r="K1466" s="5">
        <v>22.0</v>
      </c>
      <c r="L1466" s="54"/>
      <c r="M1466" s="5" t="s">
        <v>6879</v>
      </c>
      <c r="N1466" s="53" t="s">
        <v>2938</v>
      </c>
      <c r="O1466">
        <v>35.937496</v>
      </c>
      <c r="P1466">
        <v>14.375416</v>
      </c>
      <c r="Q1466" s="5" t="s">
        <v>740</v>
      </c>
      <c r="R1466" s="10">
        <f t="shared" si="10"/>
        <v>655</v>
      </c>
      <c r="S1466" s="5" t="s">
        <v>6880</v>
      </c>
      <c r="T1466" s="6" t="s">
        <v>2130</v>
      </c>
      <c r="U1466" s="5" t="s">
        <v>3128</v>
      </c>
      <c r="V1466" s="5" t="s">
        <v>6881</v>
      </c>
    </row>
    <row r="1467" ht="12.75" customHeight="1">
      <c r="A1467" s="5">
        <v>34836.0</v>
      </c>
      <c r="B1467" s="5" t="s">
        <v>49</v>
      </c>
      <c r="C1467" s="52" t="s">
        <v>50</v>
      </c>
      <c r="D1467" s="5" t="s">
        <v>2852</v>
      </c>
      <c r="E1467" s="7" t="s">
        <v>6882</v>
      </c>
      <c r="F1467" s="5" t="s">
        <v>6824</v>
      </c>
      <c r="G1467" s="5" t="s">
        <v>6825</v>
      </c>
      <c r="H1467" s="5">
        <v>2007.0</v>
      </c>
      <c r="I1467" s="5">
        <v>0.0</v>
      </c>
      <c r="J1467" s="5">
        <v>0.0</v>
      </c>
      <c r="K1467" s="5">
        <v>8.0</v>
      </c>
      <c r="L1467" s="54"/>
      <c r="M1467" s="5" t="s">
        <v>6883</v>
      </c>
      <c r="N1467" s="53" t="s">
        <v>2700</v>
      </c>
      <c r="O1467">
        <v>35.508622</v>
      </c>
      <c r="P1467">
        <v>12.59292</v>
      </c>
      <c r="Q1467" s="5" t="s">
        <v>669</v>
      </c>
      <c r="R1467" s="10">
        <f t="shared" si="10"/>
        <v>3843</v>
      </c>
      <c r="S1467" s="5" t="s">
        <v>6884</v>
      </c>
      <c r="T1467" s="6" t="s">
        <v>2130</v>
      </c>
      <c r="U1467" s="5" t="s">
        <v>3128</v>
      </c>
      <c r="V1467" s="5" t="s">
        <v>6885</v>
      </c>
    </row>
    <row r="1468" ht="12.75" customHeight="1">
      <c r="A1468" s="5">
        <v>34837.0</v>
      </c>
      <c r="B1468" s="5" t="s">
        <v>68</v>
      </c>
      <c r="C1468" s="5" t="s">
        <v>69</v>
      </c>
      <c r="D1468" s="5" t="s">
        <v>2852</v>
      </c>
      <c r="E1468" s="7" t="s">
        <v>6886</v>
      </c>
      <c r="F1468" s="5" t="s">
        <v>6824</v>
      </c>
      <c r="G1468" s="5" t="s">
        <v>6825</v>
      </c>
      <c r="H1468" s="5">
        <v>2007.0</v>
      </c>
      <c r="I1468" s="5">
        <v>0.0</v>
      </c>
      <c r="J1468" s="5">
        <v>0.0</v>
      </c>
      <c r="K1468" s="5">
        <v>1.0</v>
      </c>
      <c r="L1468" s="54"/>
      <c r="M1468" s="5" t="s">
        <v>6887</v>
      </c>
      <c r="N1468" s="53" t="s">
        <v>6888</v>
      </c>
      <c r="O1468">
        <v>33.503681</v>
      </c>
      <c r="P1468">
        <v>11.11538</v>
      </c>
      <c r="Q1468" s="5" t="s">
        <v>541</v>
      </c>
      <c r="R1468" s="10">
        <f t="shared" si="10"/>
        <v>5</v>
      </c>
      <c r="S1468" s="5" t="s">
        <v>6889</v>
      </c>
      <c r="T1468" s="6" t="s">
        <v>2130</v>
      </c>
      <c r="U1468" s="5" t="s">
        <v>3128</v>
      </c>
      <c r="V1468" s="5" t="s">
        <v>6890</v>
      </c>
    </row>
    <row r="1469" ht="12.75" customHeight="1">
      <c r="A1469" s="5">
        <v>34838.0</v>
      </c>
      <c r="B1469" s="5" t="s">
        <v>49</v>
      </c>
      <c r="C1469" s="52" t="s">
        <v>50</v>
      </c>
      <c r="D1469" s="5" t="s">
        <v>2852</v>
      </c>
      <c r="E1469" s="7" t="s">
        <v>6886</v>
      </c>
      <c r="F1469" s="5" t="s">
        <v>6824</v>
      </c>
      <c r="G1469" s="5" t="s">
        <v>6825</v>
      </c>
      <c r="H1469" s="5">
        <v>2007.0</v>
      </c>
      <c r="I1469" s="5">
        <v>0.0</v>
      </c>
      <c r="J1469" s="5">
        <v>0.0</v>
      </c>
      <c r="K1469" s="5">
        <v>14.0</v>
      </c>
      <c r="L1469" s="54"/>
      <c r="M1469" s="5" t="s">
        <v>6891</v>
      </c>
      <c r="N1469" s="53" t="s">
        <v>3314</v>
      </c>
      <c r="O1469">
        <v>37.599994</v>
      </c>
      <c r="P1469">
        <v>14.015356</v>
      </c>
      <c r="Q1469" s="5" t="s">
        <v>949</v>
      </c>
      <c r="R1469" s="10">
        <f t="shared" si="10"/>
        <v>363</v>
      </c>
      <c r="S1469" s="5" t="s">
        <v>6892</v>
      </c>
      <c r="T1469" s="6" t="s">
        <v>2130</v>
      </c>
      <c r="U1469" s="5" t="s">
        <v>6893</v>
      </c>
      <c r="V1469" s="5"/>
    </row>
    <row r="1470" ht="12.75" customHeight="1">
      <c r="A1470" s="5">
        <v>34839.0</v>
      </c>
      <c r="B1470" s="5" t="s">
        <v>68</v>
      </c>
      <c r="C1470" s="5" t="s">
        <v>69</v>
      </c>
      <c r="D1470" s="5" t="s">
        <v>2614</v>
      </c>
      <c r="E1470" s="7" t="s">
        <v>6894</v>
      </c>
      <c r="F1470" s="5" t="s">
        <v>6824</v>
      </c>
      <c r="G1470" s="5" t="s">
        <v>6825</v>
      </c>
      <c r="H1470" s="5">
        <v>2007.0</v>
      </c>
      <c r="I1470" s="5">
        <v>0.0</v>
      </c>
      <c r="J1470" s="5">
        <v>0.0</v>
      </c>
      <c r="K1470" s="5">
        <v>1.0</v>
      </c>
      <c r="L1470" s="54"/>
      <c r="M1470" s="5" t="s">
        <v>6895</v>
      </c>
      <c r="N1470" s="53" t="s">
        <v>2928</v>
      </c>
      <c r="O1470">
        <v>26.3351</v>
      </c>
      <c r="P1470">
        <v>17.228331</v>
      </c>
      <c r="Q1470" s="5" t="s">
        <v>337</v>
      </c>
      <c r="R1470" s="10">
        <f t="shared" si="10"/>
        <v>1371</v>
      </c>
      <c r="S1470" s="5" t="s">
        <v>6896</v>
      </c>
      <c r="T1470" s="5"/>
      <c r="U1470" s="5" t="s">
        <v>6091</v>
      </c>
      <c r="V1470" s="5" t="s">
        <v>6897</v>
      </c>
    </row>
    <row r="1471" ht="12.75" customHeight="1">
      <c r="A1471" s="5">
        <v>34840.0</v>
      </c>
      <c r="B1471" s="5" t="s">
        <v>68</v>
      </c>
      <c r="C1471" s="5" t="s">
        <v>69</v>
      </c>
      <c r="D1471" s="5" t="s">
        <v>2614</v>
      </c>
      <c r="E1471" s="7" t="s">
        <v>6898</v>
      </c>
      <c r="F1471" s="5" t="s">
        <v>6824</v>
      </c>
      <c r="G1471" s="5" t="s">
        <v>6825</v>
      </c>
      <c r="H1471" s="5">
        <v>2007.0</v>
      </c>
      <c r="I1471" s="5">
        <v>0.0</v>
      </c>
      <c r="J1471" s="5">
        <v>0.0</v>
      </c>
      <c r="K1471" s="5">
        <v>1.0</v>
      </c>
      <c r="L1471" s="54"/>
      <c r="M1471" s="5" t="s">
        <v>6899</v>
      </c>
      <c r="N1471" s="53" t="s">
        <v>2689</v>
      </c>
      <c r="O1471">
        <v>35.937496</v>
      </c>
      <c r="P1471">
        <v>14.375416</v>
      </c>
      <c r="Q1471" s="5" t="s">
        <v>740</v>
      </c>
      <c r="R1471" s="10">
        <f t="shared" si="10"/>
        <v>655</v>
      </c>
      <c r="S1471" s="5" t="s">
        <v>6900</v>
      </c>
      <c r="T1471" s="6" t="s">
        <v>2130</v>
      </c>
      <c r="U1471" s="5" t="s">
        <v>2143</v>
      </c>
      <c r="V1471" s="5" t="s">
        <v>6901</v>
      </c>
    </row>
    <row r="1472" ht="12.75" customHeight="1">
      <c r="A1472" s="5">
        <v>34841.0</v>
      </c>
      <c r="B1472" s="5" t="s">
        <v>1076</v>
      </c>
      <c r="C1472" s="52" t="s">
        <v>50</v>
      </c>
      <c r="D1472" s="5" t="s">
        <v>2852</v>
      </c>
      <c r="E1472" s="7" t="s">
        <v>6898</v>
      </c>
      <c r="F1472" s="5" t="s">
        <v>6824</v>
      </c>
      <c r="G1472" s="5" t="s">
        <v>6825</v>
      </c>
      <c r="H1472" s="5">
        <v>2007.0</v>
      </c>
      <c r="I1472" s="5">
        <v>0.0</v>
      </c>
      <c r="J1472" s="5">
        <v>0.0</v>
      </c>
      <c r="K1472" s="5">
        <v>1.0</v>
      </c>
      <c r="L1472" s="54"/>
      <c r="M1472" s="5" t="s">
        <v>6902</v>
      </c>
      <c r="N1472" s="53" t="s">
        <v>6903</v>
      </c>
      <c r="O1472">
        <v>51.302229</v>
      </c>
      <c r="P1472">
        <v>-3.867187</v>
      </c>
      <c r="Q1472" s="5" t="s">
        <v>1616</v>
      </c>
      <c r="R1472" s="10">
        <f t="shared" si="10"/>
        <v>1</v>
      </c>
      <c r="S1472" s="5" t="s">
        <v>6904</v>
      </c>
      <c r="T1472" s="5"/>
      <c r="U1472" s="5" t="s">
        <v>6905</v>
      </c>
      <c r="V1472" s="5"/>
    </row>
    <row r="1473" ht="12.75" customHeight="1">
      <c r="A1473" s="5">
        <v>34842.0</v>
      </c>
      <c r="B1473" s="5" t="s">
        <v>1076</v>
      </c>
      <c r="C1473" s="52" t="s">
        <v>50</v>
      </c>
      <c r="D1473" s="5" t="s">
        <v>2852</v>
      </c>
      <c r="E1473" s="7" t="s">
        <v>6906</v>
      </c>
      <c r="F1473" s="5" t="s">
        <v>6824</v>
      </c>
      <c r="G1473" s="5" t="s">
        <v>6825</v>
      </c>
      <c r="H1473" s="5">
        <v>2007.0</v>
      </c>
      <c r="I1473" s="5">
        <v>0.0</v>
      </c>
      <c r="J1473" s="5">
        <v>0.0</v>
      </c>
      <c r="K1473" s="5">
        <v>1.0</v>
      </c>
      <c r="L1473" s="54"/>
      <c r="M1473" s="5" t="s">
        <v>6907</v>
      </c>
      <c r="N1473" s="53" t="s">
        <v>6908</v>
      </c>
      <c r="O1473">
        <v>45.217675</v>
      </c>
      <c r="P1473">
        <v>6.47587</v>
      </c>
      <c r="Q1473" s="5" t="s">
        <v>1312</v>
      </c>
      <c r="R1473" s="10">
        <f t="shared" si="10"/>
        <v>1</v>
      </c>
      <c r="S1473" s="5" t="s">
        <v>6909</v>
      </c>
      <c r="T1473" s="5"/>
      <c r="U1473" s="5" t="s">
        <v>6910</v>
      </c>
      <c r="V1473" s="5" t="s">
        <v>6911</v>
      </c>
    </row>
    <row r="1474" ht="12.75" customHeight="1">
      <c r="A1474" s="5">
        <v>34845.0</v>
      </c>
      <c r="B1474" s="5" t="s">
        <v>68</v>
      </c>
      <c r="C1474" s="5" t="s">
        <v>69</v>
      </c>
      <c r="D1474" s="5" t="s">
        <v>2614</v>
      </c>
      <c r="E1474" s="7" t="s">
        <v>6912</v>
      </c>
      <c r="F1474" s="5" t="s">
        <v>6824</v>
      </c>
      <c r="G1474" s="5" t="s">
        <v>6825</v>
      </c>
      <c r="H1474" s="5">
        <v>2007.0</v>
      </c>
      <c r="I1474" s="5">
        <v>0.0</v>
      </c>
      <c r="J1474" s="5">
        <v>0.0</v>
      </c>
      <c r="K1474" s="5">
        <v>1.0</v>
      </c>
      <c r="L1474" s="54"/>
      <c r="M1474" s="5" t="s">
        <v>6913</v>
      </c>
      <c r="N1474" s="53" t="s">
        <v>6515</v>
      </c>
      <c r="O1474">
        <v>17.607789</v>
      </c>
      <c r="P1474">
        <v>8.081666</v>
      </c>
      <c r="Q1474" s="5" t="s">
        <v>284</v>
      </c>
      <c r="R1474" s="10">
        <f t="shared" si="10"/>
        <v>164</v>
      </c>
      <c r="S1474" s="5" t="s">
        <v>6914</v>
      </c>
      <c r="T1474" s="5"/>
      <c r="U1474" s="5" t="s">
        <v>2785</v>
      </c>
      <c r="V1474" s="5" t="s">
        <v>6915</v>
      </c>
    </row>
    <row r="1475" ht="12.75" customHeight="1">
      <c r="A1475" s="5">
        <v>34843.0</v>
      </c>
      <c r="B1475" s="5" t="s">
        <v>68</v>
      </c>
      <c r="C1475" s="5" t="s">
        <v>69</v>
      </c>
      <c r="D1475" s="5" t="s">
        <v>2614</v>
      </c>
      <c r="E1475" s="7" t="s">
        <v>6912</v>
      </c>
      <c r="F1475" s="5" t="s">
        <v>6824</v>
      </c>
      <c r="G1475" s="5" t="s">
        <v>6825</v>
      </c>
      <c r="H1475" s="5">
        <v>2007.0</v>
      </c>
      <c r="I1475" s="5">
        <v>0.0</v>
      </c>
      <c r="J1475" s="5">
        <v>0.0</v>
      </c>
      <c r="K1475" s="5">
        <v>25.0</v>
      </c>
      <c r="L1475" s="54"/>
      <c r="M1475" s="5" t="s">
        <v>6916</v>
      </c>
      <c r="N1475" s="53" t="s">
        <v>2917</v>
      </c>
      <c r="O1475">
        <v>32.876174</v>
      </c>
      <c r="P1475">
        <v>13.187507</v>
      </c>
      <c r="Q1475" s="5" t="s">
        <v>481</v>
      </c>
      <c r="R1475" s="10">
        <f t="shared" si="10"/>
        <v>1281</v>
      </c>
      <c r="S1475" s="5" t="s">
        <v>6917</v>
      </c>
      <c r="T1475" s="6" t="s">
        <v>2130</v>
      </c>
      <c r="U1475" s="5" t="s">
        <v>2143</v>
      </c>
      <c r="V1475" s="5" t="s">
        <v>6918</v>
      </c>
    </row>
    <row r="1476" ht="12.75" customHeight="1">
      <c r="A1476" s="5">
        <v>34844.0</v>
      </c>
      <c r="B1476" s="5" t="s">
        <v>68</v>
      </c>
      <c r="C1476" s="5" t="s">
        <v>69</v>
      </c>
      <c r="D1476" s="5" t="s">
        <v>2614</v>
      </c>
      <c r="E1476" s="7" t="s">
        <v>6912</v>
      </c>
      <c r="F1476" s="5" t="s">
        <v>6824</v>
      </c>
      <c r="G1476" s="5" t="s">
        <v>6825</v>
      </c>
      <c r="H1476" s="5">
        <v>2007.0</v>
      </c>
      <c r="I1476" s="5">
        <v>0.0</v>
      </c>
      <c r="J1476" s="5">
        <v>0.0</v>
      </c>
      <c r="K1476" s="5">
        <v>2.0</v>
      </c>
      <c r="L1476" s="54"/>
      <c r="M1476" s="5" t="s">
        <v>6919</v>
      </c>
      <c r="N1476" s="53" t="s">
        <v>3340</v>
      </c>
      <c r="O1476">
        <v>37.743215</v>
      </c>
      <c r="P1476">
        <v>26.820351</v>
      </c>
      <c r="Q1476" s="5" t="s">
        <v>956</v>
      </c>
      <c r="R1476" s="10">
        <f t="shared" si="10"/>
        <v>218</v>
      </c>
      <c r="S1476" s="5" t="s">
        <v>6920</v>
      </c>
      <c r="T1476" s="6" t="s">
        <v>53</v>
      </c>
      <c r="U1476" s="5" t="s">
        <v>3318</v>
      </c>
      <c r="V1476" s="5" t="s">
        <v>6921</v>
      </c>
    </row>
    <row r="1477" ht="12.75" customHeight="1">
      <c r="A1477" s="5">
        <v>34846.0</v>
      </c>
      <c r="B1477" s="5" t="s">
        <v>5200</v>
      </c>
      <c r="C1477" s="5" t="s">
        <v>124</v>
      </c>
      <c r="D1477" s="5" t="s">
        <v>2852</v>
      </c>
      <c r="E1477" s="7" t="s">
        <v>6922</v>
      </c>
      <c r="F1477" s="5" t="s">
        <v>6824</v>
      </c>
      <c r="G1477" s="5" t="s">
        <v>6825</v>
      </c>
      <c r="H1477" s="5">
        <v>2007.0</v>
      </c>
      <c r="I1477" s="5">
        <v>0.0</v>
      </c>
      <c r="J1477" s="5">
        <v>0.0</v>
      </c>
      <c r="K1477" s="5">
        <v>1.0</v>
      </c>
      <c r="L1477" s="54"/>
      <c r="M1477" s="5" t="s">
        <v>6923</v>
      </c>
      <c r="N1477" s="53" t="s">
        <v>6924</v>
      </c>
      <c r="O1477">
        <v>35.46883</v>
      </c>
      <c r="P1477">
        <v>44.39098</v>
      </c>
      <c r="Q1477" s="5" t="s">
        <v>665</v>
      </c>
      <c r="R1477" s="10">
        <f t="shared" si="10"/>
        <v>2</v>
      </c>
      <c r="S1477" s="5" t="s">
        <v>6925</v>
      </c>
      <c r="T1477" s="5"/>
      <c r="U1477" s="5" t="s">
        <v>3219</v>
      </c>
      <c r="V1477" s="5"/>
    </row>
    <row r="1478" ht="12.75" customHeight="1">
      <c r="A1478" s="5">
        <v>34847.0</v>
      </c>
      <c r="B1478" s="5" t="s">
        <v>68</v>
      </c>
      <c r="C1478" s="5" t="s">
        <v>69</v>
      </c>
      <c r="D1478" s="5" t="s">
        <v>2614</v>
      </c>
      <c r="E1478" s="7" t="s">
        <v>6926</v>
      </c>
      <c r="F1478" s="5" t="s">
        <v>6824</v>
      </c>
      <c r="G1478" s="5" t="s">
        <v>6825</v>
      </c>
      <c r="H1478" s="5">
        <v>2007.0</v>
      </c>
      <c r="I1478" s="5">
        <v>0.0</v>
      </c>
      <c r="J1478" s="5">
        <v>0.0</v>
      </c>
      <c r="K1478" s="5">
        <v>2.0</v>
      </c>
      <c r="L1478" s="54"/>
      <c r="M1478" s="5" t="s">
        <v>6927</v>
      </c>
      <c r="N1478" s="53" t="s">
        <v>5367</v>
      </c>
      <c r="O1478">
        <v>28.291564</v>
      </c>
      <c r="P1478">
        <v>-16.62913</v>
      </c>
      <c r="Q1478" s="5" t="s">
        <v>382</v>
      </c>
      <c r="R1478" s="10">
        <f t="shared" si="10"/>
        <v>1120</v>
      </c>
      <c r="S1478" s="5" t="s">
        <v>6928</v>
      </c>
      <c r="T1478" s="5" t="s">
        <v>1040</v>
      </c>
      <c r="U1478" s="5" t="s">
        <v>2785</v>
      </c>
      <c r="V1478" s="5" t="s">
        <v>6929</v>
      </c>
    </row>
    <row r="1479" ht="12.75" customHeight="1">
      <c r="A1479" s="5">
        <v>34848.0</v>
      </c>
      <c r="B1479" s="5" t="s">
        <v>68</v>
      </c>
      <c r="C1479" s="5" t="s">
        <v>69</v>
      </c>
      <c r="D1479" s="5" t="s">
        <v>2614</v>
      </c>
      <c r="E1479" s="7" t="s">
        <v>6926</v>
      </c>
      <c r="F1479" s="5" t="s">
        <v>6824</v>
      </c>
      <c r="G1479" s="5" t="s">
        <v>6825</v>
      </c>
      <c r="H1479" s="5">
        <v>2007.0</v>
      </c>
      <c r="I1479" s="5">
        <v>0.0</v>
      </c>
      <c r="J1479" s="5">
        <v>0.0</v>
      </c>
      <c r="K1479" s="5">
        <v>28.0</v>
      </c>
      <c r="L1479" s="54"/>
      <c r="M1479" s="5" t="s">
        <v>6930</v>
      </c>
      <c r="N1479" s="53" t="s">
        <v>3524</v>
      </c>
      <c r="O1479">
        <v>36.81881</v>
      </c>
      <c r="P1479">
        <v>10.16596</v>
      </c>
      <c r="Q1479" s="5" t="s">
        <v>854</v>
      </c>
      <c r="R1479" s="10">
        <f t="shared" si="10"/>
        <v>540</v>
      </c>
      <c r="S1479" s="5" t="s">
        <v>6931</v>
      </c>
      <c r="T1479" s="6" t="s">
        <v>2130</v>
      </c>
      <c r="U1479" s="5" t="s">
        <v>92</v>
      </c>
      <c r="V1479" s="5" t="s">
        <v>6932</v>
      </c>
    </row>
    <row r="1480" ht="12.75" customHeight="1">
      <c r="A1480" s="5">
        <v>34849.0</v>
      </c>
      <c r="B1480" s="5" t="s">
        <v>68</v>
      </c>
      <c r="C1480" s="5" t="s">
        <v>69</v>
      </c>
      <c r="D1480" s="5" t="s">
        <v>2614</v>
      </c>
      <c r="E1480" s="7" t="s">
        <v>6933</v>
      </c>
      <c r="F1480" s="5" t="s">
        <v>6824</v>
      </c>
      <c r="G1480" s="5" t="s">
        <v>6934</v>
      </c>
      <c r="H1480" s="5">
        <v>2007.0</v>
      </c>
      <c r="I1480" s="5">
        <v>0.0</v>
      </c>
      <c r="J1480" s="5">
        <v>0.0</v>
      </c>
      <c r="K1480" s="5">
        <v>21.0</v>
      </c>
      <c r="L1480" s="54"/>
      <c r="M1480" s="5" t="s">
        <v>6935</v>
      </c>
      <c r="N1480" s="53" t="s">
        <v>2938</v>
      </c>
      <c r="O1480">
        <v>35.937496</v>
      </c>
      <c r="P1480">
        <v>14.375416</v>
      </c>
      <c r="Q1480" s="5" t="s">
        <v>740</v>
      </c>
      <c r="R1480" s="10">
        <f t="shared" si="10"/>
        <v>655</v>
      </c>
      <c r="S1480" s="5" t="s">
        <v>6936</v>
      </c>
      <c r="T1480" s="6" t="s">
        <v>2130</v>
      </c>
      <c r="U1480" s="5" t="s">
        <v>2619</v>
      </c>
      <c r="V1480" s="5" t="s">
        <v>6937</v>
      </c>
    </row>
    <row r="1481" ht="12.75" customHeight="1">
      <c r="A1481" s="5">
        <v>34850.0</v>
      </c>
      <c r="B1481" s="5" t="s">
        <v>68</v>
      </c>
      <c r="C1481" s="5" t="s">
        <v>69</v>
      </c>
      <c r="D1481" s="5" t="s">
        <v>2614</v>
      </c>
      <c r="E1481" s="7" t="s">
        <v>6938</v>
      </c>
      <c r="F1481" s="5" t="s">
        <v>6824</v>
      </c>
      <c r="G1481" s="5" t="s">
        <v>6934</v>
      </c>
      <c r="H1481" s="5">
        <v>2007.0</v>
      </c>
      <c r="I1481" s="5">
        <v>0.0</v>
      </c>
      <c r="J1481" s="5">
        <v>0.0</v>
      </c>
      <c r="K1481" s="5">
        <v>8.0</v>
      </c>
      <c r="L1481" s="54"/>
      <c r="M1481" s="5" t="s">
        <v>6939</v>
      </c>
      <c r="N1481" s="53" t="s">
        <v>6940</v>
      </c>
      <c r="O1481">
        <v>26.133333</v>
      </c>
      <c r="P1481">
        <v>-14.466667</v>
      </c>
      <c r="Q1481" s="5" t="s">
        <v>336</v>
      </c>
      <c r="R1481" s="10">
        <f t="shared" si="10"/>
        <v>22</v>
      </c>
      <c r="S1481" s="5" t="s">
        <v>6941</v>
      </c>
      <c r="T1481" s="5" t="s">
        <v>1040</v>
      </c>
      <c r="U1481" s="5" t="s">
        <v>6735</v>
      </c>
      <c r="V1481" s="5" t="s">
        <v>6942</v>
      </c>
    </row>
    <row r="1482" ht="12.75" customHeight="1">
      <c r="A1482" s="5">
        <v>34851.0</v>
      </c>
      <c r="B1482" s="5" t="s">
        <v>2921</v>
      </c>
      <c r="C1482" s="52" t="s">
        <v>50</v>
      </c>
      <c r="D1482" s="5" t="s">
        <v>2852</v>
      </c>
      <c r="E1482" s="7" t="s">
        <v>6943</v>
      </c>
      <c r="F1482" s="5" t="s">
        <v>6824</v>
      </c>
      <c r="G1482" s="5" t="s">
        <v>6934</v>
      </c>
      <c r="H1482" s="5">
        <v>2007.0</v>
      </c>
      <c r="I1482" s="5">
        <v>0.0</v>
      </c>
      <c r="J1482" s="5">
        <v>0.0</v>
      </c>
      <c r="K1482" s="5">
        <v>1.0</v>
      </c>
      <c r="L1482" s="54"/>
      <c r="M1482" s="5" t="s">
        <v>6944</v>
      </c>
      <c r="N1482" s="53" t="s">
        <v>3524</v>
      </c>
      <c r="O1482">
        <v>36.81881</v>
      </c>
      <c r="P1482">
        <v>10.16596</v>
      </c>
      <c r="Q1482" s="5" t="s">
        <v>854</v>
      </c>
      <c r="R1482" s="10">
        <f t="shared" si="10"/>
        <v>540</v>
      </c>
      <c r="S1482" s="5" t="s">
        <v>6945</v>
      </c>
      <c r="T1482" s="6" t="s">
        <v>2130</v>
      </c>
      <c r="U1482" s="5" t="s">
        <v>5296</v>
      </c>
      <c r="V1482" s="5"/>
    </row>
    <row r="1483" ht="12.75" customHeight="1">
      <c r="A1483" s="5">
        <v>34853.0</v>
      </c>
      <c r="B1483" s="5" t="s">
        <v>68</v>
      </c>
      <c r="C1483" s="5" t="s">
        <v>69</v>
      </c>
      <c r="D1483" s="5" t="s">
        <v>2852</v>
      </c>
      <c r="E1483" s="7" t="s">
        <v>6946</v>
      </c>
      <c r="F1483" s="5" t="s">
        <v>6824</v>
      </c>
      <c r="G1483" s="5" t="s">
        <v>6934</v>
      </c>
      <c r="H1483" s="5">
        <v>2007.0</v>
      </c>
      <c r="I1483" s="5">
        <v>0.0</v>
      </c>
      <c r="J1483" s="5">
        <v>0.0</v>
      </c>
      <c r="K1483" s="5">
        <v>3.0</v>
      </c>
      <c r="L1483" s="54"/>
      <c r="M1483" s="5" t="s">
        <v>6947</v>
      </c>
      <c r="N1483" s="53" t="s">
        <v>4502</v>
      </c>
      <c r="O1483">
        <v>14.497401</v>
      </c>
      <c r="P1483">
        <v>-14.452362</v>
      </c>
      <c r="Q1483" s="5" t="s">
        <v>258</v>
      </c>
      <c r="R1483" s="10">
        <f t="shared" si="10"/>
        <v>200</v>
      </c>
      <c r="S1483" s="5" t="s">
        <v>6948</v>
      </c>
      <c r="T1483" s="5" t="s">
        <v>1040</v>
      </c>
      <c r="U1483" s="5" t="s">
        <v>6949</v>
      </c>
      <c r="V1483" s="5"/>
    </row>
    <row r="1484" ht="12.75" customHeight="1">
      <c r="A1484" s="5">
        <v>34852.0</v>
      </c>
      <c r="B1484" s="5" t="s">
        <v>68</v>
      </c>
      <c r="C1484" s="5" t="s">
        <v>69</v>
      </c>
      <c r="D1484" s="5" t="s">
        <v>2614</v>
      </c>
      <c r="E1484" s="7" t="s">
        <v>6946</v>
      </c>
      <c r="F1484" s="5" t="s">
        <v>6824</v>
      </c>
      <c r="G1484" s="5" t="s">
        <v>6934</v>
      </c>
      <c r="H1484" s="5">
        <v>2007.0</v>
      </c>
      <c r="I1484" s="5">
        <v>0.0</v>
      </c>
      <c r="J1484" s="5">
        <v>0.0</v>
      </c>
      <c r="K1484" s="5">
        <v>3.0</v>
      </c>
      <c r="L1484" s="54"/>
      <c r="M1484" s="5" t="s">
        <v>6950</v>
      </c>
      <c r="N1484" s="53" t="s">
        <v>6951</v>
      </c>
      <c r="O1484">
        <v>14.497401</v>
      </c>
      <c r="P1484">
        <v>-14.452362</v>
      </c>
      <c r="Q1484" s="5" t="s">
        <v>258</v>
      </c>
      <c r="R1484" s="10">
        <f t="shared" si="10"/>
        <v>200</v>
      </c>
      <c r="S1484" s="5" t="s">
        <v>6948</v>
      </c>
      <c r="T1484" s="5" t="s">
        <v>1040</v>
      </c>
      <c r="U1484" s="5" t="s">
        <v>6952</v>
      </c>
      <c r="V1484" s="5" t="s">
        <v>6953</v>
      </c>
    </row>
    <row r="1485" ht="12.75" customHeight="1">
      <c r="A1485" s="5">
        <v>34854.0</v>
      </c>
      <c r="B1485" s="5" t="s">
        <v>49</v>
      </c>
      <c r="C1485" s="52" t="s">
        <v>50</v>
      </c>
      <c r="D1485" s="5" t="s">
        <v>2852</v>
      </c>
      <c r="E1485" s="7" t="s">
        <v>6946</v>
      </c>
      <c r="F1485" s="5" t="s">
        <v>6824</v>
      </c>
      <c r="G1485" s="5" t="s">
        <v>6934</v>
      </c>
      <c r="H1485" s="5">
        <v>2007.0</v>
      </c>
      <c r="I1485" s="5">
        <v>0.0</v>
      </c>
      <c r="J1485" s="5">
        <v>0.0</v>
      </c>
      <c r="K1485" s="5">
        <v>1.0</v>
      </c>
      <c r="L1485" s="54"/>
      <c r="M1485" s="5" t="s">
        <v>6954</v>
      </c>
      <c r="N1485" s="53" t="s">
        <v>2938</v>
      </c>
      <c r="O1485">
        <v>35.937496</v>
      </c>
      <c r="P1485">
        <v>14.375416</v>
      </c>
      <c r="Q1485" s="5" t="s">
        <v>740</v>
      </c>
      <c r="R1485" s="10">
        <f t="shared" si="10"/>
        <v>655</v>
      </c>
      <c r="S1485" s="5" t="s">
        <v>6955</v>
      </c>
      <c r="T1485" s="6" t="s">
        <v>2130</v>
      </c>
      <c r="U1485" s="5" t="s">
        <v>6956</v>
      </c>
      <c r="V1485" s="5" t="s">
        <v>4777</v>
      </c>
    </row>
    <row r="1486" ht="12.75" customHeight="1">
      <c r="A1486" s="5">
        <v>34855.0</v>
      </c>
      <c r="B1486" s="5" t="s">
        <v>68</v>
      </c>
      <c r="C1486" s="5" t="s">
        <v>69</v>
      </c>
      <c r="D1486" s="5" t="s">
        <v>2852</v>
      </c>
      <c r="E1486" s="7" t="s">
        <v>6957</v>
      </c>
      <c r="F1486" s="5" t="s">
        <v>6824</v>
      </c>
      <c r="G1486" s="5" t="s">
        <v>6934</v>
      </c>
      <c r="H1486" s="5">
        <v>2007.0</v>
      </c>
      <c r="I1486" s="5">
        <v>0.0</v>
      </c>
      <c r="J1486" s="5">
        <v>0.0</v>
      </c>
      <c r="K1486" s="5">
        <v>57.0</v>
      </c>
      <c r="L1486" s="54"/>
      <c r="M1486" s="5" t="s">
        <v>6958</v>
      </c>
      <c r="N1486" s="53" t="s">
        <v>5250</v>
      </c>
      <c r="O1486">
        <v>35.89779</v>
      </c>
      <c r="P1486">
        <v>14.514106</v>
      </c>
      <c r="Q1486" s="5" t="s">
        <v>726</v>
      </c>
      <c r="R1486" s="10">
        <f t="shared" si="10"/>
        <v>71</v>
      </c>
      <c r="S1486" s="5" t="s">
        <v>6959</v>
      </c>
      <c r="T1486" s="6" t="s">
        <v>2130</v>
      </c>
      <c r="U1486" s="5" t="s">
        <v>6960</v>
      </c>
      <c r="V1486" s="5" t="s">
        <v>6961</v>
      </c>
    </row>
    <row r="1487" ht="12.75" customHeight="1">
      <c r="A1487" s="5">
        <v>34856.0</v>
      </c>
      <c r="B1487" s="5" t="s">
        <v>68</v>
      </c>
      <c r="C1487" s="5" t="s">
        <v>69</v>
      </c>
      <c r="D1487" s="5" t="s">
        <v>2614</v>
      </c>
      <c r="E1487" s="7" t="s">
        <v>6962</v>
      </c>
      <c r="F1487" s="5" t="s">
        <v>6824</v>
      </c>
      <c r="G1487" s="5" t="s">
        <v>6934</v>
      </c>
      <c r="H1487" s="5">
        <v>2007.0</v>
      </c>
      <c r="I1487" s="5">
        <v>0.0</v>
      </c>
      <c r="J1487" s="5">
        <v>0.0</v>
      </c>
      <c r="K1487" s="5">
        <v>2.0</v>
      </c>
      <c r="L1487" s="54"/>
      <c r="M1487" s="5" t="s">
        <v>6963</v>
      </c>
      <c r="N1487" s="53" t="s">
        <v>2700</v>
      </c>
      <c r="O1487">
        <v>35.508622</v>
      </c>
      <c r="P1487">
        <v>12.59292</v>
      </c>
      <c r="Q1487" s="5" t="s">
        <v>669</v>
      </c>
      <c r="R1487" s="10">
        <f t="shared" si="10"/>
        <v>3843</v>
      </c>
      <c r="S1487" s="5" t="s">
        <v>6964</v>
      </c>
      <c r="T1487" s="6" t="s">
        <v>2130</v>
      </c>
      <c r="U1487" s="5" t="s">
        <v>2326</v>
      </c>
      <c r="V1487" s="5" t="s">
        <v>6965</v>
      </c>
    </row>
    <row r="1488" ht="12.75" customHeight="1">
      <c r="A1488" s="5">
        <v>34857.0</v>
      </c>
      <c r="B1488" s="5" t="s">
        <v>3409</v>
      </c>
      <c r="C1488" s="5" t="s">
        <v>211</v>
      </c>
      <c r="D1488" s="5" t="s">
        <v>2852</v>
      </c>
      <c r="E1488" s="7" t="s">
        <v>6966</v>
      </c>
      <c r="F1488" s="5" t="s">
        <v>6824</v>
      </c>
      <c r="G1488" s="5" t="s">
        <v>6934</v>
      </c>
      <c r="H1488" s="5">
        <v>2007.0</v>
      </c>
      <c r="I1488" s="5">
        <v>0.0</v>
      </c>
      <c r="J1488" s="5">
        <v>0.0</v>
      </c>
      <c r="K1488" s="5">
        <v>1.0</v>
      </c>
      <c r="L1488" s="54"/>
      <c r="M1488" s="5" t="s">
        <v>6967</v>
      </c>
      <c r="N1488" s="53" t="s">
        <v>6968</v>
      </c>
      <c r="O1488">
        <v>53.018822</v>
      </c>
      <c r="P1488">
        <v>-2.189053</v>
      </c>
      <c r="Q1488" s="5" t="s">
        <v>1811</v>
      </c>
      <c r="R1488" s="10">
        <f t="shared" si="10"/>
        <v>1</v>
      </c>
      <c r="S1488" s="5" t="s">
        <v>6969</v>
      </c>
      <c r="T1488" s="5"/>
      <c r="U1488" s="5" t="s">
        <v>6970</v>
      </c>
      <c r="V1488" s="5"/>
    </row>
    <row r="1489" ht="12.75" customHeight="1">
      <c r="A1489" s="5">
        <v>34858.0</v>
      </c>
      <c r="B1489" s="5" t="s">
        <v>49</v>
      </c>
      <c r="C1489" s="52" t="s">
        <v>50</v>
      </c>
      <c r="D1489" s="5" t="s">
        <v>2852</v>
      </c>
      <c r="E1489" s="7" t="s">
        <v>6971</v>
      </c>
      <c r="F1489" s="5" t="s">
        <v>6824</v>
      </c>
      <c r="G1489" s="5" t="s">
        <v>6934</v>
      </c>
      <c r="H1489" s="5">
        <v>2007.0</v>
      </c>
      <c r="I1489" s="5">
        <v>0.0</v>
      </c>
      <c r="J1489" s="5">
        <v>0.0</v>
      </c>
      <c r="K1489" s="5">
        <v>28.0</v>
      </c>
      <c r="L1489" s="54"/>
      <c r="M1489" s="5" t="s">
        <v>6972</v>
      </c>
      <c r="N1489" s="53" t="s">
        <v>2938</v>
      </c>
      <c r="O1489">
        <v>35.937496</v>
      </c>
      <c r="P1489">
        <v>14.375416</v>
      </c>
      <c r="Q1489" s="5" t="s">
        <v>740</v>
      </c>
      <c r="R1489" s="10">
        <f t="shared" si="10"/>
        <v>655</v>
      </c>
      <c r="S1489" s="5" t="s">
        <v>6973</v>
      </c>
      <c r="T1489" s="6" t="s">
        <v>2130</v>
      </c>
      <c r="U1489" s="5" t="s">
        <v>6974</v>
      </c>
      <c r="V1489" s="5" t="s">
        <v>6975</v>
      </c>
    </row>
    <row r="1490" ht="12.75" customHeight="1">
      <c r="A1490" s="5">
        <v>34859.0</v>
      </c>
      <c r="B1490" s="5" t="s">
        <v>68</v>
      </c>
      <c r="C1490" s="5" t="s">
        <v>69</v>
      </c>
      <c r="D1490" s="5" t="s">
        <v>2614</v>
      </c>
      <c r="E1490" s="7" t="s">
        <v>6976</v>
      </c>
      <c r="F1490" s="5" t="s">
        <v>6824</v>
      </c>
      <c r="G1490" s="5" t="s">
        <v>6934</v>
      </c>
      <c r="H1490" s="5">
        <v>2007.0</v>
      </c>
      <c r="I1490" s="5">
        <v>0.0</v>
      </c>
      <c r="J1490" s="5">
        <v>0.0</v>
      </c>
      <c r="K1490" s="5">
        <v>13.0</v>
      </c>
      <c r="L1490" s="54"/>
      <c r="M1490" s="5" t="s">
        <v>6977</v>
      </c>
      <c r="N1490" s="53" t="s">
        <v>3346</v>
      </c>
      <c r="O1490">
        <v>37.544271</v>
      </c>
      <c r="P1490">
        <v>-4.727753</v>
      </c>
      <c r="Q1490" s="5" t="s">
        <v>944</v>
      </c>
      <c r="R1490" s="10">
        <f t="shared" si="10"/>
        <v>30</v>
      </c>
      <c r="S1490" s="5" t="s">
        <v>6978</v>
      </c>
      <c r="T1490" s="6" t="s">
        <v>72</v>
      </c>
      <c r="U1490" s="5" t="s">
        <v>6979</v>
      </c>
      <c r="V1490" s="5" t="s">
        <v>6980</v>
      </c>
    </row>
    <row r="1491" ht="12.75" customHeight="1">
      <c r="A1491" s="5">
        <v>34861.0</v>
      </c>
      <c r="B1491" s="5" t="s">
        <v>49</v>
      </c>
      <c r="C1491" s="52" t="s">
        <v>50</v>
      </c>
      <c r="D1491" s="5" t="s">
        <v>2852</v>
      </c>
      <c r="E1491" s="7" t="s">
        <v>6981</v>
      </c>
      <c r="F1491" s="5" t="s">
        <v>6824</v>
      </c>
      <c r="G1491" s="5" t="s">
        <v>6934</v>
      </c>
      <c r="H1491" s="5">
        <v>2007.0</v>
      </c>
      <c r="I1491" s="5">
        <v>0.0</v>
      </c>
      <c r="J1491" s="5">
        <v>0.0</v>
      </c>
      <c r="K1491" s="5">
        <v>20.0</v>
      </c>
      <c r="L1491" s="54"/>
      <c r="M1491" s="5" t="s">
        <v>6982</v>
      </c>
      <c r="N1491" s="53" t="s">
        <v>2700</v>
      </c>
      <c r="O1491">
        <v>35.508622</v>
      </c>
      <c r="P1491">
        <v>12.59292</v>
      </c>
      <c r="Q1491" s="5" t="s">
        <v>669</v>
      </c>
      <c r="R1491" s="10">
        <f t="shared" si="10"/>
        <v>3843</v>
      </c>
      <c r="S1491" s="5" t="s">
        <v>6983</v>
      </c>
      <c r="T1491" s="6" t="s">
        <v>2130</v>
      </c>
      <c r="U1491" s="5" t="s">
        <v>4929</v>
      </c>
      <c r="V1491" s="5"/>
    </row>
    <row r="1492" ht="12.75" customHeight="1">
      <c r="A1492" s="5">
        <v>34860.0</v>
      </c>
      <c r="B1492" s="5" t="s">
        <v>68</v>
      </c>
      <c r="C1492" s="5" t="s">
        <v>69</v>
      </c>
      <c r="D1492" s="5" t="s">
        <v>2614</v>
      </c>
      <c r="E1492" s="7" t="s">
        <v>6981</v>
      </c>
      <c r="F1492" s="5" t="s">
        <v>6824</v>
      </c>
      <c r="G1492" s="5" t="s">
        <v>6934</v>
      </c>
      <c r="H1492" s="5">
        <v>2007.0</v>
      </c>
      <c r="I1492" s="5">
        <v>0.0</v>
      </c>
      <c r="J1492" s="5">
        <v>0.0</v>
      </c>
      <c r="K1492" s="5">
        <v>1.0</v>
      </c>
      <c r="L1492" s="54"/>
      <c r="M1492" s="5" t="s">
        <v>6984</v>
      </c>
      <c r="N1492" s="53" t="s">
        <v>6810</v>
      </c>
      <c r="O1492">
        <v>38.115688</v>
      </c>
      <c r="P1492">
        <v>13.361267</v>
      </c>
      <c r="Q1492" s="5" t="s">
        <v>995</v>
      </c>
      <c r="R1492" s="10">
        <f t="shared" si="10"/>
        <v>2</v>
      </c>
      <c r="S1492" s="5" t="s">
        <v>6985</v>
      </c>
      <c r="T1492" s="6" t="s">
        <v>2130</v>
      </c>
      <c r="U1492" s="5" t="s">
        <v>6986</v>
      </c>
      <c r="V1492" s="5" t="s">
        <v>6987</v>
      </c>
    </row>
    <row r="1493" ht="12.75" customHeight="1">
      <c r="A1493" s="5">
        <v>34862.0</v>
      </c>
      <c r="B1493" s="5" t="s">
        <v>68</v>
      </c>
      <c r="C1493" s="5" t="s">
        <v>69</v>
      </c>
      <c r="D1493" s="5" t="s">
        <v>2852</v>
      </c>
      <c r="E1493" s="7" t="s">
        <v>6988</v>
      </c>
      <c r="F1493" s="5" t="s">
        <v>6824</v>
      </c>
      <c r="G1493" s="5" t="s">
        <v>6934</v>
      </c>
      <c r="H1493" s="5">
        <v>2007.0</v>
      </c>
      <c r="I1493" s="5">
        <v>0.0</v>
      </c>
      <c r="J1493" s="5">
        <v>0.0</v>
      </c>
      <c r="K1493" s="5">
        <v>2.0</v>
      </c>
      <c r="L1493" s="54"/>
      <c r="M1493" s="5" t="s">
        <v>6989</v>
      </c>
      <c r="N1493" s="53" t="s">
        <v>4941</v>
      </c>
      <c r="O1493">
        <v>28.291564</v>
      </c>
      <c r="P1493">
        <v>-16.62913</v>
      </c>
      <c r="Q1493" s="5" t="s">
        <v>382</v>
      </c>
      <c r="R1493" s="10">
        <f t="shared" si="10"/>
        <v>1120</v>
      </c>
      <c r="S1493" s="5" t="s">
        <v>6990</v>
      </c>
      <c r="T1493" s="5" t="s">
        <v>1040</v>
      </c>
      <c r="U1493" s="5" t="s">
        <v>6991</v>
      </c>
      <c r="V1493" s="5"/>
    </row>
    <row r="1494" ht="12.75" customHeight="1">
      <c r="A1494" s="5">
        <v>34863.0</v>
      </c>
      <c r="B1494" s="5" t="s">
        <v>49</v>
      </c>
      <c r="C1494" s="52" t="s">
        <v>50</v>
      </c>
      <c r="D1494" s="5" t="s">
        <v>2852</v>
      </c>
      <c r="E1494" s="7" t="s">
        <v>6988</v>
      </c>
      <c r="F1494" s="5" t="s">
        <v>6824</v>
      </c>
      <c r="G1494" s="5" t="s">
        <v>6934</v>
      </c>
      <c r="H1494" s="5">
        <v>2007.0</v>
      </c>
      <c r="I1494" s="5">
        <v>0.0</v>
      </c>
      <c r="J1494" s="5">
        <v>0.0</v>
      </c>
      <c r="K1494" s="5">
        <v>28.0</v>
      </c>
      <c r="L1494" s="54"/>
      <c r="M1494" s="5" t="s">
        <v>6992</v>
      </c>
      <c r="N1494" s="53" t="s">
        <v>3524</v>
      </c>
      <c r="O1494">
        <v>36.81881</v>
      </c>
      <c r="P1494">
        <v>10.16596</v>
      </c>
      <c r="Q1494" s="5" t="s">
        <v>854</v>
      </c>
      <c r="R1494" s="10">
        <f t="shared" si="10"/>
        <v>540</v>
      </c>
      <c r="S1494" s="5" t="s">
        <v>6993</v>
      </c>
      <c r="T1494" s="6" t="s">
        <v>2130</v>
      </c>
      <c r="U1494" s="5" t="s">
        <v>6994</v>
      </c>
      <c r="V1494" s="5"/>
    </row>
    <row r="1495" ht="12.75" customHeight="1">
      <c r="A1495" s="5">
        <v>34864.0</v>
      </c>
      <c r="B1495" s="5" t="s">
        <v>491</v>
      </c>
      <c r="C1495" s="52" t="s">
        <v>50</v>
      </c>
      <c r="D1495" s="5" t="s">
        <v>2852</v>
      </c>
      <c r="E1495" s="7" t="s">
        <v>6995</v>
      </c>
      <c r="F1495" s="5" t="s">
        <v>6824</v>
      </c>
      <c r="G1495" s="5" t="s">
        <v>6996</v>
      </c>
      <c r="H1495" s="5">
        <v>2007.0</v>
      </c>
      <c r="I1495" s="5">
        <v>0.0</v>
      </c>
      <c r="J1495" s="5">
        <v>0.0</v>
      </c>
      <c r="K1495" s="5">
        <v>1.0</v>
      </c>
      <c r="L1495" s="54"/>
      <c r="M1495" s="5" t="s">
        <v>6997</v>
      </c>
      <c r="N1495" s="53" t="s">
        <v>5367</v>
      </c>
      <c r="O1495">
        <v>28.291564</v>
      </c>
      <c r="P1495">
        <v>-16.62913</v>
      </c>
      <c r="Q1495" s="5" t="s">
        <v>382</v>
      </c>
      <c r="R1495" s="10">
        <f t="shared" si="10"/>
        <v>1120</v>
      </c>
      <c r="S1495" s="5" t="s">
        <v>6998</v>
      </c>
      <c r="T1495" s="5" t="s">
        <v>1040</v>
      </c>
      <c r="U1495" s="5" t="s">
        <v>6999</v>
      </c>
      <c r="V1495" s="5" t="s">
        <v>7000</v>
      </c>
    </row>
    <row r="1496" ht="12.75" customHeight="1">
      <c r="A1496" s="5">
        <v>34865.0</v>
      </c>
      <c r="B1496" s="5" t="s">
        <v>68</v>
      </c>
      <c r="C1496" s="5" t="s">
        <v>69</v>
      </c>
      <c r="D1496" s="5" t="s">
        <v>2852</v>
      </c>
      <c r="E1496" s="7" t="s">
        <v>7001</v>
      </c>
      <c r="F1496" s="5" t="s">
        <v>6824</v>
      </c>
      <c r="G1496" s="5" t="s">
        <v>6996</v>
      </c>
      <c r="H1496" s="5">
        <v>2007.0</v>
      </c>
      <c r="I1496" s="5">
        <v>0.0</v>
      </c>
      <c r="J1496" s="5">
        <v>0.0</v>
      </c>
      <c r="K1496" s="5">
        <v>3.0</v>
      </c>
      <c r="L1496" s="54"/>
      <c r="M1496" s="5" t="s">
        <v>7002</v>
      </c>
      <c r="N1496" s="53" t="s">
        <v>4941</v>
      </c>
      <c r="O1496">
        <v>28.291564</v>
      </c>
      <c r="P1496">
        <v>-16.62913</v>
      </c>
      <c r="Q1496" s="5" t="s">
        <v>382</v>
      </c>
      <c r="R1496" s="10">
        <f t="shared" si="10"/>
        <v>1120</v>
      </c>
      <c r="S1496" s="5" t="s">
        <v>7003</v>
      </c>
      <c r="T1496" s="5" t="s">
        <v>1040</v>
      </c>
      <c r="U1496" s="5" t="s">
        <v>7004</v>
      </c>
      <c r="V1496" s="5" t="s">
        <v>7005</v>
      </c>
    </row>
    <row r="1497" ht="12.75" customHeight="1">
      <c r="A1497" s="5">
        <v>34866.0</v>
      </c>
      <c r="B1497" s="5" t="s">
        <v>49</v>
      </c>
      <c r="C1497" s="52" t="s">
        <v>50</v>
      </c>
      <c r="D1497" s="5" t="s">
        <v>2852</v>
      </c>
      <c r="E1497" s="7" t="s">
        <v>7006</v>
      </c>
      <c r="F1497" s="5" t="s">
        <v>6824</v>
      </c>
      <c r="G1497" s="5" t="s">
        <v>6996</v>
      </c>
      <c r="H1497" s="5">
        <v>2007.0</v>
      </c>
      <c r="I1497" s="5">
        <v>0.0</v>
      </c>
      <c r="J1497" s="5">
        <v>0.0</v>
      </c>
      <c r="K1497" s="5">
        <v>3.0</v>
      </c>
      <c r="L1497" s="54"/>
      <c r="M1497" s="5" t="s">
        <v>7007</v>
      </c>
      <c r="N1497" s="53" t="s">
        <v>4983</v>
      </c>
      <c r="O1497">
        <v>37.140914</v>
      </c>
      <c r="P1497">
        <v>26.848843</v>
      </c>
      <c r="Q1497" s="5" t="s">
        <v>904</v>
      </c>
      <c r="R1497" s="10">
        <f t="shared" si="10"/>
        <v>5</v>
      </c>
      <c r="S1497" s="5" t="s">
        <v>7008</v>
      </c>
      <c r="T1497" s="6" t="s">
        <v>53</v>
      </c>
      <c r="U1497" s="5" t="s">
        <v>7009</v>
      </c>
      <c r="V1497" s="5" t="s">
        <v>7010</v>
      </c>
    </row>
    <row r="1498" ht="12.75" customHeight="1">
      <c r="A1498" s="5">
        <v>34868.0</v>
      </c>
      <c r="B1498" s="5" t="s">
        <v>68</v>
      </c>
      <c r="C1498" s="5" t="s">
        <v>69</v>
      </c>
      <c r="D1498" s="5" t="s">
        <v>2852</v>
      </c>
      <c r="E1498" s="7" t="s">
        <v>7011</v>
      </c>
      <c r="F1498" s="5" t="s">
        <v>6824</v>
      </c>
      <c r="G1498" s="5" t="s">
        <v>6996</v>
      </c>
      <c r="H1498" s="5">
        <v>2007.0</v>
      </c>
      <c r="I1498" s="5">
        <v>0.0</v>
      </c>
      <c r="J1498" s="5">
        <v>0.0</v>
      </c>
      <c r="K1498" s="5">
        <v>1.0</v>
      </c>
      <c r="L1498" s="54"/>
      <c r="M1498" s="5" t="s">
        <v>7012</v>
      </c>
      <c r="N1498" s="53" t="s">
        <v>4556</v>
      </c>
      <c r="O1498">
        <v>28.291564</v>
      </c>
      <c r="P1498">
        <v>-16.62913</v>
      </c>
      <c r="Q1498" s="5" t="s">
        <v>382</v>
      </c>
      <c r="R1498" s="10">
        <f t="shared" si="10"/>
        <v>1120</v>
      </c>
      <c r="S1498" s="5" t="s">
        <v>7013</v>
      </c>
      <c r="T1498" s="5" t="s">
        <v>1040</v>
      </c>
      <c r="U1498" s="5" t="s">
        <v>7014</v>
      </c>
      <c r="V1498" s="5" t="s">
        <v>7015</v>
      </c>
    </row>
    <row r="1499" ht="12.75" customHeight="1">
      <c r="A1499" s="5">
        <v>34867.0</v>
      </c>
      <c r="B1499" s="5" t="s">
        <v>68</v>
      </c>
      <c r="C1499" s="5" t="s">
        <v>69</v>
      </c>
      <c r="D1499" s="5" t="s">
        <v>2852</v>
      </c>
      <c r="E1499" s="7" t="s">
        <v>7011</v>
      </c>
      <c r="F1499" s="5" t="s">
        <v>6824</v>
      </c>
      <c r="G1499" s="5" t="s">
        <v>6996</v>
      </c>
      <c r="H1499" s="5">
        <v>2007.0</v>
      </c>
      <c r="I1499" s="5">
        <v>0.0</v>
      </c>
      <c r="J1499" s="5">
        <v>0.0</v>
      </c>
      <c r="K1499" s="5">
        <v>1.0</v>
      </c>
      <c r="L1499" s="54"/>
      <c r="M1499" s="5" t="s">
        <v>7016</v>
      </c>
      <c r="N1499" s="53" t="s">
        <v>4556</v>
      </c>
      <c r="O1499">
        <v>28.291564</v>
      </c>
      <c r="P1499">
        <v>-16.62913</v>
      </c>
      <c r="Q1499" s="5" t="s">
        <v>382</v>
      </c>
      <c r="R1499" s="10">
        <f t="shared" si="10"/>
        <v>1120</v>
      </c>
      <c r="S1499" s="5" t="s">
        <v>7013</v>
      </c>
      <c r="T1499" s="5" t="s">
        <v>1040</v>
      </c>
      <c r="U1499" s="5" t="s">
        <v>7014</v>
      </c>
      <c r="V1499" s="5"/>
    </row>
    <row r="1500" ht="12.75" customHeight="1">
      <c r="A1500" s="5">
        <v>34871.0</v>
      </c>
      <c r="B1500" s="5" t="s">
        <v>49</v>
      </c>
      <c r="C1500" s="52" t="s">
        <v>50</v>
      </c>
      <c r="D1500" s="5" t="s">
        <v>2852</v>
      </c>
      <c r="E1500" s="7" t="s">
        <v>7017</v>
      </c>
      <c r="F1500" s="5" t="s">
        <v>6824</v>
      </c>
      <c r="G1500" s="5" t="s">
        <v>6996</v>
      </c>
      <c r="H1500" s="5">
        <v>2007.0</v>
      </c>
      <c r="I1500" s="5">
        <v>0.0</v>
      </c>
      <c r="J1500" s="5">
        <v>0.0</v>
      </c>
      <c r="K1500" s="5">
        <v>132.0</v>
      </c>
      <c r="L1500" s="54"/>
      <c r="M1500" s="5" t="s">
        <v>7018</v>
      </c>
      <c r="N1500" s="53" t="s">
        <v>7019</v>
      </c>
      <c r="O1500">
        <v>12.89952</v>
      </c>
      <c r="P1500">
        <v>-14.94427</v>
      </c>
      <c r="Q1500" s="5" t="s">
        <v>250</v>
      </c>
      <c r="R1500" s="10">
        <f t="shared" si="10"/>
        <v>310</v>
      </c>
      <c r="S1500" s="5" t="s">
        <v>7020</v>
      </c>
      <c r="T1500" s="5" t="s">
        <v>1040</v>
      </c>
      <c r="U1500" s="5" t="s">
        <v>7021</v>
      </c>
      <c r="V1500" s="5"/>
    </row>
    <row r="1501" ht="12.75" customHeight="1">
      <c r="A1501" s="5">
        <v>34870.0</v>
      </c>
      <c r="B1501" s="5" t="s">
        <v>49</v>
      </c>
      <c r="C1501" s="52" t="s">
        <v>50</v>
      </c>
      <c r="D1501" s="5" t="s">
        <v>2852</v>
      </c>
      <c r="E1501" s="7" t="s">
        <v>7017</v>
      </c>
      <c r="F1501" s="5" t="s">
        <v>6824</v>
      </c>
      <c r="G1501" s="5" t="s">
        <v>6996</v>
      </c>
      <c r="H1501" s="5">
        <v>2007.0</v>
      </c>
      <c r="I1501" s="5">
        <v>0.0</v>
      </c>
      <c r="J1501" s="5">
        <v>0.0</v>
      </c>
      <c r="K1501" s="5">
        <v>28.0</v>
      </c>
      <c r="L1501" s="54"/>
      <c r="M1501" s="5" t="s">
        <v>7022</v>
      </c>
      <c r="N1501" s="53" t="s">
        <v>7019</v>
      </c>
      <c r="O1501">
        <v>12.89952</v>
      </c>
      <c r="P1501">
        <v>-14.94427</v>
      </c>
      <c r="Q1501" s="5" t="s">
        <v>250</v>
      </c>
      <c r="R1501" s="10">
        <f t="shared" si="10"/>
        <v>310</v>
      </c>
      <c r="S1501" s="5" t="s">
        <v>7020</v>
      </c>
      <c r="T1501" s="5" t="s">
        <v>1040</v>
      </c>
      <c r="U1501" s="5" t="s">
        <v>7021</v>
      </c>
      <c r="V1501" s="5"/>
    </row>
    <row r="1502" ht="12.75" customHeight="1">
      <c r="A1502" s="5">
        <v>34872.0</v>
      </c>
      <c r="B1502" s="5" t="s">
        <v>68</v>
      </c>
      <c r="C1502" s="5" t="s">
        <v>69</v>
      </c>
      <c r="D1502" s="5" t="s">
        <v>2852</v>
      </c>
      <c r="E1502" s="7" t="s">
        <v>7017</v>
      </c>
      <c r="F1502" s="5" t="s">
        <v>6824</v>
      </c>
      <c r="G1502" s="5" t="s">
        <v>6996</v>
      </c>
      <c r="H1502" s="5">
        <v>2007.0</v>
      </c>
      <c r="I1502" s="5">
        <v>0.0</v>
      </c>
      <c r="J1502" s="5">
        <v>0.0</v>
      </c>
      <c r="K1502" s="5">
        <v>12.0</v>
      </c>
      <c r="L1502" s="54"/>
      <c r="M1502" s="5" t="s">
        <v>7023</v>
      </c>
      <c r="N1502" s="53" t="s">
        <v>7024</v>
      </c>
      <c r="O1502">
        <v>20.942518</v>
      </c>
      <c r="P1502">
        <v>-17.036227</v>
      </c>
      <c r="Q1502" s="5" t="s">
        <v>309</v>
      </c>
      <c r="R1502" s="10">
        <f t="shared" si="10"/>
        <v>83</v>
      </c>
      <c r="S1502" s="5" t="s">
        <v>7025</v>
      </c>
      <c r="T1502" s="5" t="s">
        <v>1040</v>
      </c>
      <c r="U1502" s="5" t="s">
        <v>7026</v>
      </c>
      <c r="V1502" s="5" t="s">
        <v>7027</v>
      </c>
    </row>
    <row r="1503" ht="12.75" customHeight="1">
      <c r="A1503" s="5">
        <v>34869.0</v>
      </c>
      <c r="B1503" s="5" t="s">
        <v>68</v>
      </c>
      <c r="C1503" s="5" t="s">
        <v>69</v>
      </c>
      <c r="D1503" s="5" t="s">
        <v>2852</v>
      </c>
      <c r="E1503" s="7" t="s">
        <v>7017</v>
      </c>
      <c r="F1503" s="5" t="s">
        <v>6824</v>
      </c>
      <c r="G1503" s="5" t="s">
        <v>6996</v>
      </c>
      <c r="H1503" s="5">
        <v>2007.0</v>
      </c>
      <c r="I1503" s="5">
        <v>0.0</v>
      </c>
      <c r="J1503" s="5">
        <v>0.0</v>
      </c>
      <c r="K1503" s="5">
        <v>1.0</v>
      </c>
      <c r="L1503" s="54"/>
      <c r="M1503" s="5" t="s">
        <v>7028</v>
      </c>
      <c r="N1503" s="53" t="s">
        <v>7029</v>
      </c>
      <c r="O1503">
        <v>21.00789</v>
      </c>
      <c r="P1503">
        <v>-10.940835</v>
      </c>
      <c r="Q1503" s="5" t="s">
        <v>310</v>
      </c>
      <c r="R1503" s="10">
        <f t="shared" si="10"/>
        <v>61</v>
      </c>
      <c r="S1503" s="5" t="s">
        <v>7030</v>
      </c>
      <c r="T1503" s="5" t="s">
        <v>1040</v>
      </c>
      <c r="U1503" s="5" t="s">
        <v>7031</v>
      </c>
      <c r="V1503" s="5"/>
    </row>
    <row r="1504" ht="12.75" customHeight="1">
      <c r="A1504" s="5">
        <v>34873.0</v>
      </c>
      <c r="B1504" s="5" t="s">
        <v>49</v>
      </c>
      <c r="C1504" s="52" t="s">
        <v>50</v>
      </c>
      <c r="D1504" s="5" t="s">
        <v>2852</v>
      </c>
      <c r="E1504" s="7" t="s">
        <v>7032</v>
      </c>
      <c r="F1504" s="5" t="s">
        <v>6824</v>
      </c>
      <c r="G1504" s="5" t="s">
        <v>6996</v>
      </c>
      <c r="H1504" s="5">
        <v>2007.0</v>
      </c>
      <c r="I1504" s="5">
        <v>0.0</v>
      </c>
      <c r="J1504" s="5">
        <v>0.0</v>
      </c>
      <c r="K1504" s="5">
        <v>3.0</v>
      </c>
      <c r="L1504" s="54"/>
      <c r="M1504" s="5" t="s">
        <v>7033</v>
      </c>
      <c r="N1504" s="53" t="s">
        <v>2938</v>
      </c>
      <c r="O1504">
        <v>35.937496</v>
      </c>
      <c r="P1504">
        <v>14.375416</v>
      </c>
      <c r="Q1504" s="5" t="s">
        <v>740</v>
      </c>
      <c r="R1504" s="10">
        <f t="shared" si="10"/>
        <v>655</v>
      </c>
      <c r="S1504" s="5" t="s">
        <v>7034</v>
      </c>
      <c r="T1504" s="6" t="s">
        <v>2130</v>
      </c>
      <c r="U1504" s="5" t="s">
        <v>3128</v>
      </c>
      <c r="V1504" s="5"/>
    </row>
    <row r="1505" ht="12.75" customHeight="1">
      <c r="A1505" s="5">
        <v>34874.0</v>
      </c>
      <c r="B1505" s="5" t="s">
        <v>49</v>
      </c>
      <c r="C1505" s="52" t="s">
        <v>50</v>
      </c>
      <c r="D1505" s="5" t="s">
        <v>2852</v>
      </c>
      <c r="E1505" s="7" t="s">
        <v>7035</v>
      </c>
      <c r="F1505" s="5" t="s">
        <v>6824</v>
      </c>
      <c r="G1505" s="5" t="s">
        <v>6996</v>
      </c>
      <c r="H1505" s="5">
        <v>2007.0</v>
      </c>
      <c r="I1505" s="5">
        <v>0.0</v>
      </c>
      <c r="J1505" s="5">
        <v>0.0</v>
      </c>
      <c r="K1505" s="5">
        <v>2.0</v>
      </c>
      <c r="L1505" s="54"/>
      <c r="M1505" s="5" t="s">
        <v>7036</v>
      </c>
      <c r="N1505" s="53" t="s">
        <v>3940</v>
      </c>
      <c r="O1505">
        <v>36.902859</v>
      </c>
      <c r="P1505">
        <v>7.755543</v>
      </c>
      <c r="Q1505" s="5" t="s">
        <v>880</v>
      </c>
      <c r="R1505" s="10">
        <f t="shared" si="10"/>
        <v>107</v>
      </c>
      <c r="S1505" s="5" t="s">
        <v>7037</v>
      </c>
      <c r="T1505" s="6" t="s">
        <v>2130</v>
      </c>
      <c r="U1505" s="5" t="s">
        <v>7038</v>
      </c>
      <c r="V1505" s="5" t="s">
        <v>7039</v>
      </c>
    </row>
    <row r="1506" ht="12.75" customHeight="1">
      <c r="A1506" s="5">
        <v>34875.0</v>
      </c>
      <c r="B1506" s="5" t="s">
        <v>5550</v>
      </c>
      <c r="C1506" s="52" t="s">
        <v>50</v>
      </c>
      <c r="D1506" s="5" t="s">
        <v>2852</v>
      </c>
      <c r="E1506" s="7" t="s">
        <v>7040</v>
      </c>
      <c r="F1506" s="5" t="s">
        <v>6824</v>
      </c>
      <c r="G1506" s="5" t="s">
        <v>6996</v>
      </c>
      <c r="H1506" s="5">
        <v>2007.0</v>
      </c>
      <c r="I1506" s="5">
        <v>0.0</v>
      </c>
      <c r="J1506" s="5">
        <v>0.0</v>
      </c>
      <c r="K1506" s="5">
        <v>1.0</v>
      </c>
      <c r="L1506" s="54"/>
      <c r="M1506" s="5" t="s">
        <v>7041</v>
      </c>
      <c r="N1506" s="53" t="s">
        <v>3328</v>
      </c>
      <c r="O1506">
        <v>48.856614</v>
      </c>
      <c r="P1506">
        <v>2.352222</v>
      </c>
      <c r="Q1506" s="5" t="s">
        <v>3329</v>
      </c>
      <c r="R1506" s="10">
        <f t="shared" si="10"/>
        <v>30</v>
      </c>
      <c r="S1506" s="5" t="s">
        <v>7042</v>
      </c>
      <c r="T1506" s="5"/>
      <c r="U1506" s="5" t="s">
        <v>7043</v>
      </c>
      <c r="V1506" s="5"/>
    </row>
    <row r="1507" ht="12.75" customHeight="1">
      <c r="A1507" s="5">
        <v>34877.0</v>
      </c>
      <c r="B1507" s="5" t="s">
        <v>49</v>
      </c>
      <c r="C1507" s="52" t="s">
        <v>50</v>
      </c>
      <c r="D1507" s="5" t="s">
        <v>2852</v>
      </c>
      <c r="E1507" s="7" t="s">
        <v>7044</v>
      </c>
      <c r="F1507" s="5" t="s">
        <v>6824</v>
      </c>
      <c r="G1507" s="5" t="s">
        <v>6996</v>
      </c>
      <c r="H1507" s="5">
        <v>2007.0</v>
      </c>
      <c r="I1507" s="5">
        <v>0.0</v>
      </c>
      <c r="J1507" s="5">
        <v>0.0</v>
      </c>
      <c r="K1507" s="5">
        <v>10.0</v>
      </c>
      <c r="L1507" s="54"/>
      <c r="M1507" s="5" t="s">
        <v>7045</v>
      </c>
      <c r="N1507" s="53" t="s">
        <v>2944</v>
      </c>
      <c r="O1507">
        <v>-12.8275</v>
      </c>
      <c r="P1507">
        <v>45.166244</v>
      </c>
      <c r="Q1507" s="5" t="s">
        <v>228</v>
      </c>
      <c r="R1507" s="10">
        <f t="shared" si="10"/>
        <v>757</v>
      </c>
      <c r="S1507" s="5" t="s">
        <v>7046</v>
      </c>
      <c r="T1507" s="5"/>
      <c r="U1507" s="5" t="s">
        <v>7047</v>
      </c>
      <c r="V1507" s="5"/>
    </row>
    <row r="1508" ht="12.75" customHeight="1">
      <c r="A1508" s="5">
        <v>34878.0</v>
      </c>
      <c r="B1508" s="5" t="s">
        <v>68</v>
      </c>
      <c r="C1508" s="5" t="s">
        <v>69</v>
      </c>
      <c r="D1508" s="5" t="s">
        <v>2852</v>
      </c>
      <c r="E1508" s="7" t="s">
        <v>7044</v>
      </c>
      <c r="F1508" s="5" t="s">
        <v>6824</v>
      </c>
      <c r="G1508" s="5" t="s">
        <v>6996</v>
      </c>
      <c r="H1508" s="5">
        <v>2007.0</v>
      </c>
      <c r="I1508" s="5">
        <v>0.0</v>
      </c>
      <c r="J1508" s="5">
        <v>0.0</v>
      </c>
      <c r="K1508" s="5">
        <v>1.0</v>
      </c>
      <c r="L1508" s="54"/>
      <c r="M1508" s="5" t="s">
        <v>7048</v>
      </c>
      <c r="N1508" s="53" t="s">
        <v>4556</v>
      </c>
      <c r="O1508">
        <v>28.291564</v>
      </c>
      <c r="P1508">
        <v>-16.62913</v>
      </c>
      <c r="Q1508" s="5" t="s">
        <v>382</v>
      </c>
      <c r="R1508" s="10">
        <f t="shared" si="10"/>
        <v>1120</v>
      </c>
      <c r="S1508" s="5" t="s">
        <v>7049</v>
      </c>
      <c r="T1508" s="5" t="s">
        <v>1040</v>
      </c>
      <c r="U1508" s="5" t="s">
        <v>7050</v>
      </c>
      <c r="V1508" s="5"/>
    </row>
    <row r="1509" ht="12.75" customHeight="1">
      <c r="A1509" s="5">
        <v>34876.0</v>
      </c>
      <c r="B1509" s="5" t="s">
        <v>68</v>
      </c>
      <c r="C1509" s="5" t="s">
        <v>69</v>
      </c>
      <c r="D1509" s="5" t="s">
        <v>2852</v>
      </c>
      <c r="E1509" s="7" t="s">
        <v>7044</v>
      </c>
      <c r="F1509" s="5" t="s">
        <v>6824</v>
      </c>
      <c r="G1509" s="5" t="s">
        <v>6996</v>
      </c>
      <c r="H1509" s="5">
        <v>2007.0</v>
      </c>
      <c r="I1509" s="5">
        <v>0.0</v>
      </c>
      <c r="J1509" s="5">
        <v>0.0</v>
      </c>
      <c r="K1509" s="5">
        <v>2.0</v>
      </c>
      <c r="L1509" s="54"/>
      <c r="M1509" s="5" t="s">
        <v>7051</v>
      </c>
      <c r="N1509" s="53" t="s">
        <v>4556</v>
      </c>
      <c r="O1509">
        <v>28.291564</v>
      </c>
      <c r="P1509">
        <v>-16.62913</v>
      </c>
      <c r="Q1509" s="5" t="s">
        <v>382</v>
      </c>
      <c r="R1509" s="10">
        <f t="shared" si="10"/>
        <v>1120</v>
      </c>
      <c r="S1509" s="5" t="s">
        <v>7049</v>
      </c>
      <c r="T1509" s="5" t="s">
        <v>1040</v>
      </c>
      <c r="U1509" s="5" t="s">
        <v>7052</v>
      </c>
      <c r="V1509" s="5"/>
    </row>
    <row r="1510" ht="12.75" customHeight="1">
      <c r="A1510" s="5">
        <v>34879.0</v>
      </c>
      <c r="B1510" s="5" t="s">
        <v>1773</v>
      </c>
      <c r="C1510" s="5" t="s">
        <v>124</v>
      </c>
      <c r="D1510" s="5" t="s">
        <v>2852</v>
      </c>
      <c r="E1510" s="7" t="s">
        <v>7053</v>
      </c>
      <c r="F1510" s="5" t="s">
        <v>6824</v>
      </c>
      <c r="G1510" s="5" t="s">
        <v>6996</v>
      </c>
      <c r="H1510" s="5">
        <v>2007.0</v>
      </c>
      <c r="I1510" s="5">
        <v>0.0</v>
      </c>
      <c r="J1510" s="5">
        <v>0.0</v>
      </c>
      <c r="K1510" s="5">
        <v>1.0</v>
      </c>
      <c r="L1510" s="54"/>
      <c r="M1510" s="5" t="s">
        <v>7054</v>
      </c>
      <c r="N1510" s="53" t="s">
        <v>3412</v>
      </c>
      <c r="O1510">
        <v>52.370216</v>
      </c>
      <c r="P1510">
        <v>4.895168</v>
      </c>
      <c r="Q1510" s="5" t="s">
        <v>1753</v>
      </c>
      <c r="R1510" s="10">
        <f t="shared" si="10"/>
        <v>14</v>
      </c>
      <c r="S1510" s="5" t="s">
        <v>7055</v>
      </c>
      <c r="T1510" s="5"/>
      <c r="U1510" s="5" t="s">
        <v>7056</v>
      </c>
      <c r="V1510" s="5"/>
    </row>
    <row r="1511" ht="12.75" customHeight="1">
      <c r="A1511" s="5">
        <v>34880.0</v>
      </c>
      <c r="B1511" s="5" t="s">
        <v>49</v>
      </c>
      <c r="C1511" s="52" t="s">
        <v>50</v>
      </c>
      <c r="D1511" s="5" t="s">
        <v>2852</v>
      </c>
      <c r="E1511" s="7" t="s">
        <v>7057</v>
      </c>
      <c r="F1511" s="5" t="s">
        <v>6824</v>
      </c>
      <c r="G1511" s="5" t="s">
        <v>6996</v>
      </c>
      <c r="H1511" s="5">
        <v>2007.0</v>
      </c>
      <c r="I1511" s="5">
        <v>0.0</v>
      </c>
      <c r="J1511" s="5">
        <v>0.0</v>
      </c>
      <c r="K1511" s="5">
        <v>19.0</v>
      </c>
      <c r="L1511" s="54"/>
      <c r="M1511" s="5" t="s">
        <v>7058</v>
      </c>
      <c r="N1511" s="53" t="s">
        <v>2944</v>
      </c>
      <c r="O1511">
        <v>-12.8275</v>
      </c>
      <c r="P1511">
        <v>45.166244</v>
      </c>
      <c r="Q1511" s="5" t="s">
        <v>228</v>
      </c>
      <c r="R1511" s="10">
        <f t="shared" si="10"/>
        <v>757</v>
      </c>
      <c r="S1511" s="5" t="s">
        <v>7059</v>
      </c>
      <c r="T1511" s="5"/>
      <c r="U1511" s="5" t="s">
        <v>7060</v>
      </c>
      <c r="V1511" s="5"/>
    </row>
    <row r="1512" ht="12.75" customHeight="1">
      <c r="A1512" s="5">
        <v>34881.0</v>
      </c>
      <c r="B1512" s="5" t="s">
        <v>49</v>
      </c>
      <c r="C1512" s="52" t="s">
        <v>50</v>
      </c>
      <c r="D1512" s="5" t="s">
        <v>2852</v>
      </c>
      <c r="E1512" s="7" t="s">
        <v>7061</v>
      </c>
      <c r="F1512" s="5" t="s">
        <v>6824</v>
      </c>
      <c r="G1512" s="5" t="s">
        <v>6996</v>
      </c>
      <c r="H1512" s="5">
        <v>2007.0</v>
      </c>
      <c r="I1512" s="5">
        <v>0.0</v>
      </c>
      <c r="J1512" s="5">
        <v>0.0</v>
      </c>
      <c r="K1512" s="5">
        <v>1.0</v>
      </c>
      <c r="L1512" s="54"/>
      <c r="M1512" s="5" t="s">
        <v>7062</v>
      </c>
      <c r="N1512" s="53" t="s">
        <v>3340</v>
      </c>
      <c r="O1512">
        <v>37.743215</v>
      </c>
      <c r="P1512">
        <v>26.820351</v>
      </c>
      <c r="Q1512" s="5" t="s">
        <v>956</v>
      </c>
      <c r="R1512" s="10">
        <f t="shared" si="10"/>
        <v>218</v>
      </c>
      <c r="S1512" s="5" t="s">
        <v>7063</v>
      </c>
      <c r="T1512" s="6" t="s">
        <v>53</v>
      </c>
      <c r="U1512" s="5" t="s">
        <v>7064</v>
      </c>
      <c r="V1512" s="5"/>
    </row>
    <row r="1513" ht="12.75" customHeight="1">
      <c r="A1513" s="5">
        <v>34882.0</v>
      </c>
      <c r="B1513" s="5" t="s">
        <v>68</v>
      </c>
      <c r="C1513" s="5" t="s">
        <v>69</v>
      </c>
      <c r="D1513" s="5" t="s">
        <v>2852</v>
      </c>
      <c r="E1513" s="7" t="s">
        <v>7065</v>
      </c>
      <c r="F1513" s="5" t="s">
        <v>6824</v>
      </c>
      <c r="G1513" s="5" t="s">
        <v>6996</v>
      </c>
      <c r="H1513" s="5">
        <v>2007.0</v>
      </c>
      <c r="I1513" s="5">
        <v>0.0</v>
      </c>
      <c r="J1513" s="5">
        <v>0.0</v>
      </c>
      <c r="K1513" s="5">
        <v>2.0</v>
      </c>
      <c r="L1513" s="54"/>
      <c r="M1513" s="5" t="s">
        <v>7066</v>
      </c>
      <c r="N1513" s="53" t="s">
        <v>4941</v>
      </c>
      <c r="O1513">
        <v>28.291564</v>
      </c>
      <c r="P1513">
        <v>-16.62913</v>
      </c>
      <c r="Q1513" s="5" t="s">
        <v>382</v>
      </c>
      <c r="R1513" s="10">
        <f t="shared" si="10"/>
        <v>1120</v>
      </c>
      <c r="S1513" s="5" t="s">
        <v>7067</v>
      </c>
      <c r="T1513" s="5" t="s">
        <v>1040</v>
      </c>
      <c r="U1513" s="5" t="s">
        <v>7068</v>
      </c>
      <c r="V1513" s="5"/>
    </row>
    <row r="1514" ht="12.75" customHeight="1">
      <c r="A1514" s="5">
        <v>34883.0</v>
      </c>
      <c r="B1514" s="5" t="s">
        <v>68</v>
      </c>
      <c r="C1514" s="5" t="s">
        <v>69</v>
      </c>
      <c r="D1514" s="5" t="s">
        <v>2614</v>
      </c>
      <c r="E1514" s="7" t="s">
        <v>7069</v>
      </c>
      <c r="F1514" s="5" t="s">
        <v>6824</v>
      </c>
      <c r="G1514" s="5" t="s">
        <v>6996</v>
      </c>
      <c r="H1514" s="5">
        <v>2007.0</v>
      </c>
      <c r="I1514" s="5">
        <v>0.0</v>
      </c>
      <c r="J1514" s="5">
        <v>0.0</v>
      </c>
      <c r="K1514" s="5">
        <v>2.0</v>
      </c>
      <c r="L1514" s="54"/>
      <c r="M1514" s="5" t="s">
        <v>7070</v>
      </c>
      <c r="N1514" s="53" t="s">
        <v>7071</v>
      </c>
      <c r="O1514">
        <v>27.153611</v>
      </c>
      <c r="P1514">
        <v>-13.203333</v>
      </c>
      <c r="Q1514" s="5" t="s">
        <v>349</v>
      </c>
      <c r="R1514" s="10">
        <f t="shared" si="10"/>
        <v>348</v>
      </c>
      <c r="S1514" s="5" t="s">
        <v>7072</v>
      </c>
      <c r="T1514" s="5" t="s">
        <v>1040</v>
      </c>
      <c r="U1514" s="5" t="s">
        <v>6735</v>
      </c>
      <c r="V1514" s="5" t="s">
        <v>6942</v>
      </c>
    </row>
    <row r="1515" ht="12.75" customHeight="1">
      <c r="A1515" s="5">
        <v>34884.0</v>
      </c>
      <c r="B1515" s="5" t="s">
        <v>68</v>
      </c>
      <c r="C1515" s="5" t="s">
        <v>69</v>
      </c>
      <c r="D1515" s="5" t="s">
        <v>2614</v>
      </c>
      <c r="E1515" s="7" t="s">
        <v>7073</v>
      </c>
      <c r="F1515" s="5" t="s">
        <v>6824</v>
      </c>
      <c r="G1515" s="5" t="s">
        <v>6996</v>
      </c>
      <c r="H1515" s="5">
        <v>2007.0</v>
      </c>
      <c r="I1515" s="5">
        <v>0.0</v>
      </c>
      <c r="J1515" s="5">
        <v>0.0</v>
      </c>
      <c r="K1515" s="5">
        <v>2.0</v>
      </c>
      <c r="L1515" s="54"/>
      <c r="M1515" s="5" t="s">
        <v>7074</v>
      </c>
      <c r="N1515" s="53" t="s">
        <v>4648</v>
      </c>
      <c r="O1515">
        <v>36.721261</v>
      </c>
      <c r="P1515">
        <v>-4.421266</v>
      </c>
      <c r="Q1515" s="5" t="s">
        <v>823</v>
      </c>
      <c r="R1515" s="10">
        <f t="shared" si="10"/>
        <v>17</v>
      </c>
      <c r="S1515" s="5" t="s">
        <v>7075</v>
      </c>
      <c r="T1515" s="6" t="s">
        <v>72</v>
      </c>
      <c r="U1515" s="5" t="s">
        <v>2785</v>
      </c>
      <c r="V1515" s="5" t="s">
        <v>7076</v>
      </c>
    </row>
    <row r="1516" ht="12.75" customHeight="1">
      <c r="A1516" s="5">
        <v>34885.0</v>
      </c>
      <c r="B1516" s="5" t="s">
        <v>2921</v>
      </c>
      <c r="C1516" s="52" t="s">
        <v>50</v>
      </c>
      <c r="D1516" s="5" t="s">
        <v>2852</v>
      </c>
      <c r="E1516" s="7" t="s">
        <v>7077</v>
      </c>
      <c r="F1516" s="5" t="s">
        <v>7078</v>
      </c>
      <c r="G1516" s="5" t="s">
        <v>7079</v>
      </c>
      <c r="H1516" s="5">
        <v>2007.0</v>
      </c>
      <c r="I1516" s="5">
        <v>0.0</v>
      </c>
      <c r="J1516" s="5">
        <v>0.0</v>
      </c>
      <c r="K1516" s="5">
        <v>7.0</v>
      </c>
      <c r="L1516" s="54"/>
      <c r="M1516" s="5" t="s">
        <v>7080</v>
      </c>
      <c r="N1516" s="53" t="s">
        <v>7081</v>
      </c>
      <c r="O1516">
        <v>32.427908</v>
      </c>
      <c r="P1516">
        <v>53.688046</v>
      </c>
      <c r="Q1516" s="5" t="s">
        <v>470</v>
      </c>
      <c r="R1516" s="10">
        <f t="shared" si="10"/>
        <v>95</v>
      </c>
      <c r="S1516" s="5" t="s">
        <v>7082</v>
      </c>
      <c r="T1516" s="5"/>
      <c r="U1516" s="5" t="s">
        <v>7083</v>
      </c>
      <c r="V1516" s="5" t="s">
        <v>7084</v>
      </c>
    </row>
    <row r="1517" ht="12.75" customHeight="1">
      <c r="A1517" s="5">
        <v>34886.0</v>
      </c>
      <c r="B1517" s="5" t="s">
        <v>68</v>
      </c>
      <c r="C1517" s="5" t="s">
        <v>69</v>
      </c>
      <c r="D1517" s="5" t="s">
        <v>2614</v>
      </c>
      <c r="E1517" s="7" t="s">
        <v>7085</v>
      </c>
      <c r="F1517" s="5" t="s">
        <v>7078</v>
      </c>
      <c r="G1517" s="5" t="s">
        <v>7079</v>
      </c>
      <c r="H1517" s="5">
        <v>2007.0</v>
      </c>
      <c r="I1517" s="5">
        <v>0.0</v>
      </c>
      <c r="J1517" s="5">
        <v>0.0</v>
      </c>
      <c r="K1517" s="5">
        <v>1.0</v>
      </c>
      <c r="L1517" s="54"/>
      <c r="M1517" s="5" t="s">
        <v>7086</v>
      </c>
      <c r="N1517" s="53" t="s">
        <v>2700</v>
      </c>
      <c r="O1517">
        <v>35.508622</v>
      </c>
      <c r="P1517">
        <v>12.59292</v>
      </c>
      <c r="Q1517" s="5" t="s">
        <v>669</v>
      </c>
      <c r="R1517" s="10">
        <f t="shared" si="10"/>
        <v>3843</v>
      </c>
      <c r="S1517" s="5" t="s">
        <v>7087</v>
      </c>
      <c r="T1517" s="6" t="s">
        <v>2130</v>
      </c>
      <c r="U1517" s="5" t="s">
        <v>7088</v>
      </c>
      <c r="V1517" s="5" t="s">
        <v>7089</v>
      </c>
    </row>
    <row r="1518" ht="12.75" customHeight="1">
      <c r="A1518" s="5">
        <v>34887.0</v>
      </c>
      <c r="B1518" s="5" t="s">
        <v>3409</v>
      </c>
      <c r="C1518" s="5" t="s">
        <v>211</v>
      </c>
      <c r="D1518" s="5" t="s">
        <v>2852</v>
      </c>
      <c r="E1518" s="7" t="s">
        <v>7090</v>
      </c>
      <c r="F1518" s="5" t="s">
        <v>7078</v>
      </c>
      <c r="G1518" s="5" t="s">
        <v>7079</v>
      </c>
      <c r="H1518" s="5">
        <v>2007.0</v>
      </c>
      <c r="I1518" s="5">
        <v>0.0</v>
      </c>
      <c r="J1518" s="5">
        <v>0.0</v>
      </c>
      <c r="K1518" s="5">
        <v>1.0</v>
      </c>
      <c r="L1518" s="54"/>
      <c r="M1518" s="5" t="s">
        <v>7091</v>
      </c>
      <c r="N1518" s="53" t="s">
        <v>4151</v>
      </c>
      <c r="O1518">
        <v>55.864237</v>
      </c>
      <c r="P1518">
        <v>-4.251806</v>
      </c>
      <c r="Q1518" s="5" t="s">
        <v>1895</v>
      </c>
      <c r="R1518" s="10">
        <f t="shared" si="10"/>
        <v>6</v>
      </c>
      <c r="S1518" s="5" t="s">
        <v>7092</v>
      </c>
      <c r="T1518" s="5"/>
      <c r="U1518" s="5" t="s">
        <v>7093</v>
      </c>
      <c r="V1518" s="5"/>
    </row>
    <row r="1519" ht="12.75" customHeight="1">
      <c r="A1519" s="5">
        <v>34888.0</v>
      </c>
      <c r="B1519" s="5" t="s">
        <v>68</v>
      </c>
      <c r="C1519" s="5" t="s">
        <v>69</v>
      </c>
      <c r="D1519" s="5" t="s">
        <v>2852</v>
      </c>
      <c r="E1519" s="7" t="s">
        <v>7094</v>
      </c>
      <c r="F1519" s="5" t="s">
        <v>7078</v>
      </c>
      <c r="G1519" s="5" t="s">
        <v>7079</v>
      </c>
      <c r="H1519" s="5">
        <v>2007.0</v>
      </c>
      <c r="I1519" s="5">
        <v>0.0</v>
      </c>
      <c r="J1519" s="5">
        <v>0.0</v>
      </c>
      <c r="K1519" s="5">
        <v>11.0</v>
      </c>
      <c r="L1519" s="54"/>
      <c r="M1519" s="5" t="s">
        <v>7095</v>
      </c>
      <c r="N1519" s="53" t="s">
        <v>3340</v>
      </c>
      <c r="O1519">
        <v>37.743215</v>
      </c>
      <c r="P1519">
        <v>26.820351</v>
      </c>
      <c r="Q1519" s="5" t="s">
        <v>956</v>
      </c>
      <c r="R1519" s="10">
        <f t="shared" si="10"/>
        <v>218</v>
      </c>
      <c r="S1519" s="5" t="s">
        <v>7096</v>
      </c>
      <c r="T1519" s="6" t="s">
        <v>53</v>
      </c>
      <c r="U1519" s="5" t="s">
        <v>7097</v>
      </c>
      <c r="V1519" s="5" t="s">
        <v>7098</v>
      </c>
    </row>
    <row r="1520" ht="12.75" customHeight="1">
      <c r="A1520" s="5">
        <v>34889.0</v>
      </c>
      <c r="B1520" s="5" t="s">
        <v>2962</v>
      </c>
      <c r="C1520" s="5" t="s">
        <v>211</v>
      </c>
      <c r="D1520" s="5" t="s">
        <v>2852</v>
      </c>
      <c r="E1520" s="7" t="s">
        <v>7094</v>
      </c>
      <c r="F1520" s="5" t="s">
        <v>7078</v>
      </c>
      <c r="G1520" s="5" t="s">
        <v>7079</v>
      </c>
      <c r="H1520" s="5">
        <v>2007.0</v>
      </c>
      <c r="I1520" s="5">
        <v>0.0</v>
      </c>
      <c r="J1520" s="5">
        <v>0.0</v>
      </c>
      <c r="K1520" s="5">
        <v>1.0</v>
      </c>
      <c r="L1520" s="54"/>
      <c r="M1520" s="5" t="s">
        <v>7099</v>
      </c>
      <c r="N1520" s="53" t="s">
        <v>7100</v>
      </c>
      <c r="O1520">
        <v>44.502292</v>
      </c>
      <c r="P1520">
        <v>26.101538</v>
      </c>
      <c r="Q1520" s="5" t="s">
        <v>1301</v>
      </c>
      <c r="R1520" s="10">
        <f t="shared" si="10"/>
        <v>1</v>
      </c>
      <c r="S1520" s="5" t="s">
        <v>7101</v>
      </c>
      <c r="T1520" s="5"/>
      <c r="U1520" s="5" t="s">
        <v>7102</v>
      </c>
      <c r="V1520" s="5"/>
    </row>
    <row r="1521" ht="12.75" customHeight="1">
      <c r="A1521" s="5">
        <v>34890.0</v>
      </c>
      <c r="B1521" s="5" t="s">
        <v>49</v>
      </c>
      <c r="C1521" s="52" t="s">
        <v>50</v>
      </c>
      <c r="D1521" s="5" t="s">
        <v>2852</v>
      </c>
      <c r="E1521" s="7" t="s">
        <v>7103</v>
      </c>
      <c r="F1521" s="5" t="s">
        <v>7078</v>
      </c>
      <c r="G1521" s="5" t="s">
        <v>7079</v>
      </c>
      <c r="H1521" s="5">
        <v>2007.0</v>
      </c>
      <c r="I1521" s="5">
        <v>0.0</v>
      </c>
      <c r="J1521" s="5">
        <v>0.0</v>
      </c>
      <c r="K1521" s="5">
        <v>10.0</v>
      </c>
      <c r="L1521" s="54"/>
      <c r="M1521" s="5" t="s">
        <v>7104</v>
      </c>
      <c r="N1521" s="53" t="s">
        <v>3358</v>
      </c>
      <c r="O1521">
        <v>36.146155</v>
      </c>
      <c r="P1521">
        <v>-1.494141</v>
      </c>
      <c r="Q1521" s="5" t="s">
        <v>776</v>
      </c>
      <c r="R1521" s="10">
        <f t="shared" si="10"/>
        <v>15</v>
      </c>
      <c r="S1521" s="5" t="s">
        <v>7105</v>
      </c>
      <c r="T1521" s="6" t="s">
        <v>72</v>
      </c>
      <c r="U1521" s="5" t="s">
        <v>7106</v>
      </c>
      <c r="V1521" s="5"/>
    </row>
    <row r="1522" ht="12.75" customHeight="1">
      <c r="A1522" s="5">
        <v>34891.0</v>
      </c>
      <c r="B1522" s="5" t="s">
        <v>68</v>
      </c>
      <c r="C1522" s="5" t="s">
        <v>69</v>
      </c>
      <c r="D1522" s="5" t="s">
        <v>2614</v>
      </c>
      <c r="E1522" s="7" t="s">
        <v>7107</v>
      </c>
      <c r="F1522" s="5" t="s">
        <v>7078</v>
      </c>
      <c r="G1522" s="5" t="s">
        <v>7079</v>
      </c>
      <c r="H1522" s="5">
        <v>2007.0</v>
      </c>
      <c r="I1522" s="5">
        <v>0.0</v>
      </c>
      <c r="J1522" s="5">
        <v>0.0</v>
      </c>
      <c r="K1522" s="5">
        <v>4.0</v>
      </c>
      <c r="L1522" s="54"/>
      <c r="M1522" s="5" t="s">
        <v>7108</v>
      </c>
      <c r="N1522" s="53" t="s">
        <v>4556</v>
      </c>
      <c r="O1522">
        <v>28.291564</v>
      </c>
      <c r="P1522">
        <v>-16.62913</v>
      </c>
      <c r="Q1522" s="5" t="s">
        <v>382</v>
      </c>
      <c r="R1522" s="10">
        <f t="shared" si="10"/>
        <v>1120</v>
      </c>
      <c r="S1522" s="5" t="s">
        <v>7109</v>
      </c>
      <c r="T1522" s="5" t="s">
        <v>1040</v>
      </c>
      <c r="U1522" s="5" t="s">
        <v>2785</v>
      </c>
      <c r="V1522" s="5" t="s">
        <v>7110</v>
      </c>
    </row>
    <row r="1523" ht="12.75" customHeight="1">
      <c r="A1523" s="5">
        <v>34892.0</v>
      </c>
      <c r="B1523" s="5" t="s">
        <v>2921</v>
      </c>
      <c r="C1523" s="52" t="s">
        <v>50</v>
      </c>
      <c r="D1523" s="5" t="s">
        <v>2852</v>
      </c>
      <c r="E1523" s="7" t="s">
        <v>7111</v>
      </c>
      <c r="F1523" s="5" t="s">
        <v>7078</v>
      </c>
      <c r="G1523" s="5" t="s">
        <v>7079</v>
      </c>
      <c r="H1523" s="5">
        <v>2007.0</v>
      </c>
      <c r="I1523" s="5">
        <v>0.0</v>
      </c>
      <c r="J1523" s="5">
        <v>0.0</v>
      </c>
      <c r="K1523" s="5">
        <v>2.0</v>
      </c>
      <c r="L1523" s="54"/>
      <c r="M1523" s="5" t="s">
        <v>7112</v>
      </c>
      <c r="N1523" s="53" t="s">
        <v>4648</v>
      </c>
      <c r="O1523">
        <v>36.721261</v>
      </c>
      <c r="P1523">
        <v>-4.421266</v>
      </c>
      <c r="Q1523" s="5" t="s">
        <v>823</v>
      </c>
      <c r="R1523" s="10">
        <f t="shared" si="10"/>
        <v>17</v>
      </c>
      <c r="S1523" s="5" t="s">
        <v>7113</v>
      </c>
      <c r="T1523" s="6" t="s">
        <v>72</v>
      </c>
      <c r="U1523" s="5" t="s">
        <v>4736</v>
      </c>
      <c r="V1523" s="5"/>
    </row>
    <row r="1524" ht="12.75" customHeight="1">
      <c r="A1524" s="5">
        <v>34893.0</v>
      </c>
      <c r="B1524" s="5" t="s">
        <v>7114</v>
      </c>
      <c r="C1524" s="52" t="s">
        <v>50</v>
      </c>
      <c r="D1524" s="5" t="s">
        <v>2614</v>
      </c>
      <c r="E1524" s="7" t="s">
        <v>7115</v>
      </c>
      <c r="F1524" s="5" t="s">
        <v>7078</v>
      </c>
      <c r="G1524" s="5" t="s">
        <v>7116</v>
      </c>
      <c r="H1524" s="5">
        <v>2007.0</v>
      </c>
      <c r="I1524" s="5">
        <v>0.0</v>
      </c>
      <c r="J1524" s="5">
        <v>0.0</v>
      </c>
      <c r="K1524" s="5">
        <v>1.0</v>
      </c>
      <c r="L1524" s="54"/>
      <c r="M1524" s="5" t="s">
        <v>7117</v>
      </c>
      <c r="N1524" s="53" t="s">
        <v>6371</v>
      </c>
      <c r="O1524">
        <v>34.686667</v>
      </c>
      <c r="P1524">
        <v>-1.911389</v>
      </c>
      <c r="Q1524" s="5" t="s">
        <v>586</v>
      </c>
      <c r="R1524" s="10">
        <f t="shared" si="10"/>
        <v>17</v>
      </c>
      <c r="S1524" s="5" t="s">
        <v>7118</v>
      </c>
      <c r="T1524" s="6" t="s">
        <v>72</v>
      </c>
      <c r="U1524" s="5" t="s">
        <v>7119</v>
      </c>
      <c r="V1524" s="5" t="s">
        <v>7120</v>
      </c>
    </row>
    <row r="1525" ht="12.75" customHeight="1">
      <c r="A1525" s="5">
        <v>34894.0</v>
      </c>
      <c r="B1525" s="5" t="s">
        <v>491</v>
      </c>
      <c r="C1525" s="52" t="s">
        <v>50</v>
      </c>
      <c r="D1525" s="5" t="s">
        <v>2852</v>
      </c>
      <c r="E1525" s="7" t="s">
        <v>7115</v>
      </c>
      <c r="F1525" s="5" t="s">
        <v>7078</v>
      </c>
      <c r="G1525" s="5" t="s">
        <v>7116</v>
      </c>
      <c r="H1525" s="5">
        <v>2007.0</v>
      </c>
      <c r="I1525" s="5">
        <v>0.0</v>
      </c>
      <c r="J1525" s="5">
        <v>0.0</v>
      </c>
      <c r="K1525" s="5">
        <v>19.0</v>
      </c>
      <c r="L1525" s="54"/>
      <c r="M1525" s="5" t="s">
        <v>7121</v>
      </c>
      <c r="N1525" s="53" t="s">
        <v>2700</v>
      </c>
      <c r="O1525">
        <v>35.508622</v>
      </c>
      <c r="P1525">
        <v>12.59292</v>
      </c>
      <c r="Q1525" s="5" t="s">
        <v>669</v>
      </c>
      <c r="R1525" s="10">
        <f t="shared" si="10"/>
        <v>3843</v>
      </c>
      <c r="S1525" s="5" t="s">
        <v>7122</v>
      </c>
      <c r="T1525" s="6" t="s">
        <v>2130</v>
      </c>
      <c r="U1525" s="5" t="s">
        <v>7123</v>
      </c>
      <c r="V1525" s="5" t="s">
        <v>7124</v>
      </c>
    </row>
    <row r="1526" ht="12.75" customHeight="1">
      <c r="A1526" s="5">
        <v>34895.0</v>
      </c>
      <c r="B1526" s="5" t="s">
        <v>49</v>
      </c>
      <c r="C1526" s="52" t="s">
        <v>50</v>
      </c>
      <c r="D1526" s="5" t="s">
        <v>2852</v>
      </c>
      <c r="E1526" s="7" t="s">
        <v>7125</v>
      </c>
      <c r="F1526" s="5" t="s">
        <v>7078</v>
      </c>
      <c r="G1526" s="5" t="s">
        <v>7116</v>
      </c>
      <c r="H1526" s="5">
        <v>2007.0</v>
      </c>
      <c r="I1526" s="5">
        <v>0.0</v>
      </c>
      <c r="J1526" s="5">
        <v>0.0</v>
      </c>
      <c r="K1526" s="5">
        <v>24.0</v>
      </c>
      <c r="L1526" s="54"/>
      <c r="M1526" s="5" t="s">
        <v>7126</v>
      </c>
      <c r="N1526" s="53" t="s">
        <v>3340</v>
      </c>
      <c r="O1526">
        <v>37.743215</v>
      </c>
      <c r="P1526">
        <v>26.820351</v>
      </c>
      <c r="Q1526" s="5" t="s">
        <v>956</v>
      </c>
      <c r="R1526" s="10">
        <f t="shared" si="10"/>
        <v>218</v>
      </c>
      <c r="S1526" s="5" t="s">
        <v>7127</v>
      </c>
      <c r="T1526" s="6" t="s">
        <v>53</v>
      </c>
      <c r="U1526" s="5" t="s">
        <v>7128</v>
      </c>
      <c r="V1526" s="5" t="s">
        <v>7129</v>
      </c>
    </row>
    <row r="1527" ht="12.75" customHeight="1">
      <c r="A1527" s="5">
        <v>34896.0</v>
      </c>
      <c r="B1527" s="5" t="s">
        <v>68</v>
      </c>
      <c r="C1527" s="5" t="s">
        <v>69</v>
      </c>
      <c r="D1527" s="5" t="s">
        <v>2614</v>
      </c>
      <c r="E1527" s="7" t="s">
        <v>7130</v>
      </c>
      <c r="F1527" s="5" t="s">
        <v>7078</v>
      </c>
      <c r="G1527" s="5" t="s">
        <v>7116</v>
      </c>
      <c r="H1527" s="5">
        <v>2007.0</v>
      </c>
      <c r="I1527" s="5">
        <v>0.0</v>
      </c>
      <c r="J1527" s="5">
        <v>0.0</v>
      </c>
      <c r="K1527" s="5">
        <v>1.0</v>
      </c>
      <c r="L1527" s="54"/>
      <c r="M1527" s="5" t="s">
        <v>7131</v>
      </c>
      <c r="N1527" s="53" t="s">
        <v>7132</v>
      </c>
      <c r="O1527">
        <v>20.942518</v>
      </c>
      <c r="P1527">
        <v>-17.036227</v>
      </c>
      <c r="Q1527" s="5" t="s">
        <v>309</v>
      </c>
      <c r="R1527" s="10">
        <f t="shared" si="10"/>
        <v>83</v>
      </c>
      <c r="S1527" s="5" t="s">
        <v>7133</v>
      </c>
      <c r="T1527" s="5" t="s">
        <v>1040</v>
      </c>
      <c r="U1527" s="5" t="s">
        <v>7134</v>
      </c>
      <c r="V1527" s="5" t="s">
        <v>7135</v>
      </c>
    </row>
    <row r="1528" ht="12.75" customHeight="1">
      <c r="A1528" s="5">
        <v>34897.0</v>
      </c>
      <c r="B1528" s="5" t="s">
        <v>491</v>
      </c>
      <c r="C1528" s="52" t="s">
        <v>50</v>
      </c>
      <c r="D1528" s="5" t="s">
        <v>2852</v>
      </c>
      <c r="E1528" s="7" t="s">
        <v>7136</v>
      </c>
      <c r="F1528" s="5" t="s">
        <v>7078</v>
      </c>
      <c r="G1528" s="5" t="s">
        <v>7116</v>
      </c>
      <c r="H1528" s="5">
        <v>2007.0</v>
      </c>
      <c r="I1528" s="5">
        <v>0.0</v>
      </c>
      <c r="J1528" s="5">
        <v>0.0</v>
      </c>
      <c r="K1528" s="5">
        <v>40.0</v>
      </c>
      <c r="L1528" s="54"/>
      <c r="M1528" s="5" t="s">
        <v>7137</v>
      </c>
      <c r="N1528" s="53" t="s">
        <v>4502</v>
      </c>
      <c r="O1528">
        <v>14.497401</v>
      </c>
      <c r="P1528">
        <v>-14.452362</v>
      </c>
      <c r="Q1528" s="5" t="s">
        <v>258</v>
      </c>
      <c r="R1528" s="10">
        <f t="shared" si="10"/>
        <v>200</v>
      </c>
      <c r="S1528" s="5" t="s">
        <v>7138</v>
      </c>
      <c r="T1528" s="5" t="s">
        <v>1040</v>
      </c>
      <c r="U1528" s="5" t="s">
        <v>7106</v>
      </c>
      <c r="V1528" s="5"/>
    </row>
    <row r="1529" ht="12.75" customHeight="1">
      <c r="A1529" s="5">
        <v>34898.0</v>
      </c>
      <c r="B1529" s="5" t="s">
        <v>68</v>
      </c>
      <c r="C1529" s="5" t="s">
        <v>69</v>
      </c>
      <c r="D1529" s="5" t="s">
        <v>2614</v>
      </c>
      <c r="E1529" s="7" t="s">
        <v>7139</v>
      </c>
      <c r="F1529" s="5" t="s">
        <v>7078</v>
      </c>
      <c r="G1529" s="5" t="s">
        <v>7116</v>
      </c>
      <c r="H1529" s="5">
        <v>2007.0</v>
      </c>
      <c r="I1529" s="5">
        <v>0.0</v>
      </c>
      <c r="J1529" s="5">
        <v>0.0</v>
      </c>
      <c r="K1529" s="5">
        <v>1.0</v>
      </c>
      <c r="L1529" s="54"/>
      <c r="M1529" s="5" t="s">
        <v>7140</v>
      </c>
      <c r="N1529" s="53" t="s">
        <v>6423</v>
      </c>
      <c r="O1529">
        <v>35.1</v>
      </c>
      <c r="P1529">
        <v>-1.85</v>
      </c>
      <c r="Q1529" s="5" t="s">
        <v>619</v>
      </c>
      <c r="R1529" s="10">
        <f t="shared" si="10"/>
        <v>7</v>
      </c>
      <c r="S1529" s="5" t="s">
        <v>7141</v>
      </c>
      <c r="T1529" s="6" t="s">
        <v>72</v>
      </c>
      <c r="U1529" s="5" t="s">
        <v>5920</v>
      </c>
      <c r="V1529" s="5" t="s">
        <v>7142</v>
      </c>
    </row>
    <row r="1530" ht="12.75" customHeight="1">
      <c r="A1530" s="5">
        <v>34899.0</v>
      </c>
      <c r="B1530" s="5" t="s">
        <v>49</v>
      </c>
      <c r="C1530" s="52" t="s">
        <v>50</v>
      </c>
      <c r="D1530" s="5" t="s">
        <v>2852</v>
      </c>
      <c r="E1530" s="7" t="s">
        <v>7143</v>
      </c>
      <c r="F1530" s="5" t="s">
        <v>7078</v>
      </c>
      <c r="G1530" s="5" t="s">
        <v>7116</v>
      </c>
      <c r="H1530" s="5">
        <v>2007.0</v>
      </c>
      <c r="I1530" s="5">
        <v>0.0</v>
      </c>
      <c r="J1530" s="5">
        <v>0.0</v>
      </c>
      <c r="K1530" s="5">
        <v>4.0</v>
      </c>
      <c r="L1530" s="54"/>
      <c r="M1530" s="5" t="s">
        <v>7144</v>
      </c>
      <c r="N1530" s="53" t="s">
        <v>7145</v>
      </c>
      <c r="O1530" s="10">
        <v>36.0</v>
      </c>
      <c r="P1530" s="10">
        <v>-0.3</v>
      </c>
      <c r="Q1530" s="5" t="str">
        <f>O1530&amp;", "&amp;P1530</f>
        <v>36, -0.3</v>
      </c>
      <c r="R1530" s="10">
        <f t="shared" si="10"/>
        <v>4</v>
      </c>
      <c r="S1530" s="5" t="s">
        <v>7146</v>
      </c>
      <c r="T1530" s="6" t="s">
        <v>72</v>
      </c>
      <c r="U1530" s="5" t="s">
        <v>6636</v>
      </c>
      <c r="V1530" s="5"/>
    </row>
    <row r="1531" ht="12.75" customHeight="1">
      <c r="A1531" s="5">
        <v>34900.0</v>
      </c>
      <c r="B1531" s="5" t="s">
        <v>2902</v>
      </c>
      <c r="C1531" s="5" t="s">
        <v>211</v>
      </c>
      <c r="D1531" s="5" t="s">
        <v>2852</v>
      </c>
      <c r="E1531" s="7" t="s">
        <v>7147</v>
      </c>
      <c r="F1531" s="5" t="s">
        <v>7078</v>
      </c>
      <c r="G1531" s="5" t="s">
        <v>7116</v>
      </c>
      <c r="H1531" s="5">
        <v>2007.0</v>
      </c>
      <c r="I1531" s="5">
        <v>0.0</v>
      </c>
      <c r="J1531" s="5">
        <v>0.0</v>
      </c>
      <c r="K1531" s="5">
        <v>1.0</v>
      </c>
      <c r="L1531" s="54"/>
      <c r="M1531" s="5" t="s">
        <v>7148</v>
      </c>
      <c r="N1531" s="53" t="s">
        <v>7149</v>
      </c>
      <c r="O1531">
        <v>23.684994</v>
      </c>
      <c r="P1531">
        <v>90.356331</v>
      </c>
      <c r="Q1531" s="5" t="s">
        <v>322</v>
      </c>
      <c r="R1531" s="10">
        <f t="shared" si="10"/>
        <v>1</v>
      </c>
      <c r="S1531" s="5" t="s">
        <v>7150</v>
      </c>
      <c r="T1531" s="5"/>
      <c r="U1531" s="5" t="s">
        <v>3219</v>
      </c>
      <c r="V1531" s="5"/>
    </row>
    <row r="1532" ht="12.75" customHeight="1">
      <c r="A1532" s="5">
        <v>34901.0</v>
      </c>
      <c r="B1532" s="5" t="s">
        <v>49</v>
      </c>
      <c r="C1532" s="52" t="s">
        <v>50</v>
      </c>
      <c r="D1532" s="5" t="s">
        <v>2852</v>
      </c>
      <c r="E1532" s="7" t="s">
        <v>7151</v>
      </c>
      <c r="F1532" s="5" t="s">
        <v>7078</v>
      </c>
      <c r="G1532" s="5" t="s">
        <v>7116</v>
      </c>
      <c r="H1532" s="5">
        <v>2007.0</v>
      </c>
      <c r="I1532" s="5">
        <v>0.0</v>
      </c>
      <c r="J1532" s="5">
        <v>0.0</v>
      </c>
      <c r="K1532" s="5">
        <v>17.0</v>
      </c>
      <c r="L1532" s="54"/>
      <c r="M1532" s="5" t="s">
        <v>7152</v>
      </c>
      <c r="N1532" s="53" t="s">
        <v>3340</v>
      </c>
      <c r="O1532">
        <v>37.743215</v>
      </c>
      <c r="P1532">
        <v>26.820351</v>
      </c>
      <c r="Q1532" s="5" t="s">
        <v>956</v>
      </c>
      <c r="R1532" s="10">
        <f t="shared" si="10"/>
        <v>218</v>
      </c>
      <c r="S1532" s="5" t="s">
        <v>7153</v>
      </c>
      <c r="T1532" s="6" t="s">
        <v>53</v>
      </c>
      <c r="U1532" s="5" t="s">
        <v>7154</v>
      </c>
      <c r="V1532" s="5" t="s">
        <v>7155</v>
      </c>
    </row>
    <row r="1533" ht="12.75" customHeight="1">
      <c r="A1533" s="5">
        <v>34648.0</v>
      </c>
      <c r="B1533" s="5" t="s">
        <v>49</v>
      </c>
      <c r="C1533" s="52" t="s">
        <v>50</v>
      </c>
      <c r="D1533" s="5" t="s">
        <v>2852</v>
      </c>
      <c r="E1533" s="7" t="s">
        <v>7156</v>
      </c>
      <c r="F1533" s="5" t="s">
        <v>7157</v>
      </c>
      <c r="G1533" s="5" t="s">
        <v>7158</v>
      </c>
      <c r="H1533" s="5">
        <v>2007.0</v>
      </c>
      <c r="I1533" s="5">
        <v>0.0</v>
      </c>
      <c r="J1533" s="5">
        <v>0.0</v>
      </c>
      <c r="K1533" s="5">
        <v>9.0</v>
      </c>
      <c r="L1533" s="54"/>
      <c r="M1533" s="5" t="s">
        <v>7159</v>
      </c>
      <c r="N1533" s="53" t="s">
        <v>2857</v>
      </c>
      <c r="O1533">
        <v>36.527061</v>
      </c>
      <c r="P1533">
        <v>-6.288596</v>
      </c>
      <c r="Q1533" s="5" t="s">
        <v>802</v>
      </c>
      <c r="R1533" s="10">
        <f t="shared" si="10"/>
        <v>185</v>
      </c>
      <c r="S1533" s="5" t="s">
        <v>7160</v>
      </c>
      <c r="T1533" s="6" t="s">
        <v>72</v>
      </c>
      <c r="U1533" s="5" t="s">
        <v>7161</v>
      </c>
      <c r="V1533" s="5"/>
    </row>
    <row r="1534" ht="12.75" customHeight="1">
      <c r="A1534" s="5">
        <v>34649.0</v>
      </c>
      <c r="B1534" s="5" t="s">
        <v>49</v>
      </c>
      <c r="C1534" s="52" t="s">
        <v>50</v>
      </c>
      <c r="D1534" s="5" t="s">
        <v>2852</v>
      </c>
      <c r="E1534" s="7" t="s">
        <v>7156</v>
      </c>
      <c r="F1534" s="5" t="s">
        <v>7157</v>
      </c>
      <c r="G1534" s="5" t="s">
        <v>7158</v>
      </c>
      <c r="H1534" s="5">
        <v>2007.0</v>
      </c>
      <c r="I1534" s="5">
        <v>0.0</v>
      </c>
      <c r="J1534" s="5">
        <v>0.0</v>
      </c>
      <c r="K1534" s="5">
        <v>8.0</v>
      </c>
      <c r="L1534" s="54"/>
      <c r="M1534" s="5" t="s">
        <v>7162</v>
      </c>
      <c r="N1534" s="53" t="s">
        <v>6217</v>
      </c>
      <c r="O1534">
        <v>43.351149</v>
      </c>
      <c r="P1534">
        <v>-8.185424</v>
      </c>
      <c r="Q1534" s="5" t="s">
        <v>1275</v>
      </c>
      <c r="R1534" s="10">
        <f t="shared" si="10"/>
        <v>12</v>
      </c>
      <c r="S1534" s="5" t="s">
        <v>7163</v>
      </c>
      <c r="T1534" s="6" t="s">
        <v>72</v>
      </c>
      <c r="U1534" s="5" t="s">
        <v>4736</v>
      </c>
      <c r="V1534" s="5"/>
    </row>
    <row r="1535" ht="12.75" customHeight="1">
      <c r="A1535" s="5">
        <v>34650.0</v>
      </c>
      <c r="B1535" s="5" t="s">
        <v>2902</v>
      </c>
      <c r="C1535" s="5" t="s">
        <v>211</v>
      </c>
      <c r="D1535" s="5" t="s">
        <v>2852</v>
      </c>
      <c r="E1535" s="7" t="s">
        <v>7156</v>
      </c>
      <c r="F1535" s="5" t="s">
        <v>7157</v>
      </c>
      <c r="G1535" s="5" t="s">
        <v>7158</v>
      </c>
      <c r="H1535" s="5">
        <v>2007.0</v>
      </c>
      <c r="I1535" s="5">
        <v>0.0</v>
      </c>
      <c r="J1535" s="5">
        <v>0.0</v>
      </c>
      <c r="K1535" s="5">
        <v>1.0</v>
      </c>
      <c r="L1535" s="54"/>
      <c r="M1535" s="5" t="s">
        <v>7164</v>
      </c>
      <c r="N1535" s="53" t="s">
        <v>5874</v>
      </c>
      <c r="O1535">
        <v>52.520007</v>
      </c>
      <c r="P1535">
        <v>13.404954</v>
      </c>
      <c r="Q1535" s="5" t="s">
        <v>1774</v>
      </c>
      <c r="R1535" s="10">
        <f t="shared" si="10"/>
        <v>6</v>
      </c>
      <c r="S1535" s="5" t="s">
        <v>7165</v>
      </c>
      <c r="T1535" s="5"/>
      <c r="U1535" s="5" t="s">
        <v>7166</v>
      </c>
      <c r="V1535" s="5"/>
    </row>
    <row r="1536" ht="12.75" customHeight="1">
      <c r="A1536" s="5">
        <v>34651.0</v>
      </c>
      <c r="B1536" s="5" t="s">
        <v>2962</v>
      </c>
      <c r="C1536" s="5" t="s">
        <v>211</v>
      </c>
      <c r="D1536" s="5" t="s">
        <v>2852</v>
      </c>
      <c r="E1536" s="7" t="s">
        <v>7167</v>
      </c>
      <c r="F1536" s="5" t="s">
        <v>7157</v>
      </c>
      <c r="G1536" s="5" t="s">
        <v>7158</v>
      </c>
      <c r="H1536" s="5">
        <v>2007.0</v>
      </c>
      <c r="I1536" s="5">
        <v>0.0</v>
      </c>
      <c r="J1536" s="5">
        <v>0.0</v>
      </c>
      <c r="K1536" s="5">
        <v>1.0</v>
      </c>
      <c r="L1536" s="54"/>
      <c r="M1536" s="5" t="s">
        <v>7168</v>
      </c>
      <c r="N1536" s="53" t="s">
        <v>5874</v>
      </c>
      <c r="O1536">
        <v>52.520007</v>
      </c>
      <c r="P1536">
        <v>13.404954</v>
      </c>
      <c r="Q1536" s="5" t="s">
        <v>1774</v>
      </c>
      <c r="R1536" s="10">
        <f t="shared" si="10"/>
        <v>6</v>
      </c>
      <c r="S1536" s="5" t="s">
        <v>7169</v>
      </c>
      <c r="T1536" s="5"/>
      <c r="U1536" s="5" t="s">
        <v>6302</v>
      </c>
      <c r="V1536" s="5"/>
    </row>
    <row r="1537" ht="12.75" customHeight="1">
      <c r="A1537" s="5">
        <v>34652.0</v>
      </c>
      <c r="B1537" s="5" t="s">
        <v>49</v>
      </c>
      <c r="C1537" s="52" t="s">
        <v>50</v>
      </c>
      <c r="D1537" s="5" t="s">
        <v>2614</v>
      </c>
      <c r="E1537" s="7" t="s">
        <v>7170</v>
      </c>
      <c r="F1537" s="5" t="s">
        <v>7157</v>
      </c>
      <c r="G1537" s="5" t="s">
        <v>7158</v>
      </c>
      <c r="H1537" s="5">
        <v>2007.0</v>
      </c>
      <c r="I1537" s="5">
        <v>0.0</v>
      </c>
      <c r="J1537" s="5">
        <v>0.0</v>
      </c>
      <c r="K1537" s="5">
        <v>1.0</v>
      </c>
      <c r="L1537" s="54"/>
      <c r="M1537" s="5" t="s">
        <v>7171</v>
      </c>
      <c r="N1537" s="53" t="s">
        <v>2638</v>
      </c>
      <c r="O1537">
        <v>35.888384</v>
      </c>
      <c r="P1537">
        <v>-5.324636</v>
      </c>
      <c r="Q1537" s="5" t="s">
        <v>717</v>
      </c>
      <c r="R1537" s="10">
        <f t="shared" si="10"/>
        <v>213</v>
      </c>
      <c r="S1537" s="5" t="s">
        <v>7172</v>
      </c>
      <c r="T1537" s="6" t="s">
        <v>72</v>
      </c>
      <c r="U1537" s="5" t="s">
        <v>2635</v>
      </c>
      <c r="V1537" s="5" t="s">
        <v>7173</v>
      </c>
    </row>
    <row r="1538" ht="12.75" customHeight="1">
      <c r="A1538" s="5">
        <v>34653.0</v>
      </c>
      <c r="B1538" s="5" t="s">
        <v>49</v>
      </c>
      <c r="C1538" s="52" t="s">
        <v>50</v>
      </c>
      <c r="D1538" s="5" t="s">
        <v>2852</v>
      </c>
      <c r="E1538" s="7" t="s">
        <v>7170</v>
      </c>
      <c r="F1538" s="5" t="s">
        <v>7157</v>
      </c>
      <c r="G1538" s="5" t="s">
        <v>7158</v>
      </c>
      <c r="H1538" s="5">
        <v>2007.0</v>
      </c>
      <c r="I1538" s="5">
        <v>0.0</v>
      </c>
      <c r="J1538" s="5">
        <v>0.0</v>
      </c>
      <c r="K1538" s="5">
        <v>1.0</v>
      </c>
      <c r="L1538" s="54"/>
      <c r="M1538" s="5" t="s">
        <v>7174</v>
      </c>
      <c r="N1538" s="53" t="s">
        <v>2834</v>
      </c>
      <c r="O1538">
        <v>41.244376</v>
      </c>
      <c r="P1538">
        <v>26.135943</v>
      </c>
      <c r="Q1538" s="5" t="s">
        <v>1214</v>
      </c>
      <c r="R1538" s="10">
        <f t="shared" si="10"/>
        <v>188</v>
      </c>
      <c r="S1538" s="5" t="s">
        <v>7175</v>
      </c>
      <c r="T1538" s="6" t="s">
        <v>53</v>
      </c>
      <c r="U1538" s="5" t="s">
        <v>7176</v>
      </c>
      <c r="V1538" s="5" t="s">
        <v>7177</v>
      </c>
    </row>
    <row r="1539" ht="12.75" customHeight="1">
      <c r="A1539" s="5">
        <v>34654.0</v>
      </c>
      <c r="B1539" s="5" t="s">
        <v>68</v>
      </c>
      <c r="C1539" s="5" t="s">
        <v>69</v>
      </c>
      <c r="D1539" s="5" t="s">
        <v>2614</v>
      </c>
      <c r="E1539" s="7" t="s">
        <v>7178</v>
      </c>
      <c r="F1539" s="5" t="s">
        <v>7157</v>
      </c>
      <c r="G1539" s="5" t="s">
        <v>7158</v>
      </c>
      <c r="H1539" s="5">
        <v>2007.0</v>
      </c>
      <c r="I1539" s="5">
        <v>0.0</v>
      </c>
      <c r="J1539" s="5">
        <v>0.0</v>
      </c>
      <c r="K1539" s="5">
        <v>5.0</v>
      </c>
      <c r="L1539" s="54"/>
      <c r="M1539" s="5" t="s">
        <v>7179</v>
      </c>
      <c r="N1539" s="53" t="s">
        <v>5670</v>
      </c>
      <c r="O1539">
        <v>34.745159</v>
      </c>
      <c r="P1539">
        <v>10.7613</v>
      </c>
      <c r="Q1539" s="5" t="s">
        <v>594</v>
      </c>
      <c r="R1539" s="10">
        <f t="shared" si="10"/>
        <v>239</v>
      </c>
      <c r="S1539" s="5" t="s">
        <v>7180</v>
      </c>
      <c r="T1539" s="6" t="s">
        <v>2130</v>
      </c>
      <c r="U1539" s="5" t="s">
        <v>7181</v>
      </c>
      <c r="V1539" s="5" t="s">
        <v>7182</v>
      </c>
    </row>
    <row r="1540" ht="12.75" customHeight="1">
      <c r="A1540" s="5">
        <v>34655.0</v>
      </c>
      <c r="B1540" s="5" t="s">
        <v>68</v>
      </c>
      <c r="C1540" s="5" t="s">
        <v>69</v>
      </c>
      <c r="D1540" s="5" t="s">
        <v>2852</v>
      </c>
      <c r="E1540" s="7" t="s">
        <v>7178</v>
      </c>
      <c r="F1540" s="5" t="s">
        <v>7157</v>
      </c>
      <c r="G1540" s="5" t="s">
        <v>7158</v>
      </c>
      <c r="H1540" s="5">
        <v>2007.0</v>
      </c>
      <c r="I1540" s="5">
        <v>0.0</v>
      </c>
      <c r="J1540" s="5">
        <v>0.0</v>
      </c>
      <c r="K1540" s="5">
        <v>2.0</v>
      </c>
      <c r="L1540" s="54"/>
      <c r="M1540" s="5" t="s">
        <v>7183</v>
      </c>
      <c r="N1540" s="53" t="s">
        <v>5387</v>
      </c>
      <c r="O1540">
        <v>37.931706</v>
      </c>
      <c r="P1540">
        <v>-0.660553</v>
      </c>
      <c r="Q1540" s="5" t="s">
        <v>964</v>
      </c>
      <c r="R1540" s="10">
        <f t="shared" si="10"/>
        <v>19</v>
      </c>
      <c r="S1540" s="5" t="s">
        <v>7184</v>
      </c>
      <c r="T1540" s="6" t="s">
        <v>72</v>
      </c>
      <c r="U1540" s="5" t="s">
        <v>4736</v>
      </c>
      <c r="V1540" s="5"/>
    </row>
    <row r="1541" ht="12.75" customHeight="1">
      <c r="A1541" s="5">
        <v>34656.0</v>
      </c>
      <c r="B1541" s="5" t="s">
        <v>2962</v>
      </c>
      <c r="C1541" s="5" t="s">
        <v>211</v>
      </c>
      <c r="D1541" s="5" t="s">
        <v>2852</v>
      </c>
      <c r="E1541" s="7" t="s">
        <v>7185</v>
      </c>
      <c r="F1541" s="5" t="s">
        <v>7157</v>
      </c>
      <c r="G1541" s="5" t="s">
        <v>7158</v>
      </c>
      <c r="H1541" s="5">
        <v>2007.0</v>
      </c>
      <c r="I1541" s="5">
        <v>0.0</v>
      </c>
      <c r="J1541" s="5">
        <v>0.0</v>
      </c>
      <c r="K1541" s="5">
        <v>1.0</v>
      </c>
      <c r="L1541" s="54"/>
      <c r="M1541" s="5" t="s">
        <v>7186</v>
      </c>
      <c r="N1541" s="53" t="s">
        <v>7187</v>
      </c>
      <c r="O1541">
        <v>51.735587</v>
      </c>
      <c r="P1541">
        <v>0.46855</v>
      </c>
      <c r="Q1541" s="5" t="s">
        <v>1680</v>
      </c>
      <c r="R1541" s="10">
        <f t="shared" si="10"/>
        <v>1</v>
      </c>
      <c r="S1541" s="5" t="s">
        <v>7188</v>
      </c>
      <c r="T1541" s="5"/>
      <c r="U1541" s="5" t="s">
        <v>7189</v>
      </c>
      <c r="V1541" s="5"/>
    </row>
    <row r="1542" ht="12.75" customHeight="1">
      <c r="A1542" s="5">
        <v>34657.0</v>
      </c>
      <c r="B1542" s="5" t="s">
        <v>68</v>
      </c>
      <c r="C1542" s="5" t="s">
        <v>69</v>
      </c>
      <c r="D1542" s="5" t="s">
        <v>2852</v>
      </c>
      <c r="E1542" s="7" t="s">
        <v>7190</v>
      </c>
      <c r="F1542" s="5" t="s">
        <v>7157</v>
      </c>
      <c r="G1542" s="5" t="s">
        <v>7158</v>
      </c>
      <c r="H1542" s="5">
        <v>2007.0</v>
      </c>
      <c r="I1542" s="5">
        <v>0.0</v>
      </c>
      <c r="J1542" s="5">
        <v>0.0</v>
      </c>
      <c r="K1542" s="5">
        <v>1.0</v>
      </c>
      <c r="L1542" s="54"/>
      <c r="M1542" s="5" t="s">
        <v>7191</v>
      </c>
      <c r="N1542" s="53" t="s">
        <v>3146</v>
      </c>
      <c r="O1542">
        <v>39.16408</v>
      </c>
      <c r="P1542">
        <v>26.372171</v>
      </c>
      <c r="Q1542" s="5" t="s">
        <v>1068</v>
      </c>
      <c r="R1542" s="10">
        <f t="shared" si="10"/>
        <v>101</v>
      </c>
      <c r="S1542" s="5" t="s">
        <v>7192</v>
      </c>
      <c r="T1542" s="6" t="s">
        <v>53</v>
      </c>
      <c r="U1542" s="5" t="s">
        <v>7193</v>
      </c>
      <c r="V1542" s="5" t="s">
        <v>7194</v>
      </c>
    </row>
    <row r="1543" ht="12.75" customHeight="1">
      <c r="A1543" s="5">
        <v>34658.0</v>
      </c>
      <c r="B1543" s="5" t="s">
        <v>68</v>
      </c>
      <c r="C1543" s="5" t="s">
        <v>69</v>
      </c>
      <c r="D1543" s="5" t="s">
        <v>2614</v>
      </c>
      <c r="E1543" s="7" t="s">
        <v>7195</v>
      </c>
      <c r="F1543" s="5" t="s">
        <v>7157</v>
      </c>
      <c r="G1543" s="5" t="s">
        <v>7158</v>
      </c>
      <c r="H1543" s="5">
        <v>2007.0</v>
      </c>
      <c r="I1543" s="5">
        <v>0.0</v>
      </c>
      <c r="J1543" s="5">
        <v>0.0</v>
      </c>
      <c r="K1543" s="5">
        <v>1.0</v>
      </c>
      <c r="L1543" s="54"/>
      <c r="M1543" s="5" t="s">
        <v>7196</v>
      </c>
      <c r="N1543" s="53" t="s">
        <v>948</v>
      </c>
      <c r="O1543">
        <v>37.035339</v>
      </c>
      <c r="P1543">
        <v>27.43029</v>
      </c>
      <c r="Q1543" s="5" t="s">
        <v>892</v>
      </c>
      <c r="R1543" s="10">
        <f t="shared" si="10"/>
        <v>57</v>
      </c>
      <c r="S1543" s="5" t="s">
        <v>7197</v>
      </c>
      <c r="T1543" s="6" t="s">
        <v>53</v>
      </c>
      <c r="U1543" s="5" t="s">
        <v>3318</v>
      </c>
      <c r="V1543" s="5" t="s">
        <v>7198</v>
      </c>
    </row>
    <row r="1544" ht="12.75" customHeight="1">
      <c r="A1544" s="5">
        <v>34659.0</v>
      </c>
      <c r="B1544" s="5" t="s">
        <v>49</v>
      </c>
      <c r="C1544" s="52" t="s">
        <v>50</v>
      </c>
      <c r="D1544" s="5" t="s">
        <v>2852</v>
      </c>
      <c r="E1544" s="7" t="s">
        <v>7199</v>
      </c>
      <c r="F1544" s="5" t="s">
        <v>7157</v>
      </c>
      <c r="G1544" s="5" t="s">
        <v>7158</v>
      </c>
      <c r="H1544" s="5">
        <v>2007.0</v>
      </c>
      <c r="I1544" s="5">
        <v>0.0</v>
      </c>
      <c r="J1544" s="5">
        <v>0.0</v>
      </c>
      <c r="K1544" s="5">
        <v>8.0</v>
      </c>
      <c r="L1544" s="54"/>
      <c r="M1544" s="5" t="s">
        <v>7200</v>
      </c>
      <c r="N1544" s="53" t="s">
        <v>948</v>
      </c>
      <c r="O1544">
        <v>37.035339</v>
      </c>
      <c r="P1544">
        <v>27.43029</v>
      </c>
      <c r="Q1544" s="5" t="s">
        <v>892</v>
      </c>
      <c r="R1544" s="10">
        <f t="shared" si="10"/>
        <v>57</v>
      </c>
      <c r="S1544" s="5" t="s">
        <v>7201</v>
      </c>
      <c r="T1544" s="6" t="s">
        <v>53</v>
      </c>
      <c r="U1544" s="5" t="s">
        <v>7202</v>
      </c>
      <c r="V1544" s="5" t="s">
        <v>7203</v>
      </c>
    </row>
    <row r="1545" ht="12.75" customHeight="1">
      <c r="A1545" s="5">
        <v>34660.0</v>
      </c>
      <c r="B1545" s="5" t="s">
        <v>1773</v>
      </c>
      <c r="C1545" s="5" t="s">
        <v>124</v>
      </c>
      <c r="D1545" s="5" t="s">
        <v>2852</v>
      </c>
      <c r="E1545" s="7" t="s">
        <v>7204</v>
      </c>
      <c r="F1545" s="5" t="s">
        <v>7157</v>
      </c>
      <c r="G1545" s="5" t="s">
        <v>7158</v>
      </c>
      <c r="H1545" s="5">
        <v>2007.0</v>
      </c>
      <c r="I1545" s="5">
        <v>0.0</v>
      </c>
      <c r="J1545" s="5">
        <v>0.0</v>
      </c>
      <c r="K1545" s="5">
        <v>1.0</v>
      </c>
      <c r="L1545" s="54"/>
      <c r="M1545" s="5" t="s">
        <v>7205</v>
      </c>
      <c r="N1545" s="53" t="s">
        <v>7206</v>
      </c>
      <c r="O1545">
        <v>49.06159</v>
      </c>
      <c r="P1545">
        <v>2.158135</v>
      </c>
      <c r="Q1545" s="5" t="s">
        <v>1456</v>
      </c>
      <c r="R1545" s="10">
        <f t="shared" si="10"/>
        <v>1</v>
      </c>
      <c r="S1545" s="5" t="s">
        <v>7207</v>
      </c>
      <c r="T1545" s="5"/>
      <c r="U1545" s="5" t="s">
        <v>3128</v>
      </c>
      <c r="V1545" s="5"/>
    </row>
    <row r="1546" ht="12.75" customHeight="1">
      <c r="A1546" s="5">
        <v>34661.0</v>
      </c>
      <c r="B1546" s="5" t="s">
        <v>49</v>
      </c>
      <c r="C1546" s="52" t="s">
        <v>50</v>
      </c>
      <c r="D1546" s="5" t="s">
        <v>2852</v>
      </c>
      <c r="E1546" s="7" t="s">
        <v>7208</v>
      </c>
      <c r="F1546" s="5" t="s">
        <v>7157</v>
      </c>
      <c r="G1546" s="5" t="s">
        <v>7158</v>
      </c>
      <c r="H1546" s="5">
        <v>2007.0</v>
      </c>
      <c r="I1546" s="5">
        <v>0.0</v>
      </c>
      <c r="J1546" s="5">
        <v>0.0</v>
      </c>
      <c r="K1546" s="5">
        <v>7.0</v>
      </c>
      <c r="L1546" s="54"/>
      <c r="M1546" s="5" t="s">
        <v>7209</v>
      </c>
      <c r="N1546" s="53" t="s">
        <v>3798</v>
      </c>
      <c r="O1546">
        <v>28.033886</v>
      </c>
      <c r="P1546">
        <v>1.659626</v>
      </c>
      <c r="Q1546" s="5" t="s">
        <v>369</v>
      </c>
      <c r="R1546" s="10">
        <f t="shared" si="10"/>
        <v>127</v>
      </c>
      <c r="S1546" s="5" t="s">
        <v>7210</v>
      </c>
      <c r="T1546" s="6" t="s">
        <v>72</v>
      </c>
      <c r="U1546" s="5" t="s">
        <v>7211</v>
      </c>
      <c r="V1546" s="5" t="s">
        <v>7212</v>
      </c>
    </row>
    <row r="1547" ht="12.75" customHeight="1">
      <c r="A1547" s="5">
        <v>34662.0</v>
      </c>
      <c r="B1547" s="5" t="s">
        <v>68</v>
      </c>
      <c r="C1547" s="5" t="s">
        <v>69</v>
      </c>
      <c r="D1547" s="5" t="s">
        <v>2614</v>
      </c>
      <c r="E1547" s="7" t="s">
        <v>7213</v>
      </c>
      <c r="F1547" s="5" t="s">
        <v>7157</v>
      </c>
      <c r="G1547" s="5" t="s">
        <v>7158</v>
      </c>
      <c r="H1547" s="5">
        <v>2007.0</v>
      </c>
      <c r="I1547" s="5">
        <v>0.0</v>
      </c>
      <c r="J1547" s="5">
        <v>0.0</v>
      </c>
      <c r="K1547" s="5">
        <v>40.0</v>
      </c>
      <c r="L1547" s="54"/>
      <c r="M1547" s="5" t="s">
        <v>7214</v>
      </c>
      <c r="N1547" s="53" t="s">
        <v>7215</v>
      </c>
      <c r="O1547">
        <v>14.762683</v>
      </c>
      <c r="P1547">
        <v>-17.481736</v>
      </c>
      <c r="Q1547" s="5" t="s">
        <v>263</v>
      </c>
      <c r="R1547" s="10">
        <f t="shared" si="10"/>
        <v>40</v>
      </c>
      <c r="S1547" s="5" t="s">
        <v>7216</v>
      </c>
      <c r="T1547" s="5" t="s">
        <v>1040</v>
      </c>
      <c r="U1547" s="5" t="s">
        <v>7217</v>
      </c>
      <c r="V1547" s="5" t="s">
        <v>7218</v>
      </c>
    </row>
    <row r="1548" ht="12.75" customHeight="1">
      <c r="A1548" s="5">
        <v>34664.0</v>
      </c>
      <c r="B1548" s="5" t="s">
        <v>68</v>
      </c>
      <c r="C1548" s="5" t="s">
        <v>69</v>
      </c>
      <c r="D1548" s="5" t="s">
        <v>2614</v>
      </c>
      <c r="E1548" s="7" t="s">
        <v>7213</v>
      </c>
      <c r="F1548" s="5" t="s">
        <v>7157</v>
      </c>
      <c r="G1548" s="5" t="s">
        <v>7158</v>
      </c>
      <c r="H1548" s="5">
        <v>2007.0</v>
      </c>
      <c r="I1548" s="5">
        <v>0.0</v>
      </c>
      <c r="J1548" s="5">
        <v>0.0</v>
      </c>
      <c r="K1548" s="5">
        <v>50.0</v>
      </c>
      <c r="L1548" s="54"/>
      <c r="M1548" s="5" t="s">
        <v>7219</v>
      </c>
      <c r="N1548" s="53" t="s">
        <v>5291</v>
      </c>
      <c r="O1548">
        <v>23.69751</v>
      </c>
      <c r="P1548">
        <v>-15.93698</v>
      </c>
      <c r="Q1548" s="5" t="s">
        <v>323</v>
      </c>
      <c r="R1548" s="10">
        <f t="shared" si="10"/>
        <v>177</v>
      </c>
      <c r="S1548" s="5" t="s">
        <v>7220</v>
      </c>
      <c r="T1548" s="5" t="s">
        <v>1040</v>
      </c>
      <c r="U1548" s="5" t="s">
        <v>2785</v>
      </c>
      <c r="V1548" s="5" t="s">
        <v>7221</v>
      </c>
    </row>
    <row r="1549" ht="12.75" customHeight="1">
      <c r="A1549" s="5">
        <v>34665.0</v>
      </c>
      <c r="B1549" s="5" t="s">
        <v>49</v>
      </c>
      <c r="C1549" s="52" t="s">
        <v>50</v>
      </c>
      <c r="D1549" s="5" t="s">
        <v>2614</v>
      </c>
      <c r="E1549" s="7" t="s">
        <v>7213</v>
      </c>
      <c r="F1549" s="5" t="s">
        <v>7157</v>
      </c>
      <c r="G1549" s="5" t="s">
        <v>7158</v>
      </c>
      <c r="H1549" s="5">
        <v>2007.0</v>
      </c>
      <c r="I1549" s="5">
        <v>0.0</v>
      </c>
      <c r="J1549" s="5">
        <v>0.0</v>
      </c>
      <c r="K1549" s="5">
        <v>1.0</v>
      </c>
      <c r="L1549" s="54"/>
      <c r="M1549" s="5" t="s">
        <v>7222</v>
      </c>
      <c r="N1549" s="53" t="s">
        <v>7223</v>
      </c>
      <c r="O1549">
        <v>35.579544</v>
      </c>
      <c r="P1549">
        <v>-1.142499</v>
      </c>
      <c r="Q1549" s="5" t="s">
        <v>683</v>
      </c>
      <c r="R1549" s="10">
        <f t="shared" si="10"/>
        <v>1</v>
      </c>
      <c r="S1549" s="5" t="s">
        <v>7224</v>
      </c>
      <c r="T1549" s="6" t="s">
        <v>72</v>
      </c>
      <c r="U1549" s="5" t="s">
        <v>7225</v>
      </c>
      <c r="V1549" s="5" t="s">
        <v>7226</v>
      </c>
    </row>
    <row r="1550" ht="12.75" customHeight="1">
      <c r="A1550" s="5">
        <v>34663.0</v>
      </c>
      <c r="B1550" s="5" t="s">
        <v>68</v>
      </c>
      <c r="C1550" s="5" t="s">
        <v>69</v>
      </c>
      <c r="D1550" s="5" t="s">
        <v>2614</v>
      </c>
      <c r="E1550" s="7" t="s">
        <v>7213</v>
      </c>
      <c r="F1550" s="5" t="s">
        <v>7157</v>
      </c>
      <c r="G1550" s="5" t="s">
        <v>7158</v>
      </c>
      <c r="H1550" s="5">
        <v>2007.0</v>
      </c>
      <c r="I1550" s="5">
        <v>0.0</v>
      </c>
      <c r="J1550" s="5">
        <v>0.0</v>
      </c>
      <c r="K1550" s="5">
        <v>50.0</v>
      </c>
      <c r="L1550" s="54"/>
      <c r="M1550" s="5" t="s">
        <v>7227</v>
      </c>
      <c r="N1550" s="53" t="s">
        <v>3014</v>
      </c>
      <c r="O1550">
        <v>38.41885</v>
      </c>
      <c r="P1550">
        <v>27.12872</v>
      </c>
      <c r="Q1550" s="5" t="s">
        <v>1022</v>
      </c>
      <c r="R1550" s="10">
        <f t="shared" si="10"/>
        <v>152</v>
      </c>
      <c r="S1550" s="5" t="s">
        <v>7228</v>
      </c>
      <c r="T1550" s="6" t="s">
        <v>53</v>
      </c>
      <c r="U1550" s="5" t="s">
        <v>5662</v>
      </c>
      <c r="V1550" s="5" t="s">
        <v>7229</v>
      </c>
    </row>
    <row r="1551" ht="12.75" customHeight="1">
      <c r="A1551" s="5">
        <v>34666.0</v>
      </c>
      <c r="B1551" s="5" t="s">
        <v>68</v>
      </c>
      <c r="C1551" s="5" t="s">
        <v>69</v>
      </c>
      <c r="D1551" s="5" t="s">
        <v>2614</v>
      </c>
      <c r="E1551" s="7" t="s">
        <v>7230</v>
      </c>
      <c r="F1551" s="5" t="s">
        <v>7157</v>
      </c>
      <c r="G1551" s="5" t="s">
        <v>7158</v>
      </c>
      <c r="H1551" s="5">
        <v>2007.0</v>
      </c>
      <c r="I1551" s="5">
        <v>0.0</v>
      </c>
      <c r="J1551" s="5">
        <v>0.0</v>
      </c>
      <c r="K1551" s="5">
        <v>1.0</v>
      </c>
      <c r="L1551" s="54"/>
      <c r="M1551" s="5" t="s">
        <v>7231</v>
      </c>
      <c r="N1551" s="53" t="s">
        <v>4668</v>
      </c>
      <c r="O1551">
        <v>27.725499</v>
      </c>
      <c r="P1551">
        <v>-18.024301</v>
      </c>
      <c r="Q1551" s="5" t="s">
        <v>351</v>
      </c>
      <c r="R1551" s="10">
        <f t="shared" si="10"/>
        <v>41</v>
      </c>
      <c r="S1551" s="5" t="s">
        <v>7232</v>
      </c>
      <c r="T1551" s="5" t="s">
        <v>1040</v>
      </c>
      <c r="U1551" s="5" t="s">
        <v>2785</v>
      </c>
      <c r="V1551" s="5" t="s">
        <v>7233</v>
      </c>
    </row>
    <row r="1552" ht="12.75" customHeight="1">
      <c r="A1552" s="5">
        <v>34667.0</v>
      </c>
      <c r="B1552" s="5" t="s">
        <v>68</v>
      </c>
      <c r="C1552" s="5" t="s">
        <v>69</v>
      </c>
      <c r="D1552" s="5" t="s">
        <v>2614</v>
      </c>
      <c r="E1552" s="7" t="s">
        <v>7234</v>
      </c>
      <c r="F1552" s="5" t="s">
        <v>7157</v>
      </c>
      <c r="G1552" s="5" t="s">
        <v>7158</v>
      </c>
      <c r="H1552" s="5">
        <v>2007.0</v>
      </c>
      <c r="I1552" s="5">
        <v>0.0</v>
      </c>
      <c r="J1552" s="5">
        <v>0.0</v>
      </c>
      <c r="K1552" s="5">
        <v>1.0</v>
      </c>
      <c r="L1552" s="54"/>
      <c r="M1552" s="5" t="s">
        <v>7235</v>
      </c>
      <c r="N1552" s="53" t="s">
        <v>3503</v>
      </c>
      <c r="O1552">
        <v>35.240117</v>
      </c>
      <c r="P1552">
        <v>24.809269</v>
      </c>
      <c r="Q1552" s="5" t="s">
        <v>641</v>
      </c>
      <c r="R1552" s="10">
        <f t="shared" si="10"/>
        <v>84</v>
      </c>
      <c r="S1552" s="5" t="s">
        <v>7236</v>
      </c>
      <c r="T1552" s="6" t="s">
        <v>53</v>
      </c>
      <c r="U1552" s="5" t="s">
        <v>7237</v>
      </c>
      <c r="V1552" s="5" t="s">
        <v>7238</v>
      </c>
    </row>
    <row r="1553" ht="12.75" customHeight="1">
      <c r="A1553" s="5">
        <v>34668.0</v>
      </c>
      <c r="B1553" s="5" t="s">
        <v>68</v>
      </c>
      <c r="C1553" s="5" t="s">
        <v>69</v>
      </c>
      <c r="D1553" s="5" t="s">
        <v>2614</v>
      </c>
      <c r="E1553" s="7" t="s">
        <v>7239</v>
      </c>
      <c r="F1553" s="5" t="s">
        <v>7157</v>
      </c>
      <c r="G1553" s="5" t="s">
        <v>7158</v>
      </c>
      <c r="H1553" s="5">
        <v>2007.0</v>
      </c>
      <c r="I1553" s="5">
        <v>0.0</v>
      </c>
      <c r="J1553" s="5">
        <v>0.0</v>
      </c>
      <c r="K1553" s="5">
        <v>3.0</v>
      </c>
      <c r="L1553" s="54"/>
      <c r="M1553" s="5" t="s">
        <v>7240</v>
      </c>
      <c r="N1553" s="53" t="s">
        <v>4556</v>
      </c>
      <c r="O1553">
        <v>28.291564</v>
      </c>
      <c r="P1553">
        <v>-16.62913</v>
      </c>
      <c r="Q1553" s="5" t="s">
        <v>382</v>
      </c>
      <c r="R1553" s="10">
        <f t="shared" si="10"/>
        <v>1120</v>
      </c>
      <c r="S1553" s="5" t="s">
        <v>7241</v>
      </c>
      <c r="T1553" s="5" t="s">
        <v>1040</v>
      </c>
      <c r="U1553" s="5" t="s">
        <v>2785</v>
      </c>
      <c r="V1553" s="5" t="s">
        <v>7242</v>
      </c>
    </row>
    <row r="1554" ht="12.75" customHeight="1">
      <c r="A1554" s="5">
        <v>34669.0</v>
      </c>
      <c r="B1554" s="5" t="s">
        <v>68</v>
      </c>
      <c r="C1554" s="5" t="s">
        <v>69</v>
      </c>
      <c r="D1554" s="5" t="s">
        <v>2852</v>
      </c>
      <c r="E1554" s="7" t="s">
        <v>7239</v>
      </c>
      <c r="F1554" s="5" t="s">
        <v>7157</v>
      </c>
      <c r="G1554" s="5" t="s">
        <v>7158</v>
      </c>
      <c r="H1554" s="5">
        <v>2007.0</v>
      </c>
      <c r="I1554" s="5">
        <v>0.0</v>
      </c>
      <c r="J1554" s="5">
        <v>0.0</v>
      </c>
      <c r="K1554" s="5">
        <v>2.0</v>
      </c>
      <c r="L1554" s="54"/>
      <c r="M1554" s="5" t="s">
        <v>7243</v>
      </c>
      <c r="N1554" s="53" t="s">
        <v>2700</v>
      </c>
      <c r="O1554">
        <v>35.508622</v>
      </c>
      <c r="P1554">
        <v>12.59292</v>
      </c>
      <c r="Q1554" s="5" t="s">
        <v>669</v>
      </c>
      <c r="R1554" s="10">
        <f t="shared" si="10"/>
        <v>3843</v>
      </c>
      <c r="S1554" s="5" t="s">
        <v>7244</v>
      </c>
      <c r="T1554" s="6" t="s">
        <v>2130</v>
      </c>
      <c r="U1554" s="5" t="s">
        <v>7245</v>
      </c>
      <c r="V1554" s="5"/>
    </row>
    <row r="1555" ht="12.75" customHeight="1">
      <c r="A1555" s="5">
        <v>34671.0</v>
      </c>
      <c r="B1555" s="5" t="s">
        <v>68</v>
      </c>
      <c r="C1555" s="5" t="s">
        <v>69</v>
      </c>
      <c r="D1555" s="5" t="s">
        <v>2614</v>
      </c>
      <c r="E1555" s="7" t="s">
        <v>7246</v>
      </c>
      <c r="F1555" s="5" t="s">
        <v>7157</v>
      </c>
      <c r="G1555" s="5" t="s">
        <v>7158</v>
      </c>
      <c r="H1555" s="5">
        <v>2007.0</v>
      </c>
      <c r="I1555" s="5">
        <v>0.0</v>
      </c>
      <c r="J1555" s="5">
        <v>0.0</v>
      </c>
      <c r="K1555" s="5">
        <v>10.0</v>
      </c>
      <c r="L1555" s="54"/>
      <c r="M1555" s="5" t="s">
        <v>7247</v>
      </c>
      <c r="N1555" s="53" t="s">
        <v>2944</v>
      </c>
      <c r="O1555">
        <v>-12.8275</v>
      </c>
      <c r="P1555">
        <v>45.166244</v>
      </c>
      <c r="Q1555" s="5" t="s">
        <v>228</v>
      </c>
      <c r="R1555" s="10">
        <f t="shared" si="10"/>
        <v>757</v>
      </c>
      <c r="S1555" s="5" t="s">
        <v>7248</v>
      </c>
      <c r="T1555" s="5"/>
      <c r="U1555" s="5" t="s">
        <v>327</v>
      </c>
      <c r="V1555" s="5" t="s">
        <v>7249</v>
      </c>
    </row>
    <row r="1556" ht="12.75" customHeight="1">
      <c r="A1556" s="5">
        <v>34670.0</v>
      </c>
      <c r="B1556" s="5" t="s">
        <v>68</v>
      </c>
      <c r="C1556" s="5" t="s">
        <v>69</v>
      </c>
      <c r="D1556" s="5" t="s">
        <v>2614</v>
      </c>
      <c r="E1556" s="7" t="s">
        <v>7246</v>
      </c>
      <c r="F1556" s="5" t="s">
        <v>7157</v>
      </c>
      <c r="G1556" s="5" t="s">
        <v>7158</v>
      </c>
      <c r="H1556" s="5">
        <v>2007.0</v>
      </c>
      <c r="I1556" s="5">
        <v>0.0</v>
      </c>
      <c r="J1556" s="5">
        <v>0.0</v>
      </c>
      <c r="K1556" s="5">
        <v>12.0</v>
      </c>
      <c r="L1556" s="54"/>
      <c r="M1556" s="5" t="s">
        <v>7250</v>
      </c>
      <c r="N1556" s="53" t="s">
        <v>2867</v>
      </c>
      <c r="O1556">
        <v>35.939838</v>
      </c>
      <c r="P1556">
        <v>0.089767</v>
      </c>
      <c r="Q1556" s="5" t="s">
        <v>741</v>
      </c>
      <c r="R1556" s="10">
        <f t="shared" si="10"/>
        <v>38</v>
      </c>
      <c r="S1556" s="5" t="s">
        <v>7251</v>
      </c>
      <c r="T1556" s="6" t="s">
        <v>72</v>
      </c>
      <c r="U1556" s="5" t="s">
        <v>5920</v>
      </c>
      <c r="V1556" s="5" t="s">
        <v>7252</v>
      </c>
    </row>
    <row r="1557" ht="12.75" customHeight="1">
      <c r="A1557" s="5">
        <v>34672.0</v>
      </c>
      <c r="B1557" s="5" t="s">
        <v>68</v>
      </c>
      <c r="C1557" s="5" t="s">
        <v>69</v>
      </c>
      <c r="D1557" s="5" t="s">
        <v>2614</v>
      </c>
      <c r="E1557" s="7" t="s">
        <v>7253</v>
      </c>
      <c r="F1557" s="5" t="s">
        <v>7157</v>
      </c>
      <c r="G1557" s="5" t="s">
        <v>7254</v>
      </c>
      <c r="H1557" s="5">
        <v>2007.0</v>
      </c>
      <c r="I1557" s="5">
        <v>0.0</v>
      </c>
      <c r="J1557" s="5">
        <v>0.0</v>
      </c>
      <c r="K1557" s="5">
        <v>2.0</v>
      </c>
      <c r="L1557" s="54"/>
      <c r="M1557" s="5" t="s">
        <v>7255</v>
      </c>
      <c r="N1557" s="53" t="s">
        <v>4941</v>
      </c>
      <c r="O1557">
        <v>28.291564</v>
      </c>
      <c r="P1557">
        <v>-16.62913</v>
      </c>
      <c r="Q1557" s="5" t="s">
        <v>382</v>
      </c>
      <c r="R1557" s="10">
        <f t="shared" si="10"/>
        <v>1120</v>
      </c>
      <c r="S1557" s="5" t="s">
        <v>7256</v>
      </c>
      <c r="T1557" s="5" t="s">
        <v>1040</v>
      </c>
      <c r="U1557" s="5" t="s">
        <v>2785</v>
      </c>
      <c r="V1557" s="5" t="s">
        <v>7257</v>
      </c>
    </row>
    <row r="1558" ht="12.75" customHeight="1">
      <c r="A1558" s="5">
        <v>34673.0</v>
      </c>
      <c r="B1558" s="5" t="s">
        <v>68</v>
      </c>
      <c r="C1558" s="5" t="s">
        <v>69</v>
      </c>
      <c r="D1558" s="5" t="s">
        <v>2852</v>
      </c>
      <c r="E1558" s="7" t="s">
        <v>7258</v>
      </c>
      <c r="F1558" s="5" t="s">
        <v>7157</v>
      </c>
      <c r="G1558" s="5" t="s">
        <v>7254</v>
      </c>
      <c r="H1558" s="5">
        <v>2007.0</v>
      </c>
      <c r="I1558" s="5">
        <v>0.0</v>
      </c>
      <c r="J1558" s="5">
        <v>0.0</v>
      </c>
      <c r="K1558" s="5">
        <v>2.0</v>
      </c>
      <c r="L1558" s="54"/>
      <c r="M1558" s="5" t="s">
        <v>7259</v>
      </c>
      <c r="N1558" s="53" t="s">
        <v>4668</v>
      </c>
      <c r="O1558">
        <v>27.725499</v>
      </c>
      <c r="P1558">
        <v>-18.024301</v>
      </c>
      <c r="Q1558" s="5" t="s">
        <v>351</v>
      </c>
      <c r="R1558" s="10">
        <f t="shared" si="10"/>
        <v>41</v>
      </c>
      <c r="S1558" s="5" t="s">
        <v>7260</v>
      </c>
      <c r="T1558" s="5" t="s">
        <v>1040</v>
      </c>
      <c r="U1558" s="5" t="s">
        <v>6145</v>
      </c>
      <c r="V1558" s="5"/>
    </row>
    <row r="1559" ht="12.75" customHeight="1">
      <c r="A1559" s="5">
        <v>34674.0</v>
      </c>
      <c r="B1559" s="5" t="s">
        <v>49</v>
      </c>
      <c r="C1559" s="52" t="s">
        <v>50</v>
      </c>
      <c r="D1559" s="5" t="s">
        <v>2852</v>
      </c>
      <c r="E1559" s="7" t="s">
        <v>7258</v>
      </c>
      <c r="F1559" s="5" t="s">
        <v>7157</v>
      </c>
      <c r="G1559" s="5" t="s">
        <v>7254</v>
      </c>
      <c r="H1559" s="5">
        <v>2007.0</v>
      </c>
      <c r="I1559" s="5">
        <v>0.0</v>
      </c>
      <c r="J1559" s="5">
        <v>0.0</v>
      </c>
      <c r="K1559" s="5">
        <v>1.0</v>
      </c>
      <c r="L1559" s="54"/>
      <c r="M1559" s="5" t="s">
        <v>7261</v>
      </c>
      <c r="N1559" s="53" t="s">
        <v>5030</v>
      </c>
      <c r="O1559">
        <v>35.88301</v>
      </c>
      <c r="P1559">
        <v>14.493757</v>
      </c>
      <c r="Q1559" s="5" t="s">
        <v>716</v>
      </c>
      <c r="R1559" s="10">
        <f t="shared" si="10"/>
        <v>11</v>
      </c>
      <c r="S1559" s="5" t="s">
        <v>7262</v>
      </c>
      <c r="T1559" s="6" t="s">
        <v>2130</v>
      </c>
      <c r="U1559" s="5" t="s">
        <v>6254</v>
      </c>
      <c r="V1559" s="5" t="s">
        <v>7263</v>
      </c>
    </row>
    <row r="1560" ht="12.75" customHeight="1">
      <c r="A1560" s="5">
        <v>34675.0</v>
      </c>
      <c r="B1560" s="5" t="s">
        <v>2902</v>
      </c>
      <c r="C1560" s="5" t="s">
        <v>211</v>
      </c>
      <c r="D1560" s="5" t="s">
        <v>2852</v>
      </c>
      <c r="E1560" s="7" t="s">
        <v>7264</v>
      </c>
      <c r="F1560" s="5" t="s">
        <v>7157</v>
      </c>
      <c r="G1560" s="5" t="s">
        <v>7254</v>
      </c>
      <c r="H1560" s="5">
        <v>2007.0</v>
      </c>
      <c r="I1560" s="5">
        <v>0.0</v>
      </c>
      <c r="J1560" s="5">
        <v>0.0</v>
      </c>
      <c r="K1560" s="5">
        <v>1.0</v>
      </c>
      <c r="L1560" s="54"/>
      <c r="M1560" s="5" t="s">
        <v>7265</v>
      </c>
      <c r="N1560" s="53" t="s">
        <v>4095</v>
      </c>
      <c r="O1560">
        <v>55.378051</v>
      </c>
      <c r="P1560">
        <v>-3.435973</v>
      </c>
      <c r="Q1560" s="5" t="s">
        <v>1882</v>
      </c>
      <c r="R1560" s="10">
        <f t="shared" si="10"/>
        <v>23</v>
      </c>
      <c r="S1560" s="5" t="s">
        <v>7266</v>
      </c>
      <c r="T1560" s="5"/>
      <c r="U1560" s="5" t="s">
        <v>3219</v>
      </c>
      <c r="V1560" s="5"/>
    </row>
    <row r="1561" ht="12.75" customHeight="1">
      <c r="A1561" s="5">
        <v>34677.0</v>
      </c>
      <c r="B1561" s="5" t="s">
        <v>41</v>
      </c>
      <c r="C1561" s="5" t="s">
        <v>42</v>
      </c>
      <c r="D1561" s="5" t="s">
        <v>2852</v>
      </c>
      <c r="E1561" s="7" t="s">
        <v>7267</v>
      </c>
      <c r="F1561" s="5" t="s">
        <v>7157</v>
      </c>
      <c r="G1561" s="5" t="s">
        <v>7254</v>
      </c>
      <c r="H1561" s="5">
        <v>2007.0</v>
      </c>
      <c r="I1561" s="5">
        <v>0.0</v>
      </c>
      <c r="J1561" s="5">
        <v>0.0</v>
      </c>
      <c r="K1561" s="5">
        <v>1.0</v>
      </c>
      <c r="L1561" s="54"/>
      <c r="M1561" s="5" t="s">
        <v>7268</v>
      </c>
      <c r="N1561" s="53" t="s">
        <v>3300</v>
      </c>
      <c r="O1561">
        <v>35.126413</v>
      </c>
      <c r="P1561">
        <v>33.429859</v>
      </c>
      <c r="Q1561" s="5" t="s">
        <v>624</v>
      </c>
      <c r="R1561" s="10">
        <f t="shared" si="10"/>
        <v>40</v>
      </c>
      <c r="S1561" s="5" t="s">
        <v>7269</v>
      </c>
      <c r="T1561" s="5"/>
      <c r="U1561" s="5" t="s">
        <v>7270</v>
      </c>
      <c r="V1561" s="5"/>
    </row>
    <row r="1562" ht="12.75" customHeight="1">
      <c r="A1562" s="5">
        <v>34676.0</v>
      </c>
      <c r="B1562" s="5" t="s">
        <v>41</v>
      </c>
      <c r="C1562" s="5" t="s">
        <v>42</v>
      </c>
      <c r="D1562" s="5" t="s">
        <v>2614</v>
      </c>
      <c r="E1562" s="7" t="s">
        <v>7267</v>
      </c>
      <c r="F1562" s="5" t="s">
        <v>7157</v>
      </c>
      <c r="G1562" s="5" t="s">
        <v>7254</v>
      </c>
      <c r="H1562" s="5">
        <v>2007.0</v>
      </c>
      <c r="I1562" s="5">
        <v>0.0</v>
      </c>
      <c r="J1562" s="5">
        <v>0.0</v>
      </c>
      <c r="K1562" s="5">
        <v>1.0</v>
      </c>
      <c r="L1562" s="54"/>
      <c r="M1562" s="5" t="s">
        <v>7271</v>
      </c>
      <c r="N1562" s="53" t="s">
        <v>7272</v>
      </c>
      <c r="O1562">
        <v>35.126413</v>
      </c>
      <c r="P1562">
        <v>33.429859</v>
      </c>
      <c r="Q1562" s="5" t="s">
        <v>624</v>
      </c>
      <c r="R1562" s="10">
        <f t="shared" si="10"/>
        <v>40</v>
      </c>
      <c r="S1562" s="5" t="s">
        <v>7269</v>
      </c>
      <c r="T1562" s="5"/>
      <c r="U1562" s="5" t="s">
        <v>5662</v>
      </c>
      <c r="V1562" s="5" t="s">
        <v>7273</v>
      </c>
    </row>
    <row r="1563" ht="12.75" customHeight="1">
      <c r="A1563" s="5">
        <v>34679.0</v>
      </c>
      <c r="B1563" s="5" t="s">
        <v>49</v>
      </c>
      <c r="C1563" s="52" t="s">
        <v>50</v>
      </c>
      <c r="D1563" s="5" t="s">
        <v>2852</v>
      </c>
      <c r="E1563" s="7" t="s">
        <v>7274</v>
      </c>
      <c r="F1563" s="5" t="s">
        <v>7157</v>
      </c>
      <c r="G1563" s="5" t="s">
        <v>7254</v>
      </c>
      <c r="H1563" s="5">
        <v>2007.0</v>
      </c>
      <c r="I1563" s="5">
        <v>0.0</v>
      </c>
      <c r="J1563" s="5">
        <v>0.0</v>
      </c>
      <c r="K1563" s="5">
        <v>36.0</v>
      </c>
      <c r="L1563" s="54"/>
      <c r="M1563" s="5" t="s">
        <v>7275</v>
      </c>
      <c r="N1563" s="53" t="s">
        <v>7276</v>
      </c>
      <c r="O1563">
        <v>31.030972</v>
      </c>
      <c r="P1563">
        <v>-7.885086</v>
      </c>
      <c r="Q1563" s="5" t="s">
        <v>426</v>
      </c>
      <c r="R1563" s="10">
        <f t="shared" si="10"/>
        <v>36</v>
      </c>
      <c r="S1563" s="5" t="s">
        <v>7277</v>
      </c>
      <c r="T1563" s="6" t="s">
        <v>72</v>
      </c>
      <c r="U1563" s="5" t="s">
        <v>7278</v>
      </c>
      <c r="V1563" s="5" t="s">
        <v>7279</v>
      </c>
    </row>
    <row r="1564" ht="12.75" customHeight="1">
      <c r="A1564" s="5">
        <v>34678.0</v>
      </c>
      <c r="B1564" s="5" t="s">
        <v>49</v>
      </c>
      <c r="C1564" s="52" t="s">
        <v>50</v>
      </c>
      <c r="D1564" s="5" t="s">
        <v>2614</v>
      </c>
      <c r="E1564" s="7" t="s">
        <v>7274</v>
      </c>
      <c r="F1564" s="5" t="s">
        <v>7157</v>
      </c>
      <c r="G1564" s="5" t="s">
        <v>7254</v>
      </c>
      <c r="H1564" s="5">
        <v>2007.0</v>
      </c>
      <c r="I1564" s="5">
        <v>0.0</v>
      </c>
      <c r="J1564" s="5">
        <v>0.0</v>
      </c>
      <c r="K1564" s="5">
        <v>1.0</v>
      </c>
      <c r="L1564" s="54"/>
      <c r="M1564" s="5" t="s">
        <v>7280</v>
      </c>
      <c r="N1564" s="53" t="s">
        <v>6423</v>
      </c>
      <c r="O1564">
        <v>35.1</v>
      </c>
      <c r="P1564">
        <v>-1.85</v>
      </c>
      <c r="Q1564" s="5" t="s">
        <v>619</v>
      </c>
      <c r="R1564" s="10">
        <f t="shared" si="10"/>
        <v>7</v>
      </c>
      <c r="S1564" s="5" t="s">
        <v>7281</v>
      </c>
      <c r="T1564" s="6" t="s">
        <v>72</v>
      </c>
      <c r="U1564" s="5" t="s">
        <v>5920</v>
      </c>
      <c r="V1564" s="5" t="s">
        <v>7282</v>
      </c>
    </row>
    <row r="1565" ht="12.75" customHeight="1">
      <c r="A1565" s="5">
        <v>34680.0</v>
      </c>
      <c r="B1565" s="5" t="s">
        <v>68</v>
      </c>
      <c r="C1565" s="5" t="s">
        <v>69</v>
      </c>
      <c r="D1565" s="5" t="s">
        <v>2614</v>
      </c>
      <c r="E1565" s="7" t="s">
        <v>7283</v>
      </c>
      <c r="F1565" s="5" t="s">
        <v>7157</v>
      </c>
      <c r="G1565" s="5" t="s">
        <v>7254</v>
      </c>
      <c r="H1565" s="5">
        <v>2007.0</v>
      </c>
      <c r="I1565" s="5">
        <v>0.0</v>
      </c>
      <c r="J1565" s="5">
        <v>0.0</v>
      </c>
      <c r="K1565" s="5">
        <v>58.0</v>
      </c>
      <c r="L1565" s="54"/>
      <c r="M1565" s="5" t="s">
        <v>7284</v>
      </c>
      <c r="N1565" s="53" t="s">
        <v>7285</v>
      </c>
      <c r="O1565">
        <v>28.291564</v>
      </c>
      <c r="P1565">
        <v>-16.62913</v>
      </c>
      <c r="Q1565" s="5" t="s">
        <v>382</v>
      </c>
      <c r="R1565" s="10">
        <f t="shared" si="10"/>
        <v>1120</v>
      </c>
      <c r="S1565" s="5" t="s">
        <v>7286</v>
      </c>
      <c r="T1565" s="5" t="s">
        <v>1040</v>
      </c>
      <c r="U1565" s="5" t="s">
        <v>7287</v>
      </c>
      <c r="V1565" s="5" t="s">
        <v>7288</v>
      </c>
    </row>
    <row r="1566" ht="12.75" customHeight="1">
      <c r="A1566" s="5">
        <v>34681.0</v>
      </c>
      <c r="B1566" s="5" t="s">
        <v>3409</v>
      </c>
      <c r="C1566" s="5" t="s">
        <v>211</v>
      </c>
      <c r="D1566" s="5" t="s">
        <v>2852</v>
      </c>
      <c r="E1566" s="7" t="s">
        <v>7289</v>
      </c>
      <c r="F1566" s="5" t="s">
        <v>7157</v>
      </c>
      <c r="G1566" s="5" t="s">
        <v>7254</v>
      </c>
      <c r="H1566" s="5">
        <v>2007.0</v>
      </c>
      <c r="I1566" s="5">
        <v>0.0</v>
      </c>
      <c r="J1566" s="5">
        <v>0.0</v>
      </c>
      <c r="K1566" s="5">
        <v>1.0</v>
      </c>
      <c r="L1566" s="54"/>
      <c r="M1566" s="5" t="s">
        <v>7290</v>
      </c>
      <c r="N1566" s="53" t="s">
        <v>7291</v>
      </c>
      <c r="O1566">
        <v>49.44032</v>
      </c>
      <c r="P1566">
        <v>11.863345</v>
      </c>
      <c r="Q1566" s="5" t="s">
        <v>1464</v>
      </c>
      <c r="R1566" s="10">
        <f t="shared" si="10"/>
        <v>1</v>
      </c>
      <c r="S1566" s="5" t="s">
        <v>7292</v>
      </c>
      <c r="T1566" s="5"/>
      <c r="U1566" s="5" t="s">
        <v>6302</v>
      </c>
      <c r="V1566" s="5"/>
    </row>
    <row r="1567" ht="12.75" customHeight="1">
      <c r="A1567" s="5">
        <v>34683.0</v>
      </c>
      <c r="B1567" s="5" t="s">
        <v>68</v>
      </c>
      <c r="C1567" s="5" t="s">
        <v>69</v>
      </c>
      <c r="D1567" s="5" t="s">
        <v>2614</v>
      </c>
      <c r="E1567" s="7" t="s">
        <v>7293</v>
      </c>
      <c r="F1567" s="5" t="s">
        <v>7157</v>
      </c>
      <c r="G1567" s="5" t="s">
        <v>7254</v>
      </c>
      <c r="H1567" s="5">
        <v>2007.0</v>
      </c>
      <c r="I1567" s="5">
        <v>0.0</v>
      </c>
      <c r="J1567" s="5">
        <v>0.0</v>
      </c>
      <c r="K1567" s="5">
        <v>5.0</v>
      </c>
      <c r="L1567" s="54"/>
      <c r="M1567" s="5" t="s">
        <v>7294</v>
      </c>
      <c r="N1567" s="53" t="s">
        <v>7132</v>
      </c>
      <c r="O1567">
        <v>20.942518</v>
      </c>
      <c r="P1567">
        <v>-17.036227</v>
      </c>
      <c r="Q1567" s="5" t="s">
        <v>309</v>
      </c>
      <c r="R1567" s="10">
        <f t="shared" si="10"/>
        <v>83</v>
      </c>
      <c r="S1567" s="5" t="s">
        <v>7295</v>
      </c>
      <c r="T1567" s="5" t="s">
        <v>1040</v>
      </c>
      <c r="U1567" s="5" t="s">
        <v>2635</v>
      </c>
      <c r="V1567" s="5" t="s">
        <v>7296</v>
      </c>
    </row>
    <row r="1568" ht="12.75" customHeight="1">
      <c r="A1568" s="5">
        <v>34682.0</v>
      </c>
      <c r="B1568" s="5" t="s">
        <v>68</v>
      </c>
      <c r="C1568" s="5" t="s">
        <v>69</v>
      </c>
      <c r="D1568" s="5" t="s">
        <v>2614</v>
      </c>
      <c r="E1568" s="7" t="s">
        <v>7293</v>
      </c>
      <c r="F1568" s="5" t="s">
        <v>7157</v>
      </c>
      <c r="G1568" s="5" t="s">
        <v>7254</v>
      </c>
      <c r="H1568" s="5">
        <v>2007.0</v>
      </c>
      <c r="I1568" s="5">
        <v>0.0</v>
      </c>
      <c r="J1568" s="5">
        <v>0.0</v>
      </c>
      <c r="K1568" s="5">
        <v>3.0</v>
      </c>
      <c r="L1568" s="54"/>
      <c r="M1568" s="5" t="s">
        <v>7297</v>
      </c>
      <c r="N1568" s="53" t="s">
        <v>3379</v>
      </c>
      <c r="O1568">
        <v>36.834047</v>
      </c>
      <c r="P1568">
        <v>-2.463714</v>
      </c>
      <c r="Q1568" s="5" t="s">
        <v>863</v>
      </c>
      <c r="R1568" s="10">
        <f t="shared" si="10"/>
        <v>208</v>
      </c>
      <c r="S1568" s="5" t="s">
        <v>7298</v>
      </c>
      <c r="T1568" s="6" t="s">
        <v>72</v>
      </c>
      <c r="U1568" s="5" t="s">
        <v>2635</v>
      </c>
      <c r="V1568" s="5" t="s">
        <v>7296</v>
      </c>
    </row>
    <row r="1569" ht="12.75" customHeight="1">
      <c r="A1569" s="5">
        <v>34684.0</v>
      </c>
      <c r="B1569" s="5" t="s">
        <v>41</v>
      </c>
      <c r="C1569" s="5" t="s">
        <v>42</v>
      </c>
      <c r="D1569" s="5" t="s">
        <v>2614</v>
      </c>
      <c r="E1569" s="7" t="s">
        <v>7299</v>
      </c>
      <c r="F1569" s="5" t="s">
        <v>7157</v>
      </c>
      <c r="G1569" s="5" t="s">
        <v>7254</v>
      </c>
      <c r="H1569" s="5">
        <v>2007.0</v>
      </c>
      <c r="I1569" s="5">
        <v>0.0</v>
      </c>
      <c r="J1569" s="5">
        <v>0.0</v>
      </c>
      <c r="K1569" s="5">
        <v>1.0</v>
      </c>
      <c r="L1569" s="54"/>
      <c r="M1569" s="5" t="s">
        <v>7300</v>
      </c>
      <c r="N1569" s="53" t="s">
        <v>6132</v>
      </c>
      <c r="O1569">
        <v>41.153332</v>
      </c>
      <c r="P1569">
        <v>20.168331</v>
      </c>
      <c r="Q1569" s="5" t="s">
        <v>1208</v>
      </c>
      <c r="R1569" s="10">
        <f t="shared" si="10"/>
        <v>8</v>
      </c>
      <c r="S1569" s="5" t="s">
        <v>7301</v>
      </c>
      <c r="T1569" s="5"/>
      <c r="U1569" s="5" t="s">
        <v>2635</v>
      </c>
      <c r="V1569" s="5" t="s">
        <v>7302</v>
      </c>
    </row>
    <row r="1570" ht="12.75" customHeight="1">
      <c r="A1570" s="5">
        <v>34686.0</v>
      </c>
      <c r="B1570" s="5" t="s">
        <v>491</v>
      </c>
      <c r="C1570" s="52" t="s">
        <v>50</v>
      </c>
      <c r="D1570" s="5" t="s">
        <v>2614</v>
      </c>
      <c r="E1570" s="7" t="s">
        <v>7303</v>
      </c>
      <c r="F1570" s="5" t="s">
        <v>7157</v>
      </c>
      <c r="G1570" s="5" t="s">
        <v>7254</v>
      </c>
      <c r="H1570" s="5">
        <v>2007.0</v>
      </c>
      <c r="I1570" s="5">
        <v>0.0</v>
      </c>
      <c r="J1570" s="5">
        <v>0.0</v>
      </c>
      <c r="K1570" s="5">
        <v>56.0</v>
      </c>
      <c r="L1570" s="54"/>
      <c r="M1570" s="5" t="s">
        <v>7304</v>
      </c>
      <c r="N1570" s="53" t="s">
        <v>4941</v>
      </c>
      <c r="O1570">
        <v>28.291564</v>
      </c>
      <c r="P1570">
        <v>-16.62913</v>
      </c>
      <c r="Q1570" s="5" t="s">
        <v>382</v>
      </c>
      <c r="R1570" s="10">
        <f t="shared" si="10"/>
        <v>1120</v>
      </c>
      <c r="S1570" s="5" t="s">
        <v>7305</v>
      </c>
      <c r="T1570" s="5" t="s">
        <v>1040</v>
      </c>
      <c r="U1570" s="5" t="s">
        <v>2785</v>
      </c>
      <c r="V1570" s="5" t="s">
        <v>7306</v>
      </c>
    </row>
    <row r="1571" ht="12.75" customHeight="1">
      <c r="A1571" s="5">
        <v>34685.0</v>
      </c>
      <c r="B1571" s="5" t="s">
        <v>68</v>
      </c>
      <c r="C1571" s="5" t="s">
        <v>69</v>
      </c>
      <c r="D1571" s="5" t="s">
        <v>2614</v>
      </c>
      <c r="E1571" s="7" t="s">
        <v>7303</v>
      </c>
      <c r="F1571" s="5" t="s">
        <v>7157</v>
      </c>
      <c r="G1571" s="5" t="s">
        <v>7254</v>
      </c>
      <c r="H1571" s="5">
        <v>2007.0</v>
      </c>
      <c r="I1571" s="5">
        <v>0.0</v>
      </c>
      <c r="J1571" s="5">
        <v>0.0</v>
      </c>
      <c r="K1571" s="5">
        <v>1.0</v>
      </c>
      <c r="L1571" s="54"/>
      <c r="M1571" s="5" t="s">
        <v>7307</v>
      </c>
      <c r="N1571" s="53" t="s">
        <v>7308</v>
      </c>
      <c r="O1571">
        <v>36.868991</v>
      </c>
      <c r="P1571">
        <v>15.135476</v>
      </c>
      <c r="Q1571" s="5" t="s">
        <v>871</v>
      </c>
      <c r="R1571" s="10">
        <f t="shared" si="10"/>
        <v>18</v>
      </c>
      <c r="S1571" s="5" t="s">
        <v>7309</v>
      </c>
      <c r="T1571" s="6" t="s">
        <v>2130</v>
      </c>
      <c r="U1571" s="5" t="s">
        <v>3388</v>
      </c>
      <c r="V1571" s="5" t="s">
        <v>7310</v>
      </c>
    </row>
    <row r="1572" ht="12.75" customHeight="1">
      <c r="A1572" s="5">
        <v>34687.0</v>
      </c>
      <c r="B1572" s="5" t="s">
        <v>2962</v>
      </c>
      <c r="C1572" s="5" t="s">
        <v>211</v>
      </c>
      <c r="D1572" s="5" t="s">
        <v>2852</v>
      </c>
      <c r="E1572" s="7" t="s">
        <v>7303</v>
      </c>
      <c r="F1572" s="5" t="s">
        <v>7157</v>
      </c>
      <c r="G1572" s="5" t="s">
        <v>7254</v>
      </c>
      <c r="H1572" s="5">
        <v>2007.0</v>
      </c>
      <c r="I1572" s="5">
        <v>0.0</v>
      </c>
      <c r="J1572" s="5">
        <v>0.0</v>
      </c>
      <c r="K1572" s="5">
        <v>1.0</v>
      </c>
      <c r="L1572" s="54"/>
      <c r="M1572" s="5" t="s">
        <v>7311</v>
      </c>
      <c r="N1572" s="53" t="s">
        <v>7312</v>
      </c>
      <c r="O1572">
        <v>44.837789</v>
      </c>
      <c r="P1572">
        <v>-0.57918</v>
      </c>
      <c r="Q1572" s="5" t="s">
        <v>1306</v>
      </c>
      <c r="R1572" s="10">
        <f t="shared" si="10"/>
        <v>1</v>
      </c>
      <c r="S1572" s="5" t="s">
        <v>7313</v>
      </c>
      <c r="T1572" s="5"/>
      <c r="U1572" s="5" t="s">
        <v>7314</v>
      </c>
      <c r="V1572" s="5"/>
    </row>
    <row r="1573" ht="12.75" customHeight="1">
      <c r="A1573" s="5">
        <v>34688.0</v>
      </c>
      <c r="B1573" s="5" t="s">
        <v>2902</v>
      </c>
      <c r="C1573" s="5" t="s">
        <v>211</v>
      </c>
      <c r="D1573" s="5" t="s">
        <v>2852</v>
      </c>
      <c r="E1573" s="7" t="s">
        <v>7315</v>
      </c>
      <c r="F1573" s="5" t="s">
        <v>7157</v>
      </c>
      <c r="G1573" s="5" t="s">
        <v>7254</v>
      </c>
      <c r="H1573" s="5">
        <v>2007.0</v>
      </c>
      <c r="I1573" s="5">
        <v>0.0</v>
      </c>
      <c r="J1573" s="5">
        <v>0.0</v>
      </c>
      <c r="K1573" s="5">
        <v>1.0</v>
      </c>
      <c r="L1573" s="54"/>
      <c r="M1573" s="5" t="s">
        <v>7316</v>
      </c>
      <c r="N1573" s="53" t="s">
        <v>7317</v>
      </c>
      <c r="O1573">
        <v>52.278385</v>
      </c>
      <c r="P1573">
        <v>7.920044</v>
      </c>
      <c r="Q1573" s="5" t="s">
        <v>1735</v>
      </c>
      <c r="R1573" s="10">
        <f t="shared" si="10"/>
        <v>1</v>
      </c>
      <c r="S1573" s="5" t="s">
        <v>7318</v>
      </c>
      <c r="T1573" s="5"/>
      <c r="U1573" s="5" t="s">
        <v>3219</v>
      </c>
      <c r="V1573" s="5"/>
    </row>
    <row r="1574" ht="12.75" customHeight="1">
      <c r="A1574" s="5">
        <v>34689.0</v>
      </c>
      <c r="B1574" s="5" t="s">
        <v>49</v>
      </c>
      <c r="C1574" s="52" t="s">
        <v>50</v>
      </c>
      <c r="D1574" s="5" t="s">
        <v>2852</v>
      </c>
      <c r="E1574" s="7" t="s">
        <v>7319</v>
      </c>
      <c r="F1574" s="5" t="s">
        <v>7157</v>
      </c>
      <c r="G1574" s="5" t="s">
        <v>7320</v>
      </c>
      <c r="H1574" s="5">
        <v>2007.0</v>
      </c>
      <c r="I1574" s="5">
        <v>0.0</v>
      </c>
      <c r="J1574" s="5">
        <v>0.0</v>
      </c>
      <c r="K1574" s="5">
        <v>17.0</v>
      </c>
      <c r="L1574" s="54"/>
      <c r="M1574" s="5" t="s">
        <v>7321</v>
      </c>
      <c r="N1574" s="53" t="s">
        <v>7308</v>
      </c>
      <c r="O1574">
        <v>36.868991</v>
      </c>
      <c r="P1574">
        <v>15.135476</v>
      </c>
      <c r="Q1574" s="5" t="s">
        <v>871</v>
      </c>
      <c r="R1574" s="10">
        <f t="shared" si="10"/>
        <v>18</v>
      </c>
      <c r="S1574" s="5" t="s">
        <v>7322</v>
      </c>
      <c r="T1574" s="6" t="s">
        <v>2130</v>
      </c>
      <c r="U1574" s="5" t="s">
        <v>7323</v>
      </c>
      <c r="V1574" s="5" t="s">
        <v>7324</v>
      </c>
    </row>
    <row r="1575" ht="12.75" customHeight="1">
      <c r="A1575" s="5">
        <v>34690.0</v>
      </c>
      <c r="B1575" s="5" t="s">
        <v>49</v>
      </c>
      <c r="C1575" s="52" t="s">
        <v>50</v>
      </c>
      <c r="D1575" s="5" t="s">
        <v>2852</v>
      </c>
      <c r="E1575" s="7" t="s">
        <v>7325</v>
      </c>
      <c r="F1575" s="5" t="s">
        <v>7157</v>
      </c>
      <c r="G1575" s="5" t="s">
        <v>7320</v>
      </c>
      <c r="H1575" s="5">
        <v>2007.0</v>
      </c>
      <c r="I1575" s="5">
        <v>0.0</v>
      </c>
      <c r="J1575" s="5">
        <v>0.0</v>
      </c>
      <c r="K1575" s="5">
        <v>25.0</v>
      </c>
      <c r="L1575" s="54"/>
      <c r="M1575" s="5" t="s">
        <v>7326</v>
      </c>
      <c r="N1575" s="53" t="s">
        <v>2733</v>
      </c>
      <c r="O1575">
        <v>39.308771</v>
      </c>
      <c r="P1575">
        <v>16.346379</v>
      </c>
      <c r="Q1575" s="5" t="s">
        <v>1075</v>
      </c>
      <c r="R1575" s="10">
        <f t="shared" si="10"/>
        <v>57</v>
      </c>
      <c r="S1575" s="5" t="s">
        <v>7327</v>
      </c>
      <c r="T1575" s="6" t="s">
        <v>1963</v>
      </c>
      <c r="U1575" s="5" t="s">
        <v>7328</v>
      </c>
      <c r="V1575" s="5" t="s">
        <v>7324</v>
      </c>
    </row>
    <row r="1576" ht="12.75" customHeight="1">
      <c r="A1576" s="5">
        <v>34691.0</v>
      </c>
      <c r="B1576" s="5" t="s">
        <v>68</v>
      </c>
      <c r="C1576" s="5" t="s">
        <v>69</v>
      </c>
      <c r="D1576" s="5" t="s">
        <v>2852</v>
      </c>
      <c r="E1576" s="7" t="s">
        <v>7329</v>
      </c>
      <c r="F1576" s="5" t="s">
        <v>7157</v>
      </c>
      <c r="G1576" s="5" t="s">
        <v>7320</v>
      </c>
      <c r="H1576" s="5">
        <v>2007.0</v>
      </c>
      <c r="I1576" s="5">
        <v>0.0</v>
      </c>
      <c r="J1576" s="5">
        <v>0.0</v>
      </c>
      <c r="K1576" s="5">
        <v>57.0</v>
      </c>
      <c r="L1576" s="54"/>
      <c r="M1576" s="5" t="s">
        <v>7330</v>
      </c>
      <c r="N1576" s="53" t="s">
        <v>4502</v>
      </c>
      <c r="O1576">
        <v>14.497401</v>
      </c>
      <c r="P1576">
        <v>-14.452362</v>
      </c>
      <c r="Q1576" s="5" t="s">
        <v>258</v>
      </c>
      <c r="R1576" s="10">
        <f t="shared" si="10"/>
        <v>200</v>
      </c>
      <c r="S1576" s="5" t="s">
        <v>7331</v>
      </c>
      <c r="T1576" s="5" t="s">
        <v>1040</v>
      </c>
      <c r="U1576" s="5" t="s">
        <v>7332</v>
      </c>
      <c r="V1576" s="5" t="s">
        <v>7333</v>
      </c>
    </row>
    <row r="1577" ht="12.75" customHeight="1">
      <c r="A1577" s="5">
        <v>34692.0</v>
      </c>
      <c r="B1577" s="5" t="s">
        <v>68</v>
      </c>
      <c r="C1577" s="5" t="s">
        <v>69</v>
      </c>
      <c r="D1577" s="5" t="s">
        <v>2614</v>
      </c>
      <c r="E1577" s="7" t="s">
        <v>7334</v>
      </c>
      <c r="F1577" s="5" t="s">
        <v>7157</v>
      </c>
      <c r="G1577" s="5" t="s">
        <v>7320</v>
      </c>
      <c r="H1577" s="5">
        <v>2007.0</v>
      </c>
      <c r="I1577" s="5">
        <v>0.0</v>
      </c>
      <c r="J1577" s="5">
        <v>0.0</v>
      </c>
      <c r="K1577" s="5">
        <v>150.0</v>
      </c>
      <c r="L1577" s="54"/>
      <c r="M1577" s="5" t="s">
        <v>7335</v>
      </c>
      <c r="N1577" s="53" t="s">
        <v>7019</v>
      </c>
      <c r="O1577">
        <v>12.89952</v>
      </c>
      <c r="P1577">
        <v>-14.94427</v>
      </c>
      <c r="Q1577" s="5" t="s">
        <v>250</v>
      </c>
      <c r="R1577" s="10">
        <f t="shared" si="10"/>
        <v>310</v>
      </c>
      <c r="S1577" s="5" t="s">
        <v>7336</v>
      </c>
      <c r="T1577" s="5" t="s">
        <v>1040</v>
      </c>
      <c r="U1577" s="5" t="s">
        <v>7337</v>
      </c>
      <c r="V1577" s="5" t="s">
        <v>7338</v>
      </c>
    </row>
    <row r="1578" ht="12.75" customHeight="1">
      <c r="A1578" s="5">
        <v>34693.0</v>
      </c>
      <c r="B1578" s="5" t="s">
        <v>68</v>
      </c>
      <c r="C1578" s="5" t="s">
        <v>69</v>
      </c>
      <c r="D1578" s="5" t="s">
        <v>2614</v>
      </c>
      <c r="E1578" s="7" t="s">
        <v>7334</v>
      </c>
      <c r="F1578" s="5" t="s">
        <v>7157</v>
      </c>
      <c r="G1578" s="5" t="s">
        <v>7320</v>
      </c>
      <c r="H1578" s="5">
        <v>2007.0</v>
      </c>
      <c r="I1578" s="5">
        <v>0.0</v>
      </c>
      <c r="J1578" s="5">
        <v>0.0</v>
      </c>
      <c r="K1578" s="5">
        <v>17.0</v>
      </c>
      <c r="L1578" s="54"/>
      <c r="M1578" s="5" t="s">
        <v>7339</v>
      </c>
      <c r="N1578" s="53" t="s">
        <v>3340</v>
      </c>
      <c r="O1578">
        <v>37.743215</v>
      </c>
      <c r="P1578">
        <v>26.820351</v>
      </c>
      <c r="Q1578" s="5" t="s">
        <v>956</v>
      </c>
      <c r="R1578" s="10">
        <f t="shared" si="10"/>
        <v>218</v>
      </c>
      <c r="S1578" s="5" t="s">
        <v>7340</v>
      </c>
      <c r="T1578" s="6" t="s">
        <v>53</v>
      </c>
      <c r="U1578" s="5" t="s">
        <v>3318</v>
      </c>
      <c r="V1578" s="5" t="s">
        <v>7341</v>
      </c>
    </row>
    <row r="1579" ht="12.75" customHeight="1">
      <c r="A1579" s="5">
        <v>34694.0</v>
      </c>
      <c r="B1579" s="5" t="s">
        <v>2896</v>
      </c>
      <c r="C1579" s="5" t="s">
        <v>211</v>
      </c>
      <c r="D1579" s="5" t="s">
        <v>2852</v>
      </c>
      <c r="E1579" s="7" t="s">
        <v>7342</v>
      </c>
      <c r="F1579" s="5" t="s">
        <v>7157</v>
      </c>
      <c r="G1579" s="5" t="s">
        <v>7320</v>
      </c>
      <c r="H1579" s="5">
        <v>2007.0</v>
      </c>
      <c r="I1579" s="5">
        <v>0.0</v>
      </c>
      <c r="J1579" s="5">
        <v>0.0</v>
      </c>
      <c r="K1579" s="5">
        <v>10.0</v>
      </c>
      <c r="L1579" s="54"/>
      <c r="M1579" s="5" t="s">
        <v>7343</v>
      </c>
      <c r="N1579" s="53" t="s">
        <v>7029</v>
      </c>
      <c r="O1579">
        <v>21.00789</v>
      </c>
      <c r="P1579">
        <v>-10.940835</v>
      </c>
      <c r="Q1579" s="5" t="s">
        <v>310</v>
      </c>
      <c r="R1579" s="10">
        <f t="shared" si="10"/>
        <v>61</v>
      </c>
      <c r="S1579" s="5" t="s">
        <v>7344</v>
      </c>
      <c r="T1579" s="5" t="s">
        <v>1040</v>
      </c>
      <c r="U1579" s="5" t="s">
        <v>7345</v>
      </c>
      <c r="V1579" s="5"/>
    </row>
    <row r="1580" ht="12.75" customHeight="1">
      <c r="A1580" s="5">
        <v>34695.0</v>
      </c>
      <c r="B1580" s="5" t="s">
        <v>2962</v>
      </c>
      <c r="C1580" s="5" t="s">
        <v>211</v>
      </c>
      <c r="D1580" s="5" t="s">
        <v>2852</v>
      </c>
      <c r="E1580" s="7" t="s">
        <v>7346</v>
      </c>
      <c r="F1580" s="5" t="s">
        <v>7157</v>
      </c>
      <c r="G1580" s="5" t="s">
        <v>7320</v>
      </c>
      <c r="H1580" s="5">
        <v>2007.0</v>
      </c>
      <c r="I1580" s="5">
        <v>0.0</v>
      </c>
      <c r="J1580" s="5">
        <v>0.0</v>
      </c>
      <c r="K1580" s="5">
        <v>1.0</v>
      </c>
      <c r="L1580" s="54"/>
      <c r="M1580" s="5" t="s">
        <v>7347</v>
      </c>
      <c r="N1580" s="53" t="s">
        <v>7348</v>
      </c>
      <c r="O1580">
        <v>44.648837</v>
      </c>
      <c r="P1580">
        <v>10.920087</v>
      </c>
      <c r="Q1580" s="5" t="s">
        <v>1302</v>
      </c>
      <c r="R1580" s="10">
        <f t="shared" si="10"/>
        <v>2</v>
      </c>
      <c r="S1580" s="5" t="s">
        <v>7349</v>
      </c>
      <c r="T1580" s="5"/>
      <c r="U1580" s="5" t="s">
        <v>7350</v>
      </c>
      <c r="V1580" s="5"/>
    </row>
    <row r="1581" ht="12.75" customHeight="1">
      <c r="A1581" s="5">
        <v>34698.0</v>
      </c>
      <c r="B1581" s="5" t="s">
        <v>68</v>
      </c>
      <c r="C1581" s="5" t="s">
        <v>69</v>
      </c>
      <c r="D1581" s="5" t="s">
        <v>2852</v>
      </c>
      <c r="E1581" s="7" t="s">
        <v>7351</v>
      </c>
      <c r="F1581" s="5" t="s">
        <v>7157</v>
      </c>
      <c r="G1581" s="5" t="s">
        <v>7320</v>
      </c>
      <c r="H1581" s="5">
        <v>2007.0</v>
      </c>
      <c r="I1581" s="5">
        <v>0.0</v>
      </c>
      <c r="J1581" s="5">
        <v>0.0</v>
      </c>
      <c r="K1581" s="5">
        <v>49.0</v>
      </c>
      <c r="L1581" s="54"/>
      <c r="M1581" s="5" t="s">
        <v>7352</v>
      </c>
      <c r="N1581" s="53" t="s">
        <v>7029</v>
      </c>
      <c r="O1581">
        <v>21.00789</v>
      </c>
      <c r="P1581">
        <v>-10.940835</v>
      </c>
      <c r="Q1581" s="5" t="s">
        <v>310</v>
      </c>
      <c r="R1581" s="10">
        <f t="shared" si="10"/>
        <v>61</v>
      </c>
      <c r="S1581" s="5" t="s">
        <v>7353</v>
      </c>
      <c r="T1581" s="5" t="s">
        <v>1040</v>
      </c>
      <c r="U1581" s="5" t="s">
        <v>106</v>
      </c>
      <c r="V1581" s="5"/>
    </row>
    <row r="1582" ht="12.75" customHeight="1">
      <c r="A1582" s="5">
        <v>34697.0</v>
      </c>
      <c r="B1582" s="5" t="s">
        <v>68</v>
      </c>
      <c r="C1582" s="5" t="s">
        <v>69</v>
      </c>
      <c r="D1582" s="5" t="s">
        <v>2614</v>
      </c>
      <c r="E1582" s="7" t="s">
        <v>7351</v>
      </c>
      <c r="F1582" s="5" t="s">
        <v>7157</v>
      </c>
      <c r="G1582" s="5" t="s">
        <v>7320</v>
      </c>
      <c r="H1582" s="5">
        <v>2007.0</v>
      </c>
      <c r="I1582" s="5">
        <v>0.0</v>
      </c>
      <c r="J1582" s="5">
        <v>0.0</v>
      </c>
      <c r="K1582" s="5">
        <v>3.0</v>
      </c>
      <c r="L1582" s="54"/>
      <c r="M1582" s="5" t="s">
        <v>7354</v>
      </c>
      <c r="N1582" s="53" t="s">
        <v>7355</v>
      </c>
      <c r="O1582">
        <v>37.150437</v>
      </c>
      <c r="P1582">
        <v>9.23422</v>
      </c>
      <c r="Q1582" s="5" t="s">
        <v>908</v>
      </c>
      <c r="R1582" s="10">
        <f t="shared" si="10"/>
        <v>6</v>
      </c>
      <c r="S1582" s="5" t="s">
        <v>7356</v>
      </c>
      <c r="T1582" s="6" t="s">
        <v>2130</v>
      </c>
      <c r="U1582" s="5" t="s">
        <v>5113</v>
      </c>
      <c r="V1582" s="5" t="s">
        <v>7357</v>
      </c>
    </row>
    <row r="1583" ht="12.75" customHeight="1">
      <c r="A1583" s="5">
        <v>34696.0</v>
      </c>
      <c r="B1583" s="5" t="s">
        <v>68</v>
      </c>
      <c r="C1583" s="5" t="s">
        <v>69</v>
      </c>
      <c r="D1583" s="5" t="s">
        <v>2614</v>
      </c>
      <c r="E1583" s="7" t="s">
        <v>7351</v>
      </c>
      <c r="F1583" s="5" t="s">
        <v>7157</v>
      </c>
      <c r="G1583" s="5" t="s">
        <v>7320</v>
      </c>
      <c r="H1583" s="5">
        <v>2007.0</v>
      </c>
      <c r="I1583" s="5">
        <v>0.0</v>
      </c>
      <c r="J1583" s="5">
        <v>0.0</v>
      </c>
      <c r="K1583" s="5">
        <v>1.0</v>
      </c>
      <c r="L1583" s="54"/>
      <c r="M1583" s="5" t="s">
        <v>7358</v>
      </c>
      <c r="N1583" s="53" t="s">
        <v>4760</v>
      </c>
      <c r="O1583">
        <v>38.77474</v>
      </c>
      <c r="P1583">
        <v>0.08519</v>
      </c>
      <c r="Q1583" s="5" t="s">
        <v>1035</v>
      </c>
      <c r="R1583" s="10">
        <f t="shared" si="10"/>
        <v>52</v>
      </c>
      <c r="S1583" s="5" t="s">
        <v>7359</v>
      </c>
      <c r="T1583" s="6" t="s">
        <v>72</v>
      </c>
      <c r="U1583" s="5" t="s">
        <v>2165</v>
      </c>
      <c r="V1583" s="5" t="s">
        <v>7360</v>
      </c>
    </row>
    <row r="1584" ht="12.75" customHeight="1">
      <c r="A1584" s="5">
        <v>34699.0</v>
      </c>
      <c r="B1584" s="5" t="s">
        <v>491</v>
      </c>
      <c r="C1584" s="52" t="s">
        <v>50</v>
      </c>
      <c r="D1584" s="5" t="s">
        <v>2852</v>
      </c>
      <c r="E1584" s="7" t="s">
        <v>7361</v>
      </c>
      <c r="F1584" s="5" t="s">
        <v>7157</v>
      </c>
      <c r="G1584" s="5" t="s">
        <v>7320</v>
      </c>
      <c r="H1584" s="5">
        <v>2007.0</v>
      </c>
      <c r="I1584" s="5">
        <v>0.0</v>
      </c>
      <c r="J1584" s="5">
        <v>0.0</v>
      </c>
      <c r="K1584" s="5">
        <v>1.0</v>
      </c>
      <c r="L1584" s="54"/>
      <c r="M1584" s="5" t="s">
        <v>7362</v>
      </c>
      <c r="N1584" s="53" t="s">
        <v>4556</v>
      </c>
      <c r="O1584">
        <v>28.291564</v>
      </c>
      <c r="P1584">
        <v>-16.62913</v>
      </c>
      <c r="Q1584" s="5" t="s">
        <v>382</v>
      </c>
      <c r="R1584" s="10">
        <f t="shared" si="10"/>
        <v>1120</v>
      </c>
      <c r="S1584" s="5" t="s">
        <v>7363</v>
      </c>
      <c r="T1584" s="5" t="s">
        <v>1040</v>
      </c>
      <c r="U1584" s="5" t="s">
        <v>7364</v>
      </c>
      <c r="V1584" s="5" t="s">
        <v>7365</v>
      </c>
    </row>
    <row r="1585" ht="12.75" customHeight="1">
      <c r="A1585" s="5">
        <v>34700.0</v>
      </c>
      <c r="B1585" s="5" t="s">
        <v>2962</v>
      </c>
      <c r="C1585" s="5" t="s">
        <v>211</v>
      </c>
      <c r="D1585" s="5" t="s">
        <v>2852</v>
      </c>
      <c r="E1585" s="7" t="s">
        <v>7361</v>
      </c>
      <c r="F1585" s="5" t="s">
        <v>7157</v>
      </c>
      <c r="G1585" s="5" t="s">
        <v>7320</v>
      </c>
      <c r="H1585" s="5">
        <v>2007.0</v>
      </c>
      <c r="I1585" s="5">
        <v>0.0</v>
      </c>
      <c r="J1585" s="5">
        <v>0.0</v>
      </c>
      <c r="K1585" s="5">
        <v>1.0</v>
      </c>
      <c r="L1585" s="54"/>
      <c r="M1585" s="5" t="s">
        <v>7366</v>
      </c>
      <c r="N1585" s="53" t="s">
        <v>7348</v>
      </c>
      <c r="O1585">
        <v>44.648837</v>
      </c>
      <c r="P1585">
        <v>10.920087</v>
      </c>
      <c r="Q1585" s="5" t="s">
        <v>1302</v>
      </c>
      <c r="R1585" s="10">
        <f t="shared" si="10"/>
        <v>2</v>
      </c>
      <c r="S1585" s="5" t="s">
        <v>7367</v>
      </c>
      <c r="T1585" s="5"/>
      <c r="U1585" s="5" t="s">
        <v>7368</v>
      </c>
      <c r="V1585" s="5"/>
    </row>
    <row r="1586" ht="12.75" customHeight="1">
      <c r="A1586" s="5">
        <v>34701.0</v>
      </c>
      <c r="B1586" s="5" t="s">
        <v>41</v>
      </c>
      <c r="C1586" s="5" t="s">
        <v>42</v>
      </c>
      <c r="D1586" s="5" t="s">
        <v>2614</v>
      </c>
      <c r="E1586" s="7" t="s">
        <v>7369</v>
      </c>
      <c r="F1586" s="5" t="s">
        <v>7157</v>
      </c>
      <c r="G1586" s="5" t="s">
        <v>7320</v>
      </c>
      <c r="H1586" s="5">
        <v>2007.0</v>
      </c>
      <c r="I1586" s="5">
        <v>0.0</v>
      </c>
      <c r="J1586" s="5">
        <v>0.0</v>
      </c>
      <c r="K1586" s="5">
        <v>1.0</v>
      </c>
      <c r="L1586" s="54"/>
      <c r="M1586" s="5" t="s">
        <v>7370</v>
      </c>
      <c r="N1586" s="53" t="s">
        <v>2888</v>
      </c>
      <c r="O1586">
        <v>24.088938</v>
      </c>
      <c r="P1586">
        <v>32.899829</v>
      </c>
      <c r="Q1586" s="5" t="s">
        <v>329</v>
      </c>
      <c r="R1586" s="10">
        <f t="shared" si="10"/>
        <v>129</v>
      </c>
      <c r="S1586" s="5" t="s">
        <v>7371</v>
      </c>
      <c r="T1586" s="5"/>
      <c r="U1586" s="5" t="s">
        <v>7372</v>
      </c>
      <c r="V1586" s="5" t="s">
        <v>7373</v>
      </c>
    </row>
    <row r="1587" ht="12.75" customHeight="1">
      <c r="A1587" s="5">
        <v>34702.0</v>
      </c>
      <c r="B1587" s="5" t="s">
        <v>68</v>
      </c>
      <c r="C1587" s="5" t="s">
        <v>69</v>
      </c>
      <c r="D1587" s="5" t="s">
        <v>2614</v>
      </c>
      <c r="E1587" s="7" t="s">
        <v>7374</v>
      </c>
      <c r="F1587" s="5" t="s">
        <v>7157</v>
      </c>
      <c r="G1587" s="5" t="s">
        <v>7320</v>
      </c>
      <c r="H1587" s="5">
        <v>2007.0</v>
      </c>
      <c r="I1587" s="5">
        <v>0.0</v>
      </c>
      <c r="J1587" s="5">
        <v>0.0</v>
      </c>
      <c r="K1587" s="5">
        <v>1.0</v>
      </c>
      <c r="L1587" s="54"/>
      <c r="M1587" s="5" t="s">
        <v>7375</v>
      </c>
      <c r="N1587" s="53" t="s">
        <v>2700</v>
      </c>
      <c r="O1587">
        <v>35.508622</v>
      </c>
      <c r="P1587">
        <v>12.59292</v>
      </c>
      <c r="Q1587" s="5" t="s">
        <v>669</v>
      </c>
      <c r="R1587" s="10">
        <f t="shared" si="10"/>
        <v>3843</v>
      </c>
      <c r="S1587" s="5" t="s">
        <v>7376</v>
      </c>
      <c r="T1587" s="6" t="s">
        <v>2130</v>
      </c>
      <c r="U1587" s="5" t="s">
        <v>2326</v>
      </c>
      <c r="V1587" s="5" t="s">
        <v>7377</v>
      </c>
    </row>
    <row r="1588" ht="12.75" customHeight="1">
      <c r="A1588" s="5">
        <v>34703.0</v>
      </c>
      <c r="B1588" s="5" t="s">
        <v>68</v>
      </c>
      <c r="C1588" s="5" t="s">
        <v>69</v>
      </c>
      <c r="D1588" s="5" t="s">
        <v>2852</v>
      </c>
      <c r="E1588" s="7" t="s">
        <v>7374</v>
      </c>
      <c r="F1588" s="5" t="s">
        <v>7157</v>
      </c>
      <c r="G1588" s="5" t="s">
        <v>7320</v>
      </c>
      <c r="H1588" s="5">
        <v>2007.0</v>
      </c>
      <c r="I1588" s="5">
        <v>0.0</v>
      </c>
      <c r="J1588" s="5">
        <v>0.0</v>
      </c>
      <c r="K1588" s="5">
        <v>3.0</v>
      </c>
      <c r="L1588" s="54"/>
      <c r="M1588" s="5" t="s">
        <v>7378</v>
      </c>
      <c r="N1588" s="53" t="s">
        <v>4470</v>
      </c>
      <c r="O1588">
        <v>35.950486</v>
      </c>
      <c r="P1588">
        <v>-3.035088</v>
      </c>
      <c r="Q1588" s="5" t="s">
        <v>743</v>
      </c>
      <c r="R1588" s="10">
        <f t="shared" si="10"/>
        <v>10</v>
      </c>
      <c r="S1588" s="5" t="s">
        <v>7379</v>
      </c>
      <c r="T1588" s="6" t="s">
        <v>72</v>
      </c>
      <c r="U1588" s="5" t="s">
        <v>7380</v>
      </c>
      <c r="V1588" s="5"/>
    </row>
    <row r="1589" ht="12.75" customHeight="1">
      <c r="A1589" s="5">
        <v>34704.0</v>
      </c>
      <c r="B1589" s="5" t="s">
        <v>2962</v>
      </c>
      <c r="C1589" s="5" t="s">
        <v>211</v>
      </c>
      <c r="D1589" s="5" t="s">
        <v>2852</v>
      </c>
      <c r="E1589" s="7" t="s">
        <v>7381</v>
      </c>
      <c r="F1589" s="5" t="s">
        <v>7157</v>
      </c>
      <c r="G1589" s="5" t="s">
        <v>7320</v>
      </c>
      <c r="H1589" s="5">
        <v>2007.0</v>
      </c>
      <c r="I1589" s="5">
        <v>0.0</v>
      </c>
      <c r="J1589" s="5">
        <v>0.0</v>
      </c>
      <c r="K1589" s="5">
        <v>1.0</v>
      </c>
      <c r="L1589" s="54"/>
      <c r="M1589" s="5" t="s">
        <v>7382</v>
      </c>
      <c r="N1589" s="53" t="s">
        <v>7383</v>
      </c>
      <c r="O1589">
        <v>53.661998</v>
      </c>
      <c r="P1589">
        <v>-1.79723</v>
      </c>
      <c r="Q1589" s="5" t="s">
        <v>1856</v>
      </c>
      <c r="R1589" s="10">
        <f t="shared" si="10"/>
        <v>1</v>
      </c>
      <c r="S1589" s="5" t="s">
        <v>7384</v>
      </c>
      <c r="T1589" s="5"/>
      <c r="U1589" s="5" t="s">
        <v>7385</v>
      </c>
      <c r="V1589" s="5"/>
    </row>
    <row r="1590" ht="12.75" customHeight="1">
      <c r="A1590" s="5">
        <v>34705.0</v>
      </c>
      <c r="B1590" s="5" t="s">
        <v>68</v>
      </c>
      <c r="C1590" s="5" t="s">
        <v>69</v>
      </c>
      <c r="D1590" s="5" t="s">
        <v>2614</v>
      </c>
      <c r="E1590" s="7" t="s">
        <v>7386</v>
      </c>
      <c r="F1590" s="5" t="s">
        <v>7157</v>
      </c>
      <c r="G1590" s="5" t="s">
        <v>7320</v>
      </c>
      <c r="H1590" s="5">
        <v>2007.0</v>
      </c>
      <c r="I1590" s="5">
        <v>0.0</v>
      </c>
      <c r="J1590" s="5">
        <v>0.0</v>
      </c>
      <c r="K1590" s="5">
        <v>1.0</v>
      </c>
      <c r="L1590" s="54"/>
      <c r="M1590" s="5" t="s">
        <v>7387</v>
      </c>
      <c r="N1590" s="53" t="s">
        <v>5300</v>
      </c>
      <c r="O1590">
        <v>37.617153</v>
      </c>
      <c r="P1590">
        <v>-0.992914</v>
      </c>
      <c r="Q1590" s="5" t="s">
        <v>952</v>
      </c>
      <c r="R1590" s="10">
        <f t="shared" si="10"/>
        <v>21</v>
      </c>
      <c r="S1590" s="5" t="s">
        <v>7388</v>
      </c>
      <c r="T1590" s="6" t="s">
        <v>72</v>
      </c>
      <c r="U1590" s="5" t="s">
        <v>2165</v>
      </c>
      <c r="V1590" s="5" t="s">
        <v>7377</v>
      </c>
    </row>
    <row r="1591" ht="12.75" customHeight="1">
      <c r="A1591" s="5">
        <v>34902.0</v>
      </c>
      <c r="B1591" s="5" t="s">
        <v>2962</v>
      </c>
      <c r="C1591" s="5" t="s">
        <v>211</v>
      </c>
      <c r="D1591" s="5" t="s">
        <v>2852</v>
      </c>
      <c r="E1591" s="7" t="s">
        <v>7389</v>
      </c>
      <c r="F1591" s="5" t="s">
        <v>7078</v>
      </c>
      <c r="G1591" s="5" t="s">
        <v>7390</v>
      </c>
      <c r="H1591" s="5">
        <v>2007.0</v>
      </c>
      <c r="I1591" s="5">
        <v>0.0</v>
      </c>
      <c r="J1591" s="5">
        <v>0.0</v>
      </c>
      <c r="K1591" s="5">
        <v>1.0</v>
      </c>
      <c r="L1591" s="54"/>
      <c r="M1591" s="5" t="s">
        <v>7391</v>
      </c>
      <c r="N1591" s="53" t="s">
        <v>7392</v>
      </c>
      <c r="O1591">
        <v>46.99576</v>
      </c>
      <c r="P1591">
        <v>7.08635</v>
      </c>
      <c r="Q1591" s="5" t="s">
        <v>1368</v>
      </c>
      <c r="R1591" s="10">
        <f t="shared" si="10"/>
        <v>1</v>
      </c>
      <c r="S1591" s="5" t="s">
        <v>7393</v>
      </c>
      <c r="T1591" s="5"/>
      <c r="U1591" s="5" t="s">
        <v>7394</v>
      </c>
      <c r="V1591" s="5"/>
    </row>
    <row r="1592" ht="12.75" customHeight="1">
      <c r="A1592" s="5">
        <v>34903.0</v>
      </c>
      <c r="B1592" s="5" t="s">
        <v>2962</v>
      </c>
      <c r="C1592" s="5" t="s">
        <v>211</v>
      </c>
      <c r="D1592" s="5" t="s">
        <v>2852</v>
      </c>
      <c r="E1592" s="7" t="s">
        <v>7395</v>
      </c>
      <c r="F1592" s="5" t="s">
        <v>7078</v>
      </c>
      <c r="G1592" s="5" t="s">
        <v>7390</v>
      </c>
      <c r="H1592" s="5">
        <v>2007.0</v>
      </c>
      <c r="I1592" s="5">
        <v>0.0</v>
      </c>
      <c r="J1592" s="5">
        <v>0.0</v>
      </c>
      <c r="K1592" s="5">
        <v>1.0</v>
      </c>
      <c r="L1592" s="54"/>
      <c r="M1592" s="5" t="s">
        <v>7396</v>
      </c>
      <c r="N1592" s="53" t="s">
        <v>7397</v>
      </c>
      <c r="O1592">
        <v>53.763201</v>
      </c>
      <c r="P1592">
        <v>-2.70309</v>
      </c>
      <c r="Q1592" s="5" t="s">
        <v>1862</v>
      </c>
      <c r="R1592" s="10">
        <f t="shared" si="10"/>
        <v>1</v>
      </c>
      <c r="S1592" s="5" t="s">
        <v>7398</v>
      </c>
      <c r="T1592" s="5"/>
      <c r="U1592" s="5" t="s">
        <v>3219</v>
      </c>
      <c r="V1592" s="5"/>
    </row>
    <row r="1593" ht="12.75" customHeight="1">
      <c r="A1593" s="5">
        <v>34905.0</v>
      </c>
      <c r="B1593" s="5" t="s">
        <v>68</v>
      </c>
      <c r="C1593" s="5" t="s">
        <v>69</v>
      </c>
      <c r="D1593" s="5" t="s">
        <v>2852</v>
      </c>
      <c r="E1593" s="7" t="s">
        <v>7399</v>
      </c>
      <c r="F1593" s="5" t="s">
        <v>7078</v>
      </c>
      <c r="G1593" s="5" t="s">
        <v>7390</v>
      </c>
      <c r="H1593" s="5">
        <v>2007.0</v>
      </c>
      <c r="I1593" s="5">
        <v>0.0</v>
      </c>
      <c r="J1593" s="5">
        <v>0.0</v>
      </c>
      <c r="K1593" s="5">
        <v>2.0</v>
      </c>
      <c r="L1593" s="54"/>
      <c r="M1593" s="5" t="s">
        <v>7400</v>
      </c>
      <c r="N1593" s="53" t="s">
        <v>7401</v>
      </c>
      <c r="O1593">
        <v>39.864207</v>
      </c>
      <c r="P1593">
        <v>20.792365</v>
      </c>
      <c r="Q1593" s="5" t="s">
        <v>1111</v>
      </c>
      <c r="R1593" s="10">
        <f t="shared" si="10"/>
        <v>5</v>
      </c>
      <c r="S1593" s="5" t="s">
        <v>7402</v>
      </c>
      <c r="T1593" s="5" t="s">
        <v>1965</v>
      </c>
      <c r="U1593" s="5" t="s">
        <v>7403</v>
      </c>
      <c r="V1593" s="5"/>
    </row>
    <row r="1594" ht="12.75" customHeight="1">
      <c r="A1594" s="5">
        <v>34904.0</v>
      </c>
      <c r="B1594" s="5" t="s">
        <v>68</v>
      </c>
      <c r="C1594" s="5" t="s">
        <v>69</v>
      </c>
      <c r="D1594" s="5" t="s">
        <v>2852</v>
      </c>
      <c r="E1594" s="7" t="s">
        <v>7399</v>
      </c>
      <c r="F1594" s="5" t="s">
        <v>7078</v>
      </c>
      <c r="G1594" s="5" t="s">
        <v>7390</v>
      </c>
      <c r="H1594" s="5">
        <v>2007.0</v>
      </c>
      <c r="I1594" s="5">
        <v>0.0</v>
      </c>
      <c r="J1594" s="5">
        <v>0.0</v>
      </c>
      <c r="K1594" s="5">
        <v>1.0</v>
      </c>
      <c r="L1594" s="54"/>
      <c r="M1594" s="5" t="s">
        <v>7404</v>
      </c>
      <c r="N1594" s="53" t="s">
        <v>5086</v>
      </c>
      <c r="O1594">
        <v>51.511214</v>
      </c>
      <c r="P1594">
        <v>-0.119824</v>
      </c>
      <c r="Q1594" s="5" t="s">
        <v>1662</v>
      </c>
      <c r="R1594" s="10">
        <f t="shared" si="10"/>
        <v>9</v>
      </c>
      <c r="S1594" s="5" t="s">
        <v>7405</v>
      </c>
      <c r="T1594" s="5"/>
      <c r="U1594" s="5" t="s">
        <v>7406</v>
      </c>
      <c r="V1594" s="5"/>
    </row>
    <row r="1595" ht="12.75" customHeight="1">
      <c r="A1595" s="5">
        <v>34906.0</v>
      </c>
      <c r="B1595" s="5" t="s">
        <v>68</v>
      </c>
      <c r="C1595" s="5" t="s">
        <v>69</v>
      </c>
      <c r="D1595" s="5" t="s">
        <v>2614</v>
      </c>
      <c r="E1595" s="7" t="s">
        <v>7407</v>
      </c>
      <c r="F1595" s="5" t="s">
        <v>7078</v>
      </c>
      <c r="G1595" s="5" t="s">
        <v>7390</v>
      </c>
      <c r="H1595" s="5">
        <v>2007.0</v>
      </c>
      <c r="I1595" s="5">
        <v>0.0</v>
      </c>
      <c r="J1595" s="5">
        <v>0.0</v>
      </c>
      <c r="K1595" s="5">
        <v>33.0</v>
      </c>
      <c r="L1595" s="54"/>
      <c r="M1595" s="5" t="s">
        <v>7408</v>
      </c>
      <c r="N1595" s="53" t="s">
        <v>3940</v>
      </c>
      <c r="O1595">
        <v>36.902859</v>
      </c>
      <c r="P1595">
        <v>7.755543</v>
      </c>
      <c r="Q1595" s="5" t="s">
        <v>880</v>
      </c>
      <c r="R1595" s="10">
        <f t="shared" si="10"/>
        <v>107</v>
      </c>
      <c r="S1595" s="5" t="s">
        <v>7409</v>
      </c>
      <c r="T1595" s="6" t="s">
        <v>2130</v>
      </c>
      <c r="U1595" s="5" t="s">
        <v>7410</v>
      </c>
      <c r="V1595" s="5" t="s">
        <v>7411</v>
      </c>
    </row>
    <row r="1596" ht="12.75" customHeight="1">
      <c r="A1596" s="5">
        <v>34907.0</v>
      </c>
      <c r="B1596" s="5" t="s">
        <v>49</v>
      </c>
      <c r="C1596" s="52" t="s">
        <v>50</v>
      </c>
      <c r="D1596" s="5" t="s">
        <v>2852</v>
      </c>
      <c r="E1596" s="7" t="s">
        <v>7412</v>
      </c>
      <c r="F1596" s="5" t="s">
        <v>7078</v>
      </c>
      <c r="G1596" s="5" t="s">
        <v>7390</v>
      </c>
      <c r="H1596" s="5">
        <v>2007.0</v>
      </c>
      <c r="I1596" s="5">
        <v>0.0</v>
      </c>
      <c r="J1596" s="5">
        <v>0.0</v>
      </c>
      <c r="K1596" s="5">
        <v>7.0</v>
      </c>
      <c r="L1596" s="54"/>
      <c r="M1596" s="5" t="s">
        <v>7413</v>
      </c>
      <c r="N1596" s="53" t="s">
        <v>3340</v>
      </c>
      <c r="O1596">
        <v>37.743215</v>
      </c>
      <c r="P1596">
        <v>26.820351</v>
      </c>
      <c r="Q1596" s="5" t="s">
        <v>956</v>
      </c>
      <c r="R1596" s="10">
        <f t="shared" si="10"/>
        <v>218</v>
      </c>
      <c r="S1596" s="5" t="s">
        <v>7414</v>
      </c>
      <c r="T1596" s="6" t="s">
        <v>53</v>
      </c>
      <c r="U1596" s="5" t="s">
        <v>6245</v>
      </c>
      <c r="V1596" s="5" t="s">
        <v>7415</v>
      </c>
    </row>
    <row r="1597" ht="12.75" customHeight="1">
      <c r="A1597" s="5">
        <v>34908.0</v>
      </c>
      <c r="B1597" s="5" t="s">
        <v>2921</v>
      </c>
      <c r="C1597" s="5" t="s">
        <v>124</v>
      </c>
      <c r="D1597" s="5" t="s">
        <v>2852</v>
      </c>
      <c r="E1597" s="7" t="s">
        <v>7416</v>
      </c>
      <c r="F1597" s="5" t="s">
        <v>7078</v>
      </c>
      <c r="G1597" s="5" t="s">
        <v>7390</v>
      </c>
      <c r="H1597" s="5">
        <v>2007.0</v>
      </c>
      <c r="I1597" s="5">
        <v>0.0</v>
      </c>
      <c r="J1597" s="5">
        <v>0.0</v>
      </c>
      <c r="K1597" s="5">
        <v>1.0</v>
      </c>
      <c r="L1597" s="54"/>
      <c r="M1597" s="5" t="s">
        <v>7417</v>
      </c>
      <c r="N1597" s="53" t="s">
        <v>7418</v>
      </c>
      <c r="O1597">
        <v>50.85034</v>
      </c>
      <c r="P1597">
        <v>4.35171</v>
      </c>
      <c r="Q1597" s="5" t="s">
        <v>1526</v>
      </c>
      <c r="R1597" s="10">
        <f t="shared" si="10"/>
        <v>5</v>
      </c>
      <c r="S1597" s="5" t="s">
        <v>7419</v>
      </c>
      <c r="T1597" s="5"/>
      <c r="U1597" s="5" t="s">
        <v>7420</v>
      </c>
      <c r="V1597" s="5" t="s">
        <v>7421</v>
      </c>
    </row>
    <row r="1598" ht="12.75" customHeight="1">
      <c r="A1598" s="5">
        <v>34909.0</v>
      </c>
      <c r="B1598" s="5" t="s">
        <v>1995</v>
      </c>
      <c r="C1598" s="52" t="s">
        <v>50</v>
      </c>
      <c r="D1598" s="5" t="s">
        <v>2852</v>
      </c>
      <c r="E1598" s="7" t="s">
        <v>7422</v>
      </c>
      <c r="F1598" s="5" t="s">
        <v>7078</v>
      </c>
      <c r="G1598" s="5" t="s">
        <v>7390</v>
      </c>
      <c r="H1598" s="5">
        <v>2007.0</v>
      </c>
      <c r="I1598" s="5">
        <v>0.0</v>
      </c>
      <c r="J1598" s="5">
        <v>0.0</v>
      </c>
      <c r="K1598" s="5">
        <v>1.0</v>
      </c>
      <c r="L1598" s="54"/>
      <c r="M1598" s="5" t="s">
        <v>7423</v>
      </c>
      <c r="N1598" s="53" t="s">
        <v>7424</v>
      </c>
      <c r="O1598">
        <v>51.16809</v>
      </c>
      <c r="P1598">
        <v>7.126517</v>
      </c>
      <c r="Q1598" s="5" t="s">
        <v>1607</v>
      </c>
      <c r="R1598" s="10">
        <f t="shared" si="10"/>
        <v>1</v>
      </c>
      <c r="S1598" s="5" t="s">
        <v>7425</v>
      </c>
      <c r="T1598" s="5"/>
      <c r="U1598" s="5" t="s">
        <v>7056</v>
      </c>
      <c r="V1598" s="5"/>
    </row>
    <row r="1599" ht="12.75" customHeight="1">
      <c r="A1599" s="5">
        <v>34910.0</v>
      </c>
      <c r="B1599" s="5" t="s">
        <v>49</v>
      </c>
      <c r="C1599" s="52" t="s">
        <v>50</v>
      </c>
      <c r="D1599" s="5" t="s">
        <v>2852</v>
      </c>
      <c r="E1599" s="7" t="s">
        <v>7426</v>
      </c>
      <c r="F1599" s="5" t="s">
        <v>7078</v>
      </c>
      <c r="G1599" s="5" t="s">
        <v>7390</v>
      </c>
      <c r="H1599" s="5">
        <v>2007.0</v>
      </c>
      <c r="I1599" s="5">
        <v>0.0</v>
      </c>
      <c r="J1599" s="5">
        <v>0.0</v>
      </c>
      <c r="K1599" s="5">
        <v>50.0</v>
      </c>
      <c r="L1599" s="54"/>
      <c r="M1599" s="5" t="s">
        <v>7427</v>
      </c>
      <c r="N1599" s="53" t="s">
        <v>4941</v>
      </c>
      <c r="O1599">
        <v>28.291564</v>
      </c>
      <c r="P1599">
        <v>-16.62913</v>
      </c>
      <c r="Q1599" s="5" t="s">
        <v>382</v>
      </c>
      <c r="R1599" s="10">
        <f t="shared" si="10"/>
        <v>1120</v>
      </c>
      <c r="S1599" s="5" t="s">
        <v>7428</v>
      </c>
      <c r="T1599" s="5" t="s">
        <v>1040</v>
      </c>
      <c r="U1599" s="5" t="s">
        <v>7429</v>
      </c>
      <c r="V1599" s="5"/>
    </row>
    <row r="1600" ht="12.75" customHeight="1">
      <c r="A1600" s="5">
        <v>34912.0</v>
      </c>
      <c r="B1600" s="5" t="s">
        <v>49</v>
      </c>
      <c r="C1600" s="52" t="s">
        <v>50</v>
      </c>
      <c r="D1600" s="5" t="s">
        <v>2852</v>
      </c>
      <c r="E1600" s="7" t="s">
        <v>7430</v>
      </c>
      <c r="F1600" s="5" t="s">
        <v>7078</v>
      </c>
      <c r="G1600" s="5" t="s">
        <v>7390</v>
      </c>
      <c r="H1600" s="5">
        <v>2007.0</v>
      </c>
      <c r="I1600" s="5">
        <v>0.0</v>
      </c>
      <c r="J1600" s="5">
        <v>0.0</v>
      </c>
      <c r="K1600" s="5">
        <v>1.0</v>
      </c>
      <c r="L1600" s="54"/>
      <c r="M1600" s="5" t="s">
        <v>7431</v>
      </c>
      <c r="N1600" s="53" t="s">
        <v>2628</v>
      </c>
      <c r="O1600">
        <v>26.820553</v>
      </c>
      <c r="P1600">
        <v>30.802498</v>
      </c>
      <c r="Q1600" s="5" t="s">
        <v>344</v>
      </c>
      <c r="R1600" s="10">
        <f t="shared" si="10"/>
        <v>427</v>
      </c>
      <c r="S1600" s="5" t="s">
        <v>7432</v>
      </c>
      <c r="T1600" s="6" t="s">
        <v>2130</v>
      </c>
      <c r="U1600" s="5" t="s">
        <v>7433</v>
      </c>
      <c r="V1600" s="5"/>
    </row>
    <row r="1601" ht="12.75" customHeight="1">
      <c r="A1601" s="5">
        <v>34911.0</v>
      </c>
      <c r="B1601" s="5" t="s">
        <v>49</v>
      </c>
      <c r="C1601" s="52" t="s">
        <v>50</v>
      </c>
      <c r="D1601" s="5" t="s">
        <v>2852</v>
      </c>
      <c r="E1601" s="7" t="s">
        <v>7430</v>
      </c>
      <c r="F1601" s="5" t="s">
        <v>7078</v>
      </c>
      <c r="G1601" s="5" t="s">
        <v>7390</v>
      </c>
      <c r="H1601" s="5">
        <v>2007.0</v>
      </c>
      <c r="I1601" s="5">
        <v>0.0</v>
      </c>
      <c r="J1601" s="5">
        <v>0.0</v>
      </c>
      <c r="K1601" s="5">
        <v>57.0</v>
      </c>
      <c r="L1601" s="54"/>
      <c r="M1601" s="5" t="s">
        <v>7434</v>
      </c>
      <c r="N1601" s="53" t="s">
        <v>2820</v>
      </c>
      <c r="O1601">
        <v>31.200092</v>
      </c>
      <c r="P1601">
        <v>29.918739</v>
      </c>
      <c r="Q1601" s="5" t="s">
        <v>427</v>
      </c>
      <c r="R1601" s="10">
        <f t="shared" si="10"/>
        <v>133</v>
      </c>
      <c r="S1601" s="5" t="s">
        <v>7435</v>
      </c>
      <c r="T1601" s="6" t="s">
        <v>2130</v>
      </c>
      <c r="U1601" s="5" t="s">
        <v>7433</v>
      </c>
      <c r="V1601" s="5"/>
    </row>
    <row r="1602" ht="12.75" customHeight="1">
      <c r="A1602" s="5">
        <v>34913.0</v>
      </c>
      <c r="B1602" s="5" t="s">
        <v>68</v>
      </c>
      <c r="C1602" s="5" t="s">
        <v>69</v>
      </c>
      <c r="D1602" s="5" t="s">
        <v>2852</v>
      </c>
      <c r="E1602" s="7" t="s">
        <v>7430</v>
      </c>
      <c r="F1602" s="5" t="s">
        <v>7078</v>
      </c>
      <c r="G1602" s="5" t="s">
        <v>7390</v>
      </c>
      <c r="H1602" s="5">
        <v>2007.0</v>
      </c>
      <c r="I1602" s="5">
        <v>0.0</v>
      </c>
      <c r="J1602" s="5">
        <v>0.0</v>
      </c>
      <c r="K1602" s="5">
        <v>1.0</v>
      </c>
      <c r="L1602" s="54"/>
      <c r="M1602" s="5" t="s">
        <v>7436</v>
      </c>
      <c r="N1602" s="53" t="s">
        <v>6423</v>
      </c>
      <c r="O1602">
        <v>35.1</v>
      </c>
      <c r="P1602">
        <v>-1.85</v>
      </c>
      <c r="Q1602" s="5" t="s">
        <v>619</v>
      </c>
      <c r="R1602" s="10">
        <f t="shared" si="10"/>
        <v>7</v>
      </c>
      <c r="S1602" s="5" t="s">
        <v>7437</v>
      </c>
      <c r="T1602" s="6" t="s">
        <v>72</v>
      </c>
      <c r="U1602" s="5" t="s">
        <v>6636</v>
      </c>
      <c r="V1602" s="5"/>
    </row>
    <row r="1603" ht="12.75" customHeight="1">
      <c r="A1603" s="5">
        <v>34914.0</v>
      </c>
      <c r="B1603" s="5" t="s">
        <v>49</v>
      </c>
      <c r="C1603" s="52" t="s">
        <v>50</v>
      </c>
      <c r="D1603" s="5" t="s">
        <v>2852</v>
      </c>
      <c r="E1603" s="7" t="s">
        <v>7438</v>
      </c>
      <c r="F1603" s="5" t="s">
        <v>7078</v>
      </c>
      <c r="G1603" s="5" t="s">
        <v>7390</v>
      </c>
      <c r="H1603" s="5">
        <v>2007.0</v>
      </c>
      <c r="I1603" s="5">
        <v>0.0</v>
      </c>
      <c r="J1603" s="5">
        <v>0.0</v>
      </c>
      <c r="K1603" s="5">
        <v>3.0</v>
      </c>
      <c r="L1603" s="54"/>
      <c r="M1603" s="5" t="s">
        <v>7439</v>
      </c>
      <c r="N1603" s="53" t="s">
        <v>7440</v>
      </c>
      <c r="O1603">
        <v>37.150437</v>
      </c>
      <c r="P1603">
        <v>9.23422</v>
      </c>
      <c r="Q1603" s="5" t="s">
        <v>908</v>
      </c>
      <c r="R1603" s="10">
        <f t="shared" si="10"/>
        <v>6</v>
      </c>
      <c r="S1603" s="5" t="s">
        <v>7441</v>
      </c>
      <c r="T1603" s="6" t="s">
        <v>2130</v>
      </c>
      <c r="U1603" s="5" t="s">
        <v>6636</v>
      </c>
      <c r="V1603" s="5"/>
    </row>
    <row r="1604" ht="12.75" customHeight="1">
      <c r="A1604" s="5">
        <v>34915.0</v>
      </c>
      <c r="B1604" s="5" t="s">
        <v>49</v>
      </c>
      <c r="C1604" s="52" t="s">
        <v>50</v>
      </c>
      <c r="D1604" s="5" t="s">
        <v>2852</v>
      </c>
      <c r="E1604" s="7" t="s">
        <v>7438</v>
      </c>
      <c r="F1604" s="5" t="s">
        <v>7078</v>
      </c>
      <c r="G1604" s="5" t="s">
        <v>7390</v>
      </c>
      <c r="H1604" s="5">
        <v>2007.0</v>
      </c>
      <c r="I1604" s="5">
        <v>0.0</v>
      </c>
      <c r="J1604" s="5">
        <v>0.0</v>
      </c>
      <c r="K1604" s="5">
        <v>15.0</v>
      </c>
      <c r="L1604" s="54"/>
      <c r="M1604" s="5" t="s">
        <v>7442</v>
      </c>
      <c r="N1604" s="53" t="s">
        <v>6409</v>
      </c>
      <c r="O1604">
        <v>39.648369</v>
      </c>
      <c r="P1604">
        <v>27.88261</v>
      </c>
      <c r="Q1604" s="5" t="s">
        <v>1103</v>
      </c>
      <c r="R1604" s="10">
        <f t="shared" si="10"/>
        <v>31</v>
      </c>
      <c r="S1604" s="5" t="s">
        <v>7443</v>
      </c>
      <c r="T1604" s="6" t="s">
        <v>53</v>
      </c>
      <c r="U1604" s="5" t="s">
        <v>5198</v>
      </c>
      <c r="V1604" s="5"/>
    </row>
    <row r="1605" ht="12.75" customHeight="1">
      <c r="A1605" s="5">
        <v>34916.0</v>
      </c>
      <c r="B1605" s="5" t="s">
        <v>3993</v>
      </c>
      <c r="C1605" s="5" t="s">
        <v>211</v>
      </c>
      <c r="D1605" s="5" t="s">
        <v>2852</v>
      </c>
      <c r="E1605" s="7" t="s">
        <v>7438</v>
      </c>
      <c r="F1605" s="5" t="s">
        <v>7078</v>
      </c>
      <c r="G1605" s="5" t="s">
        <v>7390</v>
      </c>
      <c r="H1605" s="5">
        <v>2007.0</v>
      </c>
      <c r="I1605" s="5">
        <v>0.0</v>
      </c>
      <c r="J1605" s="5">
        <v>0.0</v>
      </c>
      <c r="K1605" s="5">
        <v>1.0</v>
      </c>
      <c r="L1605" s="54"/>
      <c r="M1605" s="5" t="s">
        <v>7444</v>
      </c>
      <c r="N1605" s="53" t="s">
        <v>4095</v>
      </c>
      <c r="O1605">
        <v>55.378051</v>
      </c>
      <c r="P1605">
        <v>-3.435973</v>
      </c>
      <c r="Q1605" s="5" t="s">
        <v>1882</v>
      </c>
      <c r="R1605" s="10">
        <f t="shared" si="10"/>
        <v>23</v>
      </c>
      <c r="S1605" s="5" t="s">
        <v>7445</v>
      </c>
      <c r="T1605" s="5"/>
      <c r="U1605" s="5" t="s">
        <v>7446</v>
      </c>
      <c r="V1605" s="5"/>
    </row>
    <row r="1606" ht="12.75" customHeight="1">
      <c r="A1606" s="5">
        <v>34918.0</v>
      </c>
      <c r="B1606" s="5" t="s">
        <v>49</v>
      </c>
      <c r="C1606" s="52" t="s">
        <v>50</v>
      </c>
      <c r="D1606" s="5" t="s">
        <v>2852</v>
      </c>
      <c r="E1606" s="7" t="s">
        <v>7447</v>
      </c>
      <c r="F1606" s="5" t="s">
        <v>7078</v>
      </c>
      <c r="G1606" s="5" t="s">
        <v>7390</v>
      </c>
      <c r="H1606" s="5">
        <v>2007.0</v>
      </c>
      <c r="I1606" s="5">
        <v>0.0</v>
      </c>
      <c r="J1606" s="5">
        <v>0.0</v>
      </c>
      <c r="K1606" s="5">
        <v>30.0</v>
      </c>
      <c r="L1606" s="54"/>
      <c r="M1606" s="5" t="s">
        <v>7448</v>
      </c>
      <c r="N1606" s="53" t="s">
        <v>7449</v>
      </c>
      <c r="O1606">
        <v>34.553128</v>
      </c>
      <c r="P1606">
        <v>18.048011</v>
      </c>
      <c r="Q1606" s="5" t="s">
        <v>582</v>
      </c>
      <c r="R1606" s="10">
        <f t="shared" si="10"/>
        <v>30</v>
      </c>
      <c r="S1606" s="5" t="s">
        <v>7450</v>
      </c>
      <c r="T1606" s="6" t="s">
        <v>2130</v>
      </c>
      <c r="U1606" s="5" t="s">
        <v>6352</v>
      </c>
      <c r="V1606" s="5"/>
    </row>
    <row r="1607" ht="12.75" customHeight="1">
      <c r="A1607" s="5">
        <v>34917.0</v>
      </c>
      <c r="B1607" s="5" t="s">
        <v>49</v>
      </c>
      <c r="C1607" s="52" t="s">
        <v>50</v>
      </c>
      <c r="D1607" s="5" t="s">
        <v>2852</v>
      </c>
      <c r="E1607" s="7" t="s">
        <v>7447</v>
      </c>
      <c r="F1607" s="5" t="s">
        <v>7078</v>
      </c>
      <c r="G1607" s="5" t="s">
        <v>7390</v>
      </c>
      <c r="H1607" s="5">
        <v>2007.0</v>
      </c>
      <c r="I1607" s="5">
        <v>0.0</v>
      </c>
      <c r="J1607" s="5">
        <v>0.0</v>
      </c>
      <c r="K1607" s="5">
        <v>4.0</v>
      </c>
      <c r="L1607" s="54"/>
      <c r="M1607" s="5" t="s">
        <v>7451</v>
      </c>
      <c r="N1607" s="53" t="s">
        <v>6097</v>
      </c>
      <c r="O1607">
        <v>36.68169</v>
      </c>
      <c r="P1607">
        <v>15.133875</v>
      </c>
      <c r="Q1607" s="5" t="s">
        <v>815</v>
      </c>
      <c r="R1607" s="10">
        <f t="shared" si="10"/>
        <v>17</v>
      </c>
      <c r="S1607" s="5" t="s">
        <v>7452</v>
      </c>
      <c r="T1607" s="6" t="s">
        <v>2130</v>
      </c>
      <c r="U1607" s="5" t="s">
        <v>7453</v>
      </c>
      <c r="V1607" s="5"/>
    </row>
    <row r="1608" ht="12.75" customHeight="1">
      <c r="A1608" s="5">
        <v>34919.0</v>
      </c>
      <c r="B1608" s="5" t="s">
        <v>68</v>
      </c>
      <c r="C1608" s="5" t="s">
        <v>69</v>
      </c>
      <c r="D1608" s="5" t="s">
        <v>2614</v>
      </c>
      <c r="E1608" s="7" t="s">
        <v>7454</v>
      </c>
      <c r="F1608" s="5" t="s">
        <v>7078</v>
      </c>
      <c r="G1608" s="5" t="s">
        <v>7390</v>
      </c>
      <c r="H1608" s="5">
        <v>2007.0</v>
      </c>
      <c r="I1608" s="5">
        <v>0.0</v>
      </c>
      <c r="J1608" s="5">
        <v>0.0</v>
      </c>
      <c r="K1608" s="5">
        <v>21.0</v>
      </c>
      <c r="L1608" s="54"/>
      <c r="M1608" s="5" t="s">
        <v>7455</v>
      </c>
      <c r="N1608" s="53" t="s">
        <v>2944</v>
      </c>
      <c r="O1608">
        <v>-12.8275</v>
      </c>
      <c r="P1608">
        <v>45.166244</v>
      </c>
      <c r="Q1608" s="5" t="s">
        <v>228</v>
      </c>
      <c r="R1608" s="10">
        <f t="shared" si="10"/>
        <v>757</v>
      </c>
      <c r="S1608" s="5" t="s">
        <v>7456</v>
      </c>
      <c r="T1608" s="5"/>
      <c r="U1608" s="5" t="s">
        <v>327</v>
      </c>
      <c r="V1608" s="5" t="s">
        <v>6625</v>
      </c>
    </row>
    <row r="1609" ht="12.75" customHeight="1">
      <c r="A1609" s="5">
        <v>34921.0</v>
      </c>
      <c r="B1609" s="5" t="s">
        <v>41</v>
      </c>
      <c r="C1609" s="5" t="s">
        <v>42</v>
      </c>
      <c r="D1609" s="5" t="s">
        <v>2852</v>
      </c>
      <c r="E1609" s="7" t="s">
        <v>7454</v>
      </c>
      <c r="F1609" s="5" t="s">
        <v>7078</v>
      </c>
      <c r="G1609" s="5" t="s">
        <v>7390</v>
      </c>
      <c r="H1609" s="5">
        <v>2007.0</v>
      </c>
      <c r="I1609" s="5">
        <v>0.0</v>
      </c>
      <c r="J1609" s="5">
        <v>0.0</v>
      </c>
      <c r="K1609" s="5">
        <v>2.0</v>
      </c>
      <c r="L1609" s="54"/>
      <c r="M1609" s="5" t="s">
        <v>7457</v>
      </c>
      <c r="N1609" s="53" t="s">
        <v>4941</v>
      </c>
      <c r="O1609">
        <v>28.291564</v>
      </c>
      <c r="P1609">
        <v>-16.62913</v>
      </c>
      <c r="Q1609" s="5" t="s">
        <v>382</v>
      </c>
      <c r="R1609" s="10">
        <f t="shared" si="10"/>
        <v>1120</v>
      </c>
      <c r="S1609" s="5" t="s">
        <v>7458</v>
      </c>
      <c r="T1609" s="5" t="s">
        <v>1040</v>
      </c>
      <c r="U1609" s="5" t="s">
        <v>6692</v>
      </c>
      <c r="V1609" s="5"/>
    </row>
    <row r="1610" ht="12.75" customHeight="1">
      <c r="A1610" s="5">
        <v>34920.0</v>
      </c>
      <c r="B1610" s="5" t="s">
        <v>49</v>
      </c>
      <c r="C1610" s="52" t="s">
        <v>50</v>
      </c>
      <c r="D1610" s="5" t="s">
        <v>2852</v>
      </c>
      <c r="E1610" s="7" t="s">
        <v>7454</v>
      </c>
      <c r="F1610" s="5" t="s">
        <v>7078</v>
      </c>
      <c r="G1610" s="5" t="s">
        <v>7390</v>
      </c>
      <c r="H1610" s="5">
        <v>2007.0</v>
      </c>
      <c r="I1610" s="5">
        <v>0.0</v>
      </c>
      <c r="J1610" s="5">
        <v>0.0</v>
      </c>
      <c r="K1610" s="5">
        <v>45.0</v>
      </c>
      <c r="L1610" s="54"/>
      <c r="M1610" s="5" t="s">
        <v>7459</v>
      </c>
      <c r="N1610" s="53" t="s">
        <v>2700</v>
      </c>
      <c r="O1610">
        <v>35.508622</v>
      </c>
      <c r="P1610">
        <v>12.59292</v>
      </c>
      <c r="Q1610" s="5" t="s">
        <v>669</v>
      </c>
      <c r="R1610" s="10">
        <f t="shared" si="10"/>
        <v>3843</v>
      </c>
      <c r="S1610" s="5" t="s">
        <v>7460</v>
      </c>
      <c r="T1610" s="6" t="s">
        <v>2130</v>
      </c>
      <c r="U1610" s="5" t="s">
        <v>7461</v>
      </c>
      <c r="V1610" s="5"/>
    </row>
    <row r="1611" ht="12.75" customHeight="1">
      <c r="A1611" s="5">
        <v>34924.0</v>
      </c>
      <c r="B1611" s="5" t="s">
        <v>49</v>
      </c>
      <c r="C1611" s="52" t="s">
        <v>50</v>
      </c>
      <c r="D1611" s="5" t="s">
        <v>2852</v>
      </c>
      <c r="E1611" s="7" t="s">
        <v>7462</v>
      </c>
      <c r="F1611" s="5" t="s">
        <v>7078</v>
      </c>
      <c r="G1611" s="5" t="s">
        <v>7390</v>
      </c>
      <c r="H1611" s="5">
        <v>2007.0</v>
      </c>
      <c r="I1611" s="5">
        <v>0.0</v>
      </c>
      <c r="J1611" s="5">
        <v>0.0</v>
      </c>
      <c r="K1611" s="5">
        <v>2.0</v>
      </c>
      <c r="L1611" s="54"/>
      <c r="M1611" s="5" t="s">
        <v>7463</v>
      </c>
      <c r="N1611" s="53" t="s">
        <v>2928</v>
      </c>
      <c r="O1611">
        <v>26.3351</v>
      </c>
      <c r="P1611">
        <v>17.228331</v>
      </c>
      <c r="Q1611" s="5" t="s">
        <v>337</v>
      </c>
      <c r="R1611" s="10">
        <f t="shared" si="10"/>
        <v>1371</v>
      </c>
      <c r="S1611" s="5" t="s">
        <v>7464</v>
      </c>
      <c r="T1611" s="6" t="s">
        <v>2130</v>
      </c>
      <c r="U1611" s="5" t="s">
        <v>3490</v>
      </c>
      <c r="V1611" s="5"/>
    </row>
    <row r="1612" ht="12.75" customHeight="1">
      <c r="A1612" s="5">
        <v>34923.0</v>
      </c>
      <c r="B1612" s="5" t="s">
        <v>49</v>
      </c>
      <c r="C1612" s="52" t="s">
        <v>50</v>
      </c>
      <c r="D1612" s="5" t="s">
        <v>2852</v>
      </c>
      <c r="E1612" s="7" t="s">
        <v>7462</v>
      </c>
      <c r="F1612" s="5" t="s">
        <v>7078</v>
      </c>
      <c r="G1612" s="5" t="s">
        <v>7390</v>
      </c>
      <c r="H1612" s="5">
        <v>2007.0</v>
      </c>
      <c r="I1612" s="5">
        <v>0.0</v>
      </c>
      <c r="J1612" s="5">
        <v>0.0</v>
      </c>
      <c r="K1612" s="5">
        <v>12.0</v>
      </c>
      <c r="L1612" s="54"/>
      <c r="M1612" s="5" t="s">
        <v>7465</v>
      </c>
      <c r="N1612" s="53" t="s">
        <v>2928</v>
      </c>
      <c r="O1612">
        <v>26.3351</v>
      </c>
      <c r="P1612">
        <v>17.228331</v>
      </c>
      <c r="Q1612" s="5" t="s">
        <v>337</v>
      </c>
      <c r="R1612" s="10">
        <f t="shared" si="10"/>
        <v>1371</v>
      </c>
      <c r="S1612" s="5" t="s">
        <v>7464</v>
      </c>
      <c r="T1612" s="6" t="s">
        <v>2130</v>
      </c>
      <c r="U1612" s="5" t="s">
        <v>3490</v>
      </c>
      <c r="V1612" s="5"/>
    </row>
    <row r="1613" ht="12.75" customHeight="1">
      <c r="A1613" s="5">
        <v>34922.0</v>
      </c>
      <c r="B1613" s="5" t="s">
        <v>68</v>
      </c>
      <c r="C1613" s="5" t="s">
        <v>69</v>
      </c>
      <c r="D1613" s="5" t="s">
        <v>2614</v>
      </c>
      <c r="E1613" s="7" t="s">
        <v>7462</v>
      </c>
      <c r="F1613" s="5" t="s">
        <v>7078</v>
      </c>
      <c r="G1613" s="5" t="s">
        <v>7390</v>
      </c>
      <c r="H1613" s="5">
        <v>2007.0</v>
      </c>
      <c r="I1613" s="5">
        <v>0.0</v>
      </c>
      <c r="J1613" s="5">
        <v>0.0</v>
      </c>
      <c r="K1613" s="5">
        <v>1.0</v>
      </c>
      <c r="L1613" s="54"/>
      <c r="M1613" s="5" t="s">
        <v>7466</v>
      </c>
      <c r="N1613" s="53" t="s">
        <v>7467</v>
      </c>
      <c r="O1613">
        <v>37.27626</v>
      </c>
      <c r="P1613">
        <v>9.873071</v>
      </c>
      <c r="Q1613" s="5" t="s">
        <v>919</v>
      </c>
      <c r="R1613" s="10">
        <f t="shared" si="10"/>
        <v>3</v>
      </c>
      <c r="S1613" s="5" t="s">
        <v>7468</v>
      </c>
      <c r="T1613" s="6" t="s">
        <v>2130</v>
      </c>
      <c r="U1613" s="5" t="s">
        <v>5920</v>
      </c>
      <c r="V1613" s="5" t="s">
        <v>7469</v>
      </c>
    </row>
    <row r="1614" ht="12.75" customHeight="1">
      <c r="A1614" s="5">
        <v>34925.0</v>
      </c>
      <c r="B1614" s="5" t="s">
        <v>68</v>
      </c>
      <c r="C1614" s="5" t="s">
        <v>69</v>
      </c>
      <c r="D1614" s="5" t="s">
        <v>2852</v>
      </c>
      <c r="E1614" s="7" t="s">
        <v>7470</v>
      </c>
      <c r="F1614" s="5" t="s">
        <v>7078</v>
      </c>
      <c r="G1614" s="5" t="s">
        <v>7390</v>
      </c>
      <c r="H1614" s="5">
        <v>2007.0</v>
      </c>
      <c r="I1614" s="5">
        <v>0.0</v>
      </c>
      <c r="J1614" s="5">
        <v>0.0</v>
      </c>
      <c r="K1614" s="5">
        <v>1.0</v>
      </c>
      <c r="L1614" s="54"/>
      <c r="M1614" s="5" t="s">
        <v>7471</v>
      </c>
      <c r="N1614" s="53" t="s">
        <v>2700</v>
      </c>
      <c r="O1614">
        <v>35.508622</v>
      </c>
      <c r="P1614">
        <v>12.59292</v>
      </c>
      <c r="Q1614" s="5" t="s">
        <v>669</v>
      </c>
      <c r="R1614" s="10">
        <f t="shared" si="10"/>
        <v>3843</v>
      </c>
      <c r="S1614" s="5" t="s">
        <v>7472</v>
      </c>
      <c r="T1614" s="6" t="s">
        <v>2130</v>
      </c>
      <c r="U1614" s="5" t="s">
        <v>3490</v>
      </c>
      <c r="V1614" s="5"/>
    </row>
    <row r="1615" ht="12.75" customHeight="1">
      <c r="A1615" s="5">
        <v>34926.0</v>
      </c>
      <c r="B1615" s="5" t="s">
        <v>49</v>
      </c>
      <c r="C1615" s="52" t="s">
        <v>50</v>
      </c>
      <c r="D1615" s="5" t="s">
        <v>2852</v>
      </c>
      <c r="E1615" s="7" t="s">
        <v>7470</v>
      </c>
      <c r="F1615" s="5" t="s">
        <v>7078</v>
      </c>
      <c r="G1615" s="5" t="s">
        <v>7390</v>
      </c>
      <c r="H1615" s="5">
        <v>2007.0</v>
      </c>
      <c r="I1615" s="5">
        <v>0.0</v>
      </c>
      <c r="J1615" s="5">
        <v>0.0</v>
      </c>
      <c r="K1615" s="5">
        <v>21.0</v>
      </c>
      <c r="L1615" s="54"/>
      <c r="M1615" s="5" t="s">
        <v>7473</v>
      </c>
      <c r="N1615" s="53" t="s">
        <v>2938</v>
      </c>
      <c r="O1615">
        <v>35.937496</v>
      </c>
      <c r="P1615">
        <v>14.375416</v>
      </c>
      <c r="Q1615" s="5" t="s">
        <v>740</v>
      </c>
      <c r="R1615" s="10">
        <f t="shared" si="10"/>
        <v>655</v>
      </c>
      <c r="S1615" s="5" t="s">
        <v>7474</v>
      </c>
      <c r="T1615" s="6" t="s">
        <v>2130</v>
      </c>
      <c r="U1615" s="5" t="s">
        <v>7475</v>
      </c>
      <c r="V1615" s="5"/>
    </row>
    <row r="1616" ht="12.75" customHeight="1">
      <c r="A1616" s="5">
        <v>34927.0</v>
      </c>
      <c r="B1616" s="5" t="s">
        <v>68</v>
      </c>
      <c r="C1616" s="5" t="s">
        <v>69</v>
      </c>
      <c r="D1616" s="5" t="s">
        <v>2852</v>
      </c>
      <c r="E1616" s="7" t="s">
        <v>7476</v>
      </c>
      <c r="F1616" s="5" t="s">
        <v>7078</v>
      </c>
      <c r="G1616" s="5" t="s">
        <v>7390</v>
      </c>
      <c r="H1616" s="5">
        <v>2007.0</v>
      </c>
      <c r="I1616" s="5">
        <v>0.0</v>
      </c>
      <c r="J1616" s="5">
        <v>0.0</v>
      </c>
      <c r="K1616" s="5">
        <v>3.0</v>
      </c>
      <c r="L1616" s="54"/>
      <c r="M1616" s="5" t="s">
        <v>7477</v>
      </c>
      <c r="N1616" s="53" t="s">
        <v>4941</v>
      </c>
      <c r="O1616">
        <v>28.291564</v>
      </c>
      <c r="P1616">
        <v>-16.62913</v>
      </c>
      <c r="Q1616" s="5" t="s">
        <v>382</v>
      </c>
      <c r="R1616" s="10">
        <f t="shared" si="10"/>
        <v>1120</v>
      </c>
      <c r="S1616" s="5" t="s">
        <v>7478</v>
      </c>
      <c r="T1616" s="5" t="s">
        <v>1040</v>
      </c>
      <c r="U1616" s="5" t="s">
        <v>7479</v>
      </c>
      <c r="V1616" s="5"/>
    </row>
    <row r="1617" ht="12.75" customHeight="1">
      <c r="A1617" s="5">
        <v>34928.0</v>
      </c>
      <c r="B1617" s="5" t="s">
        <v>49</v>
      </c>
      <c r="C1617" s="52" t="s">
        <v>50</v>
      </c>
      <c r="D1617" s="5" t="s">
        <v>2852</v>
      </c>
      <c r="E1617" s="7" t="s">
        <v>7476</v>
      </c>
      <c r="F1617" s="5" t="s">
        <v>7078</v>
      </c>
      <c r="G1617" s="5" t="s">
        <v>7390</v>
      </c>
      <c r="H1617" s="5">
        <v>2007.0</v>
      </c>
      <c r="I1617" s="5">
        <v>0.0</v>
      </c>
      <c r="J1617" s="5">
        <v>0.0</v>
      </c>
      <c r="K1617" s="5">
        <v>13.0</v>
      </c>
      <c r="L1617" s="54"/>
      <c r="M1617" s="5" t="s">
        <v>7480</v>
      </c>
      <c r="N1617" s="53" t="s">
        <v>7481</v>
      </c>
      <c r="O1617">
        <v>35.166667</v>
      </c>
      <c r="P1617">
        <v>-2.933333</v>
      </c>
      <c r="Q1617" s="5" t="s">
        <v>629</v>
      </c>
      <c r="R1617" s="10">
        <f t="shared" si="10"/>
        <v>14</v>
      </c>
      <c r="S1617" s="5" t="s">
        <v>7482</v>
      </c>
      <c r="T1617" s="6" t="s">
        <v>72</v>
      </c>
      <c r="U1617" s="5" t="s">
        <v>7483</v>
      </c>
      <c r="V1617" s="5"/>
    </row>
    <row r="1618" ht="12.75" customHeight="1">
      <c r="A1618" s="5">
        <v>34929.0</v>
      </c>
      <c r="B1618" s="5" t="s">
        <v>68</v>
      </c>
      <c r="C1618" s="5" t="s">
        <v>69</v>
      </c>
      <c r="D1618" s="5" t="s">
        <v>2852</v>
      </c>
      <c r="E1618" s="7" t="s">
        <v>7484</v>
      </c>
      <c r="F1618" s="5" t="s">
        <v>7078</v>
      </c>
      <c r="G1618" s="5" t="s">
        <v>7390</v>
      </c>
      <c r="H1618" s="5">
        <v>2007.0</v>
      </c>
      <c r="I1618" s="5">
        <v>0.0</v>
      </c>
      <c r="J1618" s="5">
        <v>0.0</v>
      </c>
      <c r="K1618" s="5">
        <v>1.0</v>
      </c>
      <c r="L1618" s="54"/>
      <c r="M1618" s="5" t="s">
        <v>7485</v>
      </c>
      <c r="N1618" s="53" t="s">
        <v>4556</v>
      </c>
      <c r="O1618">
        <v>28.291564</v>
      </c>
      <c r="P1618">
        <v>-16.62913</v>
      </c>
      <c r="Q1618" s="5" t="s">
        <v>382</v>
      </c>
      <c r="R1618" s="10">
        <f t="shared" si="10"/>
        <v>1120</v>
      </c>
      <c r="S1618" s="5" t="s">
        <v>7486</v>
      </c>
      <c r="T1618" s="5" t="s">
        <v>1040</v>
      </c>
      <c r="U1618" s="5" t="s">
        <v>7487</v>
      </c>
      <c r="V1618" s="5"/>
    </row>
    <row r="1619" ht="12.75" customHeight="1">
      <c r="A1619" s="5">
        <v>34930.0</v>
      </c>
      <c r="B1619" s="5" t="s">
        <v>68</v>
      </c>
      <c r="C1619" s="5" t="s">
        <v>69</v>
      </c>
      <c r="D1619" s="5" t="s">
        <v>2852</v>
      </c>
      <c r="E1619" s="7" t="s">
        <v>7488</v>
      </c>
      <c r="F1619" s="5" t="s">
        <v>7078</v>
      </c>
      <c r="G1619" s="5" t="s">
        <v>7390</v>
      </c>
      <c r="H1619" s="5">
        <v>2007.0</v>
      </c>
      <c r="I1619" s="5">
        <v>0.0</v>
      </c>
      <c r="J1619" s="5">
        <v>0.0</v>
      </c>
      <c r="K1619" s="5">
        <v>1.0</v>
      </c>
      <c r="L1619" s="54"/>
      <c r="M1619" s="5" t="s">
        <v>7489</v>
      </c>
      <c r="N1619" s="53" t="s">
        <v>5260</v>
      </c>
      <c r="O1619">
        <v>23.803497</v>
      </c>
      <c r="P1619">
        <v>11.291889</v>
      </c>
      <c r="Q1619" s="5" t="s">
        <v>324</v>
      </c>
      <c r="R1619" s="10">
        <f t="shared" si="10"/>
        <v>234</v>
      </c>
      <c r="S1619" s="5" t="s">
        <v>7490</v>
      </c>
      <c r="T1619" s="5" t="s">
        <v>1040</v>
      </c>
      <c r="U1619" s="5" t="s">
        <v>7491</v>
      </c>
      <c r="V1619" s="5"/>
    </row>
    <row r="1620" ht="12.75" customHeight="1">
      <c r="A1620" s="5">
        <v>34985.0</v>
      </c>
      <c r="B1620" s="5" t="s">
        <v>68</v>
      </c>
      <c r="C1620" s="5" t="s">
        <v>69</v>
      </c>
      <c r="D1620" s="5" t="s">
        <v>2614</v>
      </c>
      <c r="E1620" s="7" t="s">
        <v>7492</v>
      </c>
      <c r="F1620" s="5" t="s">
        <v>7493</v>
      </c>
      <c r="G1620" s="5" t="s">
        <v>7494</v>
      </c>
      <c r="H1620" s="5">
        <v>2006.0</v>
      </c>
      <c r="I1620" s="5">
        <v>0.0</v>
      </c>
      <c r="J1620" s="5">
        <v>0.0</v>
      </c>
      <c r="K1620" s="5">
        <v>1.0</v>
      </c>
      <c r="L1620" s="54"/>
      <c r="M1620" s="5" t="s">
        <v>7495</v>
      </c>
      <c r="N1620" s="53" t="s">
        <v>4556</v>
      </c>
      <c r="O1620">
        <v>28.291564</v>
      </c>
      <c r="P1620">
        <v>-16.62913</v>
      </c>
      <c r="Q1620" s="5" t="s">
        <v>382</v>
      </c>
      <c r="R1620" s="10">
        <f t="shared" si="10"/>
        <v>1120</v>
      </c>
      <c r="S1620" s="5" t="s">
        <v>7496</v>
      </c>
      <c r="T1620" s="5" t="s">
        <v>1040</v>
      </c>
      <c r="U1620" s="5" t="s">
        <v>7497</v>
      </c>
      <c r="V1620" s="5" t="s">
        <v>7498</v>
      </c>
    </row>
    <row r="1621" ht="12.75" customHeight="1">
      <c r="A1621" s="5">
        <v>34986.0</v>
      </c>
      <c r="B1621" s="5" t="s">
        <v>49</v>
      </c>
      <c r="C1621" s="52" t="s">
        <v>50</v>
      </c>
      <c r="D1621" s="5" t="s">
        <v>2852</v>
      </c>
      <c r="E1621" s="7" t="s">
        <v>7499</v>
      </c>
      <c r="F1621" s="5" t="s">
        <v>7493</v>
      </c>
      <c r="G1621" s="5" t="s">
        <v>7494</v>
      </c>
      <c r="H1621" s="5">
        <v>2006.0</v>
      </c>
      <c r="I1621" s="5">
        <v>0.0</v>
      </c>
      <c r="J1621" s="5">
        <v>0.0</v>
      </c>
      <c r="K1621" s="5">
        <v>9.0</v>
      </c>
      <c r="L1621" s="54"/>
      <c r="M1621" s="5" t="s">
        <v>7500</v>
      </c>
      <c r="N1621" s="53" t="s">
        <v>3014</v>
      </c>
      <c r="O1621">
        <v>38.41885</v>
      </c>
      <c r="P1621">
        <v>27.12872</v>
      </c>
      <c r="Q1621" s="5" t="s">
        <v>1022</v>
      </c>
      <c r="R1621" s="10">
        <f t="shared" si="10"/>
        <v>152</v>
      </c>
      <c r="S1621" s="5" t="s">
        <v>7501</v>
      </c>
      <c r="T1621" s="6" t="s">
        <v>53</v>
      </c>
      <c r="U1621" s="5" t="s">
        <v>7502</v>
      </c>
      <c r="V1621" s="5" t="s">
        <v>7503</v>
      </c>
    </row>
    <row r="1622" ht="12.75" customHeight="1">
      <c r="A1622" s="5">
        <v>34987.0</v>
      </c>
      <c r="B1622" s="5" t="s">
        <v>49</v>
      </c>
      <c r="C1622" s="52" t="s">
        <v>50</v>
      </c>
      <c r="D1622" s="5" t="s">
        <v>2852</v>
      </c>
      <c r="E1622" s="7" t="s">
        <v>7504</v>
      </c>
      <c r="F1622" s="5" t="s">
        <v>7493</v>
      </c>
      <c r="G1622" s="5" t="s">
        <v>7494</v>
      </c>
      <c r="H1622" s="5">
        <v>2006.0</v>
      </c>
      <c r="I1622" s="5">
        <v>0.0</v>
      </c>
      <c r="J1622" s="5">
        <v>0.0</v>
      </c>
      <c r="K1622" s="5">
        <v>2.0</v>
      </c>
      <c r="L1622" s="54"/>
      <c r="M1622" s="5" t="s">
        <v>7505</v>
      </c>
      <c r="N1622" s="53" t="s">
        <v>2700</v>
      </c>
      <c r="O1622">
        <v>35.508622</v>
      </c>
      <c r="P1622">
        <v>12.59292</v>
      </c>
      <c r="Q1622" s="5" t="s">
        <v>669</v>
      </c>
      <c r="R1622" s="10">
        <f t="shared" si="10"/>
        <v>3843</v>
      </c>
      <c r="S1622" s="5" t="s">
        <v>7506</v>
      </c>
      <c r="T1622" s="6" t="s">
        <v>2130</v>
      </c>
      <c r="U1622" s="5" t="s">
        <v>7507</v>
      </c>
      <c r="V1622" s="5" t="s">
        <v>7508</v>
      </c>
    </row>
    <row r="1623" ht="12.75" customHeight="1">
      <c r="A1623" s="5">
        <v>34988.0</v>
      </c>
      <c r="B1623" s="5" t="s">
        <v>49</v>
      </c>
      <c r="C1623" s="52" t="s">
        <v>50</v>
      </c>
      <c r="D1623" s="5" t="s">
        <v>2852</v>
      </c>
      <c r="E1623" s="7" t="s">
        <v>7509</v>
      </c>
      <c r="F1623" s="5" t="s">
        <v>7493</v>
      </c>
      <c r="G1623" s="5" t="s">
        <v>7494</v>
      </c>
      <c r="H1623" s="5">
        <v>2006.0</v>
      </c>
      <c r="I1623" s="5">
        <v>0.0</v>
      </c>
      <c r="J1623" s="5">
        <v>0.0</v>
      </c>
      <c r="K1623" s="5">
        <v>25.0</v>
      </c>
      <c r="L1623" s="54"/>
      <c r="M1623" s="5" t="s">
        <v>7510</v>
      </c>
      <c r="N1623" s="53" t="s">
        <v>5473</v>
      </c>
      <c r="O1623">
        <v>34.264061</v>
      </c>
      <c r="P1623">
        <v>-6.578296</v>
      </c>
      <c r="Q1623" s="5" t="s">
        <v>578</v>
      </c>
      <c r="R1623" s="10">
        <f t="shared" si="10"/>
        <v>203</v>
      </c>
      <c r="S1623" s="5" t="s">
        <v>7511</v>
      </c>
      <c r="T1623" s="6" t="s">
        <v>72</v>
      </c>
      <c r="U1623" s="5" t="s">
        <v>7512</v>
      </c>
      <c r="V1623" s="5" t="s">
        <v>7513</v>
      </c>
    </row>
    <row r="1624" ht="12.75" customHeight="1">
      <c r="A1624" s="5">
        <v>34989.0</v>
      </c>
      <c r="B1624" s="5" t="s">
        <v>68</v>
      </c>
      <c r="C1624" s="5" t="s">
        <v>69</v>
      </c>
      <c r="D1624" s="5" t="s">
        <v>2614</v>
      </c>
      <c r="E1624" s="7" t="s">
        <v>7514</v>
      </c>
      <c r="F1624" s="5" t="s">
        <v>7493</v>
      </c>
      <c r="G1624" s="5" t="s">
        <v>7494</v>
      </c>
      <c r="H1624" s="5">
        <v>2006.0</v>
      </c>
      <c r="I1624" s="5">
        <v>0.0</v>
      </c>
      <c r="J1624" s="5">
        <v>0.0</v>
      </c>
      <c r="K1624" s="5">
        <v>1.0</v>
      </c>
      <c r="L1624" s="54"/>
      <c r="M1624" s="5" t="s">
        <v>7515</v>
      </c>
      <c r="N1624" s="53" t="s">
        <v>3379</v>
      </c>
      <c r="O1624">
        <v>36.834047</v>
      </c>
      <c r="P1624">
        <v>-2.463714</v>
      </c>
      <c r="Q1624" s="5" t="s">
        <v>863</v>
      </c>
      <c r="R1624" s="10">
        <f t="shared" si="10"/>
        <v>208</v>
      </c>
      <c r="S1624" s="5" t="s">
        <v>7516</v>
      </c>
      <c r="T1624" s="6" t="s">
        <v>72</v>
      </c>
      <c r="U1624" s="5" t="s">
        <v>7517</v>
      </c>
      <c r="V1624" s="5" t="s">
        <v>7518</v>
      </c>
    </row>
    <row r="1625" ht="12.75" customHeight="1">
      <c r="A1625" s="5">
        <v>34990.0</v>
      </c>
      <c r="B1625" s="5" t="s">
        <v>68</v>
      </c>
      <c r="C1625" s="5" t="s">
        <v>69</v>
      </c>
      <c r="D1625" s="5" t="s">
        <v>2614</v>
      </c>
      <c r="E1625" s="7" t="s">
        <v>7519</v>
      </c>
      <c r="F1625" s="5" t="s">
        <v>7493</v>
      </c>
      <c r="G1625" s="5" t="s">
        <v>7494</v>
      </c>
      <c r="H1625" s="5">
        <v>2006.0</v>
      </c>
      <c r="I1625" s="5">
        <v>0.0</v>
      </c>
      <c r="J1625" s="5">
        <v>0.0</v>
      </c>
      <c r="K1625" s="5">
        <v>11.0</v>
      </c>
      <c r="L1625" s="54"/>
      <c r="M1625" s="5" t="s">
        <v>7520</v>
      </c>
      <c r="N1625" s="53" t="s">
        <v>2944</v>
      </c>
      <c r="O1625">
        <v>-12.8275</v>
      </c>
      <c r="P1625">
        <v>45.166244</v>
      </c>
      <c r="Q1625" s="5" t="s">
        <v>228</v>
      </c>
      <c r="R1625" s="10">
        <f t="shared" si="10"/>
        <v>757</v>
      </c>
      <c r="S1625" s="5" t="s">
        <v>7521</v>
      </c>
      <c r="T1625" s="5"/>
      <c r="U1625" s="5" t="s">
        <v>327</v>
      </c>
      <c r="V1625" s="5" t="s">
        <v>6625</v>
      </c>
    </row>
    <row r="1626" ht="12.75" customHeight="1">
      <c r="A1626" s="5">
        <v>34991.0</v>
      </c>
      <c r="B1626" s="5" t="s">
        <v>68</v>
      </c>
      <c r="C1626" s="5" t="s">
        <v>69</v>
      </c>
      <c r="D1626" s="5" t="s">
        <v>2852</v>
      </c>
      <c r="E1626" s="7" t="s">
        <v>7519</v>
      </c>
      <c r="F1626" s="5" t="s">
        <v>7493</v>
      </c>
      <c r="G1626" s="5" t="s">
        <v>7494</v>
      </c>
      <c r="H1626" s="5">
        <v>2006.0</v>
      </c>
      <c r="I1626" s="5">
        <v>0.0</v>
      </c>
      <c r="J1626" s="5">
        <v>0.0</v>
      </c>
      <c r="K1626" s="5">
        <v>2.0</v>
      </c>
      <c r="L1626" s="54"/>
      <c r="M1626" s="5" t="s">
        <v>7522</v>
      </c>
      <c r="N1626" s="53" t="s">
        <v>2680</v>
      </c>
      <c r="O1626">
        <v>36.018776</v>
      </c>
      <c r="P1626">
        <v>-5.600819</v>
      </c>
      <c r="Q1626" s="5" t="s">
        <v>761</v>
      </c>
      <c r="R1626" s="10">
        <f t="shared" si="10"/>
        <v>492</v>
      </c>
      <c r="S1626" s="5" t="s">
        <v>7523</v>
      </c>
      <c r="T1626" s="6" t="s">
        <v>72</v>
      </c>
      <c r="U1626" s="5" t="s">
        <v>7524</v>
      </c>
      <c r="V1626" s="5"/>
    </row>
    <row r="1627" ht="12.75" customHeight="1">
      <c r="A1627" s="5">
        <v>34992.0</v>
      </c>
      <c r="B1627" s="5" t="s">
        <v>1995</v>
      </c>
      <c r="C1627" s="52" t="s">
        <v>50</v>
      </c>
      <c r="D1627" s="5" t="s">
        <v>2852</v>
      </c>
      <c r="E1627" s="7" t="s">
        <v>7525</v>
      </c>
      <c r="F1627" s="5" t="s">
        <v>7493</v>
      </c>
      <c r="G1627" s="5" t="s">
        <v>7494</v>
      </c>
      <c r="H1627" s="5">
        <v>2006.0</v>
      </c>
      <c r="I1627" s="5">
        <v>0.0</v>
      </c>
      <c r="J1627" s="5">
        <v>0.0</v>
      </c>
      <c r="K1627" s="5">
        <v>1.0</v>
      </c>
      <c r="L1627" s="54"/>
      <c r="M1627" s="5" t="s">
        <v>7526</v>
      </c>
      <c r="N1627" s="53" t="s">
        <v>7285</v>
      </c>
      <c r="O1627">
        <v>28.291564</v>
      </c>
      <c r="P1627">
        <v>-16.62913</v>
      </c>
      <c r="Q1627" s="5" t="s">
        <v>382</v>
      </c>
      <c r="R1627" s="10">
        <f t="shared" si="10"/>
        <v>1120</v>
      </c>
      <c r="S1627" s="5" t="s">
        <v>7527</v>
      </c>
      <c r="T1627" s="5" t="s">
        <v>1040</v>
      </c>
      <c r="U1627" s="5" t="s">
        <v>7528</v>
      </c>
      <c r="V1627" s="5" t="s">
        <v>7529</v>
      </c>
    </row>
    <row r="1628" ht="12.75" customHeight="1">
      <c r="A1628" s="5">
        <v>34993.0</v>
      </c>
      <c r="B1628" s="5" t="s">
        <v>49</v>
      </c>
      <c r="C1628" s="52" t="s">
        <v>50</v>
      </c>
      <c r="D1628" s="5" t="s">
        <v>2852</v>
      </c>
      <c r="E1628" s="7" t="s">
        <v>7525</v>
      </c>
      <c r="F1628" s="5" t="s">
        <v>7493</v>
      </c>
      <c r="G1628" s="5" t="s">
        <v>7494</v>
      </c>
      <c r="H1628" s="5">
        <v>2006.0</v>
      </c>
      <c r="I1628" s="5">
        <v>0.0</v>
      </c>
      <c r="J1628" s="5">
        <v>0.0</v>
      </c>
      <c r="K1628" s="5">
        <v>13.0</v>
      </c>
      <c r="L1628" s="54"/>
      <c r="M1628" s="5" t="s">
        <v>7530</v>
      </c>
      <c r="N1628" s="53" t="s">
        <v>2700</v>
      </c>
      <c r="O1628">
        <v>35.508622</v>
      </c>
      <c r="P1628">
        <v>12.59292</v>
      </c>
      <c r="Q1628" s="5" t="s">
        <v>669</v>
      </c>
      <c r="R1628" s="10">
        <f t="shared" si="10"/>
        <v>3843</v>
      </c>
      <c r="S1628" s="5" t="s">
        <v>7531</v>
      </c>
      <c r="T1628" s="6" t="s">
        <v>2130</v>
      </c>
      <c r="U1628" s="5" t="s">
        <v>7532</v>
      </c>
      <c r="V1628" s="5" t="s">
        <v>7533</v>
      </c>
    </row>
    <row r="1629" ht="12.75" customHeight="1">
      <c r="A1629" s="5">
        <v>34994.0</v>
      </c>
      <c r="B1629" s="5" t="s">
        <v>68</v>
      </c>
      <c r="C1629" s="5" t="s">
        <v>69</v>
      </c>
      <c r="D1629" s="5" t="s">
        <v>2852</v>
      </c>
      <c r="E1629" s="7" t="s">
        <v>7534</v>
      </c>
      <c r="F1629" s="5" t="s">
        <v>7493</v>
      </c>
      <c r="G1629" s="5" t="s">
        <v>7494</v>
      </c>
      <c r="H1629" s="5">
        <v>2006.0</v>
      </c>
      <c r="I1629" s="5">
        <v>0.0</v>
      </c>
      <c r="J1629" s="5">
        <v>0.0</v>
      </c>
      <c r="K1629" s="5">
        <v>1.0</v>
      </c>
      <c r="L1629" s="54"/>
      <c r="M1629" s="5" t="s">
        <v>7535</v>
      </c>
      <c r="N1629" s="53" t="s">
        <v>4941</v>
      </c>
      <c r="O1629">
        <v>28.291564</v>
      </c>
      <c r="P1629">
        <v>-16.62913</v>
      </c>
      <c r="Q1629" s="5" t="s">
        <v>382</v>
      </c>
      <c r="R1629" s="10">
        <f t="shared" si="10"/>
        <v>1120</v>
      </c>
      <c r="S1629" s="5" t="s">
        <v>7536</v>
      </c>
      <c r="T1629" s="5" t="s">
        <v>1040</v>
      </c>
      <c r="U1629" s="5" t="s">
        <v>7537</v>
      </c>
      <c r="V1629" s="5" t="s">
        <v>7538</v>
      </c>
    </row>
    <row r="1630" ht="12.75" customHeight="1">
      <c r="A1630" s="5">
        <v>34996.0</v>
      </c>
      <c r="B1630" s="5" t="s">
        <v>68</v>
      </c>
      <c r="C1630" s="5" t="s">
        <v>69</v>
      </c>
      <c r="D1630" s="5" t="s">
        <v>2852</v>
      </c>
      <c r="E1630" s="7" t="s">
        <v>7539</v>
      </c>
      <c r="F1630" s="5" t="s">
        <v>7493</v>
      </c>
      <c r="G1630" s="5" t="s">
        <v>7494</v>
      </c>
      <c r="H1630" s="5">
        <v>2006.0</v>
      </c>
      <c r="I1630" s="5">
        <v>0.0</v>
      </c>
      <c r="J1630" s="5">
        <v>0.0</v>
      </c>
      <c r="K1630" s="5">
        <v>2.0</v>
      </c>
      <c r="L1630" s="54"/>
      <c r="M1630" s="5" t="s">
        <v>7540</v>
      </c>
      <c r="N1630" s="53" t="s">
        <v>7541</v>
      </c>
      <c r="O1630">
        <v>38.933622</v>
      </c>
      <c r="P1630">
        <v>16.275751</v>
      </c>
      <c r="Q1630" s="5" t="s">
        <v>1043</v>
      </c>
      <c r="R1630" s="10">
        <f t="shared" si="10"/>
        <v>3</v>
      </c>
      <c r="S1630" s="5" t="s">
        <v>7542</v>
      </c>
      <c r="T1630" s="6" t="s">
        <v>1963</v>
      </c>
      <c r="U1630" s="5"/>
      <c r="V1630" s="5"/>
    </row>
    <row r="1631" ht="12.75" customHeight="1">
      <c r="A1631" s="5">
        <v>34995.0</v>
      </c>
      <c r="B1631" s="5" t="s">
        <v>5200</v>
      </c>
      <c r="C1631" s="5" t="s">
        <v>124</v>
      </c>
      <c r="D1631" s="5" t="s">
        <v>2614</v>
      </c>
      <c r="E1631" s="7" t="s">
        <v>7539</v>
      </c>
      <c r="F1631" s="5" t="s">
        <v>7493</v>
      </c>
      <c r="G1631" s="5" t="s">
        <v>7494</v>
      </c>
      <c r="H1631" s="5">
        <v>2006.0</v>
      </c>
      <c r="I1631" s="5">
        <v>0.0</v>
      </c>
      <c r="J1631" s="5">
        <v>0.0</v>
      </c>
      <c r="K1631" s="5">
        <v>2.0</v>
      </c>
      <c r="L1631" s="54"/>
      <c r="M1631" s="5" t="s">
        <v>7543</v>
      </c>
      <c r="N1631" s="53" t="s">
        <v>2834</v>
      </c>
      <c r="O1631">
        <v>41.244376</v>
      </c>
      <c r="P1631">
        <v>26.135943</v>
      </c>
      <c r="Q1631" s="5" t="s">
        <v>1214</v>
      </c>
      <c r="R1631" s="10">
        <f t="shared" si="10"/>
        <v>188</v>
      </c>
      <c r="S1631" s="5" t="s">
        <v>7544</v>
      </c>
      <c r="T1631" s="6" t="s">
        <v>53</v>
      </c>
      <c r="U1631" s="5" t="s">
        <v>3318</v>
      </c>
      <c r="V1631" s="5" t="s">
        <v>7545</v>
      </c>
    </row>
    <row r="1632" ht="12.75" customHeight="1">
      <c r="A1632" s="5">
        <v>34997.0</v>
      </c>
      <c r="B1632" s="5" t="s">
        <v>491</v>
      </c>
      <c r="C1632" s="52" t="s">
        <v>50</v>
      </c>
      <c r="D1632" s="5" t="s">
        <v>2852</v>
      </c>
      <c r="E1632" s="7" t="s">
        <v>7546</v>
      </c>
      <c r="F1632" s="5" t="s">
        <v>7493</v>
      </c>
      <c r="G1632" s="5" t="s">
        <v>7494</v>
      </c>
      <c r="H1632" s="5">
        <v>2006.0</v>
      </c>
      <c r="I1632" s="5">
        <v>0.0</v>
      </c>
      <c r="J1632" s="5">
        <v>0.0</v>
      </c>
      <c r="K1632" s="5">
        <v>17.0</v>
      </c>
      <c r="L1632" s="54"/>
      <c r="M1632" s="5" t="s">
        <v>7547</v>
      </c>
      <c r="N1632" s="53" t="s">
        <v>3314</v>
      </c>
      <c r="O1632">
        <v>37.599994</v>
      </c>
      <c r="P1632">
        <v>14.015356</v>
      </c>
      <c r="Q1632" s="5" t="s">
        <v>949</v>
      </c>
      <c r="R1632" s="10">
        <f t="shared" si="10"/>
        <v>363</v>
      </c>
      <c r="S1632" s="5" t="s">
        <v>7548</v>
      </c>
      <c r="T1632" s="6" t="s">
        <v>2130</v>
      </c>
      <c r="U1632" s="5" t="s">
        <v>7549</v>
      </c>
      <c r="V1632" s="5" t="s">
        <v>7550</v>
      </c>
    </row>
    <row r="1633" ht="12.75" customHeight="1">
      <c r="A1633" s="5">
        <v>34998.0</v>
      </c>
      <c r="B1633" s="5" t="s">
        <v>68</v>
      </c>
      <c r="C1633" s="5" t="s">
        <v>69</v>
      </c>
      <c r="D1633" s="5" t="s">
        <v>2614</v>
      </c>
      <c r="E1633" s="7" t="s">
        <v>7551</v>
      </c>
      <c r="F1633" s="5" t="s">
        <v>7493</v>
      </c>
      <c r="G1633" s="5" t="s">
        <v>7494</v>
      </c>
      <c r="H1633" s="5">
        <v>2006.0</v>
      </c>
      <c r="I1633" s="5">
        <v>0.0</v>
      </c>
      <c r="J1633" s="5">
        <v>0.0</v>
      </c>
      <c r="K1633" s="5">
        <v>1.0</v>
      </c>
      <c r="L1633" s="54"/>
      <c r="M1633" s="5" t="s">
        <v>7552</v>
      </c>
      <c r="N1633" s="53" t="s">
        <v>2700</v>
      </c>
      <c r="O1633">
        <v>35.508622</v>
      </c>
      <c r="P1633">
        <v>12.59292</v>
      </c>
      <c r="Q1633" s="5" t="s">
        <v>669</v>
      </c>
      <c r="R1633" s="10">
        <f t="shared" si="10"/>
        <v>3843</v>
      </c>
      <c r="S1633" s="5" t="s">
        <v>7553</v>
      </c>
      <c r="T1633" s="6" t="s">
        <v>2130</v>
      </c>
      <c r="U1633" s="5" t="s">
        <v>2326</v>
      </c>
      <c r="V1633" s="5" t="s">
        <v>7554</v>
      </c>
    </row>
    <row r="1634" ht="12.75" customHeight="1">
      <c r="A1634" s="5">
        <v>34999.0</v>
      </c>
      <c r="B1634" s="5" t="s">
        <v>68</v>
      </c>
      <c r="C1634" s="5" t="s">
        <v>69</v>
      </c>
      <c r="D1634" s="5" t="s">
        <v>2614</v>
      </c>
      <c r="E1634" s="7" t="s">
        <v>7555</v>
      </c>
      <c r="F1634" s="5" t="s">
        <v>7493</v>
      </c>
      <c r="G1634" s="5" t="s">
        <v>7494</v>
      </c>
      <c r="H1634" s="5">
        <v>2006.0</v>
      </c>
      <c r="I1634" s="5">
        <v>0.0</v>
      </c>
      <c r="J1634" s="5">
        <v>0.0</v>
      </c>
      <c r="K1634" s="5">
        <v>1.0</v>
      </c>
      <c r="L1634" s="54"/>
      <c r="M1634" s="5" t="s">
        <v>7556</v>
      </c>
      <c r="N1634" s="53" t="s">
        <v>7557</v>
      </c>
      <c r="O1634">
        <v>39.029381</v>
      </c>
      <c r="P1634">
        <v>43.375381</v>
      </c>
      <c r="Q1634" s="5" t="s">
        <v>1057</v>
      </c>
      <c r="R1634" s="10">
        <f t="shared" si="10"/>
        <v>1</v>
      </c>
      <c r="S1634" s="5" t="s">
        <v>7558</v>
      </c>
      <c r="T1634" s="5"/>
      <c r="U1634" s="5" t="s">
        <v>7559</v>
      </c>
      <c r="V1634" s="5" t="s">
        <v>7560</v>
      </c>
    </row>
    <row r="1635" ht="12.75" customHeight="1">
      <c r="A1635" s="5">
        <v>35000.0</v>
      </c>
      <c r="B1635" s="5" t="s">
        <v>49</v>
      </c>
      <c r="C1635" s="52" t="s">
        <v>50</v>
      </c>
      <c r="D1635" s="5" t="s">
        <v>2852</v>
      </c>
      <c r="E1635" s="7" t="s">
        <v>7561</v>
      </c>
      <c r="F1635" s="5" t="s">
        <v>7493</v>
      </c>
      <c r="G1635" s="5" t="s">
        <v>7494</v>
      </c>
      <c r="H1635" s="5">
        <v>2006.0</v>
      </c>
      <c r="I1635" s="5">
        <v>0.0</v>
      </c>
      <c r="J1635" s="5">
        <v>0.0</v>
      </c>
      <c r="K1635" s="5">
        <v>11.0</v>
      </c>
      <c r="L1635" s="54"/>
      <c r="M1635" s="5" t="s">
        <v>7562</v>
      </c>
      <c r="N1635" s="53" t="s">
        <v>2938</v>
      </c>
      <c r="O1635">
        <v>35.937496</v>
      </c>
      <c r="P1635">
        <v>14.375416</v>
      </c>
      <c r="Q1635" s="5" t="s">
        <v>740</v>
      </c>
      <c r="R1635" s="10">
        <f t="shared" si="10"/>
        <v>655</v>
      </c>
      <c r="S1635" s="5" t="s">
        <v>7563</v>
      </c>
      <c r="T1635" s="6" t="s">
        <v>2130</v>
      </c>
      <c r="U1635" s="5" t="s">
        <v>7564</v>
      </c>
      <c r="V1635" s="5"/>
    </row>
    <row r="1636" ht="12.75" customHeight="1">
      <c r="A1636" s="5">
        <v>35001.0</v>
      </c>
      <c r="B1636" s="5" t="s">
        <v>68</v>
      </c>
      <c r="C1636" s="5" t="s">
        <v>69</v>
      </c>
      <c r="D1636" s="5" t="s">
        <v>2614</v>
      </c>
      <c r="E1636" s="7" t="s">
        <v>7565</v>
      </c>
      <c r="F1636" s="5" t="s">
        <v>7493</v>
      </c>
      <c r="G1636" s="5" t="s">
        <v>7494</v>
      </c>
      <c r="H1636" s="5">
        <v>2006.0</v>
      </c>
      <c r="I1636" s="5">
        <v>0.0</v>
      </c>
      <c r="J1636" s="5">
        <v>0.0</v>
      </c>
      <c r="K1636" s="5">
        <v>2.0</v>
      </c>
      <c r="L1636" s="54"/>
      <c r="M1636" s="5" t="s">
        <v>7566</v>
      </c>
      <c r="N1636" s="53" t="s">
        <v>3548</v>
      </c>
      <c r="O1636">
        <v>42.434479</v>
      </c>
      <c r="P1636">
        <v>9.137443</v>
      </c>
      <c r="Q1636" s="5" t="s">
        <v>1253</v>
      </c>
      <c r="R1636" s="10">
        <f t="shared" si="10"/>
        <v>52</v>
      </c>
      <c r="S1636" s="5" t="s">
        <v>7567</v>
      </c>
      <c r="T1636" s="5"/>
      <c r="U1636" s="5" t="s">
        <v>2326</v>
      </c>
      <c r="V1636" s="5" t="s">
        <v>7568</v>
      </c>
    </row>
    <row r="1637" ht="12.75" customHeight="1">
      <c r="A1637" s="5">
        <v>35003.0</v>
      </c>
      <c r="B1637" s="5" t="s">
        <v>49</v>
      </c>
      <c r="C1637" s="52" t="s">
        <v>50</v>
      </c>
      <c r="D1637" s="5" t="s">
        <v>2614</v>
      </c>
      <c r="E1637" s="7" t="s">
        <v>7569</v>
      </c>
      <c r="F1637" s="5" t="s">
        <v>7493</v>
      </c>
      <c r="G1637" s="5" t="s">
        <v>7494</v>
      </c>
      <c r="H1637" s="5">
        <v>2006.0</v>
      </c>
      <c r="I1637" s="5">
        <v>0.0</v>
      </c>
      <c r="J1637" s="5">
        <v>0.0</v>
      </c>
      <c r="K1637" s="5">
        <v>1.0</v>
      </c>
      <c r="L1637" s="54"/>
      <c r="M1637" s="5" t="s">
        <v>7570</v>
      </c>
      <c r="N1637" s="53" t="s">
        <v>3151</v>
      </c>
      <c r="O1637">
        <v>29.046854</v>
      </c>
      <c r="P1637">
        <v>-13.589973</v>
      </c>
      <c r="Q1637" s="5" t="s">
        <v>400</v>
      </c>
      <c r="R1637" s="10">
        <f t="shared" si="10"/>
        <v>74</v>
      </c>
      <c r="S1637" s="5" t="s">
        <v>7571</v>
      </c>
      <c r="T1637" s="5" t="s">
        <v>1040</v>
      </c>
      <c r="U1637" s="5" t="s">
        <v>7572</v>
      </c>
      <c r="V1637" s="5" t="s">
        <v>7573</v>
      </c>
    </row>
    <row r="1638" ht="12.75" customHeight="1">
      <c r="A1638" s="5">
        <v>35004.0</v>
      </c>
      <c r="B1638" s="5" t="s">
        <v>68</v>
      </c>
      <c r="C1638" s="5" t="s">
        <v>69</v>
      </c>
      <c r="D1638" s="5" t="s">
        <v>2614</v>
      </c>
      <c r="E1638" s="7" t="s">
        <v>7569</v>
      </c>
      <c r="F1638" s="5" t="s">
        <v>7493</v>
      </c>
      <c r="G1638" s="5" t="s">
        <v>7494</v>
      </c>
      <c r="H1638" s="5">
        <v>2006.0</v>
      </c>
      <c r="I1638" s="5">
        <v>0.0</v>
      </c>
      <c r="J1638" s="5">
        <v>0.0</v>
      </c>
      <c r="K1638" s="5">
        <v>1.0</v>
      </c>
      <c r="L1638" s="54"/>
      <c r="M1638" s="5" t="s">
        <v>7574</v>
      </c>
      <c r="N1638" s="53" t="s">
        <v>3503</v>
      </c>
      <c r="O1638">
        <v>35.240117</v>
      </c>
      <c r="P1638">
        <v>24.809269</v>
      </c>
      <c r="Q1638" s="5" t="s">
        <v>641</v>
      </c>
      <c r="R1638" s="10">
        <f t="shared" si="10"/>
        <v>84</v>
      </c>
      <c r="S1638" s="5" t="s">
        <v>7575</v>
      </c>
      <c r="T1638" s="6" t="s">
        <v>53</v>
      </c>
      <c r="U1638" s="5" t="s">
        <v>3318</v>
      </c>
      <c r="V1638" s="5" t="s">
        <v>7576</v>
      </c>
    </row>
    <row r="1639" ht="12.75" customHeight="1">
      <c r="A1639" s="5">
        <v>35005.0</v>
      </c>
      <c r="B1639" s="5" t="s">
        <v>68</v>
      </c>
      <c r="C1639" s="5" t="s">
        <v>69</v>
      </c>
      <c r="D1639" s="5" t="s">
        <v>2614</v>
      </c>
      <c r="E1639" s="7" t="s">
        <v>7569</v>
      </c>
      <c r="F1639" s="5" t="s">
        <v>7493</v>
      </c>
      <c r="G1639" s="5" t="s">
        <v>7494</v>
      </c>
      <c r="H1639" s="5">
        <v>2006.0</v>
      </c>
      <c r="I1639" s="5">
        <v>0.0</v>
      </c>
      <c r="J1639" s="5">
        <v>0.0</v>
      </c>
      <c r="K1639" s="5">
        <v>1.0</v>
      </c>
      <c r="L1639" s="54"/>
      <c r="M1639" s="5" t="s">
        <v>7577</v>
      </c>
      <c r="N1639" s="53" t="s">
        <v>2700</v>
      </c>
      <c r="O1639">
        <v>35.508622</v>
      </c>
      <c r="P1639">
        <v>12.59292</v>
      </c>
      <c r="Q1639" s="5" t="s">
        <v>669</v>
      </c>
      <c r="R1639" s="10">
        <f t="shared" si="10"/>
        <v>3843</v>
      </c>
      <c r="S1639" s="5" t="s">
        <v>7578</v>
      </c>
      <c r="T1639" s="6" t="s">
        <v>2130</v>
      </c>
      <c r="U1639" s="5" t="s">
        <v>2326</v>
      </c>
      <c r="V1639" s="5" t="s">
        <v>7579</v>
      </c>
    </row>
    <row r="1640" ht="12.75" customHeight="1">
      <c r="A1640" s="5">
        <v>35002.0</v>
      </c>
      <c r="B1640" s="5" t="s">
        <v>68</v>
      </c>
      <c r="C1640" s="5" t="s">
        <v>69</v>
      </c>
      <c r="D1640" s="5" t="s">
        <v>2614</v>
      </c>
      <c r="E1640" s="7" t="s">
        <v>7569</v>
      </c>
      <c r="F1640" s="5" t="s">
        <v>7493</v>
      </c>
      <c r="G1640" s="5" t="s">
        <v>7494</v>
      </c>
      <c r="H1640" s="5">
        <v>2006.0</v>
      </c>
      <c r="I1640" s="5">
        <v>0.0</v>
      </c>
      <c r="J1640" s="5">
        <v>0.0</v>
      </c>
      <c r="K1640" s="5">
        <v>1.0</v>
      </c>
      <c r="L1640" s="54"/>
      <c r="M1640" s="5" t="s">
        <v>7580</v>
      </c>
      <c r="N1640" s="53" t="s">
        <v>6529</v>
      </c>
      <c r="O1640">
        <v>37.075474</v>
      </c>
      <c r="P1640">
        <v>15.286586</v>
      </c>
      <c r="Q1640" s="5" t="s">
        <v>895</v>
      </c>
      <c r="R1640" s="10">
        <f t="shared" si="10"/>
        <v>14</v>
      </c>
      <c r="S1640" s="5" t="s">
        <v>7581</v>
      </c>
      <c r="T1640" s="6" t="s">
        <v>2130</v>
      </c>
      <c r="U1640" s="5" t="s">
        <v>5553</v>
      </c>
      <c r="V1640" s="5" t="s">
        <v>7582</v>
      </c>
    </row>
    <row r="1641" ht="12.75" customHeight="1">
      <c r="A1641" s="5">
        <v>35006.0</v>
      </c>
      <c r="B1641" s="5" t="s">
        <v>3993</v>
      </c>
      <c r="C1641" s="5" t="s">
        <v>211</v>
      </c>
      <c r="D1641" s="5" t="s">
        <v>2852</v>
      </c>
      <c r="E1641" s="7" t="s">
        <v>7569</v>
      </c>
      <c r="F1641" s="5" t="s">
        <v>7493</v>
      </c>
      <c r="G1641" s="5" t="s">
        <v>7494</v>
      </c>
      <c r="H1641" s="5">
        <v>2006.0</v>
      </c>
      <c r="I1641" s="5">
        <v>0.0</v>
      </c>
      <c r="J1641" s="5">
        <v>0.0</v>
      </c>
      <c r="K1641" s="5">
        <v>1.0</v>
      </c>
      <c r="L1641" s="54"/>
      <c r="M1641" s="5" t="s">
        <v>7583</v>
      </c>
      <c r="N1641" s="53" t="s">
        <v>5086</v>
      </c>
      <c r="O1641">
        <v>51.511214</v>
      </c>
      <c r="P1641">
        <v>-0.119824</v>
      </c>
      <c r="Q1641" s="5" t="s">
        <v>1662</v>
      </c>
      <c r="R1641" s="10">
        <f t="shared" si="10"/>
        <v>9</v>
      </c>
      <c r="S1641" s="5" t="s">
        <v>7584</v>
      </c>
      <c r="T1641" s="5"/>
      <c r="U1641" s="5" t="s">
        <v>7585</v>
      </c>
      <c r="V1641" s="5"/>
    </row>
    <row r="1642" ht="12.75" customHeight="1">
      <c r="A1642" s="5">
        <v>35007.0</v>
      </c>
      <c r="B1642" s="5" t="s">
        <v>68</v>
      </c>
      <c r="C1642" s="5" t="s">
        <v>69</v>
      </c>
      <c r="D1642" s="5" t="s">
        <v>2614</v>
      </c>
      <c r="E1642" s="7" t="s">
        <v>7586</v>
      </c>
      <c r="F1642" s="5" t="s">
        <v>7493</v>
      </c>
      <c r="G1642" s="5" t="s">
        <v>7494</v>
      </c>
      <c r="H1642" s="5">
        <v>2006.0</v>
      </c>
      <c r="I1642" s="5">
        <v>0.0</v>
      </c>
      <c r="J1642" s="5">
        <v>0.0</v>
      </c>
      <c r="K1642" s="5">
        <v>8.0</v>
      </c>
      <c r="L1642" s="54"/>
      <c r="M1642" s="5" t="s">
        <v>7587</v>
      </c>
      <c r="N1642" s="53" t="s">
        <v>6529</v>
      </c>
      <c r="O1642">
        <v>37.075474</v>
      </c>
      <c r="P1642">
        <v>15.286586</v>
      </c>
      <c r="Q1642" s="5" t="s">
        <v>895</v>
      </c>
      <c r="R1642" s="10">
        <f t="shared" si="10"/>
        <v>14</v>
      </c>
      <c r="S1642" s="5" t="s">
        <v>7588</v>
      </c>
      <c r="T1642" s="6" t="s">
        <v>2130</v>
      </c>
      <c r="U1642" s="5" t="s">
        <v>2619</v>
      </c>
      <c r="V1642" s="5" t="s">
        <v>7589</v>
      </c>
    </row>
    <row r="1643" ht="12.75" customHeight="1">
      <c r="A1643" s="5">
        <v>35010.0</v>
      </c>
      <c r="B1643" s="5" t="s">
        <v>68</v>
      </c>
      <c r="C1643" s="5" t="s">
        <v>69</v>
      </c>
      <c r="D1643" s="5" t="s">
        <v>2614</v>
      </c>
      <c r="E1643" s="7" t="s">
        <v>7590</v>
      </c>
      <c r="F1643" s="5" t="s">
        <v>7493</v>
      </c>
      <c r="G1643" s="5" t="s">
        <v>7591</v>
      </c>
      <c r="H1643" s="5">
        <v>2006.0</v>
      </c>
      <c r="I1643" s="5">
        <v>0.0</v>
      </c>
      <c r="J1643" s="5">
        <v>0.0</v>
      </c>
      <c r="K1643" s="5">
        <v>3.0</v>
      </c>
      <c r="L1643" s="54"/>
      <c r="M1643" s="5" t="s">
        <v>7592</v>
      </c>
      <c r="N1643" s="53" t="s">
        <v>4941</v>
      </c>
      <c r="O1643">
        <v>28.291564</v>
      </c>
      <c r="P1643">
        <v>-16.62913</v>
      </c>
      <c r="Q1643" s="5" t="s">
        <v>382</v>
      </c>
      <c r="R1643" s="10">
        <f t="shared" si="10"/>
        <v>1120</v>
      </c>
      <c r="S1643" s="5" t="s">
        <v>7593</v>
      </c>
      <c r="T1643" s="5" t="s">
        <v>1040</v>
      </c>
      <c r="U1643" s="5" t="s">
        <v>2165</v>
      </c>
      <c r="V1643" s="5" t="s">
        <v>7594</v>
      </c>
    </row>
    <row r="1644" ht="12.75" customHeight="1">
      <c r="A1644" s="5">
        <v>35009.0</v>
      </c>
      <c r="B1644" s="5" t="s">
        <v>68</v>
      </c>
      <c r="C1644" s="5" t="s">
        <v>69</v>
      </c>
      <c r="D1644" s="5" t="s">
        <v>2614</v>
      </c>
      <c r="E1644" s="7" t="s">
        <v>7590</v>
      </c>
      <c r="F1644" s="5" t="s">
        <v>7493</v>
      </c>
      <c r="G1644" s="5" t="s">
        <v>7591</v>
      </c>
      <c r="H1644" s="5">
        <v>2006.0</v>
      </c>
      <c r="I1644" s="5">
        <v>0.0</v>
      </c>
      <c r="J1644" s="5">
        <v>0.0</v>
      </c>
      <c r="K1644" s="5">
        <v>7.0</v>
      </c>
      <c r="L1644" s="54"/>
      <c r="M1644" s="5" t="s">
        <v>7595</v>
      </c>
      <c r="N1644" s="53" t="s">
        <v>3503</v>
      </c>
      <c r="O1644">
        <v>35.240117</v>
      </c>
      <c r="P1644">
        <v>24.809269</v>
      </c>
      <c r="Q1644" s="5" t="s">
        <v>641</v>
      </c>
      <c r="R1644" s="10">
        <f t="shared" si="10"/>
        <v>84</v>
      </c>
      <c r="S1644" s="5" t="s">
        <v>7596</v>
      </c>
      <c r="T1644" s="6" t="s">
        <v>53</v>
      </c>
      <c r="U1644" s="5" t="s">
        <v>2326</v>
      </c>
      <c r="V1644" s="5" t="s">
        <v>7579</v>
      </c>
    </row>
    <row r="1645" ht="12.75" customHeight="1">
      <c r="A1645" s="5">
        <v>35011.0</v>
      </c>
      <c r="B1645" s="5" t="s">
        <v>68</v>
      </c>
      <c r="C1645" s="5" t="s">
        <v>69</v>
      </c>
      <c r="D1645" s="5" t="s">
        <v>2614</v>
      </c>
      <c r="E1645" s="7" t="s">
        <v>7590</v>
      </c>
      <c r="F1645" s="5" t="s">
        <v>7493</v>
      </c>
      <c r="G1645" s="5" t="s">
        <v>7591</v>
      </c>
      <c r="H1645" s="5">
        <v>2006.0</v>
      </c>
      <c r="I1645" s="5">
        <v>0.0</v>
      </c>
      <c r="J1645" s="5">
        <v>0.0</v>
      </c>
      <c r="K1645" s="5">
        <v>2.0</v>
      </c>
      <c r="L1645" s="54"/>
      <c r="M1645" s="5" t="s">
        <v>7597</v>
      </c>
      <c r="N1645" s="53" t="s">
        <v>2700</v>
      </c>
      <c r="O1645">
        <v>35.508622</v>
      </c>
      <c r="P1645">
        <v>12.59292</v>
      </c>
      <c r="Q1645" s="5" t="s">
        <v>669</v>
      </c>
      <c r="R1645" s="10">
        <f t="shared" si="10"/>
        <v>3843</v>
      </c>
      <c r="S1645" s="5" t="s">
        <v>7598</v>
      </c>
      <c r="T1645" s="6" t="s">
        <v>2130</v>
      </c>
      <c r="U1645" s="5" t="s">
        <v>2619</v>
      </c>
      <c r="V1645" s="5" t="s">
        <v>7589</v>
      </c>
    </row>
    <row r="1646" ht="12.75" customHeight="1">
      <c r="A1646" s="5">
        <v>35008.0</v>
      </c>
      <c r="B1646" s="5" t="s">
        <v>68</v>
      </c>
      <c r="C1646" s="5" t="s">
        <v>69</v>
      </c>
      <c r="D1646" s="5" t="s">
        <v>2614</v>
      </c>
      <c r="E1646" s="7" t="s">
        <v>7590</v>
      </c>
      <c r="F1646" s="5" t="s">
        <v>7493</v>
      </c>
      <c r="G1646" s="5" t="s">
        <v>7591</v>
      </c>
      <c r="H1646" s="5">
        <v>2006.0</v>
      </c>
      <c r="I1646" s="5">
        <v>0.0</v>
      </c>
      <c r="J1646" s="5">
        <v>0.0</v>
      </c>
      <c r="K1646" s="5">
        <v>1.0</v>
      </c>
      <c r="L1646" s="54"/>
      <c r="M1646" s="5" t="s">
        <v>7599</v>
      </c>
      <c r="N1646" s="53" t="s">
        <v>3909</v>
      </c>
      <c r="O1646">
        <v>50.95129</v>
      </c>
      <c r="P1646">
        <v>1.858686</v>
      </c>
      <c r="Q1646" s="5" t="s">
        <v>1551</v>
      </c>
      <c r="R1646" s="10">
        <f t="shared" si="10"/>
        <v>30</v>
      </c>
      <c r="S1646" s="5" t="s">
        <v>7600</v>
      </c>
      <c r="T1646" s="5"/>
      <c r="U1646" s="5" t="s">
        <v>7601</v>
      </c>
      <c r="V1646" s="5" t="s">
        <v>7602</v>
      </c>
    </row>
    <row r="1647" ht="12.75" customHeight="1">
      <c r="A1647" s="5">
        <v>35012.0</v>
      </c>
      <c r="B1647" s="5" t="s">
        <v>68</v>
      </c>
      <c r="C1647" s="5" t="s">
        <v>69</v>
      </c>
      <c r="D1647" s="5" t="s">
        <v>2852</v>
      </c>
      <c r="E1647" s="7" t="s">
        <v>7603</v>
      </c>
      <c r="F1647" s="5" t="s">
        <v>7493</v>
      </c>
      <c r="G1647" s="5" t="s">
        <v>7591</v>
      </c>
      <c r="H1647" s="5">
        <v>2006.0</v>
      </c>
      <c r="I1647" s="5">
        <v>0.0</v>
      </c>
      <c r="J1647" s="5">
        <v>0.0</v>
      </c>
      <c r="K1647" s="5">
        <v>10.0</v>
      </c>
      <c r="L1647" s="54"/>
      <c r="M1647" s="5" t="s">
        <v>7604</v>
      </c>
      <c r="N1647" s="53" t="s">
        <v>2700</v>
      </c>
      <c r="O1647">
        <v>35.508622</v>
      </c>
      <c r="P1647">
        <v>12.59292</v>
      </c>
      <c r="Q1647" s="5" t="s">
        <v>669</v>
      </c>
      <c r="R1647" s="10">
        <f t="shared" si="10"/>
        <v>3843</v>
      </c>
      <c r="S1647" s="5" t="s">
        <v>7605</v>
      </c>
      <c r="T1647" s="6" t="s">
        <v>2130</v>
      </c>
      <c r="U1647" s="5" t="s">
        <v>2993</v>
      </c>
      <c r="V1647" s="5" t="s">
        <v>7606</v>
      </c>
    </row>
    <row r="1648" ht="12.75" customHeight="1">
      <c r="A1648" s="5">
        <v>35013.0</v>
      </c>
      <c r="B1648" s="5" t="s">
        <v>49</v>
      </c>
      <c r="C1648" s="52" t="s">
        <v>50</v>
      </c>
      <c r="D1648" s="5" t="s">
        <v>2852</v>
      </c>
      <c r="E1648" s="7" t="s">
        <v>7607</v>
      </c>
      <c r="F1648" s="5" t="s">
        <v>7493</v>
      </c>
      <c r="G1648" s="5" t="s">
        <v>7591</v>
      </c>
      <c r="H1648" s="5">
        <v>2006.0</v>
      </c>
      <c r="I1648" s="5">
        <v>0.0</v>
      </c>
      <c r="J1648" s="5">
        <v>0.0</v>
      </c>
      <c r="K1648" s="5">
        <v>132.0</v>
      </c>
      <c r="L1648" s="54"/>
      <c r="M1648" s="5" t="s">
        <v>7608</v>
      </c>
      <c r="N1648" s="53" t="s">
        <v>7609</v>
      </c>
      <c r="O1648">
        <v>18.084061</v>
      </c>
      <c r="P1648">
        <v>-15.97842</v>
      </c>
      <c r="Q1648" s="5" t="s">
        <v>297</v>
      </c>
      <c r="R1648" s="10">
        <f t="shared" si="10"/>
        <v>152</v>
      </c>
      <c r="S1648" s="5" t="s">
        <v>7610</v>
      </c>
      <c r="T1648" s="5" t="s">
        <v>1040</v>
      </c>
      <c r="U1648" s="5" t="s">
        <v>7611</v>
      </c>
      <c r="V1648" s="5" t="s">
        <v>7612</v>
      </c>
    </row>
    <row r="1649" ht="12.75" customHeight="1">
      <c r="A1649" s="5">
        <v>35014.0</v>
      </c>
      <c r="B1649" s="5" t="s">
        <v>2040</v>
      </c>
      <c r="C1649" s="52" t="s">
        <v>50</v>
      </c>
      <c r="D1649" s="5" t="s">
        <v>2852</v>
      </c>
      <c r="E1649" s="7" t="s">
        <v>7613</v>
      </c>
      <c r="F1649" s="5" t="s">
        <v>7493</v>
      </c>
      <c r="G1649" s="5" t="s">
        <v>7591</v>
      </c>
      <c r="H1649" s="5">
        <v>2006.0</v>
      </c>
      <c r="I1649" s="5">
        <v>0.0</v>
      </c>
      <c r="J1649" s="5">
        <v>0.0</v>
      </c>
      <c r="K1649" s="5">
        <v>1.0</v>
      </c>
      <c r="L1649" s="54"/>
      <c r="M1649" s="5" t="s">
        <v>7614</v>
      </c>
      <c r="N1649" s="53" t="s">
        <v>5260</v>
      </c>
      <c r="O1649">
        <v>23.803497</v>
      </c>
      <c r="P1649">
        <v>11.291889</v>
      </c>
      <c r="Q1649" s="5" t="s">
        <v>324</v>
      </c>
      <c r="R1649" s="10">
        <f t="shared" si="10"/>
        <v>234</v>
      </c>
      <c r="S1649" s="5" t="s">
        <v>7615</v>
      </c>
      <c r="T1649" s="5"/>
      <c r="U1649" s="5" t="s">
        <v>7616</v>
      </c>
      <c r="V1649" s="5" t="s">
        <v>7617</v>
      </c>
    </row>
    <row r="1650" ht="12.75" customHeight="1">
      <c r="A1650" s="5">
        <v>35015.0</v>
      </c>
      <c r="B1650" s="5" t="s">
        <v>2040</v>
      </c>
      <c r="C1650" s="52" t="s">
        <v>50</v>
      </c>
      <c r="D1650" s="5" t="s">
        <v>2852</v>
      </c>
      <c r="E1650" s="7" t="s">
        <v>7618</v>
      </c>
      <c r="F1650" s="5" t="s">
        <v>7493</v>
      </c>
      <c r="G1650" s="5" t="s">
        <v>7591</v>
      </c>
      <c r="H1650" s="5">
        <v>2006.0</v>
      </c>
      <c r="I1650" s="5">
        <v>0.0</v>
      </c>
      <c r="J1650" s="5">
        <v>0.0</v>
      </c>
      <c r="K1650" s="5">
        <v>20.0</v>
      </c>
      <c r="L1650" s="54"/>
      <c r="M1650" s="5" t="s">
        <v>7619</v>
      </c>
      <c r="N1650" s="53" t="s">
        <v>7609</v>
      </c>
      <c r="O1650">
        <v>18.084061</v>
      </c>
      <c r="P1650">
        <v>-15.97842</v>
      </c>
      <c r="Q1650" s="5" t="s">
        <v>297</v>
      </c>
      <c r="R1650" s="10">
        <f t="shared" si="10"/>
        <v>152</v>
      </c>
      <c r="S1650" s="5" t="s">
        <v>7620</v>
      </c>
      <c r="T1650" s="5" t="s">
        <v>1040</v>
      </c>
      <c r="U1650" s="5" t="s">
        <v>7621</v>
      </c>
      <c r="V1650" s="5" t="s">
        <v>7622</v>
      </c>
    </row>
    <row r="1651" ht="12.75" customHeight="1">
      <c r="A1651" s="5">
        <v>35016.0</v>
      </c>
      <c r="B1651" s="5" t="s">
        <v>2040</v>
      </c>
      <c r="C1651" s="52" t="s">
        <v>50</v>
      </c>
      <c r="D1651" s="5" t="s">
        <v>2852</v>
      </c>
      <c r="E1651" s="7" t="s">
        <v>7618</v>
      </c>
      <c r="F1651" s="5" t="s">
        <v>7493</v>
      </c>
      <c r="G1651" s="5" t="s">
        <v>7591</v>
      </c>
      <c r="H1651" s="5">
        <v>2006.0</v>
      </c>
      <c r="I1651" s="5">
        <v>0.0</v>
      </c>
      <c r="J1651" s="5">
        <v>0.0</v>
      </c>
      <c r="K1651" s="5">
        <v>1.0</v>
      </c>
      <c r="L1651" s="54"/>
      <c r="M1651" s="5" t="s">
        <v>7623</v>
      </c>
      <c r="N1651" s="53" t="s">
        <v>4941</v>
      </c>
      <c r="O1651">
        <v>28.291564</v>
      </c>
      <c r="P1651">
        <v>-16.62913</v>
      </c>
      <c r="Q1651" s="5" t="s">
        <v>382</v>
      </c>
      <c r="R1651" s="10">
        <f t="shared" si="10"/>
        <v>1120</v>
      </c>
      <c r="S1651" s="5" t="s">
        <v>7624</v>
      </c>
      <c r="T1651" s="5" t="s">
        <v>1040</v>
      </c>
      <c r="U1651" s="5" t="s">
        <v>7512</v>
      </c>
      <c r="V1651" s="5"/>
    </row>
    <row r="1652" ht="12.75" customHeight="1">
      <c r="A1652" s="5">
        <v>35017.0</v>
      </c>
      <c r="B1652" s="5" t="s">
        <v>68</v>
      </c>
      <c r="C1652" s="5" t="s">
        <v>69</v>
      </c>
      <c r="D1652" s="5" t="s">
        <v>2852</v>
      </c>
      <c r="E1652" s="7" t="s">
        <v>7625</v>
      </c>
      <c r="F1652" s="5" t="s">
        <v>7493</v>
      </c>
      <c r="G1652" s="5" t="s">
        <v>7591</v>
      </c>
      <c r="H1652" s="5">
        <v>2006.0</v>
      </c>
      <c r="I1652" s="5">
        <v>0.0</v>
      </c>
      <c r="J1652" s="5">
        <v>0.0</v>
      </c>
      <c r="K1652" s="5">
        <v>8.0</v>
      </c>
      <c r="L1652" s="54"/>
      <c r="M1652" s="5" t="s">
        <v>7626</v>
      </c>
      <c r="N1652" s="53" t="s">
        <v>4941</v>
      </c>
      <c r="O1652">
        <v>28.291564</v>
      </c>
      <c r="P1652">
        <v>-16.62913</v>
      </c>
      <c r="Q1652" s="5" t="s">
        <v>382</v>
      </c>
      <c r="R1652" s="10">
        <f t="shared" si="10"/>
        <v>1120</v>
      </c>
      <c r="S1652" s="5" t="s">
        <v>7627</v>
      </c>
      <c r="T1652" s="5" t="s">
        <v>1040</v>
      </c>
      <c r="U1652" s="5" t="s">
        <v>7512</v>
      </c>
      <c r="V1652" s="5" t="s">
        <v>7628</v>
      </c>
    </row>
    <row r="1653" ht="12.75" customHeight="1">
      <c r="A1653" s="5">
        <v>35018.0</v>
      </c>
      <c r="B1653" s="5" t="s">
        <v>68</v>
      </c>
      <c r="C1653" s="5" t="s">
        <v>69</v>
      </c>
      <c r="D1653" s="5" t="s">
        <v>2852</v>
      </c>
      <c r="E1653" s="7" t="s">
        <v>7625</v>
      </c>
      <c r="F1653" s="5" t="s">
        <v>7493</v>
      </c>
      <c r="G1653" s="5" t="s">
        <v>7591</v>
      </c>
      <c r="H1653" s="5">
        <v>2006.0</v>
      </c>
      <c r="I1653" s="5">
        <v>0.0</v>
      </c>
      <c r="J1653" s="5">
        <v>0.0</v>
      </c>
      <c r="K1653" s="5">
        <v>1.0</v>
      </c>
      <c r="L1653" s="54"/>
      <c r="M1653" s="5" t="s">
        <v>7629</v>
      </c>
      <c r="N1653" s="53" t="s">
        <v>2938</v>
      </c>
      <c r="O1653">
        <v>35.937496</v>
      </c>
      <c r="P1653">
        <v>14.375416</v>
      </c>
      <c r="Q1653" s="5" t="s">
        <v>740</v>
      </c>
      <c r="R1653" s="10">
        <f t="shared" si="10"/>
        <v>655</v>
      </c>
      <c r="S1653" s="5" t="s">
        <v>7630</v>
      </c>
      <c r="T1653" s="6" t="s">
        <v>2130</v>
      </c>
      <c r="U1653" s="5" t="s">
        <v>7631</v>
      </c>
      <c r="V1653" s="5"/>
    </row>
    <row r="1654" ht="12.75" customHeight="1">
      <c r="A1654" s="5">
        <v>35019.0</v>
      </c>
      <c r="B1654" s="5" t="s">
        <v>68</v>
      </c>
      <c r="C1654" s="5" t="s">
        <v>69</v>
      </c>
      <c r="D1654" s="5" t="s">
        <v>2614</v>
      </c>
      <c r="E1654" s="7" t="s">
        <v>7632</v>
      </c>
      <c r="F1654" s="5" t="s">
        <v>7493</v>
      </c>
      <c r="G1654" s="5" t="s">
        <v>7591</v>
      </c>
      <c r="H1654" s="5">
        <v>2006.0</v>
      </c>
      <c r="I1654" s="5">
        <v>0.0</v>
      </c>
      <c r="J1654" s="5">
        <v>0.0</v>
      </c>
      <c r="K1654" s="5">
        <v>3.0</v>
      </c>
      <c r="L1654" s="54"/>
      <c r="M1654" s="5" t="s">
        <v>7633</v>
      </c>
      <c r="N1654" s="53" t="s">
        <v>2700</v>
      </c>
      <c r="O1654">
        <v>35.508622</v>
      </c>
      <c r="P1654">
        <v>12.59292</v>
      </c>
      <c r="Q1654" s="5" t="s">
        <v>669</v>
      </c>
      <c r="R1654" s="10">
        <f t="shared" si="10"/>
        <v>3843</v>
      </c>
      <c r="S1654" s="5" t="s">
        <v>7634</v>
      </c>
      <c r="T1654" s="6" t="s">
        <v>2130</v>
      </c>
      <c r="U1654" s="5" t="s">
        <v>2619</v>
      </c>
      <c r="V1654" s="5" t="s">
        <v>7635</v>
      </c>
    </row>
    <row r="1655" ht="12.75" customHeight="1">
      <c r="A1655" s="5">
        <v>35020.0</v>
      </c>
      <c r="B1655" s="5" t="s">
        <v>491</v>
      </c>
      <c r="C1655" s="52" t="s">
        <v>50</v>
      </c>
      <c r="D1655" s="5" t="s">
        <v>2852</v>
      </c>
      <c r="E1655" s="7" t="s">
        <v>7632</v>
      </c>
      <c r="F1655" s="5" t="s">
        <v>7493</v>
      </c>
      <c r="G1655" s="5" t="s">
        <v>7591</v>
      </c>
      <c r="H1655" s="5">
        <v>2006.0</v>
      </c>
      <c r="I1655" s="5">
        <v>0.0</v>
      </c>
      <c r="J1655" s="5">
        <v>0.0</v>
      </c>
      <c r="K1655" s="5">
        <v>1.0</v>
      </c>
      <c r="L1655" s="54"/>
      <c r="M1655" s="5" t="s">
        <v>7636</v>
      </c>
      <c r="N1655" s="53" t="s">
        <v>7637</v>
      </c>
      <c r="O1655">
        <v>41.734495</v>
      </c>
      <c r="P1655">
        <v>12.290967</v>
      </c>
      <c r="Q1655" s="5" t="s">
        <v>1240</v>
      </c>
      <c r="R1655" s="10">
        <f t="shared" si="10"/>
        <v>1</v>
      </c>
      <c r="S1655" s="5" t="s">
        <v>7638</v>
      </c>
      <c r="T1655" s="6" t="s">
        <v>2130</v>
      </c>
      <c r="U1655" s="5" t="s">
        <v>7639</v>
      </c>
      <c r="V1655" s="5" t="s">
        <v>7635</v>
      </c>
    </row>
    <row r="1656" ht="12.75" customHeight="1">
      <c r="A1656" s="5">
        <v>35021.0</v>
      </c>
      <c r="B1656" s="5" t="s">
        <v>3555</v>
      </c>
      <c r="C1656" s="52" t="s">
        <v>50</v>
      </c>
      <c r="D1656" s="5" t="s">
        <v>2614</v>
      </c>
      <c r="E1656" s="7" t="s">
        <v>7640</v>
      </c>
      <c r="F1656" s="5" t="s">
        <v>7493</v>
      </c>
      <c r="G1656" s="5" t="s">
        <v>7591</v>
      </c>
      <c r="H1656" s="5">
        <v>2006.0</v>
      </c>
      <c r="I1656" s="5">
        <v>0.0</v>
      </c>
      <c r="J1656" s="5">
        <v>0.0</v>
      </c>
      <c r="K1656" s="5">
        <v>2.0</v>
      </c>
      <c r="L1656" s="54"/>
      <c r="M1656" s="5" t="s">
        <v>7641</v>
      </c>
      <c r="N1656" s="53" t="s">
        <v>7642</v>
      </c>
      <c r="O1656">
        <v>51.765908</v>
      </c>
      <c r="P1656">
        <v>0.667367</v>
      </c>
      <c r="Q1656" s="5" t="s">
        <v>1681</v>
      </c>
      <c r="R1656" s="10">
        <f t="shared" si="10"/>
        <v>4</v>
      </c>
      <c r="S1656" s="5" t="s">
        <v>7643</v>
      </c>
      <c r="T1656" s="5"/>
      <c r="U1656" s="5" t="s">
        <v>7644</v>
      </c>
      <c r="V1656" s="5" t="s">
        <v>7645</v>
      </c>
    </row>
    <row r="1657" ht="12.75" customHeight="1">
      <c r="A1657" s="5">
        <v>35022.0</v>
      </c>
      <c r="B1657" s="5" t="s">
        <v>68</v>
      </c>
      <c r="C1657" s="5" t="s">
        <v>69</v>
      </c>
      <c r="D1657" s="5" t="s">
        <v>2614</v>
      </c>
      <c r="E1657" s="7" t="s">
        <v>7646</v>
      </c>
      <c r="F1657" s="5" t="s">
        <v>7493</v>
      </c>
      <c r="G1657" s="5" t="s">
        <v>7591</v>
      </c>
      <c r="H1657" s="5">
        <v>2006.0</v>
      </c>
      <c r="I1657" s="5">
        <v>0.0</v>
      </c>
      <c r="J1657" s="5">
        <v>0.0</v>
      </c>
      <c r="K1657" s="5">
        <v>1.0</v>
      </c>
      <c r="L1657" s="54"/>
      <c r="M1657" s="5" t="s">
        <v>7647</v>
      </c>
      <c r="N1657" s="53" t="s">
        <v>5185</v>
      </c>
      <c r="O1657">
        <v>36.748374</v>
      </c>
      <c r="P1657">
        <v>-3.516861</v>
      </c>
      <c r="Q1657" s="5" t="s">
        <v>832</v>
      </c>
      <c r="R1657" s="10">
        <f t="shared" si="10"/>
        <v>69</v>
      </c>
      <c r="S1657" s="5" t="s">
        <v>7648</v>
      </c>
      <c r="T1657" s="6" t="s">
        <v>72</v>
      </c>
      <c r="U1657" s="5" t="s">
        <v>7649</v>
      </c>
      <c r="V1657" s="5" t="s">
        <v>7650</v>
      </c>
    </row>
    <row r="1658" ht="12.75" customHeight="1">
      <c r="A1658" s="5">
        <v>35023.0</v>
      </c>
      <c r="B1658" s="5" t="s">
        <v>68</v>
      </c>
      <c r="C1658" s="5" t="s">
        <v>69</v>
      </c>
      <c r="D1658" s="5" t="s">
        <v>2614</v>
      </c>
      <c r="E1658" s="7" t="s">
        <v>7651</v>
      </c>
      <c r="F1658" s="5" t="s">
        <v>7493</v>
      </c>
      <c r="G1658" s="5" t="s">
        <v>7591</v>
      </c>
      <c r="H1658" s="5">
        <v>2006.0</v>
      </c>
      <c r="I1658" s="5">
        <v>0.0</v>
      </c>
      <c r="J1658" s="5">
        <v>0.0</v>
      </c>
      <c r="K1658" s="5">
        <v>1.0</v>
      </c>
      <c r="L1658" s="54"/>
      <c r="M1658" s="5" t="s">
        <v>7652</v>
      </c>
      <c r="N1658" s="53" t="s">
        <v>4941</v>
      </c>
      <c r="O1658">
        <v>28.291564</v>
      </c>
      <c r="P1658">
        <v>-16.62913</v>
      </c>
      <c r="Q1658" s="5" t="s">
        <v>382</v>
      </c>
      <c r="R1658" s="10">
        <f t="shared" si="10"/>
        <v>1120</v>
      </c>
      <c r="S1658" s="5" t="s">
        <v>7653</v>
      </c>
      <c r="T1658" s="5" t="s">
        <v>1040</v>
      </c>
      <c r="U1658" s="5" t="s">
        <v>2635</v>
      </c>
      <c r="V1658" s="5" t="s">
        <v>7654</v>
      </c>
    </row>
    <row r="1659" ht="12.75" customHeight="1">
      <c r="A1659" s="5">
        <v>35026.0</v>
      </c>
      <c r="B1659" s="5" t="s">
        <v>68</v>
      </c>
      <c r="C1659" s="5" t="s">
        <v>69</v>
      </c>
      <c r="D1659" s="5" t="s">
        <v>2852</v>
      </c>
      <c r="E1659" s="7" t="s">
        <v>7655</v>
      </c>
      <c r="F1659" s="5" t="s">
        <v>7493</v>
      </c>
      <c r="G1659" s="5" t="s">
        <v>7591</v>
      </c>
      <c r="H1659" s="5">
        <v>2006.0</v>
      </c>
      <c r="I1659" s="5">
        <v>0.0</v>
      </c>
      <c r="J1659" s="5">
        <v>0.0</v>
      </c>
      <c r="K1659" s="5">
        <v>1.0</v>
      </c>
      <c r="L1659" s="54"/>
      <c r="M1659" s="5" t="s">
        <v>7656</v>
      </c>
      <c r="N1659" s="53" t="s">
        <v>2700</v>
      </c>
      <c r="O1659">
        <v>35.508622</v>
      </c>
      <c r="P1659">
        <v>12.59292</v>
      </c>
      <c r="Q1659" s="5" t="s">
        <v>669</v>
      </c>
      <c r="R1659" s="10">
        <f t="shared" si="10"/>
        <v>3843</v>
      </c>
      <c r="S1659" s="5" t="s">
        <v>7657</v>
      </c>
      <c r="T1659" s="6" t="s">
        <v>2130</v>
      </c>
      <c r="U1659" s="5" t="s">
        <v>7658</v>
      </c>
      <c r="V1659" s="5"/>
    </row>
    <row r="1660" ht="12.75" customHeight="1">
      <c r="A1660" s="5">
        <v>35025.0</v>
      </c>
      <c r="B1660" s="5" t="s">
        <v>49</v>
      </c>
      <c r="C1660" s="52" t="s">
        <v>50</v>
      </c>
      <c r="D1660" s="5" t="s">
        <v>2852</v>
      </c>
      <c r="E1660" s="7" t="s">
        <v>7655</v>
      </c>
      <c r="F1660" s="5" t="s">
        <v>7493</v>
      </c>
      <c r="G1660" s="5" t="s">
        <v>7591</v>
      </c>
      <c r="H1660" s="5">
        <v>2006.0</v>
      </c>
      <c r="I1660" s="5">
        <v>0.0</v>
      </c>
      <c r="J1660" s="5">
        <v>0.0</v>
      </c>
      <c r="K1660" s="5">
        <v>28.0</v>
      </c>
      <c r="L1660" s="54"/>
      <c r="M1660" s="5" t="s">
        <v>7659</v>
      </c>
      <c r="N1660" s="53" t="s">
        <v>2700</v>
      </c>
      <c r="O1660">
        <v>35.508622</v>
      </c>
      <c r="P1660">
        <v>12.59292</v>
      </c>
      <c r="Q1660" s="5" t="s">
        <v>669</v>
      </c>
      <c r="R1660" s="10">
        <f t="shared" si="10"/>
        <v>3843</v>
      </c>
      <c r="S1660" s="5" t="s">
        <v>7657</v>
      </c>
      <c r="T1660" s="6" t="s">
        <v>2130</v>
      </c>
      <c r="U1660" s="5" t="s">
        <v>7660</v>
      </c>
      <c r="V1660" s="5" t="s">
        <v>7661</v>
      </c>
    </row>
    <row r="1661" ht="12.75" customHeight="1">
      <c r="A1661" s="5">
        <v>35024.0</v>
      </c>
      <c r="B1661" s="5" t="s">
        <v>49</v>
      </c>
      <c r="C1661" s="52" t="s">
        <v>50</v>
      </c>
      <c r="D1661" s="5" t="s">
        <v>2852</v>
      </c>
      <c r="E1661" s="7" t="s">
        <v>7655</v>
      </c>
      <c r="F1661" s="5" t="s">
        <v>7493</v>
      </c>
      <c r="G1661" s="5" t="s">
        <v>7591</v>
      </c>
      <c r="H1661" s="5">
        <v>2006.0</v>
      </c>
      <c r="I1661" s="5">
        <v>0.0</v>
      </c>
      <c r="J1661" s="5">
        <v>0.0</v>
      </c>
      <c r="K1661" s="5">
        <v>1.0</v>
      </c>
      <c r="L1661" s="54"/>
      <c r="M1661" s="5" t="s">
        <v>7662</v>
      </c>
      <c r="N1661" s="53" t="s">
        <v>3314</v>
      </c>
      <c r="O1661">
        <v>37.599994</v>
      </c>
      <c r="P1661">
        <v>14.015356</v>
      </c>
      <c r="Q1661" s="5" t="s">
        <v>949</v>
      </c>
      <c r="R1661" s="10">
        <f t="shared" si="10"/>
        <v>363</v>
      </c>
      <c r="S1661" s="5" t="s">
        <v>7663</v>
      </c>
      <c r="T1661" s="6" t="s">
        <v>2130</v>
      </c>
      <c r="U1661" s="5" t="s">
        <v>7664</v>
      </c>
      <c r="V1661" s="5" t="s">
        <v>7661</v>
      </c>
    </row>
    <row r="1662" ht="12.75" customHeight="1">
      <c r="A1662" s="5">
        <v>35028.0</v>
      </c>
      <c r="B1662" s="5" t="s">
        <v>49</v>
      </c>
      <c r="C1662" s="52" t="s">
        <v>50</v>
      </c>
      <c r="D1662" s="5" t="s">
        <v>2852</v>
      </c>
      <c r="E1662" s="7" t="s">
        <v>7665</v>
      </c>
      <c r="F1662" s="5" t="s">
        <v>7493</v>
      </c>
      <c r="G1662" s="5" t="s">
        <v>7591</v>
      </c>
      <c r="H1662" s="5">
        <v>2006.0</v>
      </c>
      <c r="I1662" s="5">
        <v>0.0</v>
      </c>
      <c r="J1662" s="5">
        <v>0.0</v>
      </c>
      <c r="K1662" s="5">
        <v>30.0</v>
      </c>
      <c r="L1662" s="54"/>
      <c r="M1662" s="5" t="s">
        <v>7666</v>
      </c>
      <c r="N1662" s="53" t="s">
        <v>2700</v>
      </c>
      <c r="O1662">
        <v>35.508622</v>
      </c>
      <c r="P1662">
        <v>12.59292</v>
      </c>
      <c r="Q1662" s="5" t="s">
        <v>669</v>
      </c>
      <c r="R1662" s="10">
        <f t="shared" si="10"/>
        <v>3843</v>
      </c>
      <c r="S1662" s="5" t="s">
        <v>7667</v>
      </c>
      <c r="T1662" s="6" t="s">
        <v>2130</v>
      </c>
      <c r="U1662" s="5" t="s">
        <v>7668</v>
      </c>
      <c r="V1662" s="5"/>
    </row>
    <row r="1663" ht="12.75" customHeight="1">
      <c r="A1663" s="5">
        <v>35027.0</v>
      </c>
      <c r="B1663" s="5" t="s">
        <v>49</v>
      </c>
      <c r="C1663" s="52" t="s">
        <v>50</v>
      </c>
      <c r="D1663" s="5" t="s">
        <v>2852</v>
      </c>
      <c r="E1663" s="7" t="s">
        <v>7665</v>
      </c>
      <c r="F1663" s="5" t="s">
        <v>7493</v>
      </c>
      <c r="G1663" s="5" t="s">
        <v>7591</v>
      </c>
      <c r="H1663" s="5">
        <v>2006.0</v>
      </c>
      <c r="I1663" s="5">
        <v>0.0</v>
      </c>
      <c r="J1663" s="5">
        <v>0.0</v>
      </c>
      <c r="K1663" s="5">
        <v>50.0</v>
      </c>
      <c r="L1663" s="54"/>
      <c r="M1663" s="5" t="s">
        <v>7669</v>
      </c>
      <c r="N1663" s="53" t="s">
        <v>2700</v>
      </c>
      <c r="O1663">
        <v>35.508622</v>
      </c>
      <c r="P1663">
        <v>12.59292</v>
      </c>
      <c r="Q1663" s="5" t="s">
        <v>669</v>
      </c>
      <c r="R1663" s="10">
        <f t="shared" si="10"/>
        <v>3843</v>
      </c>
      <c r="S1663" s="5" t="s">
        <v>7667</v>
      </c>
      <c r="T1663" s="6" t="s">
        <v>2130</v>
      </c>
      <c r="U1663" s="5" t="s">
        <v>7670</v>
      </c>
      <c r="V1663" s="5" t="s">
        <v>7671</v>
      </c>
    </row>
    <row r="1664" ht="12.75" customHeight="1">
      <c r="A1664" s="5">
        <v>35029.0</v>
      </c>
      <c r="B1664" s="5" t="s">
        <v>68</v>
      </c>
      <c r="C1664" s="5" t="s">
        <v>69</v>
      </c>
      <c r="D1664" s="5" t="s">
        <v>2614</v>
      </c>
      <c r="E1664" s="7" t="s">
        <v>7672</v>
      </c>
      <c r="F1664" s="5" t="s">
        <v>7493</v>
      </c>
      <c r="G1664" s="5" t="s">
        <v>7591</v>
      </c>
      <c r="H1664" s="5">
        <v>2006.0</v>
      </c>
      <c r="I1664" s="5">
        <v>0.0</v>
      </c>
      <c r="J1664" s="5">
        <v>0.0</v>
      </c>
      <c r="K1664" s="5">
        <v>24.0</v>
      </c>
      <c r="L1664" s="54"/>
      <c r="M1664" s="5" t="s">
        <v>7673</v>
      </c>
      <c r="N1664" s="53" t="s">
        <v>3295</v>
      </c>
      <c r="O1664">
        <v>26.3351</v>
      </c>
      <c r="P1664">
        <v>17.228331</v>
      </c>
      <c r="Q1664" s="5" t="s">
        <v>337</v>
      </c>
      <c r="R1664" s="10">
        <f t="shared" si="10"/>
        <v>1371</v>
      </c>
      <c r="S1664" s="5" t="s">
        <v>7674</v>
      </c>
      <c r="T1664" s="5"/>
      <c r="U1664" s="5" t="s">
        <v>7675</v>
      </c>
      <c r="V1664" s="5" t="s">
        <v>7676</v>
      </c>
    </row>
    <row r="1665" ht="12.75" customHeight="1">
      <c r="A1665" s="5">
        <v>35030.0</v>
      </c>
      <c r="B1665" s="5" t="s">
        <v>68</v>
      </c>
      <c r="C1665" s="5" t="s">
        <v>69</v>
      </c>
      <c r="D1665" s="5" t="s">
        <v>2852</v>
      </c>
      <c r="E1665" s="7" t="s">
        <v>7677</v>
      </c>
      <c r="F1665" s="5" t="s">
        <v>7493</v>
      </c>
      <c r="G1665" s="5" t="s">
        <v>7591</v>
      </c>
      <c r="H1665" s="5">
        <v>2006.0</v>
      </c>
      <c r="I1665" s="5">
        <v>0.0</v>
      </c>
      <c r="J1665" s="5">
        <v>0.0</v>
      </c>
      <c r="K1665" s="5">
        <v>3.0</v>
      </c>
      <c r="L1665" s="54"/>
      <c r="M1665" s="5" t="s">
        <v>7678</v>
      </c>
      <c r="N1665" s="53" t="s">
        <v>4941</v>
      </c>
      <c r="O1665">
        <v>28.291564</v>
      </c>
      <c r="P1665">
        <v>-16.62913</v>
      </c>
      <c r="Q1665" s="5" t="s">
        <v>382</v>
      </c>
      <c r="R1665" s="10">
        <f t="shared" si="10"/>
        <v>1120</v>
      </c>
      <c r="S1665" s="5" t="s">
        <v>7679</v>
      </c>
      <c r="T1665" s="5" t="s">
        <v>1040</v>
      </c>
      <c r="U1665" s="5" t="s">
        <v>7680</v>
      </c>
      <c r="V1665" s="5" t="s">
        <v>7579</v>
      </c>
    </row>
    <row r="1666" ht="12.75" customHeight="1">
      <c r="A1666" s="5">
        <v>35031.0</v>
      </c>
      <c r="B1666" s="5" t="s">
        <v>4108</v>
      </c>
      <c r="C1666" s="5" t="s">
        <v>211</v>
      </c>
      <c r="D1666" s="5" t="s">
        <v>2852</v>
      </c>
      <c r="E1666" s="7" t="s">
        <v>7677</v>
      </c>
      <c r="F1666" s="5" t="s">
        <v>7493</v>
      </c>
      <c r="G1666" s="5" t="s">
        <v>7591</v>
      </c>
      <c r="H1666" s="5">
        <v>2006.0</v>
      </c>
      <c r="I1666" s="5">
        <v>0.0</v>
      </c>
      <c r="J1666" s="5">
        <v>0.0</v>
      </c>
      <c r="K1666" s="5">
        <v>1.0</v>
      </c>
      <c r="L1666" s="54"/>
      <c r="M1666" s="5" t="s">
        <v>7681</v>
      </c>
      <c r="N1666" s="53" t="s">
        <v>7682</v>
      </c>
      <c r="O1666">
        <v>55.899608</v>
      </c>
      <c r="P1666">
        <v>-4.360736</v>
      </c>
      <c r="Q1666" s="5" t="s">
        <v>1897</v>
      </c>
      <c r="R1666" s="10">
        <f t="shared" si="10"/>
        <v>1</v>
      </c>
      <c r="S1666" s="5" t="s">
        <v>7683</v>
      </c>
      <c r="T1666" s="5"/>
      <c r="U1666" s="5" t="s">
        <v>7684</v>
      </c>
      <c r="V1666" s="5"/>
    </row>
    <row r="1667" ht="12.75" customHeight="1">
      <c r="A1667" s="5">
        <v>35033.0</v>
      </c>
      <c r="B1667" s="5" t="s">
        <v>491</v>
      </c>
      <c r="C1667" s="52" t="s">
        <v>50</v>
      </c>
      <c r="D1667" s="5" t="s">
        <v>2852</v>
      </c>
      <c r="E1667" s="7" t="s">
        <v>7685</v>
      </c>
      <c r="F1667" s="5" t="s">
        <v>7493</v>
      </c>
      <c r="G1667" s="5" t="s">
        <v>7591</v>
      </c>
      <c r="H1667" s="5">
        <v>2006.0</v>
      </c>
      <c r="I1667" s="5">
        <v>0.0</v>
      </c>
      <c r="J1667" s="5">
        <v>0.0</v>
      </c>
      <c r="K1667" s="5">
        <v>1.0</v>
      </c>
      <c r="L1667" s="54"/>
      <c r="M1667" s="5" t="s">
        <v>7686</v>
      </c>
      <c r="N1667" s="53" t="s">
        <v>7029</v>
      </c>
      <c r="O1667">
        <v>21.00789</v>
      </c>
      <c r="P1667">
        <v>-10.940835</v>
      </c>
      <c r="Q1667" s="5" t="s">
        <v>310</v>
      </c>
      <c r="R1667" s="10">
        <f t="shared" si="10"/>
        <v>61</v>
      </c>
      <c r="S1667" s="5" t="s">
        <v>7687</v>
      </c>
      <c r="T1667" s="5" t="s">
        <v>1040</v>
      </c>
      <c r="U1667" s="5" t="s">
        <v>7524</v>
      </c>
      <c r="V1667" s="5"/>
    </row>
    <row r="1668" ht="12.75" customHeight="1">
      <c r="A1668" s="5">
        <v>35032.0</v>
      </c>
      <c r="B1668" s="5" t="s">
        <v>491</v>
      </c>
      <c r="C1668" s="52" t="s">
        <v>50</v>
      </c>
      <c r="D1668" s="5" t="s">
        <v>2852</v>
      </c>
      <c r="E1668" s="7" t="s">
        <v>7685</v>
      </c>
      <c r="F1668" s="5" t="s">
        <v>7493</v>
      </c>
      <c r="G1668" s="5" t="s">
        <v>7591</v>
      </c>
      <c r="H1668" s="5">
        <v>2006.0</v>
      </c>
      <c r="I1668" s="5">
        <v>0.0</v>
      </c>
      <c r="J1668" s="5">
        <v>0.0</v>
      </c>
      <c r="K1668" s="5">
        <v>28.0</v>
      </c>
      <c r="L1668" s="54"/>
      <c r="M1668" s="5" t="s">
        <v>7688</v>
      </c>
      <c r="N1668" s="53" t="s">
        <v>4941</v>
      </c>
      <c r="O1668">
        <v>28.291564</v>
      </c>
      <c r="P1668">
        <v>-16.62913</v>
      </c>
      <c r="Q1668" s="5" t="s">
        <v>382</v>
      </c>
      <c r="R1668" s="10">
        <f t="shared" si="10"/>
        <v>1120</v>
      </c>
      <c r="S1668" s="5" t="s">
        <v>7689</v>
      </c>
      <c r="T1668" s="5" t="s">
        <v>1040</v>
      </c>
      <c r="U1668" s="5" t="s">
        <v>7690</v>
      </c>
      <c r="V1668" s="5" t="s">
        <v>7691</v>
      </c>
    </row>
    <row r="1669" ht="12.75" customHeight="1">
      <c r="A1669" s="5">
        <v>35034.0</v>
      </c>
      <c r="B1669" s="5" t="s">
        <v>49</v>
      </c>
      <c r="C1669" s="52" t="s">
        <v>50</v>
      </c>
      <c r="D1669" s="5" t="s">
        <v>2614</v>
      </c>
      <c r="E1669" s="7" t="s">
        <v>7692</v>
      </c>
      <c r="F1669" s="5" t="s">
        <v>7493</v>
      </c>
      <c r="G1669" s="5" t="s">
        <v>7591</v>
      </c>
      <c r="H1669" s="5">
        <v>2006.0</v>
      </c>
      <c r="I1669" s="5">
        <v>0.0</v>
      </c>
      <c r="J1669" s="5">
        <v>0.0</v>
      </c>
      <c r="K1669" s="5">
        <v>2.0</v>
      </c>
      <c r="L1669" s="54"/>
      <c r="M1669" s="5" t="s">
        <v>7693</v>
      </c>
      <c r="N1669" s="53" t="s">
        <v>5185</v>
      </c>
      <c r="O1669">
        <v>36.748374</v>
      </c>
      <c r="P1669">
        <v>-3.516861</v>
      </c>
      <c r="Q1669" s="5" t="s">
        <v>832</v>
      </c>
      <c r="R1669" s="10">
        <f t="shared" si="10"/>
        <v>69</v>
      </c>
      <c r="S1669" s="5" t="s">
        <v>7694</v>
      </c>
      <c r="T1669" s="6" t="s">
        <v>72</v>
      </c>
      <c r="U1669" s="5" t="s">
        <v>7649</v>
      </c>
      <c r="V1669" s="5" t="s">
        <v>7650</v>
      </c>
    </row>
    <row r="1670" ht="12.75" customHeight="1">
      <c r="A1670" s="5">
        <v>35035.0</v>
      </c>
      <c r="B1670" s="5" t="s">
        <v>1161</v>
      </c>
      <c r="C1670" s="5" t="s">
        <v>124</v>
      </c>
      <c r="D1670" s="5" t="s">
        <v>2614</v>
      </c>
      <c r="E1670" s="7" t="s">
        <v>7695</v>
      </c>
      <c r="F1670" s="5" t="s">
        <v>7493</v>
      </c>
      <c r="G1670" s="5" t="s">
        <v>7591</v>
      </c>
      <c r="H1670" s="5">
        <v>2006.0</v>
      </c>
      <c r="I1670" s="5">
        <v>0.0</v>
      </c>
      <c r="J1670" s="5">
        <v>0.0</v>
      </c>
      <c r="K1670" s="5">
        <v>18.0</v>
      </c>
      <c r="L1670" s="54"/>
      <c r="M1670" s="5" t="s">
        <v>7696</v>
      </c>
      <c r="N1670" s="53" t="s">
        <v>4941</v>
      </c>
      <c r="O1670">
        <v>28.291564</v>
      </c>
      <c r="P1670">
        <v>-16.62913</v>
      </c>
      <c r="Q1670" s="5" t="s">
        <v>382</v>
      </c>
      <c r="R1670" s="10">
        <f t="shared" si="10"/>
        <v>1120</v>
      </c>
      <c r="S1670" s="5" t="s">
        <v>7697</v>
      </c>
      <c r="T1670" s="5" t="s">
        <v>1040</v>
      </c>
      <c r="U1670" s="5" t="s">
        <v>2165</v>
      </c>
      <c r="V1670" s="5" t="s">
        <v>7698</v>
      </c>
    </row>
    <row r="1671" ht="12.75" customHeight="1">
      <c r="A1671" s="5">
        <v>35036.0</v>
      </c>
      <c r="B1671" s="5" t="s">
        <v>2007</v>
      </c>
      <c r="C1671" s="5" t="s">
        <v>124</v>
      </c>
      <c r="D1671" s="5" t="s">
        <v>2852</v>
      </c>
      <c r="E1671" s="7" t="s">
        <v>7699</v>
      </c>
      <c r="F1671" s="5" t="s">
        <v>7493</v>
      </c>
      <c r="G1671" s="5" t="s">
        <v>7591</v>
      </c>
      <c r="H1671" s="5">
        <v>2006.0</v>
      </c>
      <c r="I1671" s="5">
        <v>0.0</v>
      </c>
      <c r="J1671" s="5">
        <v>0.0</v>
      </c>
      <c r="K1671" s="5">
        <v>1.0</v>
      </c>
      <c r="L1671" s="54"/>
      <c r="M1671" s="5" t="s">
        <v>7700</v>
      </c>
      <c r="N1671" s="53" t="s">
        <v>7701</v>
      </c>
      <c r="O1671">
        <v>51.081397</v>
      </c>
      <c r="P1671">
        <v>1.169456</v>
      </c>
      <c r="Q1671" s="5" t="s">
        <v>1579</v>
      </c>
      <c r="R1671" s="10">
        <f t="shared" si="10"/>
        <v>1</v>
      </c>
      <c r="S1671" s="5" t="s">
        <v>7702</v>
      </c>
      <c r="T1671" s="5"/>
      <c r="U1671" s="5" t="s">
        <v>7703</v>
      </c>
      <c r="V1671" s="5"/>
    </row>
    <row r="1672" ht="12.75" customHeight="1">
      <c r="A1672" s="5">
        <v>35037.0</v>
      </c>
      <c r="B1672" s="5" t="s">
        <v>2962</v>
      </c>
      <c r="C1672" s="5" t="s">
        <v>211</v>
      </c>
      <c r="D1672" s="5" t="s">
        <v>2852</v>
      </c>
      <c r="E1672" s="7" t="s">
        <v>7704</v>
      </c>
      <c r="F1672" s="5" t="s">
        <v>7493</v>
      </c>
      <c r="G1672" s="5" t="s">
        <v>7591</v>
      </c>
      <c r="H1672" s="5">
        <v>2006.0</v>
      </c>
      <c r="I1672" s="5">
        <v>0.0</v>
      </c>
      <c r="J1672" s="5">
        <v>0.0</v>
      </c>
      <c r="K1672" s="5">
        <v>1.0</v>
      </c>
      <c r="L1672" s="54"/>
      <c r="M1672" s="5" t="s">
        <v>7705</v>
      </c>
      <c r="N1672" s="53" t="s">
        <v>7706</v>
      </c>
      <c r="O1672">
        <v>51.204197</v>
      </c>
      <c r="P1672">
        <v>6.687951</v>
      </c>
      <c r="Q1672" s="5" t="s">
        <v>1610</v>
      </c>
      <c r="R1672" s="10">
        <f t="shared" si="10"/>
        <v>1</v>
      </c>
      <c r="S1672" s="5" t="s">
        <v>7707</v>
      </c>
      <c r="T1672" s="5"/>
      <c r="U1672" s="5" t="s">
        <v>7708</v>
      </c>
      <c r="V1672" s="5"/>
    </row>
    <row r="1673" ht="12.75" customHeight="1">
      <c r="A1673" s="5">
        <v>35038.0</v>
      </c>
      <c r="B1673" s="5" t="s">
        <v>68</v>
      </c>
      <c r="C1673" s="5" t="s">
        <v>69</v>
      </c>
      <c r="D1673" s="5" t="s">
        <v>2614</v>
      </c>
      <c r="E1673" s="7" t="s">
        <v>7709</v>
      </c>
      <c r="F1673" s="5" t="s">
        <v>7493</v>
      </c>
      <c r="G1673" s="5" t="s">
        <v>7591</v>
      </c>
      <c r="H1673" s="5">
        <v>2006.0</v>
      </c>
      <c r="I1673" s="5">
        <v>0.0</v>
      </c>
      <c r="J1673" s="5">
        <v>0.0</v>
      </c>
      <c r="K1673" s="5">
        <v>1.0</v>
      </c>
      <c r="L1673" s="54"/>
      <c r="M1673" s="5" t="s">
        <v>7710</v>
      </c>
      <c r="N1673" s="53" t="s">
        <v>4941</v>
      </c>
      <c r="O1673">
        <v>28.291564</v>
      </c>
      <c r="P1673">
        <v>-16.62913</v>
      </c>
      <c r="Q1673" s="5" t="s">
        <v>382</v>
      </c>
      <c r="R1673" s="10">
        <f t="shared" si="10"/>
        <v>1120</v>
      </c>
      <c r="S1673" s="5" t="s">
        <v>7711</v>
      </c>
      <c r="T1673" s="5" t="s">
        <v>1040</v>
      </c>
      <c r="U1673" s="5" t="s">
        <v>2165</v>
      </c>
      <c r="V1673" s="5" t="s">
        <v>7712</v>
      </c>
    </row>
    <row r="1674" ht="12.75" customHeight="1">
      <c r="A1674" s="5">
        <v>35039.0</v>
      </c>
      <c r="B1674" s="5" t="s">
        <v>68</v>
      </c>
      <c r="C1674" s="5" t="s">
        <v>69</v>
      </c>
      <c r="D1674" s="5" t="s">
        <v>2614</v>
      </c>
      <c r="E1674" s="7" t="s">
        <v>7713</v>
      </c>
      <c r="F1674" s="5" t="s">
        <v>7493</v>
      </c>
      <c r="G1674" s="5" t="s">
        <v>7591</v>
      </c>
      <c r="H1674" s="5">
        <v>2006.0</v>
      </c>
      <c r="I1674" s="5">
        <v>0.0</v>
      </c>
      <c r="J1674" s="5">
        <v>0.0</v>
      </c>
      <c r="K1674" s="5">
        <v>6.0</v>
      </c>
      <c r="L1674" s="54"/>
      <c r="M1674" s="5" t="s">
        <v>7714</v>
      </c>
      <c r="N1674" s="53" t="s">
        <v>7715</v>
      </c>
      <c r="O1674">
        <v>52.295891</v>
      </c>
      <c r="P1674">
        <v>13.622838</v>
      </c>
      <c r="Q1674" s="5" t="s">
        <v>1738</v>
      </c>
      <c r="R1674" s="10">
        <f t="shared" si="10"/>
        <v>6</v>
      </c>
      <c r="S1674" s="5" t="s">
        <v>7716</v>
      </c>
      <c r="T1674" s="5"/>
      <c r="U1674" s="5" t="s">
        <v>2326</v>
      </c>
      <c r="V1674" s="5" t="s">
        <v>7717</v>
      </c>
    </row>
    <row r="1675" ht="12.75" customHeight="1">
      <c r="A1675" s="5">
        <v>35040.0</v>
      </c>
      <c r="B1675" s="5" t="s">
        <v>49</v>
      </c>
      <c r="C1675" s="52" t="s">
        <v>50</v>
      </c>
      <c r="D1675" s="5" t="s">
        <v>2614</v>
      </c>
      <c r="E1675" s="7" t="s">
        <v>7718</v>
      </c>
      <c r="F1675" s="5" t="s">
        <v>7493</v>
      </c>
      <c r="G1675" s="5" t="s">
        <v>7719</v>
      </c>
      <c r="H1675" s="5">
        <v>2006.0</v>
      </c>
      <c r="I1675" s="5">
        <v>0.0</v>
      </c>
      <c r="J1675" s="5">
        <v>0.0</v>
      </c>
      <c r="K1675" s="5">
        <v>28.0</v>
      </c>
      <c r="L1675" s="54"/>
      <c r="M1675" s="5" t="s">
        <v>7720</v>
      </c>
      <c r="N1675" s="53" t="s">
        <v>7721</v>
      </c>
      <c r="O1675">
        <v>27.153611</v>
      </c>
      <c r="P1675">
        <v>-13.203333</v>
      </c>
      <c r="Q1675" s="5" t="s">
        <v>349</v>
      </c>
      <c r="R1675" s="10">
        <f t="shared" si="10"/>
        <v>348</v>
      </c>
      <c r="S1675" s="5" t="s">
        <v>7722</v>
      </c>
      <c r="T1675" s="5" t="s">
        <v>1040</v>
      </c>
      <c r="U1675" s="5" t="s">
        <v>2165</v>
      </c>
      <c r="V1675" s="5" t="s">
        <v>7723</v>
      </c>
    </row>
    <row r="1676" ht="12.75" customHeight="1">
      <c r="A1676" s="5">
        <v>35042.0</v>
      </c>
      <c r="B1676" s="5" t="s">
        <v>3555</v>
      </c>
      <c r="C1676" s="52" t="s">
        <v>50</v>
      </c>
      <c r="D1676" s="5" t="s">
        <v>2852</v>
      </c>
      <c r="E1676" s="7" t="s">
        <v>7724</v>
      </c>
      <c r="F1676" s="5" t="s">
        <v>7493</v>
      </c>
      <c r="G1676" s="5" t="s">
        <v>7719</v>
      </c>
      <c r="H1676" s="5">
        <v>2006.0</v>
      </c>
      <c r="I1676" s="5">
        <v>0.0</v>
      </c>
      <c r="J1676" s="5">
        <v>0.0</v>
      </c>
      <c r="K1676" s="5">
        <v>2.0</v>
      </c>
      <c r="L1676" s="54"/>
      <c r="M1676" s="5" t="s">
        <v>7725</v>
      </c>
      <c r="N1676" s="53" t="s">
        <v>7726</v>
      </c>
      <c r="O1676">
        <v>28.05</v>
      </c>
      <c r="P1676">
        <v>-16.716667</v>
      </c>
      <c r="Q1676" s="5" t="s">
        <v>372</v>
      </c>
      <c r="R1676" s="10">
        <f t="shared" si="10"/>
        <v>2</v>
      </c>
      <c r="S1676" s="5" t="s">
        <v>7727</v>
      </c>
      <c r="T1676" s="5" t="s">
        <v>1040</v>
      </c>
      <c r="U1676" s="5" t="s">
        <v>7728</v>
      </c>
      <c r="V1676" s="5"/>
    </row>
    <row r="1677" ht="12.75" customHeight="1">
      <c r="A1677" s="5">
        <v>35041.0</v>
      </c>
      <c r="B1677" s="5" t="s">
        <v>491</v>
      </c>
      <c r="C1677" s="52" t="s">
        <v>50</v>
      </c>
      <c r="D1677" s="5" t="s">
        <v>2852</v>
      </c>
      <c r="E1677" s="7" t="s">
        <v>7724</v>
      </c>
      <c r="F1677" s="5" t="s">
        <v>7493</v>
      </c>
      <c r="G1677" s="5" t="s">
        <v>7719</v>
      </c>
      <c r="H1677" s="5">
        <v>2006.0</v>
      </c>
      <c r="I1677" s="5">
        <v>0.0</v>
      </c>
      <c r="J1677" s="5">
        <v>0.0</v>
      </c>
      <c r="K1677" s="5">
        <v>1.0</v>
      </c>
      <c r="L1677" s="54"/>
      <c r="M1677" s="5" t="s">
        <v>7729</v>
      </c>
      <c r="N1677" s="53" t="s">
        <v>2700</v>
      </c>
      <c r="O1677">
        <v>35.508622</v>
      </c>
      <c r="P1677">
        <v>12.59292</v>
      </c>
      <c r="Q1677" s="5" t="s">
        <v>669</v>
      </c>
      <c r="R1677" s="10">
        <f t="shared" si="10"/>
        <v>3843</v>
      </c>
      <c r="S1677" s="5" t="s">
        <v>7730</v>
      </c>
      <c r="T1677" s="6" t="s">
        <v>2130</v>
      </c>
      <c r="U1677" s="5" t="s">
        <v>7731</v>
      </c>
      <c r="V1677" s="5" t="s">
        <v>7732</v>
      </c>
    </row>
    <row r="1678" ht="12.75" customHeight="1">
      <c r="A1678" s="5">
        <v>35044.0</v>
      </c>
      <c r="B1678" s="5" t="s">
        <v>491</v>
      </c>
      <c r="C1678" s="52" t="s">
        <v>50</v>
      </c>
      <c r="D1678" s="5" t="s">
        <v>2852</v>
      </c>
      <c r="E1678" s="7" t="s">
        <v>7733</v>
      </c>
      <c r="F1678" s="5" t="s">
        <v>7493</v>
      </c>
      <c r="G1678" s="5" t="s">
        <v>7719</v>
      </c>
      <c r="H1678" s="5">
        <v>2006.0</v>
      </c>
      <c r="I1678" s="5">
        <v>0.0</v>
      </c>
      <c r="J1678" s="5">
        <v>0.0</v>
      </c>
      <c r="K1678" s="5">
        <v>13.0</v>
      </c>
      <c r="L1678" s="54"/>
      <c r="M1678" s="5" t="s">
        <v>7734</v>
      </c>
      <c r="N1678" s="53" t="s">
        <v>2700</v>
      </c>
      <c r="O1678">
        <v>35.508622</v>
      </c>
      <c r="P1678">
        <v>12.59292</v>
      </c>
      <c r="Q1678" s="5" t="s">
        <v>669</v>
      </c>
      <c r="R1678" s="10">
        <f t="shared" si="10"/>
        <v>3843</v>
      </c>
      <c r="S1678" s="5" t="s">
        <v>7735</v>
      </c>
      <c r="T1678" s="6" t="s">
        <v>2130</v>
      </c>
      <c r="U1678" s="5" t="s">
        <v>7736</v>
      </c>
      <c r="V1678" s="5" t="s">
        <v>7737</v>
      </c>
    </row>
    <row r="1679" ht="12.75" customHeight="1">
      <c r="A1679" s="5">
        <v>35043.0</v>
      </c>
      <c r="B1679" s="5" t="s">
        <v>49</v>
      </c>
      <c r="C1679" s="52" t="s">
        <v>50</v>
      </c>
      <c r="D1679" s="5" t="s">
        <v>2852</v>
      </c>
      <c r="E1679" s="7" t="s">
        <v>7733</v>
      </c>
      <c r="F1679" s="5" t="s">
        <v>7493</v>
      </c>
      <c r="G1679" s="5" t="s">
        <v>7719</v>
      </c>
      <c r="H1679" s="5">
        <v>2006.0</v>
      </c>
      <c r="I1679" s="5">
        <v>0.0</v>
      </c>
      <c r="J1679" s="5">
        <v>0.0</v>
      </c>
      <c r="K1679" s="5">
        <v>17.0</v>
      </c>
      <c r="L1679" s="54"/>
      <c r="M1679" s="5" t="s">
        <v>7738</v>
      </c>
      <c r="N1679" s="53" t="s">
        <v>7739</v>
      </c>
      <c r="O1679">
        <v>45.764898</v>
      </c>
      <c r="P1679">
        <v>3.309457</v>
      </c>
      <c r="Q1679" s="5" t="s">
        <v>1338</v>
      </c>
      <c r="R1679" s="10">
        <f t="shared" si="10"/>
        <v>17</v>
      </c>
      <c r="S1679" s="5" t="s">
        <v>7740</v>
      </c>
      <c r="T1679" s="6" t="s">
        <v>2130</v>
      </c>
      <c r="U1679" s="5" t="s">
        <v>7741</v>
      </c>
      <c r="V1679" s="5" t="s">
        <v>7732</v>
      </c>
    </row>
    <row r="1680" ht="12.75" customHeight="1">
      <c r="A1680" s="5">
        <v>35046.0</v>
      </c>
      <c r="B1680" s="5" t="s">
        <v>49</v>
      </c>
      <c r="C1680" s="52" t="s">
        <v>50</v>
      </c>
      <c r="D1680" s="5" t="s">
        <v>2852</v>
      </c>
      <c r="E1680" s="7" t="s">
        <v>7742</v>
      </c>
      <c r="F1680" s="5" t="s">
        <v>7493</v>
      </c>
      <c r="G1680" s="5" t="s">
        <v>7719</v>
      </c>
      <c r="H1680" s="5">
        <v>2006.0</v>
      </c>
      <c r="I1680" s="5">
        <v>0.0</v>
      </c>
      <c r="J1680" s="5">
        <v>0.0</v>
      </c>
      <c r="K1680" s="5">
        <v>34.0</v>
      </c>
      <c r="L1680" s="54"/>
      <c r="M1680" s="5" t="s">
        <v>7743</v>
      </c>
      <c r="N1680" s="53" t="s">
        <v>4502</v>
      </c>
      <c r="O1680">
        <v>14.497401</v>
      </c>
      <c r="P1680">
        <v>-14.452362</v>
      </c>
      <c r="Q1680" s="5" t="s">
        <v>258</v>
      </c>
      <c r="R1680" s="10">
        <f t="shared" si="10"/>
        <v>200</v>
      </c>
      <c r="S1680" s="5" t="s">
        <v>7744</v>
      </c>
      <c r="T1680" s="5" t="s">
        <v>1040</v>
      </c>
      <c r="U1680" s="5" t="s">
        <v>7512</v>
      </c>
      <c r="V1680" s="5" t="s">
        <v>7745</v>
      </c>
    </row>
    <row r="1681" ht="12.75" customHeight="1">
      <c r="A1681" s="5">
        <v>35047.0</v>
      </c>
      <c r="B1681" s="5" t="s">
        <v>49</v>
      </c>
      <c r="C1681" s="52" t="s">
        <v>50</v>
      </c>
      <c r="D1681" s="5" t="s">
        <v>2852</v>
      </c>
      <c r="E1681" s="7" t="s">
        <v>7742</v>
      </c>
      <c r="F1681" s="5" t="s">
        <v>7493</v>
      </c>
      <c r="G1681" s="5" t="s">
        <v>7719</v>
      </c>
      <c r="H1681" s="5">
        <v>2006.0</v>
      </c>
      <c r="I1681" s="5">
        <v>0.0</v>
      </c>
      <c r="J1681" s="5">
        <v>0.0</v>
      </c>
      <c r="K1681" s="5">
        <v>2.0</v>
      </c>
      <c r="L1681" s="54"/>
      <c r="M1681" s="5" t="s">
        <v>7746</v>
      </c>
      <c r="N1681" s="53" t="s">
        <v>4556</v>
      </c>
      <c r="O1681">
        <v>28.291564</v>
      </c>
      <c r="P1681">
        <v>-16.62913</v>
      </c>
      <c r="Q1681" s="5" t="s">
        <v>382</v>
      </c>
      <c r="R1681" s="10">
        <f t="shared" si="10"/>
        <v>1120</v>
      </c>
      <c r="S1681" s="5" t="s">
        <v>7747</v>
      </c>
      <c r="T1681" s="5" t="s">
        <v>1040</v>
      </c>
      <c r="U1681" s="5" t="s">
        <v>7748</v>
      </c>
      <c r="V1681" s="5" t="s">
        <v>7749</v>
      </c>
    </row>
    <row r="1682" ht="12.75" customHeight="1">
      <c r="A1682" s="5">
        <v>35045.0</v>
      </c>
      <c r="B1682" s="5" t="s">
        <v>68</v>
      </c>
      <c r="C1682" s="5" t="s">
        <v>69</v>
      </c>
      <c r="D1682" s="5" t="s">
        <v>2852</v>
      </c>
      <c r="E1682" s="7" t="s">
        <v>7742</v>
      </c>
      <c r="F1682" s="5" t="s">
        <v>7493</v>
      </c>
      <c r="G1682" s="5" t="s">
        <v>7719</v>
      </c>
      <c r="H1682" s="5">
        <v>2006.0</v>
      </c>
      <c r="I1682" s="5">
        <v>0.0</v>
      </c>
      <c r="J1682" s="5">
        <v>0.0</v>
      </c>
      <c r="K1682" s="5">
        <v>2.0</v>
      </c>
      <c r="L1682" s="54"/>
      <c r="M1682" s="5" t="s">
        <v>7750</v>
      </c>
      <c r="N1682" s="53" t="s">
        <v>4556</v>
      </c>
      <c r="O1682">
        <v>28.291564</v>
      </c>
      <c r="P1682">
        <v>-16.62913</v>
      </c>
      <c r="Q1682" s="5" t="s">
        <v>382</v>
      </c>
      <c r="R1682" s="10">
        <f t="shared" si="10"/>
        <v>1120</v>
      </c>
      <c r="S1682" s="5" t="s">
        <v>7747</v>
      </c>
      <c r="T1682" s="5" t="s">
        <v>1040</v>
      </c>
      <c r="U1682" s="5" t="s">
        <v>7751</v>
      </c>
      <c r="V1682" s="5"/>
    </row>
    <row r="1683" ht="12.75" customHeight="1">
      <c r="A1683" s="5">
        <v>35048.0</v>
      </c>
      <c r="B1683" s="5" t="s">
        <v>491</v>
      </c>
      <c r="C1683" s="52" t="s">
        <v>50</v>
      </c>
      <c r="D1683" s="5" t="s">
        <v>2852</v>
      </c>
      <c r="E1683" s="7" t="s">
        <v>7752</v>
      </c>
      <c r="F1683" s="5" t="s">
        <v>7493</v>
      </c>
      <c r="G1683" s="5" t="s">
        <v>7719</v>
      </c>
      <c r="H1683" s="5">
        <v>2006.0</v>
      </c>
      <c r="I1683" s="5">
        <v>0.0</v>
      </c>
      <c r="J1683" s="5">
        <v>0.0</v>
      </c>
      <c r="K1683" s="5">
        <v>1.0</v>
      </c>
      <c r="L1683" s="54"/>
      <c r="M1683" s="5" t="s">
        <v>7753</v>
      </c>
      <c r="N1683" s="53" t="s">
        <v>4941</v>
      </c>
      <c r="O1683">
        <v>28.291564</v>
      </c>
      <c r="P1683">
        <v>-16.62913</v>
      </c>
      <c r="Q1683" s="5" t="s">
        <v>382</v>
      </c>
      <c r="R1683" s="10">
        <f t="shared" si="10"/>
        <v>1120</v>
      </c>
      <c r="S1683" s="5" t="s">
        <v>7754</v>
      </c>
      <c r="T1683" s="5" t="s">
        <v>1040</v>
      </c>
      <c r="U1683" s="5" t="s">
        <v>7755</v>
      </c>
      <c r="V1683" s="5" t="s">
        <v>7756</v>
      </c>
    </row>
    <row r="1684" ht="12.75" customHeight="1">
      <c r="A1684" s="5">
        <v>35050.0</v>
      </c>
      <c r="B1684" s="5" t="s">
        <v>49</v>
      </c>
      <c r="C1684" s="52" t="s">
        <v>50</v>
      </c>
      <c r="D1684" s="5" t="s">
        <v>2852</v>
      </c>
      <c r="E1684" s="7" t="s">
        <v>7757</v>
      </c>
      <c r="F1684" s="5" t="s">
        <v>7493</v>
      </c>
      <c r="G1684" s="5" t="s">
        <v>7719</v>
      </c>
      <c r="H1684" s="5">
        <v>2006.0</v>
      </c>
      <c r="I1684" s="5">
        <v>0.0</v>
      </c>
      <c r="J1684" s="5">
        <v>0.0</v>
      </c>
      <c r="K1684" s="5">
        <v>17.0</v>
      </c>
      <c r="L1684" s="54"/>
      <c r="M1684" s="5" t="s">
        <v>7758</v>
      </c>
      <c r="N1684" s="53" t="s">
        <v>7759</v>
      </c>
      <c r="O1684">
        <v>35.502446</v>
      </c>
      <c r="P1684">
        <v>11.045721</v>
      </c>
      <c r="Q1684" s="5" t="s">
        <v>667</v>
      </c>
      <c r="R1684" s="10">
        <f t="shared" si="10"/>
        <v>17</v>
      </c>
      <c r="S1684" s="5" t="s">
        <v>7760</v>
      </c>
      <c r="T1684" s="6" t="s">
        <v>2130</v>
      </c>
      <c r="U1684" s="5" t="s">
        <v>7761</v>
      </c>
      <c r="V1684" s="5" t="s">
        <v>7762</v>
      </c>
    </row>
    <row r="1685" ht="12.75" customHeight="1">
      <c r="A1685" s="5">
        <v>35049.0</v>
      </c>
      <c r="B1685" s="5" t="s">
        <v>1995</v>
      </c>
      <c r="C1685" s="52" t="s">
        <v>50</v>
      </c>
      <c r="D1685" s="5" t="s">
        <v>2852</v>
      </c>
      <c r="E1685" s="7" t="s">
        <v>7757</v>
      </c>
      <c r="F1685" s="5" t="s">
        <v>7493</v>
      </c>
      <c r="G1685" s="5" t="s">
        <v>7719</v>
      </c>
      <c r="H1685" s="5">
        <v>2006.0</v>
      </c>
      <c r="I1685" s="5">
        <v>0.0</v>
      </c>
      <c r="J1685" s="5">
        <v>0.0</v>
      </c>
      <c r="K1685" s="5">
        <v>1.0</v>
      </c>
      <c r="L1685" s="54"/>
      <c r="M1685" s="5" t="s">
        <v>7763</v>
      </c>
      <c r="N1685" s="53" t="s">
        <v>7764</v>
      </c>
      <c r="O1685">
        <v>52.873165</v>
      </c>
      <c r="P1685">
        <v>6.369422</v>
      </c>
      <c r="Q1685" s="5" t="s">
        <v>1799</v>
      </c>
      <c r="R1685" s="10">
        <f t="shared" si="10"/>
        <v>1</v>
      </c>
      <c r="S1685" s="5" t="s">
        <v>7765</v>
      </c>
      <c r="T1685" s="5"/>
      <c r="U1685" s="5" t="s">
        <v>4492</v>
      </c>
      <c r="V1685" s="5"/>
    </row>
    <row r="1686" ht="12.75" customHeight="1">
      <c r="A1686" s="5">
        <v>35051.0</v>
      </c>
      <c r="B1686" s="5" t="s">
        <v>5200</v>
      </c>
      <c r="C1686" s="5" t="s">
        <v>124</v>
      </c>
      <c r="D1686" s="5" t="s">
        <v>2852</v>
      </c>
      <c r="E1686" s="7" t="s">
        <v>7766</v>
      </c>
      <c r="F1686" s="5" t="s">
        <v>7493</v>
      </c>
      <c r="G1686" s="5" t="s">
        <v>7719</v>
      </c>
      <c r="H1686" s="5">
        <v>2006.0</v>
      </c>
      <c r="I1686" s="5">
        <v>0.0</v>
      </c>
      <c r="J1686" s="5">
        <v>0.0</v>
      </c>
      <c r="K1686" s="5">
        <v>2.0</v>
      </c>
      <c r="L1686" s="54"/>
      <c r="M1686" s="5" t="s">
        <v>7767</v>
      </c>
      <c r="N1686" s="53" t="s">
        <v>2834</v>
      </c>
      <c r="O1686">
        <v>41.244376</v>
      </c>
      <c r="P1686">
        <v>26.135943</v>
      </c>
      <c r="Q1686" s="5" t="s">
        <v>1214</v>
      </c>
      <c r="R1686" s="10">
        <f t="shared" si="10"/>
        <v>188</v>
      </c>
      <c r="S1686" s="5" t="s">
        <v>7768</v>
      </c>
      <c r="T1686" s="6" t="s">
        <v>53</v>
      </c>
      <c r="U1686" s="5" t="s">
        <v>7769</v>
      </c>
      <c r="V1686" s="5"/>
    </row>
    <row r="1687" ht="12.75" customHeight="1">
      <c r="A1687" s="5">
        <v>35052.0</v>
      </c>
      <c r="B1687" s="5" t="s">
        <v>636</v>
      </c>
      <c r="C1687" s="52" t="s">
        <v>50</v>
      </c>
      <c r="D1687" s="5" t="s">
        <v>2852</v>
      </c>
      <c r="E1687" s="7" t="s">
        <v>7770</v>
      </c>
      <c r="F1687" s="5" t="s">
        <v>7493</v>
      </c>
      <c r="G1687" s="5" t="s">
        <v>7719</v>
      </c>
      <c r="H1687" s="5">
        <v>2006.0</v>
      </c>
      <c r="I1687" s="5">
        <v>0.0</v>
      </c>
      <c r="J1687" s="5">
        <v>0.0</v>
      </c>
      <c r="K1687" s="5">
        <v>2.0</v>
      </c>
      <c r="L1687" s="54"/>
      <c r="M1687" s="5" t="s">
        <v>7771</v>
      </c>
      <c r="N1687" s="53" t="s">
        <v>4941</v>
      </c>
      <c r="O1687">
        <v>28.291564</v>
      </c>
      <c r="P1687">
        <v>-16.62913</v>
      </c>
      <c r="Q1687" s="5" t="s">
        <v>382</v>
      </c>
      <c r="R1687" s="10">
        <f t="shared" si="10"/>
        <v>1120</v>
      </c>
      <c r="S1687" s="5" t="s">
        <v>7772</v>
      </c>
      <c r="T1687" s="5" t="s">
        <v>1040</v>
      </c>
      <c r="U1687" s="5" t="s">
        <v>7773</v>
      </c>
      <c r="V1687" s="5" t="s">
        <v>7774</v>
      </c>
    </row>
    <row r="1688" ht="12.75" customHeight="1">
      <c r="A1688" s="5">
        <v>35053.0</v>
      </c>
      <c r="B1688" s="5" t="s">
        <v>49</v>
      </c>
      <c r="C1688" s="52" t="s">
        <v>50</v>
      </c>
      <c r="D1688" s="5" t="s">
        <v>2852</v>
      </c>
      <c r="E1688" s="7" t="s">
        <v>7770</v>
      </c>
      <c r="F1688" s="5" t="s">
        <v>7493</v>
      </c>
      <c r="G1688" s="5" t="s">
        <v>7719</v>
      </c>
      <c r="H1688" s="5">
        <v>2006.0</v>
      </c>
      <c r="I1688" s="5">
        <v>0.0</v>
      </c>
      <c r="J1688" s="5">
        <v>0.0</v>
      </c>
      <c r="K1688" s="5">
        <v>3.0</v>
      </c>
      <c r="L1688" s="54"/>
      <c r="M1688" s="5" t="s">
        <v>7775</v>
      </c>
      <c r="N1688" s="53" t="s">
        <v>4739</v>
      </c>
      <c r="O1688">
        <v>37.074153</v>
      </c>
      <c r="P1688">
        <v>14.240354</v>
      </c>
      <c r="Q1688" s="5" t="s">
        <v>894</v>
      </c>
      <c r="R1688" s="10">
        <f t="shared" si="10"/>
        <v>59</v>
      </c>
      <c r="S1688" s="5" t="s">
        <v>7776</v>
      </c>
      <c r="T1688" s="6" t="s">
        <v>2130</v>
      </c>
      <c r="U1688" s="5" t="s">
        <v>7777</v>
      </c>
      <c r="V1688" s="5" t="s">
        <v>7778</v>
      </c>
    </row>
    <row r="1689" ht="12.75" customHeight="1">
      <c r="A1689" s="5">
        <v>35055.0</v>
      </c>
      <c r="B1689" s="5" t="s">
        <v>2896</v>
      </c>
      <c r="C1689" s="5" t="s">
        <v>211</v>
      </c>
      <c r="D1689" s="5" t="s">
        <v>2852</v>
      </c>
      <c r="E1689" s="7" t="s">
        <v>7779</v>
      </c>
      <c r="F1689" s="5" t="s">
        <v>7493</v>
      </c>
      <c r="G1689" s="5" t="s">
        <v>7719</v>
      </c>
      <c r="H1689" s="5">
        <v>2006.0</v>
      </c>
      <c r="I1689" s="5">
        <v>0.0</v>
      </c>
      <c r="J1689" s="5">
        <v>0.0</v>
      </c>
      <c r="K1689" s="5">
        <v>4.0</v>
      </c>
      <c r="L1689" s="54"/>
      <c r="M1689" s="5" t="s">
        <v>7780</v>
      </c>
      <c r="N1689" s="53" t="s">
        <v>5367</v>
      </c>
      <c r="O1689">
        <v>28.291564</v>
      </c>
      <c r="P1689">
        <v>-16.62913</v>
      </c>
      <c r="Q1689" s="5" t="s">
        <v>382</v>
      </c>
      <c r="R1689" s="10">
        <f t="shared" si="10"/>
        <v>1120</v>
      </c>
      <c r="S1689" s="5" t="s">
        <v>7781</v>
      </c>
      <c r="T1689" s="5" t="s">
        <v>1040</v>
      </c>
      <c r="U1689" s="5" t="s">
        <v>7512</v>
      </c>
      <c r="V1689" s="5"/>
    </row>
    <row r="1690" ht="12.75" customHeight="1">
      <c r="A1690" s="5">
        <v>35054.0</v>
      </c>
      <c r="B1690" s="5" t="s">
        <v>491</v>
      </c>
      <c r="C1690" s="52" t="s">
        <v>50</v>
      </c>
      <c r="D1690" s="5" t="s">
        <v>2852</v>
      </c>
      <c r="E1690" s="7" t="s">
        <v>7779</v>
      </c>
      <c r="F1690" s="5" t="s">
        <v>7493</v>
      </c>
      <c r="G1690" s="5" t="s">
        <v>7719</v>
      </c>
      <c r="H1690" s="5">
        <v>2006.0</v>
      </c>
      <c r="I1690" s="5">
        <v>0.0</v>
      </c>
      <c r="J1690" s="5">
        <v>0.0</v>
      </c>
      <c r="K1690" s="5">
        <v>4.0</v>
      </c>
      <c r="L1690" s="54"/>
      <c r="M1690" s="5" t="s">
        <v>7782</v>
      </c>
      <c r="N1690" s="53" t="s">
        <v>4941</v>
      </c>
      <c r="O1690">
        <v>28.291564</v>
      </c>
      <c r="P1690">
        <v>-16.62913</v>
      </c>
      <c r="Q1690" s="5" t="s">
        <v>382</v>
      </c>
      <c r="R1690" s="10">
        <f t="shared" si="10"/>
        <v>1120</v>
      </c>
      <c r="S1690" s="5" t="s">
        <v>7783</v>
      </c>
      <c r="T1690" s="5" t="s">
        <v>1040</v>
      </c>
      <c r="U1690" s="5" t="s">
        <v>7512</v>
      </c>
      <c r="V1690" s="5" t="s">
        <v>7784</v>
      </c>
    </row>
    <row r="1691" ht="12.75" customHeight="1">
      <c r="A1691" s="5">
        <v>35057.0</v>
      </c>
      <c r="B1691" s="5" t="s">
        <v>68</v>
      </c>
      <c r="C1691" s="5" t="s">
        <v>69</v>
      </c>
      <c r="D1691" s="5" t="s">
        <v>2852</v>
      </c>
      <c r="E1691" s="7" t="s">
        <v>7785</v>
      </c>
      <c r="F1691" s="5" t="s">
        <v>7493</v>
      </c>
      <c r="G1691" s="5" t="s">
        <v>7719</v>
      </c>
      <c r="H1691" s="5">
        <v>2006.0</v>
      </c>
      <c r="I1691" s="5">
        <v>0.0</v>
      </c>
      <c r="J1691" s="5">
        <v>0.0</v>
      </c>
      <c r="K1691" s="5">
        <v>2.0</v>
      </c>
      <c r="L1691" s="54"/>
      <c r="M1691" s="5" t="s">
        <v>7786</v>
      </c>
      <c r="N1691" s="53" t="s">
        <v>4941</v>
      </c>
      <c r="O1691">
        <v>28.291564</v>
      </c>
      <c r="P1691">
        <v>-16.62913</v>
      </c>
      <c r="Q1691" s="5" t="s">
        <v>382</v>
      </c>
      <c r="R1691" s="10">
        <f t="shared" si="10"/>
        <v>1120</v>
      </c>
      <c r="S1691" s="5" t="s">
        <v>7787</v>
      </c>
      <c r="T1691" s="5" t="s">
        <v>1040</v>
      </c>
      <c r="U1691" s="5" t="s">
        <v>7788</v>
      </c>
      <c r="V1691" s="5" t="s">
        <v>7789</v>
      </c>
    </row>
    <row r="1692" ht="12.75" customHeight="1">
      <c r="A1692" s="5">
        <v>35056.0</v>
      </c>
      <c r="B1692" s="5" t="s">
        <v>491</v>
      </c>
      <c r="C1692" s="52" t="s">
        <v>50</v>
      </c>
      <c r="D1692" s="5" t="s">
        <v>2852</v>
      </c>
      <c r="E1692" s="7" t="s">
        <v>7785</v>
      </c>
      <c r="F1692" s="5" t="s">
        <v>7493</v>
      </c>
      <c r="G1692" s="5" t="s">
        <v>7719</v>
      </c>
      <c r="H1692" s="5">
        <v>2006.0</v>
      </c>
      <c r="I1692" s="5">
        <v>0.0</v>
      </c>
      <c r="J1692" s="5">
        <v>0.0</v>
      </c>
      <c r="K1692" s="5">
        <v>2.0</v>
      </c>
      <c r="L1692" s="54"/>
      <c r="M1692" s="5" t="s">
        <v>7790</v>
      </c>
      <c r="N1692" s="53" t="s">
        <v>4556</v>
      </c>
      <c r="O1692">
        <v>28.291564</v>
      </c>
      <c r="P1692">
        <v>-16.62913</v>
      </c>
      <c r="Q1692" s="5" t="s">
        <v>382</v>
      </c>
      <c r="R1692" s="10">
        <f t="shared" si="10"/>
        <v>1120</v>
      </c>
      <c r="S1692" s="5" t="s">
        <v>7791</v>
      </c>
      <c r="T1692" s="5" t="s">
        <v>1040</v>
      </c>
      <c r="U1692" s="5" t="s">
        <v>7792</v>
      </c>
      <c r="V1692" s="5" t="s">
        <v>7793</v>
      </c>
    </row>
    <row r="1693" ht="12.75" customHeight="1">
      <c r="A1693" s="5">
        <v>35058.0</v>
      </c>
      <c r="B1693" s="5" t="s">
        <v>68</v>
      </c>
      <c r="C1693" s="5" t="s">
        <v>69</v>
      </c>
      <c r="D1693" s="5" t="s">
        <v>2852</v>
      </c>
      <c r="E1693" s="7" t="s">
        <v>7794</v>
      </c>
      <c r="F1693" s="5" t="s">
        <v>7493</v>
      </c>
      <c r="G1693" s="5" t="s">
        <v>7719</v>
      </c>
      <c r="H1693" s="5">
        <v>2006.0</v>
      </c>
      <c r="I1693" s="5">
        <v>0.0</v>
      </c>
      <c r="J1693" s="5">
        <v>0.0</v>
      </c>
      <c r="K1693" s="5">
        <v>1.0</v>
      </c>
      <c r="L1693" s="54"/>
      <c r="M1693" s="5" t="s">
        <v>7795</v>
      </c>
      <c r="N1693" s="53" t="s">
        <v>4556</v>
      </c>
      <c r="O1693">
        <v>28.291564</v>
      </c>
      <c r="P1693">
        <v>-16.62913</v>
      </c>
      <c r="Q1693" s="5" t="s">
        <v>382</v>
      </c>
      <c r="R1693" s="10">
        <f t="shared" si="10"/>
        <v>1120</v>
      </c>
      <c r="S1693" s="5" t="s">
        <v>7796</v>
      </c>
      <c r="T1693" s="5" t="s">
        <v>1040</v>
      </c>
      <c r="U1693" s="5" t="s">
        <v>7797</v>
      </c>
      <c r="V1693" s="5"/>
    </row>
    <row r="1694" ht="12.75" customHeight="1">
      <c r="A1694" s="5">
        <v>35059.0</v>
      </c>
      <c r="B1694" s="5" t="s">
        <v>636</v>
      </c>
      <c r="C1694" s="52" t="s">
        <v>50</v>
      </c>
      <c r="D1694" s="5" t="s">
        <v>2852</v>
      </c>
      <c r="E1694" s="7" t="s">
        <v>7798</v>
      </c>
      <c r="F1694" s="5" t="s">
        <v>7493</v>
      </c>
      <c r="G1694" s="5" t="s">
        <v>7719</v>
      </c>
      <c r="H1694" s="5">
        <v>2006.0</v>
      </c>
      <c r="I1694" s="5">
        <v>0.0</v>
      </c>
      <c r="J1694" s="5">
        <v>0.0</v>
      </c>
      <c r="K1694" s="5">
        <v>1.0</v>
      </c>
      <c r="L1694" s="54"/>
      <c r="M1694" s="5" t="s">
        <v>7799</v>
      </c>
      <c r="N1694" s="53" t="s">
        <v>5814</v>
      </c>
      <c r="O1694">
        <v>28.358744</v>
      </c>
      <c r="P1694">
        <v>-14.053676</v>
      </c>
      <c r="Q1694" s="5" t="s">
        <v>390</v>
      </c>
      <c r="R1694" s="10">
        <f t="shared" si="10"/>
        <v>488</v>
      </c>
      <c r="S1694" s="5" t="s">
        <v>7800</v>
      </c>
      <c r="T1694" s="5" t="s">
        <v>1040</v>
      </c>
      <c r="U1694" s="5" t="s">
        <v>7801</v>
      </c>
      <c r="V1694" s="5" t="s">
        <v>7802</v>
      </c>
    </row>
    <row r="1695" ht="12.75" customHeight="1">
      <c r="A1695" s="5">
        <v>35060.0</v>
      </c>
      <c r="B1695" s="5" t="s">
        <v>2902</v>
      </c>
      <c r="C1695" s="5" t="s">
        <v>211</v>
      </c>
      <c r="D1695" s="5" t="s">
        <v>2852</v>
      </c>
      <c r="E1695" s="7" t="s">
        <v>7803</v>
      </c>
      <c r="F1695" s="5" t="s">
        <v>7493</v>
      </c>
      <c r="G1695" s="5" t="s">
        <v>7719</v>
      </c>
      <c r="H1695" s="5">
        <v>2006.0</v>
      </c>
      <c r="I1695" s="5">
        <v>0.0</v>
      </c>
      <c r="J1695" s="5">
        <v>0.0</v>
      </c>
      <c r="K1695" s="5">
        <v>1.0</v>
      </c>
      <c r="L1695" s="54"/>
      <c r="M1695" s="5" t="s">
        <v>7804</v>
      </c>
      <c r="N1695" s="53" t="s">
        <v>7805</v>
      </c>
      <c r="O1695">
        <v>54.978133</v>
      </c>
      <c r="P1695">
        <v>25.762997</v>
      </c>
      <c r="Q1695" s="5" t="s">
        <v>1874</v>
      </c>
      <c r="R1695" s="10">
        <f t="shared" si="10"/>
        <v>1</v>
      </c>
      <c r="S1695" s="5" t="s">
        <v>7806</v>
      </c>
      <c r="T1695" s="6" t="s">
        <v>1964</v>
      </c>
      <c r="U1695" s="5" t="s">
        <v>3128</v>
      </c>
      <c r="V1695" s="5" t="s">
        <v>7807</v>
      </c>
    </row>
    <row r="1696" ht="12.75" customHeight="1">
      <c r="A1696" s="5">
        <v>35061.0</v>
      </c>
      <c r="B1696" s="5" t="s">
        <v>1555</v>
      </c>
      <c r="C1696" s="5" t="s">
        <v>42</v>
      </c>
      <c r="D1696" s="5" t="s">
        <v>2852</v>
      </c>
      <c r="E1696" s="7" t="s">
        <v>7808</v>
      </c>
      <c r="F1696" s="5" t="s">
        <v>7493</v>
      </c>
      <c r="G1696" s="5" t="s">
        <v>7719</v>
      </c>
      <c r="H1696" s="5">
        <v>2006.0</v>
      </c>
      <c r="I1696" s="5">
        <v>0.0</v>
      </c>
      <c r="J1696" s="5">
        <v>0.0</v>
      </c>
      <c r="K1696" s="5">
        <v>1.0</v>
      </c>
      <c r="L1696" s="54"/>
      <c r="M1696" s="5" t="s">
        <v>7809</v>
      </c>
      <c r="N1696" s="53" t="s">
        <v>7810</v>
      </c>
      <c r="O1696">
        <v>63.430515</v>
      </c>
      <c r="P1696">
        <v>10.395053</v>
      </c>
      <c r="Q1696" s="5" t="s">
        <v>1928</v>
      </c>
      <c r="R1696" s="10">
        <f t="shared" si="10"/>
        <v>1</v>
      </c>
      <c r="S1696" s="5" t="s">
        <v>7811</v>
      </c>
      <c r="T1696" s="5"/>
      <c r="U1696" s="5" t="s">
        <v>7812</v>
      </c>
      <c r="V1696" s="5"/>
    </row>
    <row r="1697" ht="12.75" customHeight="1">
      <c r="A1697" s="5">
        <v>35063.0</v>
      </c>
      <c r="B1697" s="5" t="s">
        <v>2040</v>
      </c>
      <c r="C1697" s="52" t="s">
        <v>50</v>
      </c>
      <c r="D1697" s="5" t="s">
        <v>2852</v>
      </c>
      <c r="E1697" s="7" t="s">
        <v>7813</v>
      </c>
      <c r="F1697" s="5" t="s">
        <v>7493</v>
      </c>
      <c r="G1697" s="5" t="s">
        <v>7719</v>
      </c>
      <c r="H1697" s="5">
        <v>2006.0</v>
      </c>
      <c r="I1697" s="5">
        <v>0.0</v>
      </c>
      <c r="J1697" s="5">
        <v>0.0</v>
      </c>
      <c r="K1697" s="5">
        <v>3.0</v>
      </c>
      <c r="L1697" s="54"/>
      <c r="M1697" s="5" t="s">
        <v>7814</v>
      </c>
      <c r="N1697" s="53" t="s">
        <v>4556</v>
      </c>
      <c r="O1697">
        <v>28.291564</v>
      </c>
      <c r="P1697">
        <v>-16.62913</v>
      </c>
      <c r="Q1697" s="5" t="s">
        <v>382</v>
      </c>
      <c r="R1697" s="10">
        <f t="shared" si="10"/>
        <v>1120</v>
      </c>
      <c r="S1697" s="5" t="s">
        <v>7815</v>
      </c>
      <c r="T1697" s="5" t="s">
        <v>1040</v>
      </c>
      <c r="U1697" s="5" t="s">
        <v>7816</v>
      </c>
      <c r="V1697" s="5" t="s">
        <v>7817</v>
      </c>
    </row>
    <row r="1698" ht="12.75" customHeight="1">
      <c r="A1698" s="5">
        <v>35062.0</v>
      </c>
      <c r="B1698" s="5" t="s">
        <v>49</v>
      </c>
      <c r="C1698" s="52" t="s">
        <v>50</v>
      </c>
      <c r="D1698" s="5" t="s">
        <v>2852</v>
      </c>
      <c r="E1698" s="7" t="s">
        <v>7813</v>
      </c>
      <c r="F1698" s="5" t="s">
        <v>7493</v>
      </c>
      <c r="G1698" s="5" t="s">
        <v>7719</v>
      </c>
      <c r="H1698" s="5">
        <v>2006.0</v>
      </c>
      <c r="I1698" s="5">
        <v>0.0</v>
      </c>
      <c r="J1698" s="5">
        <v>0.0</v>
      </c>
      <c r="K1698" s="5">
        <v>9.0</v>
      </c>
      <c r="L1698" s="54"/>
      <c r="M1698" s="5" t="s">
        <v>7818</v>
      </c>
      <c r="N1698" s="53" t="s">
        <v>4941</v>
      </c>
      <c r="O1698">
        <v>28.291564</v>
      </c>
      <c r="P1698">
        <v>-16.62913</v>
      </c>
      <c r="Q1698" s="5" t="s">
        <v>382</v>
      </c>
      <c r="R1698" s="10">
        <f t="shared" si="10"/>
        <v>1120</v>
      </c>
      <c r="S1698" s="5" t="s">
        <v>7819</v>
      </c>
      <c r="T1698" s="5" t="s">
        <v>1040</v>
      </c>
      <c r="U1698" s="5" t="s">
        <v>7512</v>
      </c>
      <c r="V1698" s="5"/>
    </row>
    <row r="1699" ht="12.75" customHeight="1">
      <c r="A1699" s="5">
        <v>35065.0</v>
      </c>
      <c r="B1699" s="5" t="s">
        <v>49</v>
      </c>
      <c r="C1699" s="52" t="s">
        <v>50</v>
      </c>
      <c r="D1699" s="5" t="s">
        <v>2852</v>
      </c>
      <c r="E1699" s="7" t="s">
        <v>7820</v>
      </c>
      <c r="F1699" s="5" t="s">
        <v>7493</v>
      </c>
      <c r="G1699" s="5" t="s">
        <v>7719</v>
      </c>
      <c r="H1699" s="5">
        <v>2006.0</v>
      </c>
      <c r="I1699" s="5">
        <v>0.0</v>
      </c>
      <c r="J1699" s="5">
        <v>0.0</v>
      </c>
      <c r="K1699" s="5">
        <v>45.0</v>
      </c>
      <c r="L1699" s="54"/>
      <c r="M1699" s="5" t="s">
        <v>7821</v>
      </c>
      <c r="N1699" s="53" t="s">
        <v>7822</v>
      </c>
      <c r="O1699">
        <v>35.010802</v>
      </c>
      <c r="P1699">
        <v>-7.514648</v>
      </c>
      <c r="Q1699" s="5" t="s">
        <v>614</v>
      </c>
      <c r="R1699" s="10">
        <f t="shared" si="10"/>
        <v>117</v>
      </c>
      <c r="S1699" s="5" t="s">
        <v>7823</v>
      </c>
      <c r="T1699" s="6" t="s">
        <v>72</v>
      </c>
      <c r="U1699" s="5" t="s">
        <v>7824</v>
      </c>
      <c r="V1699" s="5"/>
    </row>
    <row r="1700" ht="12.75" customHeight="1">
      <c r="A1700" s="5">
        <v>35064.0</v>
      </c>
      <c r="B1700" s="5" t="s">
        <v>68</v>
      </c>
      <c r="C1700" s="5" t="s">
        <v>69</v>
      </c>
      <c r="D1700" s="5" t="s">
        <v>2614</v>
      </c>
      <c r="E1700" s="7" t="s">
        <v>7820</v>
      </c>
      <c r="F1700" s="5" t="s">
        <v>7493</v>
      </c>
      <c r="G1700" s="5" t="s">
        <v>7719</v>
      </c>
      <c r="H1700" s="5">
        <v>2006.0</v>
      </c>
      <c r="I1700" s="5">
        <v>0.0</v>
      </c>
      <c r="J1700" s="5">
        <v>0.0</v>
      </c>
      <c r="K1700" s="5">
        <v>3.0</v>
      </c>
      <c r="L1700" s="54"/>
      <c r="M1700" s="5" t="s">
        <v>7825</v>
      </c>
      <c r="N1700" s="53" t="s">
        <v>2718</v>
      </c>
      <c r="O1700">
        <v>35.292278</v>
      </c>
      <c r="P1700">
        <v>-2.938097</v>
      </c>
      <c r="Q1700" s="5" t="s">
        <v>649</v>
      </c>
      <c r="R1700" s="10">
        <f t="shared" si="10"/>
        <v>79</v>
      </c>
      <c r="S1700" s="5" t="s">
        <v>7826</v>
      </c>
      <c r="T1700" s="6" t="s">
        <v>72</v>
      </c>
      <c r="U1700" s="5" t="s">
        <v>2165</v>
      </c>
      <c r="V1700" s="5" t="s">
        <v>7827</v>
      </c>
    </row>
    <row r="1701" ht="12.75" customHeight="1">
      <c r="A1701" s="5">
        <v>35066.0</v>
      </c>
      <c r="B1701" s="5" t="s">
        <v>68</v>
      </c>
      <c r="C1701" s="5" t="s">
        <v>69</v>
      </c>
      <c r="D1701" s="5" t="s">
        <v>2852</v>
      </c>
      <c r="E1701" s="7" t="s">
        <v>7820</v>
      </c>
      <c r="F1701" s="5" t="s">
        <v>7493</v>
      </c>
      <c r="G1701" s="5" t="s">
        <v>7719</v>
      </c>
      <c r="H1701" s="5">
        <v>2006.0</v>
      </c>
      <c r="I1701" s="5">
        <v>0.0</v>
      </c>
      <c r="J1701" s="5">
        <v>0.0</v>
      </c>
      <c r="K1701" s="5">
        <v>3.0</v>
      </c>
      <c r="L1701" s="54"/>
      <c r="M1701" s="5" t="s">
        <v>7828</v>
      </c>
      <c r="N1701" s="53" t="s">
        <v>3608</v>
      </c>
      <c r="O1701">
        <v>41.117143</v>
      </c>
      <c r="P1701">
        <v>16.871871</v>
      </c>
      <c r="Q1701" s="5" t="s">
        <v>1188</v>
      </c>
      <c r="R1701" s="10">
        <f t="shared" si="10"/>
        <v>32</v>
      </c>
      <c r="S1701" s="5" t="s">
        <v>7829</v>
      </c>
      <c r="T1701" s="6" t="s">
        <v>1963</v>
      </c>
      <c r="U1701" s="5" t="s">
        <v>7830</v>
      </c>
      <c r="V1701" s="5"/>
    </row>
    <row r="1702" ht="12.75" customHeight="1">
      <c r="A1702" s="5">
        <v>35067.0</v>
      </c>
      <c r="B1702" s="5" t="s">
        <v>41</v>
      </c>
      <c r="C1702" s="5" t="s">
        <v>42</v>
      </c>
      <c r="D1702" s="5" t="s">
        <v>2614</v>
      </c>
      <c r="E1702" s="7" t="s">
        <v>7831</v>
      </c>
      <c r="F1702" s="5" t="s">
        <v>7832</v>
      </c>
      <c r="G1702" s="5" t="s">
        <v>7833</v>
      </c>
      <c r="H1702" s="5">
        <v>2006.0</v>
      </c>
      <c r="I1702" s="5">
        <v>0.0</v>
      </c>
      <c r="J1702" s="5">
        <v>0.0</v>
      </c>
      <c r="K1702" s="5">
        <v>2.0</v>
      </c>
      <c r="L1702" s="54"/>
      <c r="M1702" s="5" t="s">
        <v>7834</v>
      </c>
      <c r="N1702" s="53" t="s">
        <v>2917</v>
      </c>
      <c r="O1702">
        <v>32.876174</v>
      </c>
      <c r="P1702">
        <v>13.187507</v>
      </c>
      <c r="Q1702" s="5" t="s">
        <v>481</v>
      </c>
      <c r="R1702" s="10">
        <f t="shared" si="10"/>
        <v>1281</v>
      </c>
      <c r="S1702" s="5" t="s">
        <v>7835</v>
      </c>
      <c r="T1702" s="6" t="s">
        <v>2130</v>
      </c>
      <c r="U1702" s="5" t="s">
        <v>3540</v>
      </c>
      <c r="V1702" s="5" t="s">
        <v>6766</v>
      </c>
    </row>
    <row r="1703" ht="12.75" customHeight="1">
      <c r="A1703" s="5">
        <v>35068.0</v>
      </c>
      <c r="B1703" s="5" t="s">
        <v>49</v>
      </c>
      <c r="C1703" s="52" t="s">
        <v>50</v>
      </c>
      <c r="D1703" s="5" t="s">
        <v>2852</v>
      </c>
      <c r="E1703" s="7" t="s">
        <v>7836</v>
      </c>
      <c r="F1703" s="5" t="s">
        <v>7832</v>
      </c>
      <c r="G1703" s="5" t="s">
        <v>7833</v>
      </c>
      <c r="H1703" s="5">
        <v>2006.0</v>
      </c>
      <c r="I1703" s="5">
        <v>0.0</v>
      </c>
      <c r="J1703" s="5">
        <v>0.0</v>
      </c>
      <c r="K1703" s="5">
        <v>16.0</v>
      </c>
      <c r="L1703" s="54"/>
      <c r="M1703" s="5" t="s">
        <v>7837</v>
      </c>
      <c r="N1703" s="53" t="s">
        <v>7838</v>
      </c>
      <c r="O1703">
        <v>31.802985</v>
      </c>
      <c r="P1703">
        <v>-7.574833</v>
      </c>
      <c r="Q1703" s="5" t="s">
        <v>442</v>
      </c>
      <c r="R1703" s="10">
        <f t="shared" si="10"/>
        <v>16</v>
      </c>
      <c r="S1703" s="5" t="s">
        <v>7839</v>
      </c>
      <c r="T1703" s="6" t="s">
        <v>72</v>
      </c>
      <c r="U1703" s="5" t="s">
        <v>7840</v>
      </c>
      <c r="V1703" s="5"/>
    </row>
    <row r="1704" ht="12.75" customHeight="1">
      <c r="A1704" s="5">
        <v>35070.0</v>
      </c>
      <c r="B1704" s="5" t="s">
        <v>49</v>
      </c>
      <c r="C1704" s="52" t="s">
        <v>50</v>
      </c>
      <c r="D1704" s="5" t="s">
        <v>2614</v>
      </c>
      <c r="E1704" s="7" t="s">
        <v>7841</v>
      </c>
      <c r="F1704" s="5" t="s">
        <v>7832</v>
      </c>
      <c r="G1704" s="5" t="s">
        <v>7833</v>
      </c>
      <c r="H1704" s="5">
        <v>2006.0</v>
      </c>
      <c r="I1704" s="5">
        <v>0.0</v>
      </c>
      <c r="J1704" s="5">
        <v>0.0</v>
      </c>
      <c r="K1704" s="5">
        <v>16.0</v>
      </c>
      <c r="L1704" s="54"/>
      <c r="M1704" s="5" t="s">
        <v>7842</v>
      </c>
      <c r="N1704" s="53" t="s">
        <v>7071</v>
      </c>
      <c r="O1704">
        <v>27.153611</v>
      </c>
      <c r="P1704">
        <v>-13.203333</v>
      </c>
      <c r="Q1704" s="5" t="s">
        <v>349</v>
      </c>
      <c r="R1704" s="10">
        <f t="shared" si="10"/>
        <v>348</v>
      </c>
      <c r="S1704" s="5" t="s">
        <v>7843</v>
      </c>
      <c r="T1704" s="5" t="s">
        <v>1040</v>
      </c>
      <c r="U1704" s="5" t="s">
        <v>3986</v>
      </c>
      <c r="V1704" s="5" t="s">
        <v>7844</v>
      </c>
    </row>
    <row r="1705" ht="12.75" customHeight="1">
      <c r="A1705" s="5">
        <v>35069.0</v>
      </c>
      <c r="B1705" s="5" t="s">
        <v>49</v>
      </c>
      <c r="C1705" s="52" t="s">
        <v>50</v>
      </c>
      <c r="D1705" s="5" t="s">
        <v>2614</v>
      </c>
      <c r="E1705" s="7" t="s">
        <v>7841</v>
      </c>
      <c r="F1705" s="5" t="s">
        <v>7832</v>
      </c>
      <c r="G1705" s="5" t="s">
        <v>7833</v>
      </c>
      <c r="H1705" s="5">
        <v>2006.0</v>
      </c>
      <c r="I1705" s="5">
        <v>0.0</v>
      </c>
      <c r="J1705" s="5">
        <v>0.0</v>
      </c>
      <c r="K1705" s="5">
        <v>3.0</v>
      </c>
      <c r="L1705" s="54"/>
      <c r="M1705" s="5" t="s">
        <v>7845</v>
      </c>
      <c r="N1705" s="53" t="s">
        <v>7071</v>
      </c>
      <c r="O1705">
        <v>27.153611</v>
      </c>
      <c r="P1705">
        <v>-13.203333</v>
      </c>
      <c r="Q1705" s="5" t="s">
        <v>349</v>
      </c>
      <c r="R1705" s="10">
        <f t="shared" si="10"/>
        <v>348</v>
      </c>
      <c r="S1705" s="5" t="s">
        <v>7843</v>
      </c>
      <c r="T1705" s="5" t="s">
        <v>1040</v>
      </c>
      <c r="U1705" s="5" t="s">
        <v>2165</v>
      </c>
      <c r="V1705" s="5" t="s">
        <v>7846</v>
      </c>
    </row>
    <row r="1706" ht="12.75" customHeight="1">
      <c r="A1706" s="5">
        <v>35072.0</v>
      </c>
      <c r="B1706" s="5" t="s">
        <v>68</v>
      </c>
      <c r="C1706" s="5" t="s">
        <v>69</v>
      </c>
      <c r="D1706" s="5" t="s">
        <v>2852</v>
      </c>
      <c r="E1706" s="7" t="s">
        <v>7841</v>
      </c>
      <c r="F1706" s="5" t="s">
        <v>7832</v>
      </c>
      <c r="G1706" s="5" t="s">
        <v>7833</v>
      </c>
      <c r="H1706" s="5">
        <v>2006.0</v>
      </c>
      <c r="I1706" s="5">
        <v>0.0</v>
      </c>
      <c r="J1706" s="5">
        <v>0.0</v>
      </c>
      <c r="K1706" s="5">
        <v>2.0</v>
      </c>
      <c r="L1706" s="54"/>
      <c r="M1706" s="5" t="s">
        <v>7847</v>
      </c>
      <c r="N1706" s="53" t="s">
        <v>2938</v>
      </c>
      <c r="O1706">
        <v>35.937496</v>
      </c>
      <c r="P1706">
        <v>14.375416</v>
      </c>
      <c r="Q1706" s="5" t="s">
        <v>740</v>
      </c>
      <c r="R1706" s="10">
        <f t="shared" si="10"/>
        <v>655</v>
      </c>
      <c r="S1706" s="5" t="s">
        <v>7848</v>
      </c>
      <c r="T1706" s="6" t="s">
        <v>2130</v>
      </c>
      <c r="U1706" s="5" t="s">
        <v>7849</v>
      </c>
      <c r="V1706" s="5"/>
    </row>
    <row r="1707" ht="12.75" customHeight="1">
      <c r="A1707" s="5">
        <v>35071.0</v>
      </c>
      <c r="B1707" s="5" t="s">
        <v>68</v>
      </c>
      <c r="C1707" s="5" t="s">
        <v>69</v>
      </c>
      <c r="D1707" s="5" t="s">
        <v>2614</v>
      </c>
      <c r="E1707" s="7" t="s">
        <v>7841</v>
      </c>
      <c r="F1707" s="5" t="s">
        <v>7832</v>
      </c>
      <c r="G1707" s="5" t="s">
        <v>7833</v>
      </c>
      <c r="H1707" s="5">
        <v>2006.0</v>
      </c>
      <c r="I1707" s="5">
        <v>0.0</v>
      </c>
      <c r="J1707" s="5">
        <v>0.0</v>
      </c>
      <c r="K1707" s="5">
        <v>2.0</v>
      </c>
      <c r="L1707" s="54"/>
      <c r="M1707" s="5" t="s">
        <v>7850</v>
      </c>
      <c r="N1707" s="53" t="s">
        <v>2938</v>
      </c>
      <c r="O1707">
        <v>35.937496</v>
      </c>
      <c r="P1707">
        <v>14.375416</v>
      </c>
      <c r="Q1707" s="5" t="s">
        <v>740</v>
      </c>
      <c r="R1707" s="10">
        <f t="shared" si="10"/>
        <v>655</v>
      </c>
      <c r="S1707" s="5" t="s">
        <v>7848</v>
      </c>
      <c r="T1707" s="6" t="s">
        <v>2130</v>
      </c>
      <c r="U1707" s="5" t="s">
        <v>2326</v>
      </c>
      <c r="V1707" s="5" t="s">
        <v>7579</v>
      </c>
    </row>
    <row r="1708" ht="12.75" customHeight="1">
      <c r="A1708" s="5">
        <v>35073.0</v>
      </c>
      <c r="B1708" s="5" t="s">
        <v>49</v>
      </c>
      <c r="C1708" s="52" t="s">
        <v>50</v>
      </c>
      <c r="D1708" s="5" t="s">
        <v>2852</v>
      </c>
      <c r="E1708" s="7" t="s">
        <v>7851</v>
      </c>
      <c r="F1708" s="5" t="s">
        <v>7832</v>
      </c>
      <c r="G1708" s="5" t="s">
        <v>7833</v>
      </c>
      <c r="H1708" s="5">
        <v>2006.0</v>
      </c>
      <c r="I1708" s="5">
        <v>0.0</v>
      </c>
      <c r="J1708" s="5">
        <v>0.0</v>
      </c>
      <c r="K1708" s="5">
        <v>5.0</v>
      </c>
      <c r="L1708" s="54"/>
      <c r="M1708" s="5" t="s">
        <v>7852</v>
      </c>
      <c r="N1708" s="53" t="s">
        <v>6431</v>
      </c>
      <c r="O1708">
        <v>43.355524</v>
      </c>
      <c r="P1708">
        <v>-8.255738</v>
      </c>
      <c r="Q1708" s="5" t="s">
        <v>1278</v>
      </c>
      <c r="R1708" s="10">
        <f t="shared" si="10"/>
        <v>57</v>
      </c>
      <c r="S1708" s="5" t="s">
        <v>7853</v>
      </c>
      <c r="T1708" s="5"/>
      <c r="U1708" s="5" t="s">
        <v>7854</v>
      </c>
      <c r="V1708" s="5" t="s">
        <v>7855</v>
      </c>
    </row>
    <row r="1709" ht="12.75" customHeight="1">
      <c r="A1709" s="5">
        <v>35074.0</v>
      </c>
      <c r="B1709" s="5" t="s">
        <v>1076</v>
      </c>
      <c r="C1709" s="52" t="s">
        <v>50</v>
      </c>
      <c r="D1709" s="5" t="s">
        <v>2852</v>
      </c>
      <c r="E1709" s="7" t="s">
        <v>7856</v>
      </c>
      <c r="F1709" s="5" t="s">
        <v>7832</v>
      </c>
      <c r="G1709" s="5" t="s">
        <v>7833</v>
      </c>
      <c r="H1709" s="5">
        <v>2006.0</v>
      </c>
      <c r="I1709" s="5">
        <v>0.0</v>
      </c>
      <c r="J1709" s="5">
        <v>0.0</v>
      </c>
      <c r="K1709" s="5">
        <v>1.0</v>
      </c>
      <c r="L1709" s="54"/>
      <c r="M1709" s="5" t="s">
        <v>7857</v>
      </c>
      <c r="N1709" s="53" t="s">
        <v>7642</v>
      </c>
      <c r="O1709">
        <v>51.765908</v>
      </c>
      <c r="P1709">
        <v>0.667367</v>
      </c>
      <c r="Q1709" s="5" t="s">
        <v>1681</v>
      </c>
      <c r="R1709" s="10">
        <f t="shared" si="10"/>
        <v>4</v>
      </c>
      <c r="S1709" s="5" t="s">
        <v>7858</v>
      </c>
      <c r="T1709" s="5"/>
      <c r="U1709" s="5" t="s">
        <v>7859</v>
      </c>
      <c r="V1709" s="5"/>
    </row>
    <row r="1710" ht="12.75" customHeight="1">
      <c r="A1710" s="5">
        <v>35075.0</v>
      </c>
      <c r="B1710" s="5" t="s">
        <v>2902</v>
      </c>
      <c r="C1710" s="5" t="s">
        <v>211</v>
      </c>
      <c r="D1710" s="5" t="s">
        <v>2852</v>
      </c>
      <c r="E1710" s="7" t="s">
        <v>7860</v>
      </c>
      <c r="F1710" s="5" t="s">
        <v>7832</v>
      </c>
      <c r="G1710" s="5" t="s">
        <v>7833</v>
      </c>
      <c r="H1710" s="5">
        <v>2006.0</v>
      </c>
      <c r="I1710" s="5">
        <v>0.0</v>
      </c>
      <c r="J1710" s="5">
        <v>0.0</v>
      </c>
      <c r="K1710" s="5">
        <v>1.0</v>
      </c>
      <c r="L1710" s="54"/>
      <c r="M1710" s="5" t="s">
        <v>7861</v>
      </c>
      <c r="N1710" s="53" t="s">
        <v>7862</v>
      </c>
      <c r="O1710">
        <v>57.10269</v>
      </c>
      <c r="P1710">
        <v>8.624268</v>
      </c>
      <c r="Q1710" s="5" t="s">
        <v>1906</v>
      </c>
      <c r="R1710" s="10">
        <f t="shared" si="10"/>
        <v>1</v>
      </c>
      <c r="S1710" s="5" t="s">
        <v>7863</v>
      </c>
      <c r="T1710" s="5"/>
      <c r="U1710" s="5" t="s">
        <v>7864</v>
      </c>
      <c r="V1710" s="5"/>
    </row>
    <row r="1711" ht="12.75" customHeight="1">
      <c r="A1711" s="5">
        <v>35077.0</v>
      </c>
      <c r="B1711" s="5" t="s">
        <v>2552</v>
      </c>
      <c r="C1711" s="52" t="s">
        <v>50</v>
      </c>
      <c r="D1711" s="5" t="s">
        <v>2852</v>
      </c>
      <c r="E1711" s="7" t="s">
        <v>7865</v>
      </c>
      <c r="F1711" s="5" t="s">
        <v>7832</v>
      </c>
      <c r="G1711" s="5" t="s">
        <v>7833</v>
      </c>
      <c r="H1711" s="5">
        <v>2006.0</v>
      </c>
      <c r="I1711" s="5">
        <v>0.0</v>
      </c>
      <c r="J1711" s="5">
        <v>0.0</v>
      </c>
      <c r="K1711" s="5">
        <v>1.0</v>
      </c>
      <c r="L1711" s="54"/>
      <c r="M1711" s="5" t="s">
        <v>7866</v>
      </c>
      <c r="N1711" s="53" t="s">
        <v>5273</v>
      </c>
      <c r="O1711">
        <v>27.793611</v>
      </c>
      <c r="P1711">
        <v>-15.658889</v>
      </c>
      <c r="Q1711" s="5" t="s">
        <v>357</v>
      </c>
      <c r="R1711" s="10">
        <f t="shared" si="10"/>
        <v>30</v>
      </c>
      <c r="S1711" s="5" t="s">
        <v>7867</v>
      </c>
      <c r="T1711" s="5" t="s">
        <v>1040</v>
      </c>
      <c r="U1711" s="5" t="s">
        <v>7868</v>
      </c>
      <c r="V1711" s="5"/>
    </row>
    <row r="1712" ht="12.75" customHeight="1">
      <c r="A1712" s="5">
        <v>35076.0</v>
      </c>
      <c r="B1712" s="5" t="s">
        <v>2552</v>
      </c>
      <c r="C1712" s="52" t="s">
        <v>50</v>
      </c>
      <c r="D1712" s="5" t="s">
        <v>2852</v>
      </c>
      <c r="E1712" s="7" t="s">
        <v>7865</v>
      </c>
      <c r="F1712" s="5" t="s">
        <v>7832</v>
      </c>
      <c r="G1712" s="5" t="s">
        <v>7833</v>
      </c>
      <c r="H1712" s="5">
        <v>2006.0</v>
      </c>
      <c r="I1712" s="5">
        <v>0.0</v>
      </c>
      <c r="J1712" s="5">
        <v>0.0</v>
      </c>
      <c r="K1712" s="5">
        <v>1.0</v>
      </c>
      <c r="L1712" s="54"/>
      <c r="M1712" s="5" t="s">
        <v>7869</v>
      </c>
      <c r="N1712" s="53" t="s">
        <v>5273</v>
      </c>
      <c r="O1712">
        <v>27.793611</v>
      </c>
      <c r="P1712">
        <v>-15.658889</v>
      </c>
      <c r="Q1712" s="5" t="s">
        <v>357</v>
      </c>
      <c r="R1712" s="10">
        <f t="shared" si="10"/>
        <v>30</v>
      </c>
      <c r="S1712" s="5" t="s">
        <v>7867</v>
      </c>
      <c r="T1712" s="5" t="s">
        <v>1040</v>
      </c>
      <c r="U1712" s="5" t="s">
        <v>7870</v>
      </c>
      <c r="V1712" s="5"/>
    </row>
    <row r="1713" ht="12.75" customHeight="1">
      <c r="A1713" s="5">
        <v>35078.0</v>
      </c>
      <c r="B1713" s="5" t="s">
        <v>68</v>
      </c>
      <c r="C1713" s="5" t="s">
        <v>69</v>
      </c>
      <c r="D1713" s="5" t="s">
        <v>2614</v>
      </c>
      <c r="E1713" s="7" t="s">
        <v>7871</v>
      </c>
      <c r="F1713" s="5" t="s">
        <v>7832</v>
      </c>
      <c r="G1713" s="5" t="s">
        <v>7833</v>
      </c>
      <c r="H1713" s="5">
        <v>2006.0</v>
      </c>
      <c r="I1713" s="5">
        <v>0.0</v>
      </c>
      <c r="J1713" s="5">
        <v>0.0</v>
      </c>
      <c r="K1713" s="5">
        <v>11.0</v>
      </c>
      <c r="L1713" s="54"/>
      <c r="M1713" s="5" t="s">
        <v>7872</v>
      </c>
      <c r="N1713" s="53" t="s">
        <v>2938</v>
      </c>
      <c r="O1713">
        <v>35.937496</v>
      </c>
      <c r="P1713">
        <v>14.375416</v>
      </c>
      <c r="Q1713" s="5" t="s">
        <v>740</v>
      </c>
      <c r="R1713" s="10">
        <f t="shared" si="10"/>
        <v>655</v>
      </c>
      <c r="S1713" s="5" t="s">
        <v>7873</v>
      </c>
      <c r="T1713" s="6" t="s">
        <v>2130</v>
      </c>
      <c r="U1713" s="5" t="s">
        <v>2619</v>
      </c>
      <c r="V1713" s="5" t="s">
        <v>7874</v>
      </c>
    </row>
    <row r="1714" ht="12.75" customHeight="1">
      <c r="A1714" s="5">
        <v>35081.0</v>
      </c>
      <c r="B1714" s="5" t="s">
        <v>49</v>
      </c>
      <c r="C1714" s="52" t="s">
        <v>50</v>
      </c>
      <c r="D1714" s="5" t="s">
        <v>2852</v>
      </c>
      <c r="E1714" s="7" t="s">
        <v>7875</v>
      </c>
      <c r="F1714" s="5" t="s">
        <v>7832</v>
      </c>
      <c r="G1714" s="5" t="s">
        <v>7833</v>
      </c>
      <c r="H1714" s="5">
        <v>2006.0</v>
      </c>
      <c r="I1714" s="5">
        <v>0.0</v>
      </c>
      <c r="J1714" s="5">
        <v>0.0</v>
      </c>
      <c r="K1714" s="5">
        <v>1.0</v>
      </c>
      <c r="L1714" s="54"/>
      <c r="M1714" s="5" t="s">
        <v>7876</v>
      </c>
      <c r="N1714" s="53" t="s">
        <v>4562</v>
      </c>
      <c r="O1714">
        <v>-8.783195</v>
      </c>
      <c r="P1714">
        <v>34.508523</v>
      </c>
      <c r="Q1714" s="5" t="s">
        <v>232</v>
      </c>
      <c r="R1714" s="10">
        <f t="shared" si="10"/>
        <v>21</v>
      </c>
      <c r="S1714" s="5" t="s">
        <v>7877</v>
      </c>
      <c r="T1714" s="5"/>
      <c r="U1714" s="5" t="s">
        <v>4492</v>
      </c>
      <c r="V1714" s="5"/>
    </row>
    <row r="1715" ht="12.75" customHeight="1">
      <c r="A1715" s="5">
        <v>35080.0</v>
      </c>
      <c r="B1715" s="5" t="s">
        <v>7878</v>
      </c>
      <c r="C1715" s="5" t="s">
        <v>62</v>
      </c>
      <c r="D1715" s="5" t="s">
        <v>2852</v>
      </c>
      <c r="E1715" s="7" t="s">
        <v>7875</v>
      </c>
      <c r="F1715" s="5" t="s">
        <v>7832</v>
      </c>
      <c r="G1715" s="5" t="s">
        <v>7833</v>
      </c>
      <c r="H1715" s="5">
        <v>2006.0</v>
      </c>
      <c r="I1715" s="5">
        <v>0.0</v>
      </c>
      <c r="J1715" s="5">
        <v>0.0</v>
      </c>
      <c r="K1715" s="5">
        <v>1.0</v>
      </c>
      <c r="L1715" s="54"/>
      <c r="M1715" s="5" t="s">
        <v>7879</v>
      </c>
      <c r="N1715" s="53" t="s">
        <v>7880</v>
      </c>
      <c r="O1715">
        <v>44.494887</v>
      </c>
      <c r="P1715">
        <v>11.342616</v>
      </c>
      <c r="Q1715" s="5" t="s">
        <v>1295</v>
      </c>
      <c r="R1715" s="10">
        <f t="shared" si="10"/>
        <v>6</v>
      </c>
      <c r="S1715" s="5" t="s">
        <v>7881</v>
      </c>
      <c r="T1715" s="5"/>
      <c r="U1715" s="5" t="s">
        <v>7882</v>
      </c>
      <c r="V1715" s="5"/>
    </row>
    <row r="1716" ht="12.75" customHeight="1">
      <c r="A1716" s="5">
        <v>35079.0</v>
      </c>
      <c r="B1716" s="5" t="s">
        <v>68</v>
      </c>
      <c r="C1716" s="5" t="s">
        <v>69</v>
      </c>
      <c r="D1716" s="5" t="s">
        <v>2852</v>
      </c>
      <c r="E1716" s="7" t="s">
        <v>7875</v>
      </c>
      <c r="F1716" s="5" t="s">
        <v>7832</v>
      </c>
      <c r="G1716" s="5" t="s">
        <v>7833</v>
      </c>
      <c r="H1716" s="5">
        <v>2006.0</v>
      </c>
      <c r="I1716" s="5">
        <v>0.0</v>
      </c>
      <c r="J1716" s="5">
        <v>0.0</v>
      </c>
      <c r="K1716" s="5">
        <v>1.0</v>
      </c>
      <c r="L1716" s="54"/>
      <c r="M1716" s="5" t="s">
        <v>7883</v>
      </c>
      <c r="N1716" s="53" t="s">
        <v>7880</v>
      </c>
      <c r="O1716">
        <v>44.494887</v>
      </c>
      <c r="P1716">
        <v>11.342616</v>
      </c>
      <c r="Q1716" s="5" t="s">
        <v>1295</v>
      </c>
      <c r="R1716" s="10">
        <f t="shared" si="10"/>
        <v>6</v>
      </c>
      <c r="S1716" s="5" t="s">
        <v>7881</v>
      </c>
      <c r="T1716" s="5"/>
      <c r="U1716" s="5" t="s">
        <v>7788</v>
      </c>
      <c r="V1716" s="5"/>
    </row>
    <row r="1717" ht="12.75" customHeight="1">
      <c r="A1717" s="5">
        <v>35082.0</v>
      </c>
      <c r="B1717" s="5" t="s">
        <v>49</v>
      </c>
      <c r="C1717" s="52" t="s">
        <v>50</v>
      </c>
      <c r="D1717" s="5" t="s">
        <v>2852</v>
      </c>
      <c r="E1717" s="7" t="s">
        <v>7884</v>
      </c>
      <c r="F1717" s="5" t="s">
        <v>7832</v>
      </c>
      <c r="G1717" s="5" t="s">
        <v>7833</v>
      </c>
      <c r="H1717" s="5">
        <v>2006.0</v>
      </c>
      <c r="I1717" s="5">
        <v>0.0</v>
      </c>
      <c r="J1717" s="5">
        <v>0.0</v>
      </c>
      <c r="K1717" s="5">
        <v>3.0</v>
      </c>
      <c r="L1717" s="54"/>
      <c r="M1717" s="5" t="s">
        <v>7885</v>
      </c>
      <c r="N1717" s="53" t="s">
        <v>4941</v>
      </c>
      <c r="O1717">
        <v>28.291564</v>
      </c>
      <c r="P1717">
        <v>-16.62913</v>
      </c>
      <c r="Q1717" s="5" t="s">
        <v>382</v>
      </c>
      <c r="R1717" s="10">
        <f t="shared" si="10"/>
        <v>1120</v>
      </c>
      <c r="S1717" s="5" t="s">
        <v>7886</v>
      </c>
      <c r="T1717" s="5" t="s">
        <v>1040</v>
      </c>
      <c r="U1717" s="5" t="s">
        <v>7887</v>
      </c>
      <c r="V1717" s="5"/>
    </row>
    <row r="1718" ht="12.75" customHeight="1">
      <c r="A1718" s="5">
        <v>35083.0</v>
      </c>
      <c r="B1718" s="5" t="s">
        <v>49</v>
      </c>
      <c r="C1718" s="52" t="s">
        <v>50</v>
      </c>
      <c r="D1718" s="5" t="s">
        <v>2852</v>
      </c>
      <c r="E1718" s="7" t="s">
        <v>7888</v>
      </c>
      <c r="F1718" s="5" t="s">
        <v>7832</v>
      </c>
      <c r="G1718" s="5" t="s">
        <v>7833</v>
      </c>
      <c r="H1718" s="5">
        <v>2006.0</v>
      </c>
      <c r="I1718" s="5">
        <v>0.0</v>
      </c>
      <c r="J1718" s="5">
        <v>0.0</v>
      </c>
      <c r="K1718" s="5">
        <v>1.0</v>
      </c>
      <c r="L1718" s="54"/>
      <c r="M1718" s="5" t="s">
        <v>7889</v>
      </c>
      <c r="N1718" s="53" t="s">
        <v>3340</v>
      </c>
      <c r="O1718">
        <v>37.743215</v>
      </c>
      <c r="P1718">
        <v>26.820351</v>
      </c>
      <c r="Q1718" s="5" t="s">
        <v>956</v>
      </c>
      <c r="R1718" s="10">
        <f t="shared" si="10"/>
        <v>218</v>
      </c>
      <c r="S1718" s="5" t="s">
        <v>7890</v>
      </c>
      <c r="T1718" s="6" t="s">
        <v>53</v>
      </c>
      <c r="U1718" s="5" t="s">
        <v>7891</v>
      </c>
      <c r="V1718" s="5" t="s">
        <v>7892</v>
      </c>
    </row>
    <row r="1719" ht="12.75" customHeight="1">
      <c r="A1719" s="5">
        <v>35084.0</v>
      </c>
      <c r="B1719" s="5" t="s">
        <v>68</v>
      </c>
      <c r="C1719" s="5" t="s">
        <v>69</v>
      </c>
      <c r="D1719" s="5" t="s">
        <v>2614</v>
      </c>
      <c r="E1719" s="7" t="s">
        <v>7893</v>
      </c>
      <c r="F1719" s="5" t="s">
        <v>7832</v>
      </c>
      <c r="G1719" s="5" t="s">
        <v>7833</v>
      </c>
      <c r="H1719" s="5">
        <v>2006.0</v>
      </c>
      <c r="I1719" s="5">
        <v>0.0</v>
      </c>
      <c r="J1719" s="5">
        <v>0.0</v>
      </c>
      <c r="K1719" s="5">
        <v>1.0</v>
      </c>
      <c r="L1719" s="54"/>
      <c r="M1719" s="5" t="s">
        <v>7894</v>
      </c>
      <c r="N1719" s="53" t="s">
        <v>3379</v>
      </c>
      <c r="O1719">
        <v>36.834047</v>
      </c>
      <c r="P1719">
        <v>-2.463714</v>
      </c>
      <c r="Q1719" s="5" t="s">
        <v>863</v>
      </c>
      <c r="R1719" s="10">
        <f t="shared" si="10"/>
        <v>208</v>
      </c>
      <c r="S1719" s="5" t="s">
        <v>7895</v>
      </c>
      <c r="T1719" s="6" t="s">
        <v>72</v>
      </c>
      <c r="U1719" s="5" t="s">
        <v>2785</v>
      </c>
      <c r="V1719" s="5" t="s">
        <v>7896</v>
      </c>
    </row>
    <row r="1720" ht="12.75" customHeight="1">
      <c r="A1720" s="5">
        <v>35085.0</v>
      </c>
      <c r="B1720" s="5" t="s">
        <v>68</v>
      </c>
      <c r="C1720" s="5" t="s">
        <v>69</v>
      </c>
      <c r="D1720" s="5" t="s">
        <v>2614</v>
      </c>
      <c r="E1720" s="7" t="s">
        <v>7897</v>
      </c>
      <c r="F1720" s="5" t="s">
        <v>7832</v>
      </c>
      <c r="G1720" s="5" t="s">
        <v>7833</v>
      </c>
      <c r="H1720" s="5">
        <v>2006.0</v>
      </c>
      <c r="I1720" s="5">
        <v>0.0</v>
      </c>
      <c r="J1720" s="5">
        <v>0.0</v>
      </c>
      <c r="K1720" s="5">
        <v>14.0</v>
      </c>
      <c r="L1720" s="54"/>
      <c r="M1720" s="5" t="s">
        <v>7898</v>
      </c>
      <c r="N1720" s="53" t="s">
        <v>2689</v>
      </c>
      <c r="O1720">
        <v>35.937496</v>
      </c>
      <c r="P1720">
        <v>14.375416</v>
      </c>
      <c r="Q1720" s="5" t="s">
        <v>740</v>
      </c>
      <c r="R1720" s="10">
        <f t="shared" si="10"/>
        <v>655</v>
      </c>
      <c r="S1720" s="5" t="s">
        <v>7899</v>
      </c>
      <c r="T1720" s="6" t="s">
        <v>2130</v>
      </c>
      <c r="U1720" s="5" t="s">
        <v>2143</v>
      </c>
      <c r="V1720" s="5" t="s">
        <v>7900</v>
      </c>
    </row>
    <row r="1721" ht="12.75" customHeight="1">
      <c r="A1721" s="5">
        <v>35086.0</v>
      </c>
      <c r="B1721" s="5" t="s">
        <v>68</v>
      </c>
      <c r="C1721" s="5" t="s">
        <v>69</v>
      </c>
      <c r="D1721" s="5" t="s">
        <v>2614</v>
      </c>
      <c r="E1721" s="7" t="s">
        <v>7901</v>
      </c>
      <c r="F1721" s="5" t="s">
        <v>7832</v>
      </c>
      <c r="G1721" s="5" t="s">
        <v>7833</v>
      </c>
      <c r="H1721" s="5">
        <v>2006.0</v>
      </c>
      <c r="I1721" s="5">
        <v>0.0</v>
      </c>
      <c r="J1721" s="5">
        <v>0.0</v>
      </c>
      <c r="K1721" s="5">
        <v>4.0</v>
      </c>
      <c r="L1721" s="54"/>
      <c r="M1721" s="5" t="s">
        <v>7902</v>
      </c>
      <c r="N1721" s="53" t="s">
        <v>5692</v>
      </c>
      <c r="O1721">
        <v>36.926927</v>
      </c>
      <c r="P1721">
        <v>14.725513</v>
      </c>
      <c r="Q1721" s="5" t="s">
        <v>887</v>
      </c>
      <c r="R1721" s="10">
        <f t="shared" si="10"/>
        <v>58</v>
      </c>
      <c r="S1721" s="5" t="s">
        <v>7903</v>
      </c>
      <c r="T1721" s="6" t="s">
        <v>2130</v>
      </c>
      <c r="U1721" s="5" t="s">
        <v>2143</v>
      </c>
      <c r="V1721" s="5" t="s">
        <v>7900</v>
      </c>
    </row>
    <row r="1722" ht="12.75" customHeight="1">
      <c r="A1722" s="5">
        <v>35087.0</v>
      </c>
      <c r="B1722" s="5" t="s">
        <v>68</v>
      </c>
      <c r="C1722" s="5" t="s">
        <v>69</v>
      </c>
      <c r="D1722" s="5" t="s">
        <v>2852</v>
      </c>
      <c r="E1722" s="7" t="s">
        <v>7904</v>
      </c>
      <c r="F1722" s="5" t="s">
        <v>7832</v>
      </c>
      <c r="G1722" s="5" t="s">
        <v>7905</v>
      </c>
      <c r="H1722" s="5">
        <v>2006.0</v>
      </c>
      <c r="I1722" s="5">
        <v>0.0</v>
      </c>
      <c r="J1722" s="5">
        <v>0.0</v>
      </c>
      <c r="K1722" s="5">
        <v>7.0</v>
      </c>
      <c r="L1722" s="54"/>
      <c r="M1722" s="5" t="s">
        <v>7906</v>
      </c>
      <c r="N1722" s="53" t="s">
        <v>4502</v>
      </c>
      <c r="O1722">
        <v>14.497401</v>
      </c>
      <c r="P1722">
        <v>-14.452362</v>
      </c>
      <c r="Q1722" s="5" t="s">
        <v>258</v>
      </c>
      <c r="R1722" s="10">
        <f t="shared" si="10"/>
        <v>200</v>
      </c>
      <c r="S1722" s="5" t="s">
        <v>7907</v>
      </c>
      <c r="T1722" s="5" t="s">
        <v>1040</v>
      </c>
      <c r="U1722" s="5" t="s">
        <v>7908</v>
      </c>
      <c r="V1722" s="5" t="s">
        <v>7909</v>
      </c>
    </row>
    <row r="1723" ht="12.75" customHeight="1">
      <c r="A1723" s="5">
        <v>35088.0</v>
      </c>
      <c r="B1723" s="5" t="s">
        <v>5200</v>
      </c>
      <c r="C1723" s="5" t="s">
        <v>124</v>
      </c>
      <c r="D1723" s="5" t="s">
        <v>2852</v>
      </c>
      <c r="E1723" s="7" t="s">
        <v>7904</v>
      </c>
      <c r="F1723" s="5" t="s">
        <v>7832</v>
      </c>
      <c r="G1723" s="5" t="s">
        <v>7905</v>
      </c>
      <c r="H1723" s="5">
        <v>2006.0</v>
      </c>
      <c r="I1723" s="5">
        <v>0.0</v>
      </c>
      <c r="J1723" s="5">
        <v>0.0</v>
      </c>
      <c r="K1723" s="5">
        <v>1.0</v>
      </c>
      <c r="L1723" s="54"/>
      <c r="M1723" s="5" t="s">
        <v>7910</v>
      </c>
      <c r="N1723" s="53" t="s">
        <v>7911</v>
      </c>
      <c r="O1723">
        <v>38.652771</v>
      </c>
      <c r="P1723">
        <v>26.613007</v>
      </c>
      <c r="Q1723" s="5" t="s">
        <v>1032</v>
      </c>
      <c r="R1723" s="10">
        <f t="shared" si="10"/>
        <v>69</v>
      </c>
      <c r="S1723" s="5" t="s">
        <v>7912</v>
      </c>
      <c r="T1723" s="6" t="s">
        <v>53</v>
      </c>
      <c r="U1723" s="5" t="s">
        <v>7913</v>
      </c>
      <c r="V1723" s="5"/>
    </row>
    <row r="1724" ht="12.75" customHeight="1">
      <c r="A1724" s="5">
        <v>35089.0</v>
      </c>
      <c r="B1724" s="5" t="s">
        <v>763</v>
      </c>
      <c r="C1724" s="5" t="s">
        <v>124</v>
      </c>
      <c r="D1724" s="5" t="s">
        <v>2852</v>
      </c>
      <c r="E1724" s="7" t="s">
        <v>7914</v>
      </c>
      <c r="F1724" s="5" t="s">
        <v>7832</v>
      </c>
      <c r="G1724" s="5" t="s">
        <v>7905</v>
      </c>
      <c r="H1724" s="5">
        <v>2006.0</v>
      </c>
      <c r="I1724" s="5">
        <v>0.0</v>
      </c>
      <c r="J1724" s="5">
        <v>0.0</v>
      </c>
      <c r="K1724" s="5">
        <v>42.0</v>
      </c>
      <c r="L1724" s="54"/>
      <c r="M1724" s="5" t="s">
        <v>7915</v>
      </c>
      <c r="N1724" s="53" t="s">
        <v>7916</v>
      </c>
      <c r="O1724">
        <v>37.07</v>
      </c>
      <c r="P1724">
        <v>36.25</v>
      </c>
      <c r="Q1724" s="5" t="s">
        <v>893</v>
      </c>
      <c r="R1724" s="10">
        <f t="shared" si="10"/>
        <v>42</v>
      </c>
      <c r="S1724" s="5" t="s">
        <v>7917</v>
      </c>
      <c r="T1724" s="5"/>
      <c r="U1724" s="5" t="s">
        <v>7918</v>
      </c>
      <c r="V1724" s="5" t="s">
        <v>7919</v>
      </c>
    </row>
    <row r="1725" ht="12.75" customHeight="1">
      <c r="A1725" s="5">
        <v>35090.0</v>
      </c>
      <c r="B1725" s="5" t="s">
        <v>68</v>
      </c>
      <c r="C1725" s="5" t="s">
        <v>69</v>
      </c>
      <c r="D1725" s="5" t="s">
        <v>2852</v>
      </c>
      <c r="E1725" s="7" t="s">
        <v>7920</v>
      </c>
      <c r="F1725" s="5" t="s">
        <v>7832</v>
      </c>
      <c r="G1725" s="5" t="s">
        <v>7905</v>
      </c>
      <c r="H1725" s="5">
        <v>2006.0</v>
      </c>
      <c r="I1725" s="5">
        <v>0.0</v>
      </c>
      <c r="J1725" s="5">
        <v>0.0</v>
      </c>
      <c r="K1725" s="5">
        <v>7.0</v>
      </c>
      <c r="L1725" s="54"/>
      <c r="M1725" s="5" t="s">
        <v>7921</v>
      </c>
      <c r="N1725" s="53" t="s">
        <v>5670</v>
      </c>
      <c r="O1725">
        <v>34.745159</v>
      </c>
      <c r="P1725">
        <v>10.7613</v>
      </c>
      <c r="Q1725" s="5" t="s">
        <v>594</v>
      </c>
      <c r="R1725" s="10">
        <f t="shared" si="10"/>
        <v>239</v>
      </c>
      <c r="S1725" s="5" t="s">
        <v>7922</v>
      </c>
      <c r="T1725" s="6" t="s">
        <v>2130</v>
      </c>
      <c r="U1725" s="5" t="s">
        <v>7923</v>
      </c>
      <c r="V1725" s="5" t="s">
        <v>7924</v>
      </c>
    </row>
    <row r="1726" ht="12.75" customHeight="1">
      <c r="A1726" s="5">
        <v>35091.0</v>
      </c>
      <c r="B1726" s="5" t="s">
        <v>1995</v>
      </c>
      <c r="C1726" s="52" t="s">
        <v>50</v>
      </c>
      <c r="D1726" s="5" t="s">
        <v>2852</v>
      </c>
      <c r="E1726" s="7" t="s">
        <v>7925</v>
      </c>
      <c r="F1726" s="5" t="s">
        <v>7832</v>
      </c>
      <c r="G1726" s="5" t="s">
        <v>7905</v>
      </c>
      <c r="H1726" s="5">
        <v>2006.0</v>
      </c>
      <c r="I1726" s="5">
        <v>0.0</v>
      </c>
      <c r="J1726" s="5">
        <v>0.0</v>
      </c>
      <c r="K1726" s="5">
        <v>1.0</v>
      </c>
      <c r="L1726" s="54"/>
      <c r="M1726" s="5" t="s">
        <v>7926</v>
      </c>
      <c r="N1726" s="53" t="s">
        <v>4095</v>
      </c>
      <c r="O1726">
        <v>55.378051</v>
      </c>
      <c r="P1726">
        <v>-3.435973</v>
      </c>
      <c r="Q1726" s="5" t="s">
        <v>1882</v>
      </c>
      <c r="R1726" s="10">
        <f t="shared" si="10"/>
        <v>23</v>
      </c>
      <c r="S1726" s="5" t="s">
        <v>7927</v>
      </c>
      <c r="T1726" s="5"/>
      <c r="U1726" s="5" t="s">
        <v>7928</v>
      </c>
      <c r="V1726" s="5"/>
    </row>
    <row r="1727" ht="12.75" customHeight="1">
      <c r="A1727" s="5">
        <v>35092.0</v>
      </c>
      <c r="B1727" s="5" t="s">
        <v>491</v>
      </c>
      <c r="C1727" s="52" t="s">
        <v>50</v>
      </c>
      <c r="D1727" s="5" t="s">
        <v>2852</v>
      </c>
      <c r="E1727" s="7" t="s">
        <v>7929</v>
      </c>
      <c r="F1727" s="5" t="s">
        <v>7832</v>
      </c>
      <c r="G1727" s="5" t="s">
        <v>7905</v>
      </c>
      <c r="H1727" s="5">
        <v>2006.0</v>
      </c>
      <c r="I1727" s="5">
        <v>0.0</v>
      </c>
      <c r="J1727" s="5">
        <v>0.0</v>
      </c>
      <c r="K1727" s="5">
        <v>37.0</v>
      </c>
      <c r="L1727" s="54"/>
      <c r="M1727" s="5" t="s">
        <v>7930</v>
      </c>
      <c r="N1727" s="53" t="s">
        <v>7931</v>
      </c>
      <c r="O1727">
        <v>13.193887</v>
      </c>
      <c r="P1727">
        <v>-59.543198</v>
      </c>
      <c r="Q1727" s="5" t="s">
        <v>251</v>
      </c>
      <c r="R1727" s="10">
        <f t="shared" si="10"/>
        <v>37</v>
      </c>
      <c r="S1727" s="5" t="s">
        <v>7932</v>
      </c>
      <c r="T1727" s="5" t="s">
        <v>1040</v>
      </c>
      <c r="U1727" s="5" t="s">
        <v>7933</v>
      </c>
      <c r="V1727" s="5" t="s">
        <v>7934</v>
      </c>
    </row>
    <row r="1728" ht="12.75" customHeight="1">
      <c r="A1728" s="5">
        <v>35093.0</v>
      </c>
      <c r="B1728" s="5" t="s">
        <v>3993</v>
      </c>
      <c r="C1728" s="5" t="s">
        <v>211</v>
      </c>
      <c r="D1728" s="5" t="s">
        <v>2852</v>
      </c>
      <c r="E1728" s="7" t="s">
        <v>7929</v>
      </c>
      <c r="F1728" s="5" t="s">
        <v>7832</v>
      </c>
      <c r="G1728" s="5" t="s">
        <v>7905</v>
      </c>
      <c r="H1728" s="5">
        <v>2006.0</v>
      </c>
      <c r="I1728" s="5">
        <v>0.0</v>
      </c>
      <c r="J1728" s="5">
        <v>0.0</v>
      </c>
      <c r="K1728" s="5">
        <v>1.0</v>
      </c>
      <c r="L1728" s="54"/>
      <c r="M1728" s="5" t="s">
        <v>7935</v>
      </c>
      <c r="N1728" s="53" t="s">
        <v>4095</v>
      </c>
      <c r="O1728">
        <v>55.378051</v>
      </c>
      <c r="P1728">
        <v>-3.435973</v>
      </c>
      <c r="Q1728" s="5" t="s">
        <v>1882</v>
      </c>
      <c r="R1728" s="10">
        <f t="shared" si="10"/>
        <v>23</v>
      </c>
      <c r="S1728" s="5" t="s">
        <v>7936</v>
      </c>
      <c r="T1728" s="5"/>
      <c r="U1728" s="5" t="s">
        <v>7937</v>
      </c>
      <c r="V1728" s="5"/>
    </row>
    <row r="1729" ht="12.75" customHeight="1">
      <c r="A1729" s="5">
        <v>35094.0</v>
      </c>
      <c r="B1729" s="5" t="s">
        <v>49</v>
      </c>
      <c r="C1729" s="52" t="s">
        <v>50</v>
      </c>
      <c r="D1729" s="5" t="s">
        <v>2852</v>
      </c>
      <c r="E1729" s="7" t="s">
        <v>7938</v>
      </c>
      <c r="F1729" s="5" t="s">
        <v>7832</v>
      </c>
      <c r="G1729" s="5" t="s">
        <v>7905</v>
      </c>
      <c r="H1729" s="5">
        <v>2006.0</v>
      </c>
      <c r="I1729" s="5">
        <v>0.0</v>
      </c>
      <c r="J1729" s="5">
        <v>0.0</v>
      </c>
      <c r="K1729" s="5">
        <v>24.0</v>
      </c>
      <c r="L1729" s="54"/>
      <c r="M1729" s="5" t="s">
        <v>7939</v>
      </c>
      <c r="N1729" s="53" t="s">
        <v>4941</v>
      </c>
      <c r="O1729">
        <v>28.291564</v>
      </c>
      <c r="P1729">
        <v>-16.62913</v>
      </c>
      <c r="Q1729" s="5" t="s">
        <v>382</v>
      </c>
      <c r="R1729" s="10">
        <f t="shared" si="10"/>
        <v>1120</v>
      </c>
      <c r="S1729" s="5" t="s">
        <v>7940</v>
      </c>
      <c r="T1729" s="5" t="s">
        <v>1040</v>
      </c>
      <c r="U1729" s="5" t="s">
        <v>7941</v>
      </c>
      <c r="V1729" s="5"/>
    </row>
    <row r="1730" ht="12.75" customHeight="1">
      <c r="A1730" s="5">
        <v>35095.0</v>
      </c>
      <c r="B1730" s="5" t="s">
        <v>49</v>
      </c>
      <c r="C1730" s="52" t="s">
        <v>50</v>
      </c>
      <c r="D1730" s="5" t="s">
        <v>2852</v>
      </c>
      <c r="E1730" s="7" t="s">
        <v>7942</v>
      </c>
      <c r="F1730" s="5" t="s">
        <v>7832</v>
      </c>
      <c r="G1730" s="5" t="s">
        <v>7905</v>
      </c>
      <c r="H1730" s="5">
        <v>2006.0</v>
      </c>
      <c r="I1730" s="5">
        <v>0.0</v>
      </c>
      <c r="J1730" s="5">
        <v>0.0</v>
      </c>
      <c r="K1730" s="5">
        <v>2.0</v>
      </c>
      <c r="L1730" s="54"/>
      <c r="M1730" s="5" t="s">
        <v>7943</v>
      </c>
      <c r="N1730" s="53" t="s">
        <v>3548</v>
      </c>
      <c r="O1730">
        <v>42.434479</v>
      </c>
      <c r="P1730">
        <v>9.137443</v>
      </c>
      <c r="Q1730" s="5" t="s">
        <v>1253</v>
      </c>
      <c r="R1730" s="10">
        <f t="shared" si="10"/>
        <v>52</v>
      </c>
      <c r="S1730" s="5" t="s">
        <v>7944</v>
      </c>
      <c r="T1730" s="6" t="s">
        <v>2130</v>
      </c>
      <c r="U1730" s="5" t="s">
        <v>2993</v>
      </c>
      <c r="V1730" s="5"/>
    </row>
    <row r="1731" ht="12.75" customHeight="1">
      <c r="A1731" s="5">
        <v>35096.0</v>
      </c>
      <c r="B1731" s="5" t="s">
        <v>68</v>
      </c>
      <c r="C1731" s="5" t="s">
        <v>69</v>
      </c>
      <c r="D1731" s="5" t="s">
        <v>2852</v>
      </c>
      <c r="E1731" s="7" t="s">
        <v>7945</v>
      </c>
      <c r="F1731" s="5" t="s">
        <v>7832</v>
      </c>
      <c r="G1731" s="5" t="s">
        <v>7905</v>
      </c>
      <c r="H1731" s="5">
        <v>2006.0</v>
      </c>
      <c r="I1731" s="5">
        <v>0.0</v>
      </c>
      <c r="J1731" s="5">
        <v>0.0</v>
      </c>
      <c r="K1731" s="5">
        <v>1.0</v>
      </c>
      <c r="L1731" s="54"/>
      <c r="M1731" s="5" t="s">
        <v>7946</v>
      </c>
      <c r="N1731" s="53" t="s">
        <v>7947</v>
      </c>
      <c r="O1731">
        <v>28.3968</v>
      </c>
      <c r="P1731">
        <v>-13.863823</v>
      </c>
      <c r="Q1731" s="5" t="s">
        <v>392</v>
      </c>
      <c r="R1731" s="10">
        <f t="shared" si="10"/>
        <v>1</v>
      </c>
      <c r="S1731" s="5" t="s">
        <v>7948</v>
      </c>
      <c r="T1731" s="5" t="s">
        <v>1040</v>
      </c>
      <c r="U1731" s="5" t="s">
        <v>7949</v>
      </c>
      <c r="V1731" s="5"/>
    </row>
    <row r="1732" ht="12.75" customHeight="1">
      <c r="A1732" s="5">
        <v>35097.0</v>
      </c>
      <c r="B1732" s="5" t="s">
        <v>2962</v>
      </c>
      <c r="C1732" s="5" t="s">
        <v>211</v>
      </c>
      <c r="D1732" s="5" t="s">
        <v>2852</v>
      </c>
      <c r="E1732" s="7" t="s">
        <v>7950</v>
      </c>
      <c r="F1732" s="5" t="s">
        <v>7832</v>
      </c>
      <c r="G1732" s="5" t="s">
        <v>7905</v>
      </c>
      <c r="H1732" s="5">
        <v>2006.0</v>
      </c>
      <c r="I1732" s="5">
        <v>0.0</v>
      </c>
      <c r="J1732" s="5">
        <v>0.0</v>
      </c>
      <c r="K1732" s="5">
        <v>1.0</v>
      </c>
      <c r="L1732" s="54"/>
      <c r="M1732" s="5" t="s">
        <v>7951</v>
      </c>
      <c r="N1732" s="53" t="s">
        <v>7952</v>
      </c>
      <c r="O1732">
        <v>54.90116</v>
      </c>
      <c r="P1732">
        <v>-1.450343</v>
      </c>
      <c r="Q1732" s="5" t="s">
        <v>1869</v>
      </c>
      <c r="R1732" s="10">
        <f t="shared" si="10"/>
        <v>1</v>
      </c>
      <c r="S1732" s="5" t="s">
        <v>7953</v>
      </c>
      <c r="T1732" s="5"/>
      <c r="U1732" s="5" t="s">
        <v>7954</v>
      </c>
      <c r="V1732" s="5"/>
    </row>
    <row r="1733" ht="12.75" customHeight="1">
      <c r="A1733" s="5">
        <v>35098.0</v>
      </c>
      <c r="B1733" s="5" t="s">
        <v>68</v>
      </c>
      <c r="C1733" s="5" t="s">
        <v>69</v>
      </c>
      <c r="D1733" s="5" t="s">
        <v>2852</v>
      </c>
      <c r="E1733" s="7" t="s">
        <v>7955</v>
      </c>
      <c r="F1733" s="5" t="s">
        <v>7832</v>
      </c>
      <c r="G1733" s="5" t="s">
        <v>7905</v>
      </c>
      <c r="H1733" s="5">
        <v>2006.0</v>
      </c>
      <c r="I1733" s="5">
        <v>0.0</v>
      </c>
      <c r="J1733" s="5">
        <v>0.0</v>
      </c>
      <c r="K1733" s="5">
        <v>1.0</v>
      </c>
      <c r="L1733" s="54"/>
      <c r="M1733" s="5" t="s">
        <v>7956</v>
      </c>
      <c r="N1733" s="53" t="s">
        <v>4760</v>
      </c>
      <c r="O1733">
        <v>38.77474</v>
      </c>
      <c r="P1733">
        <v>0.08519</v>
      </c>
      <c r="Q1733" s="5" t="s">
        <v>1035</v>
      </c>
      <c r="R1733" s="10">
        <f t="shared" si="10"/>
        <v>52</v>
      </c>
      <c r="S1733" s="5" t="s">
        <v>7957</v>
      </c>
      <c r="T1733" s="6" t="s">
        <v>72</v>
      </c>
      <c r="U1733" s="5" t="s">
        <v>7512</v>
      </c>
      <c r="V1733" s="5"/>
    </row>
    <row r="1734" ht="12.75" customHeight="1">
      <c r="A1734" s="5">
        <v>35101.0</v>
      </c>
      <c r="B1734" s="5" t="s">
        <v>49</v>
      </c>
      <c r="C1734" s="52" t="s">
        <v>50</v>
      </c>
      <c r="D1734" s="5" t="s">
        <v>2852</v>
      </c>
      <c r="E1734" s="7" t="s">
        <v>7958</v>
      </c>
      <c r="F1734" s="5" t="s">
        <v>7832</v>
      </c>
      <c r="G1734" s="5" t="s">
        <v>7905</v>
      </c>
      <c r="H1734" s="5">
        <v>2006.0</v>
      </c>
      <c r="I1734" s="5">
        <v>0.0</v>
      </c>
      <c r="J1734" s="5">
        <v>0.0</v>
      </c>
      <c r="K1734" s="5">
        <v>9.0</v>
      </c>
      <c r="L1734" s="54"/>
      <c r="M1734" s="5" t="s">
        <v>7959</v>
      </c>
      <c r="N1734" s="53" t="s">
        <v>2983</v>
      </c>
      <c r="O1734">
        <v>32.310059</v>
      </c>
      <c r="P1734">
        <v>-9.236617</v>
      </c>
      <c r="Q1734" s="5" t="s">
        <v>465</v>
      </c>
      <c r="R1734" s="10">
        <f t="shared" si="10"/>
        <v>10</v>
      </c>
      <c r="S1734" s="5" t="s">
        <v>7960</v>
      </c>
      <c r="T1734" s="6" t="s">
        <v>2130</v>
      </c>
      <c r="U1734" s="5" t="s">
        <v>7961</v>
      </c>
      <c r="V1734" s="5"/>
    </row>
    <row r="1735" ht="12.75" customHeight="1">
      <c r="A1735" s="5">
        <v>35100.0</v>
      </c>
      <c r="B1735" s="5" t="s">
        <v>49</v>
      </c>
      <c r="C1735" s="52" t="s">
        <v>50</v>
      </c>
      <c r="D1735" s="5" t="s">
        <v>2852</v>
      </c>
      <c r="E1735" s="7" t="s">
        <v>7958</v>
      </c>
      <c r="F1735" s="5" t="s">
        <v>7832</v>
      </c>
      <c r="G1735" s="5" t="s">
        <v>7905</v>
      </c>
      <c r="H1735" s="5">
        <v>2006.0</v>
      </c>
      <c r="I1735" s="5">
        <v>0.0</v>
      </c>
      <c r="J1735" s="5">
        <v>0.0</v>
      </c>
      <c r="K1735" s="5">
        <v>1.0</v>
      </c>
      <c r="L1735" s="54"/>
      <c r="M1735" s="5" t="s">
        <v>7962</v>
      </c>
      <c r="N1735" s="53" t="s">
        <v>7963</v>
      </c>
      <c r="O1735">
        <v>35.976458</v>
      </c>
      <c r="P1735">
        <v>14.346722</v>
      </c>
      <c r="Q1735" s="5" t="s">
        <v>750</v>
      </c>
      <c r="R1735" s="10">
        <f t="shared" si="10"/>
        <v>11</v>
      </c>
      <c r="S1735" s="5" t="s">
        <v>7964</v>
      </c>
      <c r="T1735" s="6" t="s">
        <v>2130</v>
      </c>
      <c r="U1735" s="5" t="s">
        <v>7965</v>
      </c>
      <c r="V1735" s="5"/>
    </row>
    <row r="1736" ht="12.75" customHeight="1">
      <c r="A1736" s="5">
        <v>35099.0</v>
      </c>
      <c r="B1736" s="5" t="s">
        <v>68</v>
      </c>
      <c r="C1736" s="5" t="s">
        <v>69</v>
      </c>
      <c r="D1736" s="5" t="s">
        <v>2614</v>
      </c>
      <c r="E1736" s="7" t="s">
        <v>7958</v>
      </c>
      <c r="F1736" s="5" t="s">
        <v>7832</v>
      </c>
      <c r="G1736" s="5" t="s">
        <v>7905</v>
      </c>
      <c r="H1736" s="5">
        <v>2006.0</v>
      </c>
      <c r="I1736" s="5">
        <v>0.0</v>
      </c>
      <c r="J1736" s="5">
        <v>0.0</v>
      </c>
      <c r="K1736" s="5">
        <v>2.0</v>
      </c>
      <c r="L1736" s="54"/>
      <c r="M1736" s="5" t="s">
        <v>7966</v>
      </c>
      <c r="N1736" s="53" t="s">
        <v>6431</v>
      </c>
      <c r="O1736">
        <v>43.355524</v>
      </c>
      <c r="P1736">
        <v>-8.255738</v>
      </c>
      <c r="Q1736" s="5" t="s">
        <v>1278</v>
      </c>
      <c r="R1736" s="10">
        <f t="shared" si="10"/>
        <v>57</v>
      </c>
      <c r="S1736" s="5" t="s">
        <v>7967</v>
      </c>
      <c r="T1736" s="5"/>
      <c r="U1736" s="5" t="s">
        <v>3318</v>
      </c>
      <c r="V1736" s="5" t="s">
        <v>7968</v>
      </c>
    </row>
    <row r="1737" ht="12.75" customHeight="1">
      <c r="A1737" s="5">
        <v>35102.0</v>
      </c>
      <c r="B1737" s="5" t="s">
        <v>1995</v>
      </c>
      <c r="C1737" s="52" t="s">
        <v>50</v>
      </c>
      <c r="D1737" s="5" t="s">
        <v>2852</v>
      </c>
      <c r="E1737" s="7" t="s">
        <v>7969</v>
      </c>
      <c r="F1737" s="5" t="s">
        <v>7832</v>
      </c>
      <c r="G1737" s="5" t="s">
        <v>7970</v>
      </c>
      <c r="H1737" s="5">
        <v>2006.0</v>
      </c>
      <c r="I1737" s="5">
        <v>0.0</v>
      </c>
      <c r="J1737" s="5">
        <v>0.0</v>
      </c>
      <c r="K1737" s="5">
        <v>1.0</v>
      </c>
      <c r="L1737" s="54"/>
      <c r="M1737" s="5" t="s">
        <v>7971</v>
      </c>
      <c r="N1737" s="53" t="s">
        <v>2638</v>
      </c>
      <c r="O1737">
        <v>35.888384</v>
      </c>
      <c r="P1737">
        <v>-5.324636</v>
      </c>
      <c r="Q1737" s="5" t="s">
        <v>717</v>
      </c>
      <c r="R1737" s="10">
        <f t="shared" si="10"/>
        <v>213</v>
      </c>
      <c r="S1737" s="5" t="s">
        <v>7972</v>
      </c>
      <c r="T1737" s="6" t="s">
        <v>72</v>
      </c>
      <c r="U1737" s="5" t="s">
        <v>7973</v>
      </c>
      <c r="V1737" s="5" t="s">
        <v>7974</v>
      </c>
    </row>
    <row r="1738" ht="12.75" customHeight="1">
      <c r="A1738" s="5">
        <v>35104.0</v>
      </c>
      <c r="B1738" s="5" t="s">
        <v>49</v>
      </c>
      <c r="C1738" s="52" t="s">
        <v>50</v>
      </c>
      <c r="D1738" s="5" t="s">
        <v>2852</v>
      </c>
      <c r="E1738" s="7" t="s">
        <v>7975</v>
      </c>
      <c r="F1738" s="5" t="s">
        <v>7832</v>
      </c>
      <c r="G1738" s="5" t="s">
        <v>7970</v>
      </c>
      <c r="H1738" s="5">
        <v>2006.0</v>
      </c>
      <c r="I1738" s="5">
        <v>0.0</v>
      </c>
      <c r="J1738" s="5">
        <v>0.0</v>
      </c>
      <c r="K1738" s="5">
        <v>25.0</v>
      </c>
      <c r="L1738" s="54"/>
      <c r="M1738" s="5" t="s">
        <v>7976</v>
      </c>
      <c r="N1738" s="53" t="s">
        <v>5473</v>
      </c>
      <c r="O1738">
        <v>34.264061</v>
      </c>
      <c r="P1738">
        <v>-6.578296</v>
      </c>
      <c r="Q1738" s="5" t="s">
        <v>578</v>
      </c>
      <c r="R1738" s="10">
        <f t="shared" si="10"/>
        <v>203</v>
      </c>
      <c r="S1738" s="5" t="s">
        <v>7977</v>
      </c>
      <c r="T1738" s="6" t="s">
        <v>72</v>
      </c>
      <c r="U1738" s="5" t="s">
        <v>7512</v>
      </c>
      <c r="V1738" s="5" t="s">
        <v>7978</v>
      </c>
    </row>
    <row r="1739" ht="12.75" customHeight="1">
      <c r="A1739" s="5">
        <v>35103.0</v>
      </c>
      <c r="B1739" s="5" t="s">
        <v>68</v>
      </c>
      <c r="C1739" s="5" t="s">
        <v>69</v>
      </c>
      <c r="D1739" s="5" t="s">
        <v>2852</v>
      </c>
      <c r="E1739" s="7" t="s">
        <v>7975</v>
      </c>
      <c r="F1739" s="5" t="s">
        <v>7832</v>
      </c>
      <c r="G1739" s="5" t="s">
        <v>7970</v>
      </c>
      <c r="H1739" s="5">
        <v>2006.0</v>
      </c>
      <c r="I1739" s="5">
        <v>0.0</v>
      </c>
      <c r="J1739" s="5">
        <v>0.0</v>
      </c>
      <c r="K1739" s="5">
        <v>1.0</v>
      </c>
      <c r="L1739" s="54"/>
      <c r="M1739" s="5" t="s">
        <v>7979</v>
      </c>
      <c r="N1739" s="53" t="s">
        <v>2638</v>
      </c>
      <c r="O1739">
        <v>35.888384</v>
      </c>
      <c r="P1739">
        <v>-5.324636</v>
      </c>
      <c r="Q1739" s="5" t="s">
        <v>717</v>
      </c>
      <c r="R1739" s="10">
        <f t="shared" si="10"/>
        <v>213</v>
      </c>
      <c r="S1739" s="5" t="s">
        <v>7980</v>
      </c>
      <c r="T1739" s="6" t="s">
        <v>72</v>
      </c>
      <c r="U1739" s="5" t="s">
        <v>7512</v>
      </c>
      <c r="V1739" s="5" t="s">
        <v>7981</v>
      </c>
    </row>
    <row r="1740" ht="12.75" customHeight="1">
      <c r="A1740" s="5">
        <v>35105.0</v>
      </c>
      <c r="B1740" s="5" t="s">
        <v>2007</v>
      </c>
      <c r="C1740" s="5" t="s">
        <v>124</v>
      </c>
      <c r="D1740" s="5" t="s">
        <v>2852</v>
      </c>
      <c r="E1740" s="7" t="s">
        <v>7982</v>
      </c>
      <c r="F1740" s="5" t="s">
        <v>7832</v>
      </c>
      <c r="G1740" s="5" t="s">
        <v>7970</v>
      </c>
      <c r="H1740" s="5">
        <v>2006.0</v>
      </c>
      <c r="I1740" s="5">
        <v>0.0</v>
      </c>
      <c r="J1740" s="5">
        <v>0.0</v>
      </c>
      <c r="K1740" s="5">
        <v>1.0</v>
      </c>
      <c r="L1740" s="54"/>
      <c r="M1740" s="5" t="s">
        <v>7983</v>
      </c>
      <c r="N1740" s="53" t="s">
        <v>7984</v>
      </c>
      <c r="O1740">
        <v>52.276193</v>
      </c>
      <c r="P1740">
        <v>0.096538</v>
      </c>
      <c r="Q1740" s="5" t="s">
        <v>1731</v>
      </c>
      <c r="R1740" s="10">
        <f t="shared" si="10"/>
        <v>1</v>
      </c>
      <c r="S1740" s="5" t="s">
        <v>7985</v>
      </c>
      <c r="T1740" s="5"/>
      <c r="U1740" s="5" t="s">
        <v>3219</v>
      </c>
      <c r="V1740" s="5"/>
    </row>
    <row r="1741" ht="12.75" customHeight="1">
      <c r="A1741" s="5">
        <v>35106.0</v>
      </c>
      <c r="B1741" s="5" t="s">
        <v>41</v>
      </c>
      <c r="C1741" s="5" t="s">
        <v>42</v>
      </c>
      <c r="D1741" s="5" t="s">
        <v>2852</v>
      </c>
      <c r="E1741" s="7" t="s">
        <v>7986</v>
      </c>
      <c r="F1741" s="5" t="s">
        <v>7832</v>
      </c>
      <c r="G1741" s="5" t="s">
        <v>7970</v>
      </c>
      <c r="H1741" s="5">
        <v>2006.0</v>
      </c>
      <c r="I1741" s="5">
        <v>0.0</v>
      </c>
      <c r="J1741" s="5">
        <v>0.0</v>
      </c>
      <c r="K1741" s="5">
        <v>1.0</v>
      </c>
      <c r="L1741" s="54"/>
      <c r="M1741" s="5" t="s">
        <v>7987</v>
      </c>
      <c r="N1741" s="53" t="s">
        <v>5824</v>
      </c>
      <c r="O1741">
        <v>51.165691</v>
      </c>
      <c r="P1741">
        <v>10.451526</v>
      </c>
      <c r="Q1741" s="5" t="s">
        <v>1599</v>
      </c>
      <c r="R1741" s="10">
        <f t="shared" si="10"/>
        <v>8</v>
      </c>
      <c r="S1741" s="5" t="s">
        <v>7988</v>
      </c>
      <c r="T1741" s="5"/>
      <c r="U1741" s="5" t="s">
        <v>7989</v>
      </c>
      <c r="V1741" s="5"/>
    </row>
    <row r="1742" ht="12.75" customHeight="1">
      <c r="A1742" s="5">
        <v>35107.0</v>
      </c>
      <c r="B1742" s="5" t="s">
        <v>49</v>
      </c>
      <c r="C1742" s="52" t="s">
        <v>50</v>
      </c>
      <c r="D1742" s="5" t="s">
        <v>2852</v>
      </c>
      <c r="E1742" s="7" t="s">
        <v>7990</v>
      </c>
      <c r="F1742" s="5" t="s">
        <v>7832</v>
      </c>
      <c r="G1742" s="5" t="s">
        <v>7970</v>
      </c>
      <c r="H1742" s="5">
        <v>2006.0</v>
      </c>
      <c r="I1742" s="5">
        <v>0.0</v>
      </c>
      <c r="J1742" s="5">
        <v>0.0</v>
      </c>
      <c r="K1742" s="5">
        <v>3.0</v>
      </c>
      <c r="L1742" s="54"/>
      <c r="M1742" s="5" t="s">
        <v>7991</v>
      </c>
      <c r="N1742" s="53" t="s">
        <v>7911</v>
      </c>
      <c r="O1742">
        <v>38.652771</v>
      </c>
      <c r="P1742">
        <v>26.613007</v>
      </c>
      <c r="Q1742" s="5" t="s">
        <v>1032</v>
      </c>
      <c r="R1742" s="10">
        <f t="shared" si="10"/>
        <v>69</v>
      </c>
      <c r="S1742" s="5" t="s">
        <v>7992</v>
      </c>
      <c r="T1742" s="6" t="s">
        <v>53</v>
      </c>
      <c r="U1742" s="5" t="s">
        <v>7993</v>
      </c>
      <c r="V1742" s="5"/>
    </row>
    <row r="1743" ht="12.75" customHeight="1">
      <c r="A1743" s="5">
        <v>35108.0</v>
      </c>
      <c r="B1743" s="5" t="s">
        <v>68</v>
      </c>
      <c r="C1743" s="5" t="s">
        <v>69</v>
      </c>
      <c r="D1743" s="5" t="s">
        <v>2852</v>
      </c>
      <c r="E1743" s="7" t="s">
        <v>7994</v>
      </c>
      <c r="F1743" s="5" t="s">
        <v>7832</v>
      </c>
      <c r="G1743" s="5" t="s">
        <v>7970</v>
      </c>
      <c r="H1743" s="5">
        <v>2006.0</v>
      </c>
      <c r="I1743" s="5">
        <v>0.0</v>
      </c>
      <c r="J1743" s="5">
        <v>0.0</v>
      </c>
      <c r="K1743" s="5">
        <v>2.0</v>
      </c>
      <c r="L1743" s="54"/>
      <c r="M1743" s="5" t="s">
        <v>7995</v>
      </c>
      <c r="N1743" s="53" t="s">
        <v>4556</v>
      </c>
      <c r="O1743">
        <v>28.291564</v>
      </c>
      <c r="P1743">
        <v>-16.62913</v>
      </c>
      <c r="Q1743" s="5" t="s">
        <v>382</v>
      </c>
      <c r="R1743" s="10">
        <f t="shared" si="10"/>
        <v>1120</v>
      </c>
      <c r="S1743" s="5" t="s">
        <v>7996</v>
      </c>
      <c r="T1743" s="5" t="s">
        <v>1040</v>
      </c>
      <c r="U1743" s="5" t="s">
        <v>7997</v>
      </c>
      <c r="V1743" s="5"/>
    </row>
    <row r="1744" ht="12.75" customHeight="1">
      <c r="A1744" s="5">
        <v>35109.0</v>
      </c>
      <c r="B1744" s="5" t="s">
        <v>49</v>
      </c>
      <c r="C1744" s="52" t="s">
        <v>50</v>
      </c>
      <c r="D1744" s="5" t="s">
        <v>2852</v>
      </c>
      <c r="E1744" s="7" t="s">
        <v>7998</v>
      </c>
      <c r="F1744" s="5" t="s">
        <v>7832</v>
      </c>
      <c r="G1744" s="5" t="s">
        <v>7970</v>
      </c>
      <c r="H1744" s="5">
        <v>2006.0</v>
      </c>
      <c r="I1744" s="5">
        <v>0.0</v>
      </c>
      <c r="J1744" s="5">
        <v>0.0</v>
      </c>
      <c r="K1744" s="5">
        <v>15.0</v>
      </c>
      <c r="L1744" s="54"/>
      <c r="M1744" s="5" t="s">
        <v>7999</v>
      </c>
      <c r="N1744" s="53" t="s">
        <v>2938</v>
      </c>
      <c r="O1744">
        <v>35.937496</v>
      </c>
      <c r="P1744">
        <v>14.375416</v>
      </c>
      <c r="Q1744" s="5" t="s">
        <v>740</v>
      </c>
      <c r="R1744" s="10">
        <f t="shared" si="10"/>
        <v>655</v>
      </c>
      <c r="S1744" s="5" t="s">
        <v>8000</v>
      </c>
      <c r="T1744" s="6" t="s">
        <v>2130</v>
      </c>
      <c r="U1744" s="5" t="s">
        <v>8001</v>
      </c>
      <c r="V1744" s="5"/>
    </row>
    <row r="1745" ht="12.75" customHeight="1">
      <c r="A1745" s="5">
        <v>35110.0</v>
      </c>
      <c r="B1745" s="5" t="s">
        <v>49</v>
      </c>
      <c r="C1745" s="52" t="s">
        <v>50</v>
      </c>
      <c r="D1745" s="5" t="s">
        <v>2852</v>
      </c>
      <c r="E1745" s="7" t="s">
        <v>8002</v>
      </c>
      <c r="F1745" s="5" t="s">
        <v>7832</v>
      </c>
      <c r="G1745" s="5" t="s">
        <v>7970</v>
      </c>
      <c r="H1745" s="5">
        <v>2006.0</v>
      </c>
      <c r="I1745" s="5">
        <v>0.0</v>
      </c>
      <c r="J1745" s="5">
        <v>0.0</v>
      </c>
      <c r="K1745" s="5">
        <v>34.0</v>
      </c>
      <c r="L1745" s="54"/>
      <c r="M1745" s="5" t="s">
        <v>8003</v>
      </c>
      <c r="N1745" s="53" t="s">
        <v>4941</v>
      </c>
      <c r="O1745">
        <v>28.291564</v>
      </c>
      <c r="P1745">
        <v>-16.62913</v>
      </c>
      <c r="Q1745" s="5" t="s">
        <v>382</v>
      </c>
      <c r="R1745" s="10">
        <f t="shared" si="10"/>
        <v>1120</v>
      </c>
      <c r="S1745" s="5" t="s">
        <v>8004</v>
      </c>
      <c r="T1745" s="5" t="s">
        <v>1040</v>
      </c>
      <c r="U1745" s="5" t="s">
        <v>8005</v>
      </c>
      <c r="V1745" s="5" t="s">
        <v>8006</v>
      </c>
    </row>
    <row r="1746" ht="12.75" customHeight="1">
      <c r="A1746" s="5">
        <v>35111.0</v>
      </c>
      <c r="B1746" s="5" t="s">
        <v>68</v>
      </c>
      <c r="C1746" s="5" t="s">
        <v>69</v>
      </c>
      <c r="D1746" s="5" t="s">
        <v>2852</v>
      </c>
      <c r="E1746" s="7" t="s">
        <v>8007</v>
      </c>
      <c r="F1746" s="5" t="s">
        <v>7832</v>
      </c>
      <c r="G1746" s="5" t="s">
        <v>7970</v>
      </c>
      <c r="H1746" s="5">
        <v>2006.0</v>
      </c>
      <c r="I1746" s="5">
        <v>0.0</v>
      </c>
      <c r="J1746" s="5">
        <v>0.0</v>
      </c>
      <c r="K1746" s="5">
        <v>1.0</v>
      </c>
      <c r="L1746" s="54"/>
      <c r="M1746" s="5" t="s">
        <v>8008</v>
      </c>
      <c r="N1746" s="53" t="s">
        <v>4556</v>
      </c>
      <c r="O1746">
        <v>28.291564</v>
      </c>
      <c r="P1746">
        <v>-16.62913</v>
      </c>
      <c r="Q1746" s="5" t="s">
        <v>382</v>
      </c>
      <c r="R1746" s="10">
        <f t="shared" si="10"/>
        <v>1120</v>
      </c>
      <c r="S1746" s="5" t="s">
        <v>8009</v>
      </c>
      <c r="T1746" s="5" t="s">
        <v>1040</v>
      </c>
      <c r="U1746" s="5" t="s">
        <v>7512</v>
      </c>
      <c r="V1746" s="5"/>
    </row>
    <row r="1747" ht="12.75" customHeight="1">
      <c r="A1747" s="5">
        <v>35112.0</v>
      </c>
      <c r="B1747" s="5" t="s">
        <v>49</v>
      </c>
      <c r="C1747" s="52" t="s">
        <v>50</v>
      </c>
      <c r="D1747" s="5" t="s">
        <v>2852</v>
      </c>
      <c r="E1747" s="7" t="s">
        <v>8010</v>
      </c>
      <c r="F1747" s="5" t="s">
        <v>8011</v>
      </c>
      <c r="G1747" s="5" t="s">
        <v>8012</v>
      </c>
      <c r="H1747" s="5">
        <v>2006.0</v>
      </c>
      <c r="I1747" s="5">
        <v>0.0</v>
      </c>
      <c r="J1747" s="5">
        <v>0.0</v>
      </c>
      <c r="K1747" s="5">
        <v>1.0</v>
      </c>
      <c r="L1747" s="54"/>
      <c r="M1747" s="5" t="s">
        <v>8013</v>
      </c>
      <c r="N1747" s="53" t="s">
        <v>3146</v>
      </c>
      <c r="O1747">
        <v>39.16408</v>
      </c>
      <c r="P1747">
        <v>26.372171</v>
      </c>
      <c r="Q1747" s="5" t="s">
        <v>1068</v>
      </c>
      <c r="R1747" s="10">
        <f t="shared" si="10"/>
        <v>101</v>
      </c>
      <c r="S1747" s="5" t="s">
        <v>8014</v>
      </c>
      <c r="T1747" s="6" t="s">
        <v>53</v>
      </c>
      <c r="U1747" s="5" t="s">
        <v>8015</v>
      </c>
      <c r="V1747" s="5"/>
    </row>
    <row r="1748" ht="12.75" customHeight="1">
      <c r="A1748" s="5">
        <v>35113.0</v>
      </c>
      <c r="B1748" s="5" t="s">
        <v>68</v>
      </c>
      <c r="C1748" s="5" t="s">
        <v>69</v>
      </c>
      <c r="D1748" s="5" t="s">
        <v>2614</v>
      </c>
      <c r="E1748" s="7" t="s">
        <v>8016</v>
      </c>
      <c r="F1748" s="5" t="s">
        <v>8011</v>
      </c>
      <c r="G1748" s="5" t="s">
        <v>8012</v>
      </c>
      <c r="H1748" s="5">
        <v>2006.0</v>
      </c>
      <c r="I1748" s="5">
        <v>0.0</v>
      </c>
      <c r="J1748" s="5">
        <v>0.0</v>
      </c>
      <c r="K1748" s="5">
        <v>1.0</v>
      </c>
      <c r="L1748" s="54"/>
      <c r="M1748" s="5" t="s">
        <v>8017</v>
      </c>
      <c r="N1748" s="53" t="s">
        <v>2638</v>
      </c>
      <c r="O1748">
        <v>35.888384</v>
      </c>
      <c r="P1748">
        <v>-5.324636</v>
      </c>
      <c r="Q1748" s="5" t="s">
        <v>717</v>
      </c>
      <c r="R1748" s="10">
        <f t="shared" si="10"/>
        <v>213</v>
      </c>
      <c r="S1748" s="5" t="s">
        <v>8018</v>
      </c>
      <c r="T1748" s="6" t="s">
        <v>72</v>
      </c>
      <c r="U1748" s="5" t="s">
        <v>2165</v>
      </c>
      <c r="V1748" s="5" t="s">
        <v>8019</v>
      </c>
    </row>
    <row r="1749" ht="12.75" customHeight="1">
      <c r="A1749" s="5">
        <v>35114.0</v>
      </c>
      <c r="B1749" s="5" t="s">
        <v>68</v>
      </c>
      <c r="C1749" s="5" t="s">
        <v>69</v>
      </c>
      <c r="D1749" s="5" t="s">
        <v>2852</v>
      </c>
      <c r="E1749" s="7" t="s">
        <v>8020</v>
      </c>
      <c r="F1749" s="5" t="s">
        <v>8011</v>
      </c>
      <c r="G1749" s="5" t="s">
        <v>8012</v>
      </c>
      <c r="H1749" s="5">
        <v>2006.0</v>
      </c>
      <c r="I1749" s="5">
        <v>0.0</v>
      </c>
      <c r="J1749" s="5">
        <v>0.0</v>
      </c>
      <c r="K1749" s="5">
        <v>3.0</v>
      </c>
      <c r="L1749" s="54"/>
      <c r="M1749" s="5" t="s">
        <v>8021</v>
      </c>
      <c r="N1749" s="53" t="s">
        <v>7132</v>
      </c>
      <c r="O1749">
        <v>20.942518</v>
      </c>
      <c r="P1749">
        <v>-17.036227</v>
      </c>
      <c r="Q1749" s="5" t="s">
        <v>309</v>
      </c>
      <c r="R1749" s="10">
        <f t="shared" si="10"/>
        <v>83</v>
      </c>
      <c r="S1749" s="5" t="s">
        <v>8022</v>
      </c>
      <c r="T1749" s="5" t="s">
        <v>1040</v>
      </c>
      <c r="U1749" s="5" t="s">
        <v>7512</v>
      </c>
      <c r="V1749" s="5" t="s">
        <v>8023</v>
      </c>
    </row>
    <row r="1750" ht="12.75" customHeight="1">
      <c r="A1750" s="5">
        <v>35115.0</v>
      </c>
      <c r="B1750" s="5" t="s">
        <v>68</v>
      </c>
      <c r="C1750" s="5" t="s">
        <v>69</v>
      </c>
      <c r="D1750" s="5" t="s">
        <v>2852</v>
      </c>
      <c r="E1750" s="7" t="s">
        <v>8024</v>
      </c>
      <c r="F1750" s="5" t="s">
        <v>8011</v>
      </c>
      <c r="G1750" s="5" t="s">
        <v>8012</v>
      </c>
      <c r="H1750" s="5">
        <v>2006.0</v>
      </c>
      <c r="I1750" s="5">
        <v>0.0</v>
      </c>
      <c r="J1750" s="5">
        <v>0.0</v>
      </c>
      <c r="K1750" s="5">
        <v>13.0</v>
      </c>
      <c r="L1750" s="54"/>
      <c r="M1750" s="5" t="s">
        <v>8025</v>
      </c>
      <c r="N1750" s="53" t="s">
        <v>7071</v>
      </c>
      <c r="O1750">
        <v>27.153611</v>
      </c>
      <c r="P1750">
        <v>-13.203333</v>
      </c>
      <c r="Q1750" s="5" t="s">
        <v>349</v>
      </c>
      <c r="R1750" s="10">
        <f t="shared" si="10"/>
        <v>348</v>
      </c>
      <c r="S1750" s="5" t="s">
        <v>8026</v>
      </c>
      <c r="T1750" s="5" t="s">
        <v>1040</v>
      </c>
      <c r="U1750" s="5" t="s">
        <v>8027</v>
      </c>
      <c r="V1750" s="5"/>
    </row>
    <row r="1751" ht="12.75" customHeight="1">
      <c r="A1751" s="5">
        <v>35116.0</v>
      </c>
      <c r="B1751" s="5" t="s">
        <v>68</v>
      </c>
      <c r="C1751" s="5" t="s">
        <v>69</v>
      </c>
      <c r="D1751" s="5" t="s">
        <v>2852</v>
      </c>
      <c r="E1751" s="7" t="s">
        <v>8028</v>
      </c>
      <c r="F1751" s="5" t="s">
        <v>8011</v>
      </c>
      <c r="G1751" s="5" t="s">
        <v>8012</v>
      </c>
      <c r="H1751" s="5">
        <v>2006.0</v>
      </c>
      <c r="I1751" s="5">
        <v>0.0</v>
      </c>
      <c r="J1751" s="5">
        <v>0.0</v>
      </c>
      <c r="K1751" s="5">
        <v>1.0</v>
      </c>
      <c r="L1751" s="54"/>
      <c r="M1751" s="5" t="s">
        <v>8029</v>
      </c>
      <c r="N1751" s="53" t="s">
        <v>2718</v>
      </c>
      <c r="O1751">
        <v>35.292278</v>
      </c>
      <c r="P1751">
        <v>-2.938097</v>
      </c>
      <c r="Q1751" s="5" t="s">
        <v>649</v>
      </c>
      <c r="R1751" s="10">
        <f t="shared" si="10"/>
        <v>79</v>
      </c>
      <c r="S1751" s="5" t="s">
        <v>8030</v>
      </c>
      <c r="T1751" s="6" t="s">
        <v>72</v>
      </c>
      <c r="U1751" s="5" t="s">
        <v>7788</v>
      </c>
      <c r="V1751" s="5"/>
    </row>
    <row r="1752" ht="12.75" customHeight="1">
      <c r="A1752" s="5">
        <v>35117.0</v>
      </c>
      <c r="B1752" s="5" t="s">
        <v>49</v>
      </c>
      <c r="C1752" s="52" t="s">
        <v>50</v>
      </c>
      <c r="D1752" s="5" t="s">
        <v>2852</v>
      </c>
      <c r="E1752" s="7" t="s">
        <v>8031</v>
      </c>
      <c r="F1752" s="5" t="s">
        <v>8011</v>
      </c>
      <c r="G1752" s="5" t="s">
        <v>8012</v>
      </c>
      <c r="H1752" s="5">
        <v>2006.0</v>
      </c>
      <c r="I1752" s="5">
        <v>0.0</v>
      </c>
      <c r="J1752" s="5">
        <v>0.0</v>
      </c>
      <c r="K1752" s="5">
        <v>26.0</v>
      </c>
      <c r="L1752" s="54"/>
      <c r="M1752" s="5" t="s">
        <v>8032</v>
      </c>
      <c r="N1752" s="53" t="s">
        <v>7132</v>
      </c>
      <c r="O1752">
        <v>20.942518</v>
      </c>
      <c r="P1752">
        <v>-17.036227</v>
      </c>
      <c r="Q1752" s="5" t="s">
        <v>309</v>
      </c>
      <c r="R1752" s="10">
        <f t="shared" si="10"/>
        <v>83</v>
      </c>
      <c r="S1752" s="5" t="s">
        <v>8033</v>
      </c>
      <c r="T1752" s="5" t="s">
        <v>1040</v>
      </c>
      <c r="U1752" s="5" t="s">
        <v>8034</v>
      </c>
      <c r="V1752" s="5" t="s">
        <v>8035</v>
      </c>
    </row>
    <row r="1753" ht="12.75" customHeight="1">
      <c r="A1753" s="5">
        <v>35118.0</v>
      </c>
      <c r="B1753" s="5" t="s">
        <v>68</v>
      </c>
      <c r="C1753" s="5" t="s">
        <v>69</v>
      </c>
      <c r="D1753" s="5" t="s">
        <v>2614</v>
      </c>
      <c r="E1753" s="7" t="s">
        <v>8036</v>
      </c>
      <c r="F1753" s="5" t="s">
        <v>8011</v>
      </c>
      <c r="G1753" s="5" t="s">
        <v>8012</v>
      </c>
      <c r="H1753" s="5">
        <v>2006.0</v>
      </c>
      <c r="I1753" s="5">
        <v>0.0</v>
      </c>
      <c r="J1753" s="5">
        <v>0.0</v>
      </c>
      <c r="K1753" s="5">
        <v>12.0</v>
      </c>
      <c r="L1753" s="54"/>
      <c r="M1753" s="5" t="s">
        <v>8037</v>
      </c>
      <c r="N1753" s="53" t="s">
        <v>4941</v>
      </c>
      <c r="O1753">
        <v>28.291564</v>
      </c>
      <c r="P1753">
        <v>-16.62913</v>
      </c>
      <c r="Q1753" s="5" t="s">
        <v>382</v>
      </c>
      <c r="R1753" s="10">
        <f t="shared" si="10"/>
        <v>1120</v>
      </c>
      <c r="S1753" s="5" t="s">
        <v>8038</v>
      </c>
      <c r="T1753" s="5" t="s">
        <v>1040</v>
      </c>
      <c r="U1753" s="5" t="s">
        <v>7287</v>
      </c>
      <c r="V1753" s="5" t="s">
        <v>8039</v>
      </c>
    </row>
    <row r="1754" ht="12.75" customHeight="1">
      <c r="A1754" s="5">
        <v>35119.0</v>
      </c>
      <c r="B1754" s="5" t="s">
        <v>68</v>
      </c>
      <c r="C1754" s="5" t="s">
        <v>69</v>
      </c>
      <c r="D1754" s="5" t="s">
        <v>2852</v>
      </c>
      <c r="E1754" s="7" t="s">
        <v>8040</v>
      </c>
      <c r="F1754" s="5" t="s">
        <v>8011</v>
      </c>
      <c r="G1754" s="5" t="s">
        <v>8012</v>
      </c>
      <c r="H1754" s="5">
        <v>2006.0</v>
      </c>
      <c r="I1754" s="5">
        <v>0.0</v>
      </c>
      <c r="J1754" s="5">
        <v>0.0</v>
      </c>
      <c r="K1754" s="5">
        <v>1.0</v>
      </c>
      <c r="L1754" s="54"/>
      <c r="M1754" s="5" t="s">
        <v>8041</v>
      </c>
      <c r="N1754" s="53" t="s">
        <v>2718</v>
      </c>
      <c r="O1754">
        <v>35.292278</v>
      </c>
      <c r="P1754">
        <v>-2.938097</v>
      </c>
      <c r="Q1754" s="5" t="s">
        <v>649</v>
      </c>
      <c r="R1754" s="10">
        <f t="shared" si="10"/>
        <v>79</v>
      </c>
      <c r="S1754" s="5" t="s">
        <v>8042</v>
      </c>
      <c r="T1754" s="6" t="s">
        <v>72</v>
      </c>
      <c r="U1754" s="5" t="s">
        <v>8043</v>
      </c>
      <c r="V1754" s="5"/>
    </row>
    <row r="1755" ht="12.75" customHeight="1">
      <c r="A1755" s="5">
        <v>35121.0</v>
      </c>
      <c r="B1755" s="5" t="s">
        <v>68</v>
      </c>
      <c r="C1755" s="5" t="s">
        <v>69</v>
      </c>
      <c r="D1755" s="5" t="s">
        <v>2852</v>
      </c>
      <c r="E1755" s="7" t="s">
        <v>8044</v>
      </c>
      <c r="F1755" s="5" t="s">
        <v>8011</v>
      </c>
      <c r="G1755" s="5" t="s">
        <v>8012</v>
      </c>
      <c r="H1755" s="5">
        <v>2006.0</v>
      </c>
      <c r="I1755" s="5">
        <v>0.0</v>
      </c>
      <c r="J1755" s="5">
        <v>0.0</v>
      </c>
      <c r="K1755" s="5">
        <v>1.0</v>
      </c>
      <c r="L1755" s="54"/>
      <c r="M1755" s="5" t="s">
        <v>8045</v>
      </c>
      <c r="N1755" s="53" t="s">
        <v>4562</v>
      </c>
      <c r="O1755">
        <v>-8.783195</v>
      </c>
      <c r="P1755">
        <v>34.508523</v>
      </c>
      <c r="Q1755" s="5" t="s">
        <v>232</v>
      </c>
      <c r="R1755" s="10">
        <f t="shared" si="10"/>
        <v>21</v>
      </c>
      <c r="S1755" s="5" t="s">
        <v>8046</v>
      </c>
      <c r="T1755" s="5"/>
      <c r="U1755" s="5" t="s">
        <v>3128</v>
      </c>
      <c r="V1755" s="5"/>
    </row>
    <row r="1756" ht="12.75" customHeight="1">
      <c r="A1756" s="5">
        <v>35120.0</v>
      </c>
      <c r="B1756" s="5" t="s">
        <v>68</v>
      </c>
      <c r="C1756" s="5" t="s">
        <v>69</v>
      </c>
      <c r="D1756" s="5" t="s">
        <v>2852</v>
      </c>
      <c r="E1756" s="7" t="s">
        <v>8044</v>
      </c>
      <c r="F1756" s="5" t="s">
        <v>8011</v>
      </c>
      <c r="G1756" s="5" t="s">
        <v>8012</v>
      </c>
      <c r="H1756" s="5">
        <v>2006.0</v>
      </c>
      <c r="I1756" s="5">
        <v>0.0</v>
      </c>
      <c r="J1756" s="5">
        <v>0.0</v>
      </c>
      <c r="K1756" s="5">
        <v>1.0</v>
      </c>
      <c r="L1756" s="54"/>
      <c r="M1756" s="5" t="s">
        <v>8047</v>
      </c>
      <c r="N1756" s="53" t="s">
        <v>3151</v>
      </c>
      <c r="O1756">
        <v>29.046854</v>
      </c>
      <c r="P1756">
        <v>-13.589973</v>
      </c>
      <c r="Q1756" s="5" t="s">
        <v>400</v>
      </c>
      <c r="R1756" s="10">
        <f t="shared" si="10"/>
        <v>74</v>
      </c>
      <c r="S1756" s="5" t="s">
        <v>8048</v>
      </c>
      <c r="T1756" s="5" t="s">
        <v>1040</v>
      </c>
      <c r="U1756" s="5" t="s">
        <v>7512</v>
      </c>
      <c r="V1756" s="5"/>
    </row>
    <row r="1757" ht="12.75" customHeight="1">
      <c r="A1757" s="5">
        <v>35122.0</v>
      </c>
      <c r="B1757" s="5" t="s">
        <v>2962</v>
      </c>
      <c r="C1757" s="5" t="s">
        <v>211</v>
      </c>
      <c r="D1757" s="5" t="s">
        <v>2852</v>
      </c>
      <c r="E1757" s="7" t="s">
        <v>8044</v>
      </c>
      <c r="F1757" s="5" t="s">
        <v>8011</v>
      </c>
      <c r="G1757" s="5" t="s">
        <v>8012</v>
      </c>
      <c r="H1757" s="5">
        <v>2006.0</v>
      </c>
      <c r="I1757" s="5">
        <v>0.0</v>
      </c>
      <c r="J1757" s="5">
        <v>0.0</v>
      </c>
      <c r="K1757" s="5">
        <v>1.0</v>
      </c>
      <c r="L1757" s="54"/>
      <c r="M1757" s="5" t="s">
        <v>8049</v>
      </c>
      <c r="N1757" s="53" t="s">
        <v>4095</v>
      </c>
      <c r="O1757">
        <v>55.378051</v>
      </c>
      <c r="P1757">
        <v>-3.435973</v>
      </c>
      <c r="Q1757" s="5" t="s">
        <v>1882</v>
      </c>
      <c r="R1757" s="10">
        <f t="shared" si="10"/>
        <v>23</v>
      </c>
      <c r="S1757" s="5" t="s">
        <v>8050</v>
      </c>
      <c r="T1757" s="5"/>
      <c r="U1757" s="5" t="s">
        <v>8051</v>
      </c>
      <c r="V1757" s="5"/>
    </row>
    <row r="1758" ht="12.75" customHeight="1">
      <c r="A1758" s="5">
        <v>35123.0</v>
      </c>
      <c r="B1758" s="5" t="s">
        <v>68</v>
      </c>
      <c r="C1758" s="5" t="s">
        <v>69</v>
      </c>
      <c r="D1758" s="5" t="s">
        <v>2614</v>
      </c>
      <c r="E1758" s="7" t="s">
        <v>8052</v>
      </c>
      <c r="F1758" s="5" t="s">
        <v>8011</v>
      </c>
      <c r="G1758" s="5" t="s">
        <v>8012</v>
      </c>
      <c r="H1758" s="5">
        <v>2006.0</v>
      </c>
      <c r="I1758" s="5">
        <v>0.0</v>
      </c>
      <c r="J1758" s="5">
        <v>0.0</v>
      </c>
      <c r="K1758" s="5">
        <v>1.0</v>
      </c>
      <c r="L1758" s="54"/>
      <c r="M1758" s="5" t="s">
        <v>8053</v>
      </c>
      <c r="N1758" s="53" t="s">
        <v>5291</v>
      </c>
      <c r="O1758">
        <v>23.69751</v>
      </c>
      <c r="P1758">
        <v>-15.93698</v>
      </c>
      <c r="Q1758" s="5" t="s">
        <v>323</v>
      </c>
      <c r="R1758" s="10">
        <f t="shared" si="10"/>
        <v>177</v>
      </c>
      <c r="S1758" s="5" t="s">
        <v>8054</v>
      </c>
      <c r="T1758" s="5" t="s">
        <v>1040</v>
      </c>
      <c r="U1758" s="5" t="s">
        <v>2785</v>
      </c>
      <c r="V1758" s="5" t="s">
        <v>8055</v>
      </c>
    </row>
    <row r="1759" ht="12.75" customHeight="1">
      <c r="A1759" s="5">
        <v>35126.0</v>
      </c>
      <c r="B1759" s="5" t="s">
        <v>49</v>
      </c>
      <c r="C1759" s="52" t="s">
        <v>50</v>
      </c>
      <c r="D1759" s="5" t="s">
        <v>2852</v>
      </c>
      <c r="E1759" s="7" t="s">
        <v>8056</v>
      </c>
      <c r="F1759" s="5" t="s">
        <v>8011</v>
      </c>
      <c r="G1759" s="5" t="s">
        <v>8012</v>
      </c>
      <c r="H1759" s="5">
        <v>2006.0</v>
      </c>
      <c r="I1759" s="5">
        <v>0.0</v>
      </c>
      <c r="J1759" s="5">
        <v>0.0</v>
      </c>
      <c r="K1759" s="5">
        <v>30.0</v>
      </c>
      <c r="L1759" s="54"/>
      <c r="M1759" s="5" t="s">
        <v>8057</v>
      </c>
      <c r="N1759" s="53" t="s">
        <v>6690</v>
      </c>
      <c r="O1759">
        <v>27.153611</v>
      </c>
      <c r="P1759">
        <v>-13.203333</v>
      </c>
      <c r="Q1759" s="5" t="s">
        <v>349</v>
      </c>
      <c r="R1759" s="10">
        <f t="shared" si="10"/>
        <v>348</v>
      </c>
      <c r="S1759" s="5" t="s">
        <v>8058</v>
      </c>
      <c r="T1759" s="5" t="s">
        <v>1040</v>
      </c>
      <c r="U1759" s="5" t="s">
        <v>8059</v>
      </c>
      <c r="V1759" s="5"/>
    </row>
    <row r="1760" ht="12.75" customHeight="1">
      <c r="A1760" s="5">
        <v>35125.0</v>
      </c>
      <c r="B1760" s="5" t="s">
        <v>41</v>
      </c>
      <c r="C1760" s="5" t="s">
        <v>42</v>
      </c>
      <c r="D1760" s="5" t="s">
        <v>2852</v>
      </c>
      <c r="E1760" s="7" t="s">
        <v>8056</v>
      </c>
      <c r="F1760" s="5" t="s">
        <v>8011</v>
      </c>
      <c r="G1760" s="5" t="s">
        <v>8012</v>
      </c>
      <c r="H1760" s="5">
        <v>2006.0</v>
      </c>
      <c r="I1760" s="5">
        <v>0.0</v>
      </c>
      <c r="J1760" s="5">
        <v>0.0</v>
      </c>
      <c r="K1760" s="5">
        <v>3.0</v>
      </c>
      <c r="L1760" s="54"/>
      <c r="M1760" s="5" t="s">
        <v>8060</v>
      </c>
      <c r="N1760" s="53" t="s">
        <v>2718</v>
      </c>
      <c r="O1760">
        <v>35.292278</v>
      </c>
      <c r="P1760">
        <v>-2.938097</v>
      </c>
      <c r="Q1760" s="5" t="s">
        <v>649</v>
      </c>
      <c r="R1760" s="10">
        <f t="shared" si="10"/>
        <v>79</v>
      </c>
      <c r="S1760" s="5" t="s">
        <v>8061</v>
      </c>
      <c r="T1760" s="6" t="s">
        <v>72</v>
      </c>
      <c r="U1760" s="5" t="s">
        <v>8062</v>
      </c>
      <c r="V1760" s="5"/>
    </row>
    <row r="1761" ht="12.75" customHeight="1">
      <c r="A1761" s="5">
        <v>35124.0</v>
      </c>
      <c r="B1761" s="5" t="s">
        <v>68</v>
      </c>
      <c r="C1761" s="5" t="s">
        <v>69</v>
      </c>
      <c r="D1761" s="5" t="s">
        <v>2614</v>
      </c>
      <c r="E1761" s="7" t="s">
        <v>8056</v>
      </c>
      <c r="F1761" s="5" t="s">
        <v>8011</v>
      </c>
      <c r="G1761" s="5" t="s">
        <v>8012</v>
      </c>
      <c r="H1761" s="5">
        <v>2006.0</v>
      </c>
      <c r="I1761" s="5">
        <v>0.0</v>
      </c>
      <c r="J1761" s="5">
        <v>0.0</v>
      </c>
      <c r="K1761" s="5">
        <v>3.0</v>
      </c>
      <c r="L1761" s="54"/>
      <c r="M1761" s="5" t="s">
        <v>8063</v>
      </c>
      <c r="N1761" s="53" t="s">
        <v>3608</v>
      </c>
      <c r="O1761">
        <v>41.117143</v>
      </c>
      <c r="P1761">
        <v>16.871871</v>
      </c>
      <c r="Q1761" s="5" t="s">
        <v>1188</v>
      </c>
      <c r="R1761" s="10">
        <f t="shared" si="10"/>
        <v>32</v>
      </c>
      <c r="S1761" s="5" t="s">
        <v>8064</v>
      </c>
      <c r="T1761" s="6" t="s">
        <v>1963</v>
      </c>
      <c r="U1761" s="5" t="s">
        <v>2619</v>
      </c>
      <c r="V1761" s="5" t="s">
        <v>8065</v>
      </c>
    </row>
    <row r="1762" ht="12.75" customHeight="1">
      <c r="A1762" s="5">
        <v>35127.0</v>
      </c>
      <c r="B1762" s="5" t="s">
        <v>49</v>
      </c>
      <c r="C1762" s="52" t="s">
        <v>50</v>
      </c>
      <c r="D1762" s="5" t="s">
        <v>2614</v>
      </c>
      <c r="E1762" s="7" t="s">
        <v>8066</v>
      </c>
      <c r="F1762" s="5" t="s">
        <v>8011</v>
      </c>
      <c r="G1762" s="5" t="s">
        <v>8012</v>
      </c>
      <c r="H1762" s="5">
        <v>2006.0</v>
      </c>
      <c r="I1762" s="5">
        <v>0.0</v>
      </c>
      <c r="J1762" s="5">
        <v>0.0</v>
      </c>
      <c r="K1762" s="5">
        <v>45.0</v>
      </c>
      <c r="L1762" s="54"/>
      <c r="M1762" s="5" t="s">
        <v>8067</v>
      </c>
      <c r="N1762" s="53" t="s">
        <v>7285</v>
      </c>
      <c r="O1762">
        <v>28.291564</v>
      </c>
      <c r="P1762">
        <v>-16.62913</v>
      </c>
      <c r="Q1762" s="5" t="s">
        <v>382</v>
      </c>
      <c r="R1762" s="10">
        <f t="shared" si="10"/>
        <v>1120</v>
      </c>
      <c r="S1762" s="5" t="s">
        <v>8068</v>
      </c>
      <c r="T1762" s="5" t="s">
        <v>1040</v>
      </c>
      <c r="U1762" s="5" t="s">
        <v>2165</v>
      </c>
      <c r="V1762" s="5" t="s">
        <v>8069</v>
      </c>
    </row>
    <row r="1763" ht="12.75" customHeight="1">
      <c r="A1763" s="5">
        <v>35128.0</v>
      </c>
      <c r="B1763" s="5" t="s">
        <v>49</v>
      </c>
      <c r="C1763" s="52" t="s">
        <v>50</v>
      </c>
      <c r="D1763" s="5" t="s">
        <v>2852</v>
      </c>
      <c r="E1763" s="7" t="s">
        <v>8066</v>
      </c>
      <c r="F1763" s="5" t="s">
        <v>8011</v>
      </c>
      <c r="G1763" s="5" t="s">
        <v>8012</v>
      </c>
      <c r="H1763" s="5">
        <v>2006.0</v>
      </c>
      <c r="I1763" s="5">
        <v>0.0</v>
      </c>
      <c r="J1763" s="5">
        <v>0.0</v>
      </c>
      <c r="K1763" s="5">
        <v>4.0</v>
      </c>
      <c r="L1763" s="54"/>
      <c r="M1763" s="5" t="s">
        <v>8070</v>
      </c>
      <c r="N1763" s="53" t="s">
        <v>5692</v>
      </c>
      <c r="O1763">
        <v>36.926927</v>
      </c>
      <c r="P1763">
        <v>14.725513</v>
      </c>
      <c r="Q1763" s="5" t="s">
        <v>887</v>
      </c>
      <c r="R1763" s="10">
        <f t="shared" si="10"/>
        <v>58</v>
      </c>
      <c r="S1763" s="5" t="s">
        <v>8071</v>
      </c>
      <c r="T1763" s="6" t="s">
        <v>2130</v>
      </c>
      <c r="U1763" s="5" t="s">
        <v>8072</v>
      </c>
      <c r="V1763" s="5"/>
    </row>
    <row r="1764" ht="12.75" customHeight="1">
      <c r="A1764" s="5">
        <v>35129.0</v>
      </c>
      <c r="B1764" s="5" t="s">
        <v>68</v>
      </c>
      <c r="C1764" s="5" t="s">
        <v>69</v>
      </c>
      <c r="D1764" s="5" t="s">
        <v>2614</v>
      </c>
      <c r="E1764" s="7" t="s">
        <v>8073</v>
      </c>
      <c r="F1764" s="5" t="s">
        <v>8011</v>
      </c>
      <c r="G1764" s="5" t="s">
        <v>8012</v>
      </c>
      <c r="H1764" s="5">
        <v>2006.0</v>
      </c>
      <c r="I1764" s="5">
        <v>0.0</v>
      </c>
      <c r="J1764" s="5">
        <v>0.0</v>
      </c>
      <c r="K1764" s="5">
        <v>10.0</v>
      </c>
      <c r="L1764" s="54"/>
      <c r="M1764" s="5" t="s">
        <v>8074</v>
      </c>
      <c r="N1764" s="53" t="s">
        <v>7963</v>
      </c>
      <c r="O1764">
        <v>35.976458</v>
      </c>
      <c r="P1764">
        <v>14.346722</v>
      </c>
      <c r="Q1764" s="5" t="s">
        <v>750</v>
      </c>
      <c r="R1764" s="10">
        <f t="shared" si="10"/>
        <v>11</v>
      </c>
      <c r="S1764" s="5" t="s">
        <v>8075</v>
      </c>
      <c r="T1764" s="6" t="s">
        <v>2130</v>
      </c>
      <c r="U1764" s="5" t="s">
        <v>2143</v>
      </c>
      <c r="V1764" s="5" t="s">
        <v>8076</v>
      </c>
    </row>
    <row r="1765" ht="12.75" customHeight="1">
      <c r="A1765" s="5">
        <v>35130.0</v>
      </c>
      <c r="B1765" s="5" t="s">
        <v>49</v>
      </c>
      <c r="C1765" s="52" t="s">
        <v>50</v>
      </c>
      <c r="D1765" s="5" t="s">
        <v>2614</v>
      </c>
      <c r="E1765" s="7" t="s">
        <v>8077</v>
      </c>
      <c r="F1765" s="5" t="s">
        <v>8011</v>
      </c>
      <c r="G1765" s="5" t="s">
        <v>8012</v>
      </c>
      <c r="H1765" s="5">
        <v>2006.0</v>
      </c>
      <c r="I1765" s="5">
        <v>0.0</v>
      </c>
      <c r="J1765" s="5">
        <v>0.0</v>
      </c>
      <c r="K1765" s="5">
        <v>1.0</v>
      </c>
      <c r="L1765" s="54"/>
      <c r="M1765" s="5" t="s">
        <v>8078</v>
      </c>
      <c r="N1765" s="53" t="s">
        <v>4556</v>
      </c>
      <c r="O1765">
        <v>28.291564</v>
      </c>
      <c r="P1765">
        <v>-16.62913</v>
      </c>
      <c r="Q1765" s="5" t="s">
        <v>382</v>
      </c>
      <c r="R1765" s="10">
        <f t="shared" si="10"/>
        <v>1120</v>
      </c>
      <c r="S1765" s="5" t="s">
        <v>8079</v>
      </c>
      <c r="T1765" s="5" t="s">
        <v>1040</v>
      </c>
      <c r="U1765" s="5" t="s">
        <v>2785</v>
      </c>
      <c r="V1765" s="5" t="s">
        <v>8080</v>
      </c>
    </row>
    <row r="1766" ht="12.75" customHeight="1">
      <c r="A1766" s="5">
        <v>35131.0</v>
      </c>
      <c r="B1766" s="5" t="s">
        <v>68</v>
      </c>
      <c r="C1766" s="5" t="s">
        <v>69</v>
      </c>
      <c r="D1766" s="5" t="s">
        <v>2614</v>
      </c>
      <c r="E1766" s="7" t="s">
        <v>8081</v>
      </c>
      <c r="F1766" s="5" t="s">
        <v>8011</v>
      </c>
      <c r="G1766" s="5" t="s">
        <v>8082</v>
      </c>
      <c r="H1766" s="5">
        <v>2006.0</v>
      </c>
      <c r="I1766" s="5">
        <v>0.0</v>
      </c>
      <c r="J1766" s="5">
        <v>0.0</v>
      </c>
      <c r="K1766" s="5">
        <v>28.0</v>
      </c>
      <c r="L1766" s="54"/>
      <c r="M1766" s="5" t="s">
        <v>8083</v>
      </c>
      <c r="N1766" s="53" t="s">
        <v>4760</v>
      </c>
      <c r="O1766">
        <v>38.77474</v>
      </c>
      <c r="P1766">
        <v>0.08519</v>
      </c>
      <c r="Q1766" s="5" t="s">
        <v>1035</v>
      </c>
      <c r="R1766" s="10">
        <f t="shared" si="10"/>
        <v>52</v>
      </c>
      <c r="S1766" s="5" t="s">
        <v>8084</v>
      </c>
      <c r="T1766" s="6" t="s">
        <v>72</v>
      </c>
      <c r="U1766" s="5" t="s">
        <v>8085</v>
      </c>
      <c r="V1766" s="5" t="s">
        <v>8086</v>
      </c>
    </row>
    <row r="1767" ht="12.75" customHeight="1">
      <c r="A1767" s="5">
        <v>35133.0</v>
      </c>
      <c r="B1767" s="5" t="s">
        <v>1076</v>
      </c>
      <c r="C1767" s="52" t="s">
        <v>50</v>
      </c>
      <c r="D1767" s="5" t="s">
        <v>2852</v>
      </c>
      <c r="E1767" s="7" t="s">
        <v>8087</v>
      </c>
      <c r="F1767" s="5" t="s">
        <v>8011</v>
      </c>
      <c r="G1767" s="5" t="s">
        <v>8082</v>
      </c>
      <c r="H1767" s="5">
        <v>2006.0</v>
      </c>
      <c r="I1767" s="5">
        <v>0.0</v>
      </c>
      <c r="J1767" s="5">
        <v>0.0</v>
      </c>
      <c r="K1767" s="5">
        <v>4.0</v>
      </c>
      <c r="L1767" s="54"/>
      <c r="M1767" s="5" t="s">
        <v>8088</v>
      </c>
      <c r="N1767" s="53" t="s">
        <v>4941</v>
      </c>
      <c r="O1767">
        <v>28.291564</v>
      </c>
      <c r="P1767">
        <v>-16.62913</v>
      </c>
      <c r="Q1767" s="5" t="s">
        <v>382</v>
      </c>
      <c r="R1767" s="10">
        <f t="shared" si="10"/>
        <v>1120</v>
      </c>
      <c r="S1767" s="5" t="s">
        <v>8089</v>
      </c>
      <c r="T1767" s="5" t="s">
        <v>1040</v>
      </c>
      <c r="U1767" s="5" t="s">
        <v>8090</v>
      </c>
      <c r="V1767" s="5" t="s">
        <v>7579</v>
      </c>
    </row>
    <row r="1768" ht="12.75" customHeight="1">
      <c r="A1768" s="5">
        <v>35132.0</v>
      </c>
      <c r="B1768" s="5" t="s">
        <v>68</v>
      </c>
      <c r="C1768" s="5" t="s">
        <v>69</v>
      </c>
      <c r="D1768" s="5" t="s">
        <v>2852</v>
      </c>
      <c r="E1768" s="7" t="s">
        <v>8087</v>
      </c>
      <c r="F1768" s="5" t="s">
        <v>8011</v>
      </c>
      <c r="G1768" s="5" t="s">
        <v>8082</v>
      </c>
      <c r="H1768" s="5">
        <v>2006.0</v>
      </c>
      <c r="I1768" s="5">
        <v>0.0</v>
      </c>
      <c r="J1768" s="5">
        <v>0.0</v>
      </c>
      <c r="K1768" s="5">
        <v>16.0</v>
      </c>
      <c r="L1768" s="54"/>
      <c r="M1768" s="5" t="s">
        <v>8091</v>
      </c>
      <c r="N1768" s="53" t="s">
        <v>4054</v>
      </c>
      <c r="O1768">
        <v>35.964373</v>
      </c>
      <c r="P1768">
        <v>-5.196533</v>
      </c>
      <c r="Q1768" s="5" t="s">
        <v>744</v>
      </c>
      <c r="R1768" s="10">
        <f t="shared" si="10"/>
        <v>63</v>
      </c>
      <c r="S1768" s="5" t="s">
        <v>8092</v>
      </c>
      <c r="T1768" s="6" t="s">
        <v>72</v>
      </c>
      <c r="U1768" s="5" t="s">
        <v>8093</v>
      </c>
      <c r="V1768" s="5"/>
    </row>
    <row r="1769" ht="12.75" customHeight="1">
      <c r="A1769" s="5">
        <v>35134.0</v>
      </c>
      <c r="B1769" s="5" t="s">
        <v>68</v>
      </c>
      <c r="C1769" s="5" t="s">
        <v>69</v>
      </c>
      <c r="D1769" s="5" t="s">
        <v>2614</v>
      </c>
      <c r="E1769" s="7" t="s">
        <v>8094</v>
      </c>
      <c r="F1769" s="5" t="s">
        <v>8011</v>
      </c>
      <c r="G1769" s="5" t="s">
        <v>8082</v>
      </c>
      <c r="H1769" s="5">
        <v>2006.0</v>
      </c>
      <c r="I1769" s="5">
        <v>0.0</v>
      </c>
      <c r="J1769" s="5">
        <v>0.0</v>
      </c>
      <c r="K1769" s="5">
        <v>13.0</v>
      </c>
      <c r="L1769" s="54"/>
      <c r="M1769" s="5" t="s">
        <v>8095</v>
      </c>
      <c r="N1769" s="53" t="s">
        <v>2944</v>
      </c>
      <c r="O1769">
        <v>-12.8275</v>
      </c>
      <c r="P1769">
        <v>45.166244</v>
      </c>
      <c r="Q1769" s="5" t="s">
        <v>228</v>
      </c>
      <c r="R1769" s="10">
        <f t="shared" si="10"/>
        <v>757</v>
      </c>
      <c r="S1769" s="5" t="s">
        <v>8096</v>
      </c>
      <c r="T1769" s="5"/>
      <c r="U1769" s="5" t="s">
        <v>8097</v>
      </c>
      <c r="V1769" s="5" t="s">
        <v>8098</v>
      </c>
    </row>
    <row r="1770" ht="12.75" customHeight="1">
      <c r="A1770" s="5">
        <v>35135.0</v>
      </c>
      <c r="B1770" s="5" t="s">
        <v>68</v>
      </c>
      <c r="C1770" s="5" t="s">
        <v>69</v>
      </c>
      <c r="D1770" s="5" t="s">
        <v>2614</v>
      </c>
      <c r="E1770" s="7" t="s">
        <v>8099</v>
      </c>
      <c r="F1770" s="5" t="s">
        <v>8011</v>
      </c>
      <c r="G1770" s="5" t="s">
        <v>8082</v>
      </c>
      <c r="H1770" s="5">
        <v>2006.0</v>
      </c>
      <c r="I1770" s="5">
        <v>0.0</v>
      </c>
      <c r="J1770" s="5">
        <v>0.0</v>
      </c>
      <c r="K1770" s="5">
        <v>1.0</v>
      </c>
      <c r="L1770" s="54"/>
      <c r="M1770" s="5" t="s">
        <v>8100</v>
      </c>
      <c r="N1770" s="53" t="s">
        <v>2844</v>
      </c>
      <c r="O1770">
        <v>38.370981</v>
      </c>
      <c r="P1770">
        <v>26.136346</v>
      </c>
      <c r="Q1770" s="5" t="s">
        <v>1020</v>
      </c>
      <c r="R1770" s="10">
        <f t="shared" si="10"/>
        <v>31</v>
      </c>
      <c r="S1770" s="5" t="s">
        <v>8101</v>
      </c>
      <c r="T1770" s="6" t="s">
        <v>53</v>
      </c>
      <c r="U1770" s="5" t="s">
        <v>3318</v>
      </c>
      <c r="V1770" s="5" t="s">
        <v>8102</v>
      </c>
    </row>
    <row r="1771" ht="12.75" customHeight="1">
      <c r="A1771" s="5">
        <v>35136.0</v>
      </c>
      <c r="B1771" s="5" t="s">
        <v>2040</v>
      </c>
      <c r="C1771" s="52" t="s">
        <v>50</v>
      </c>
      <c r="D1771" s="5" t="s">
        <v>2852</v>
      </c>
      <c r="E1771" s="7" t="s">
        <v>8099</v>
      </c>
      <c r="F1771" s="5" t="s">
        <v>8011</v>
      </c>
      <c r="G1771" s="5" t="s">
        <v>8082</v>
      </c>
      <c r="H1771" s="5">
        <v>2006.0</v>
      </c>
      <c r="I1771" s="5">
        <v>0.0</v>
      </c>
      <c r="J1771" s="5">
        <v>0.0</v>
      </c>
      <c r="K1771" s="5">
        <v>1.0</v>
      </c>
      <c r="L1771" s="54"/>
      <c r="M1771" s="5" t="s">
        <v>8103</v>
      </c>
      <c r="N1771" s="53" t="s">
        <v>8104</v>
      </c>
      <c r="O1771">
        <v>51.060229</v>
      </c>
      <c r="P1771">
        <v>-0.343955</v>
      </c>
      <c r="Q1771" s="5" t="s">
        <v>1578</v>
      </c>
      <c r="R1771" s="10">
        <f t="shared" si="10"/>
        <v>1</v>
      </c>
      <c r="S1771" s="5" t="s">
        <v>8105</v>
      </c>
      <c r="T1771" s="5"/>
      <c r="U1771" s="5" t="s">
        <v>8106</v>
      </c>
      <c r="V1771" s="5"/>
    </row>
    <row r="1772" ht="12.75" customHeight="1">
      <c r="A1772" s="5">
        <v>35137.0</v>
      </c>
      <c r="B1772" s="5" t="s">
        <v>49</v>
      </c>
      <c r="C1772" s="52" t="s">
        <v>50</v>
      </c>
      <c r="D1772" s="5" t="s">
        <v>2614</v>
      </c>
      <c r="E1772" s="7" t="s">
        <v>8107</v>
      </c>
      <c r="F1772" s="5" t="s">
        <v>8011</v>
      </c>
      <c r="G1772" s="5" t="s">
        <v>8082</v>
      </c>
      <c r="H1772" s="5">
        <v>2006.0</v>
      </c>
      <c r="I1772" s="5">
        <v>0.0</v>
      </c>
      <c r="J1772" s="5">
        <v>0.0</v>
      </c>
      <c r="K1772" s="5">
        <v>2.0</v>
      </c>
      <c r="L1772" s="54"/>
      <c r="M1772" s="5" t="s">
        <v>8108</v>
      </c>
      <c r="N1772" s="53" t="s">
        <v>8109</v>
      </c>
      <c r="O1772">
        <v>35.950486</v>
      </c>
      <c r="P1772">
        <v>-3.035088</v>
      </c>
      <c r="Q1772" s="5" t="s">
        <v>743</v>
      </c>
      <c r="R1772" s="10">
        <f t="shared" si="10"/>
        <v>10</v>
      </c>
      <c r="S1772" s="5" t="s">
        <v>8110</v>
      </c>
      <c r="T1772" s="6" t="s">
        <v>72</v>
      </c>
      <c r="U1772" s="5" t="s">
        <v>2165</v>
      </c>
      <c r="V1772" s="5" t="s">
        <v>8111</v>
      </c>
    </row>
    <row r="1773" ht="12.75" customHeight="1">
      <c r="A1773" s="5">
        <v>35140.0</v>
      </c>
      <c r="B1773" s="5" t="s">
        <v>49</v>
      </c>
      <c r="C1773" s="52" t="s">
        <v>50</v>
      </c>
      <c r="D1773" s="5" t="s">
        <v>2852</v>
      </c>
      <c r="E1773" s="7" t="s">
        <v>8107</v>
      </c>
      <c r="F1773" s="5" t="s">
        <v>8011</v>
      </c>
      <c r="G1773" s="5" t="s">
        <v>8082</v>
      </c>
      <c r="H1773" s="5">
        <v>2006.0</v>
      </c>
      <c r="I1773" s="5">
        <v>0.0</v>
      </c>
      <c r="J1773" s="5">
        <v>0.0</v>
      </c>
      <c r="K1773" s="5">
        <v>2.0</v>
      </c>
      <c r="L1773" s="54"/>
      <c r="M1773" s="5" t="s">
        <v>8112</v>
      </c>
      <c r="N1773" s="53" t="s">
        <v>3379</v>
      </c>
      <c r="O1773">
        <v>36.834047</v>
      </c>
      <c r="P1773">
        <v>-2.463714</v>
      </c>
      <c r="Q1773" s="5" t="s">
        <v>863</v>
      </c>
      <c r="R1773" s="10">
        <f t="shared" si="10"/>
        <v>208</v>
      </c>
      <c r="S1773" s="5" t="s">
        <v>8113</v>
      </c>
      <c r="T1773" s="6" t="s">
        <v>72</v>
      </c>
      <c r="U1773" s="5" t="s">
        <v>8114</v>
      </c>
      <c r="V1773" s="5"/>
    </row>
    <row r="1774" ht="12.75" customHeight="1">
      <c r="A1774" s="5">
        <v>35138.0</v>
      </c>
      <c r="B1774" s="5" t="s">
        <v>49</v>
      </c>
      <c r="C1774" s="52" t="s">
        <v>50</v>
      </c>
      <c r="D1774" s="5" t="s">
        <v>2852</v>
      </c>
      <c r="E1774" s="7" t="s">
        <v>8107</v>
      </c>
      <c r="F1774" s="5" t="s">
        <v>8011</v>
      </c>
      <c r="G1774" s="5" t="s">
        <v>8082</v>
      </c>
      <c r="H1774" s="5">
        <v>2006.0</v>
      </c>
      <c r="I1774" s="5">
        <v>0.0</v>
      </c>
      <c r="J1774" s="5">
        <v>0.0</v>
      </c>
      <c r="K1774" s="5">
        <v>12.0</v>
      </c>
      <c r="L1774" s="54"/>
      <c r="M1774" s="5" t="s">
        <v>8115</v>
      </c>
      <c r="N1774" s="53" t="s">
        <v>3379</v>
      </c>
      <c r="O1774">
        <v>36.834047</v>
      </c>
      <c r="P1774">
        <v>-2.463714</v>
      </c>
      <c r="Q1774" s="5" t="s">
        <v>863</v>
      </c>
      <c r="R1774" s="10">
        <f t="shared" si="10"/>
        <v>208</v>
      </c>
      <c r="S1774" s="5" t="s">
        <v>8113</v>
      </c>
      <c r="T1774" s="6" t="s">
        <v>72</v>
      </c>
      <c r="U1774" s="5" t="s">
        <v>8093</v>
      </c>
      <c r="V1774" s="5"/>
    </row>
    <row r="1775" ht="12.75" customHeight="1">
      <c r="A1775" s="5">
        <v>35139.0</v>
      </c>
      <c r="B1775" s="5" t="s">
        <v>49</v>
      </c>
      <c r="C1775" s="52" t="s">
        <v>50</v>
      </c>
      <c r="D1775" s="5" t="s">
        <v>2852</v>
      </c>
      <c r="E1775" s="7" t="s">
        <v>8107</v>
      </c>
      <c r="F1775" s="5" t="s">
        <v>8011</v>
      </c>
      <c r="G1775" s="5" t="s">
        <v>8082</v>
      </c>
      <c r="H1775" s="5">
        <v>2006.0</v>
      </c>
      <c r="I1775" s="5">
        <v>0.0</v>
      </c>
      <c r="J1775" s="5">
        <v>0.0</v>
      </c>
      <c r="K1775" s="5">
        <v>1.0</v>
      </c>
      <c r="L1775" s="54"/>
      <c r="M1775" s="5" t="s">
        <v>8116</v>
      </c>
      <c r="N1775" s="53" t="s">
        <v>2844</v>
      </c>
      <c r="O1775">
        <v>38.370981</v>
      </c>
      <c r="P1775">
        <v>26.136346</v>
      </c>
      <c r="Q1775" s="5" t="s">
        <v>1020</v>
      </c>
      <c r="R1775" s="10">
        <f t="shared" si="10"/>
        <v>31</v>
      </c>
      <c r="S1775" s="5" t="s">
        <v>8117</v>
      </c>
      <c r="T1775" s="6" t="s">
        <v>53</v>
      </c>
      <c r="U1775" s="5" t="s">
        <v>8118</v>
      </c>
      <c r="V1775" s="5"/>
    </row>
    <row r="1776" ht="12.75" customHeight="1">
      <c r="A1776" s="5">
        <v>35141.0</v>
      </c>
      <c r="B1776" s="5" t="s">
        <v>49</v>
      </c>
      <c r="C1776" s="52" t="s">
        <v>50</v>
      </c>
      <c r="D1776" s="5" t="s">
        <v>2852</v>
      </c>
      <c r="E1776" s="7" t="s">
        <v>8119</v>
      </c>
      <c r="F1776" s="5" t="s">
        <v>8011</v>
      </c>
      <c r="G1776" s="5" t="s">
        <v>8082</v>
      </c>
      <c r="H1776" s="5">
        <v>2006.0</v>
      </c>
      <c r="I1776" s="5">
        <v>0.0</v>
      </c>
      <c r="J1776" s="5">
        <v>0.0</v>
      </c>
      <c r="K1776" s="5">
        <v>9.0</v>
      </c>
      <c r="L1776" s="54"/>
      <c r="M1776" s="5" t="s">
        <v>8120</v>
      </c>
      <c r="N1776" s="53" t="s">
        <v>3295</v>
      </c>
      <c r="O1776">
        <v>26.3351</v>
      </c>
      <c r="P1776">
        <v>17.228331</v>
      </c>
      <c r="Q1776" s="5" t="s">
        <v>337</v>
      </c>
      <c r="R1776" s="10">
        <f t="shared" si="10"/>
        <v>1371</v>
      </c>
      <c r="S1776" s="5" t="s">
        <v>8121</v>
      </c>
      <c r="T1776" s="6" t="s">
        <v>2130</v>
      </c>
      <c r="U1776" s="5" t="s">
        <v>7788</v>
      </c>
      <c r="V1776" s="5" t="s">
        <v>7579</v>
      </c>
    </row>
    <row r="1777" ht="12.75" customHeight="1">
      <c r="A1777" s="5">
        <v>35142.0</v>
      </c>
      <c r="B1777" s="5" t="s">
        <v>636</v>
      </c>
      <c r="C1777" s="52" t="s">
        <v>50</v>
      </c>
      <c r="D1777" s="5" t="s">
        <v>2852</v>
      </c>
      <c r="E1777" s="7" t="s">
        <v>8122</v>
      </c>
      <c r="F1777" s="5" t="s">
        <v>8011</v>
      </c>
      <c r="G1777" s="5" t="s">
        <v>8082</v>
      </c>
      <c r="H1777" s="5">
        <v>2006.0</v>
      </c>
      <c r="I1777" s="5">
        <v>0.0</v>
      </c>
      <c r="J1777" s="5">
        <v>0.0</v>
      </c>
      <c r="K1777" s="5">
        <v>1.0</v>
      </c>
      <c r="L1777" s="54"/>
      <c r="M1777" s="5" t="s">
        <v>8123</v>
      </c>
      <c r="N1777" s="53" t="s">
        <v>8124</v>
      </c>
      <c r="O1777">
        <v>42.733883</v>
      </c>
      <c r="P1777">
        <v>25.48583</v>
      </c>
      <c r="Q1777" s="5" t="s">
        <v>1261</v>
      </c>
      <c r="R1777" s="10">
        <f t="shared" si="10"/>
        <v>13</v>
      </c>
      <c r="S1777" s="5" t="s">
        <v>8125</v>
      </c>
      <c r="T1777" s="6" t="s">
        <v>53</v>
      </c>
      <c r="U1777" s="5" t="s">
        <v>8126</v>
      </c>
      <c r="V1777" s="5"/>
    </row>
    <row r="1778" ht="12.75" customHeight="1">
      <c r="A1778" s="5">
        <v>35143.0</v>
      </c>
      <c r="B1778" s="5" t="s">
        <v>8127</v>
      </c>
      <c r="C1778" s="52" t="s">
        <v>50</v>
      </c>
      <c r="D1778" s="5" t="s">
        <v>2852</v>
      </c>
      <c r="E1778" s="7" t="s">
        <v>8128</v>
      </c>
      <c r="F1778" s="5" t="s">
        <v>8011</v>
      </c>
      <c r="G1778" s="5" t="s">
        <v>8082</v>
      </c>
      <c r="H1778" s="5">
        <v>2006.0</v>
      </c>
      <c r="I1778" s="5">
        <v>0.0</v>
      </c>
      <c r="J1778" s="5">
        <v>0.0</v>
      </c>
      <c r="K1778" s="5">
        <v>1.0</v>
      </c>
      <c r="L1778" s="54"/>
      <c r="M1778" s="5" t="s">
        <v>8129</v>
      </c>
      <c r="N1778" s="53" t="s">
        <v>3171</v>
      </c>
      <c r="O1778">
        <v>38.24664</v>
      </c>
      <c r="P1778">
        <v>21.734574</v>
      </c>
      <c r="Q1778" s="5" t="s">
        <v>1010</v>
      </c>
      <c r="R1778" s="10">
        <f t="shared" si="10"/>
        <v>7</v>
      </c>
      <c r="S1778" s="5" t="s">
        <v>8130</v>
      </c>
      <c r="T1778" s="5"/>
      <c r="U1778" s="5" t="s">
        <v>8126</v>
      </c>
      <c r="V1778" s="5"/>
    </row>
    <row r="1779" ht="12.75" customHeight="1">
      <c r="A1779" s="5">
        <v>35145.0</v>
      </c>
      <c r="B1779" s="5" t="s">
        <v>49</v>
      </c>
      <c r="C1779" s="52" t="s">
        <v>50</v>
      </c>
      <c r="D1779" s="5" t="s">
        <v>2852</v>
      </c>
      <c r="E1779" s="7" t="s">
        <v>8131</v>
      </c>
      <c r="F1779" s="5" t="s">
        <v>8011</v>
      </c>
      <c r="G1779" s="5" t="s">
        <v>8082</v>
      </c>
      <c r="H1779" s="5">
        <v>2006.0</v>
      </c>
      <c r="I1779" s="5">
        <v>0.0</v>
      </c>
      <c r="J1779" s="5">
        <v>0.0</v>
      </c>
      <c r="K1779" s="5">
        <v>102.0</v>
      </c>
      <c r="L1779" s="54"/>
      <c r="M1779" s="5" t="s">
        <v>8132</v>
      </c>
      <c r="N1779" s="53" t="s">
        <v>5160</v>
      </c>
      <c r="O1779">
        <v>14.764504</v>
      </c>
      <c r="P1779">
        <v>-17.366029</v>
      </c>
      <c r="Q1779" s="5" t="s">
        <v>266</v>
      </c>
      <c r="R1779" s="10">
        <f t="shared" si="10"/>
        <v>133</v>
      </c>
      <c r="S1779" s="5" t="s">
        <v>8133</v>
      </c>
      <c r="T1779" s="5" t="s">
        <v>1040</v>
      </c>
      <c r="U1779" s="5" t="s">
        <v>8134</v>
      </c>
      <c r="V1779" s="5"/>
    </row>
    <row r="1780" ht="12.75" customHeight="1">
      <c r="A1780" s="5">
        <v>35144.0</v>
      </c>
      <c r="B1780" s="5" t="s">
        <v>2552</v>
      </c>
      <c r="C1780" s="52" t="s">
        <v>50</v>
      </c>
      <c r="D1780" s="5" t="s">
        <v>2852</v>
      </c>
      <c r="E1780" s="7" t="s">
        <v>8131</v>
      </c>
      <c r="F1780" s="5" t="s">
        <v>8011</v>
      </c>
      <c r="G1780" s="5" t="s">
        <v>8082</v>
      </c>
      <c r="H1780" s="5">
        <v>2006.0</v>
      </c>
      <c r="I1780" s="5">
        <v>0.0</v>
      </c>
      <c r="J1780" s="5">
        <v>0.0</v>
      </c>
      <c r="K1780" s="5">
        <v>1.0</v>
      </c>
      <c r="L1780" s="54"/>
      <c r="M1780" s="5" t="s">
        <v>8135</v>
      </c>
      <c r="N1780" s="53" t="s">
        <v>4556</v>
      </c>
      <c r="O1780">
        <v>28.291564</v>
      </c>
      <c r="P1780">
        <v>-16.62913</v>
      </c>
      <c r="Q1780" s="5" t="s">
        <v>382</v>
      </c>
      <c r="R1780" s="10">
        <f t="shared" si="10"/>
        <v>1120</v>
      </c>
      <c r="S1780" s="5" t="s">
        <v>8136</v>
      </c>
      <c r="T1780" s="5" t="s">
        <v>1040</v>
      </c>
      <c r="U1780" s="5" t="s">
        <v>7512</v>
      </c>
      <c r="V1780" s="5"/>
    </row>
    <row r="1781" ht="12.75" customHeight="1">
      <c r="A1781" s="5">
        <v>35146.0</v>
      </c>
      <c r="B1781" s="5" t="s">
        <v>491</v>
      </c>
      <c r="C1781" s="52" t="s">
        <v>50</v>
      </c>
      <c r="D1781" s="5" t="s">
        <v>2852</v>
      </c>
      <c r="E1781" s="7" t="s">
        <v>8137</v>
      </c>
      <c r="F1781" s="5" t="s">
        <v>8011</v>
      </c>
      <c r="G1781" s="5" t="s">
        <v>8082</v>
      </c>
      <c r="H1781" s="5">
        <v>2006.0</v>
      </c>
      <c r="I1781" s="5">
        <v>0.0</v>
      </c>
      <c r="J1781" s="5">
        <v>0.0</v>
      </c>
      <c r="K1781" s="5">
        <v>8.0</v>
      </c>
      <c r="L1781" s="54"/>
      <c r="M1781" s="5" t="s">
        <v>8138</v>
      </c>
      <c r="N1781" s="53" t="s">
        <v>5192</v>
      </c>
      <c r="O1781">
        <v>36.239546</v>
      </c>
      <c r="P1781">
        <v>13.007813</v>
      </c>
      <c r="Q1781" s="5" t="s">
        <v>785</v>
      </c>
      <c r="R1781" s="10">
        <f t="shared" si="10"/>
        <v>48</v>
      </c>
      <c r="S1781" s="5" t="s">
        <v>8139</v>
      </c>
      <c r="T1781" s="6" t="s">
        <v>2130</v>
      </c>
      <c r="U1781" s="5" t="s">
        <v>8140</v>
      </c>
      <c r="V1781" s="5"/>
    </row>
    <row r="1782" ht="12.75" customHeight="1">
      <c r="A1782" s="5">
        <v>35147.0</v>
      </c>
      <c r="B1782" s="5" t="s">
        <v>763</v>
      </c>
      <c r="C1782" s="5" t="s">
        <v>124</v>
      </c>
      <c r="D1782" s="5" t="s">
        <v>2852</v>
      </c>
      <c r="E1782" s="7" t="s">
        <v>8141</v>
      </c>
      <c r="F1782" s="5" t="s">
        <v>8011</v>
      </c>
      <c r="G1782" s="5" t="s">
        <v>8082</v>
      </c>
      <c r="H1782" s="5">
        <v>2006.0</v>
      </c>
      <c r="I1782" s="5">
        <v>0.0</v>
      </c>
      <c r="J1782" s="5">
        <v>0.0</v>
      </c>
      <c r="K1782" s="5">
        <v>5.0</v>
      </c>
      <c r="L1782" s="54"/>
      <c r="M1782" s="5" t="s">
        <v>8142</v>
      </c>
      <c r="N1782" s="53" t="s">
        <v>8143</v>
      </c>
      <c r="O1782">
        <v>50.414585</v>
      </c>
      <c r="P1782">
        <v>13.007813</v>
      </c>
      <c r="Q1782" s="5" t="s">
        <v>1494</v>
      </c>
      <c r="R1782" s="10">
        <f t="shared" si="10"/>
        <v>5</v>
      </c>
      <c r="S1782" s="5" t="s">
        <v>8144</v>
      </c>
      <c r="T1782" s="5"/>
      <c r="U1782" s="5" t="s">
        <v>8145</v>
      </c>
      <c r="V1782" s="5"/>
    </row>
    <row r="1783" ht="12.75" customHeight="1">
      <c r="A1783" s="5">
        <v>35148.0</v>
      </c>
      <c r="B1783" s="5" t="s">
        <v>49</v>
      </c>
      <c r="C1783" s="52" t="s">
        <v>50</v>
      </c>
      <c r="D1783" s="5" t="s">
        <v>2852</v>
      </c>
      <c r="E1783" s="7" t="s">
        <v>8146</v>
      </c>
      <c r="F1783" s="5" t="s">
        <v>8011</v>
      </c>
      <c r="G1783" s="5" t="s">
        <v>8082</v>
      </c>
      <c r="H1783" s="5">
        <v>2006.0</v>
      </c>
      <c r="I1783" s="5">
        <v>0.0</v>
      </c>
      <c r="J1783" s="5">
        <v>0.0</v>
      </c>
      <c r="K1783" s="5">
        <v>15.0</v>
      </c>
      <c r="L1783" s="54"/>
      <c r="M1783" s="5" t="s">
        <v>8147</v>
      </c>
      <c r="N1783" s="53"/>
      <c r="O1783" s="10">
        <v>32.0</v>
      </c>
      <c r="P1783" s="10">
        <v>17.0</v>
      </c>
      <c r="Q1783" s="5" t="str">
        <f>O1783&amp;", "&amp;P1783</f>
        <v>32, 17</v>
      </c>
      <c r="R1783" s="10">
        <f t="shared" si="10"/>
        <v>15</v>
      </c>
      <c r="S1783" s="5" t="s">
        <v>8148</v>
      </c>
      <c r="T1783" s="5"/>
      <c r="U1783" s="5" t="s">
        <v>3128</v>
      </c>
      <c r="V1783" s="5"/>
    </row>
    <row r="1784" ht="12.75" customHeight="1">
      <c r="A1784" s="5">
        <v>35149.0</v>
      </c>
      <c r="B1784" s="5" t="s">
        <v>49</v>
      </c>
      <c r="C1784" s="52" t="s">
        <v>50</v>
      </c>
      <c r="D1784" s="5" t="s">
        <v>2852</v>
      </c>
      <c r="E1784" s="7" t="s">
        <v>8149</v>
      </c>
      <c r="F1784" s="5" t="s">
        <v>8011</v>
      </c>
      <c r="G1784" s="5" t="s">
        <v>8082</v>
      </c>
      <c r="H1784" s="5">
        <v>2006.0</v>
      </c>
      <c r="I1784" s="5">
        <v>0.0</v>
      </c>
      <c r="J1784" s="5">
        <v>0.0</v>
      </c>
      <c r="K1784" s="5">
        <v>2.0</v>
      </c>
      <c r="L1784" s="54"/>
      <c r="M1784" s="5" t="s">
        <v>8150</v>
      </c>
      <c r="N1784" s="53" t="s">
        <v>6431</v>
      </c>
      <c r="O1784">
        <v>43.355524</v>
      </c>
      <c r="P1784">
        <v>-8.255738</v>
      </c>
      <c r="Q1784" s="5" t="s">
        <v>1278</v>
      </c>
      <c r="R1784" s="10">
        <f t="shared" si="10"/>
        <v>57</v>
      </c>
      <c r="S1784" s="5" t="s">
        <v>8151</v>
      </c>
      <c r="T1784" s="6" t="s">
        <v>53</v>
      </c>
      <c r="U1784" s="5" t="s">
        <v>8152</v>
      </c>
      <c r="V1784" s="5"/>
    </row>
    <row r="1785" ht="12.75" customHeight="1">
      <c r="A1785" s="5">
        <v>34932.0</v>
      </c>
      <c r="B1785" s="5" t="s">
        <v>491</v>
      </c>
      <c r="C1785" s="52" t="s">
        <v>50</v>
      </c>
      <c r="D1785" s="5" t="s">
        <v>2852</v>
      </c>
      <c r="E1785" s="7" t="s">
        <v>8153</v>
      </c>
      <c r="F1785" s="5" t="s">
        <v>8154</v>
      </c>
      <c r="G1785" s="5" t="s">
        <v>8155</v>
      </c>
      <c r="H1785" s="5">
        <v>2006.0</v>
      </c>
      <c r="I1785" s="5">
        <v>0.0</v>
      </c>
      <c r="J1785" s="5">
        <v>0.0</v>
      </c>
      <c r="K1785" s="5">
        <v>3.0</v>
      </c>
      <c r="L1785" s="54"/>
      <c r="M1785" s="5" t="s">
        <v>8156</v>
      </c>
      <c r="N1785" s="53" t="s">
        <v>4941</v>
      </c>
      <c r="O1785">
        <v>28.291564</v>
      </c>
      <c r="P1785">
        <v>-16.62913</v>
      </c>
      <c r="Q1785" s="5" t="s">
        <v>382</v>
      </c>
      <c r="R1785" s="10">
        <f t="shared" si="10"/>
        <v>1120</v>
      </c>
      <c r="S1785" s="5" t="s">
        <v>8157</v>
      </c>
      <c r="T1785" s="5" t="s">
        <v>1040</v>
      </c>
      <c r="U1785" s="5" t="s">
        <v>8158</v>
      </c>
      <c r="V1785" s="5" t="s">
        <v>8159</v>
      </c>
    </row>
    <row r="1786" ht="12.75" customHeight="1">
      <c r="A1786" s="5">
        <v>34931.0</v>
      </c>
      <c r="B1786" s="5" t="s">
        <v>68</v>
      </c>
      <c r="C1786" s="5" t="s">
        <v>69</v>
      </c>
      <c r="D1786" s="5" t="s">
        <v>2852</v>
      </c>
      <c r="E1786" s="7" t="s">
        <v>8153</v>
      </c>
      <c r="F1786" s="5" t="s">
        <v>8154</v>
      </c>
      <c r="G1786" s="5" t="s">
        <v>8155</v>
      </c>
      <c r="H1786" s="5">
        <v>2006.0</v>
      </c>
      <c r="I1786" s="5">
        <v>0.0</v>
      </c>
      <c r="J1786" s="5">
        <v>0.0</v>
      </c>
      <c r="K1786" s="5">
        <v>50.0</v>
      </c>
      <c r="L1786" s="54"/>
      <c r="M1786" s="5" t="s">
        <v>8160</v>
      </c>
      <c r="N1786" s="53" t="s">
        <v>3340</v>
      </c>
      <c r="O1786">
        <v>37.743215</v>
      </c>
      <c r="P1786">
        <v>26.820351</v>
      </c>
      <c r="Q1786" s="5" t="s">
        <v>956</v>
      </c>
      <c r="R1786" s="10">
        <f t="shared" si="10"/>
        <v>218</v>
      </c>
      <c r="S1786" s="5" t="s">
        <v>8161</v>
      </c>
      <c r="T1786" s="6" t="s">
        <v>53</v>
      </c>
      <c r="U1786" s="5" t="s">
        <v>8162</v>
      </c>
      <c r="V1786" s="5"/>
    </row>
    <row r="1787" ht="12.75" customHeight="1">
      <c r="A1787" s="5">
        <v>34933.0</v>
      </c>
      <c r="B1787" s="5" t="s">
        <v>2962</v>
      </c>
      <c r="C1787" s="5" t="s">
        <v>211</v>
      </c>
      <c r="D1787" s="5" t="s">
        <v>2852</v>
      </c>
      <c r="E1787" s="7" t="s">
        <v>8153</v>
      </c>
      <c r="F1787" s="5" t="s">
        <v>8154</v>
      </c>
      <c r="G1787" s="5" t="s">
        <v>8155</v>
      </c>
      <c r="H1787" s="5">
        <v>2006.0</v>
      </c>
      <c r="I1787" s="5">
        <v>0.0</v>
      </c>
      <c r="J1787" s="5">
        <v>0.0</v>
      </c>
      <c r="K1787" s="5">
        <v>1.0</v>
      </c>
      <c r="L1787" s="54"/>
      <c r="M1787" s="5" t="s">
        <v>8163</v>
      </c>
      <c r="N1787" s="53" t="s">
        <v>8164</v>
      </c>
      <c r="O1787">
        <v>52.135973</v>
      </c>
      <c r="P1787">
        <v>-0.466655</v>
      </c>
      <c r="Q1787" s="5" t="s">
        <v>1720</v>
      </c>
      <c r="R1787" s="10">
        <f t="shared" si="10"/>
        <v>2</v>
      </c>
      <c r="S1787" s="5" t="s">
        <v>8165</v>
      </c>
      <c r="T1787" s="5"/>
      <c r="U1787" s="5" t="s">
        <v>3219</v>
      </c>
      <c r="V1787" s="5"/>
    </row>
    <row r="1788" ht="12.75" customHeight="1">
      <c r="A1788" s="5">
        <v>34934.0</v>
      </c>
      <c r="B1788" s="5" t="s">
        <v>49</v>
      </c>
      <c r="C1788" s="52" t="s">
        <v>50</v>
      </c>
      <c r="D1788" s="5" t="s">
        <v>2852</v>
      </c>
      <c r="E1788" s="7" t="s">
        <v>8166</v>
      </c>
      <c r="F1788" s="5" t="s">
        <v>8154</v>
      </c>
      <c r="G1788" s="5" t="s">
        <v>8155</v>
      </c>
      <c r="H1788" s="5">
        <v>2006.0</v>
      </c>
      <c r="I1788" s="5">
        <v>0.0</v>
      </c>
      <c r="J1788" s="5">
        <v>0.0</v>
      </c>
      <c r="K1788" s="5">
        <v>33.0</v>
      </c>
      <c r="L1788" s="54"/>
      <c r="M1788" s="5" t="s">
        <v>8167</v>
      </c>
      <c r="N1788" s="53" t="s">
        <v>4044</v>
      </c>
      <c r="O1788">
        <v>40.120875</v>
      </c>
      <c r="P1788">
        <v>9.012893</v>
      </c>
      <c r="Q1788" s="5" t="s">
        <v>1120</v>
      </c>
      <c r="R1788" s="10">
        <f t="shared" si="10"/>
        <v>81</v>
      </c>
      <c r="S1788" s="5" t="s">
        <v>8168</v>
      </c>
      <c r="T1788" s="6" t="s">
        <v>2130</v>
      </c>
      <c r="U1788" s="5" t="s">
        <v>8169</v>
      </c>
      <c r="V1788" s="5"/>
    </row>
    <row r="1789" ht="12.75" customHeight="1">
      <c r="A1789" s="5">
        <v>34936.0</v>
      </c>
      <c r="B1789" s="5" t="s">
        <v>49</v>
      </c>
      <c r="C1789" s="52" t="s">
        <v>50</v>
      </c>
      <c r="D1789" s="5" t="s">
        <v>2852</v>
      </c>
      <c r="E1789" s="7" t="s">
        <v>8170</v>
      </c>
      <c r="F1789" s="5" t="s">
        <v>8154</v>
      </c>
      <c r="G1789" s="5" t="s">
        <v>8155</v>
      </c>
      <c r="H1789" s="5">
        <v>2006.0</v>
      </c>
      <c r="I1789" s="5">
        <v>0.0</v>
      </c>
      <c r="J1789" s="5">
        <v>0.0</v>
      </c>
      <c r="K1789" s="5">
        <v>20.0</v>
      </c>
      <c r="L1789" s="54"/>
      <c r="M1789" s="5" t="s">
        <v>8171</v>
      </c>
      <c r="N1789" s="53" t="s">
        <v>7071</v>
      </c>
      <c r="O1789">
        <v>27.153611</v>
      </c>
      <c r="P1789">
        <v>-13.203333</v>
      </c>
      <c r="Q1789" s="5" t="s">
        <v>349</v>
      </c>
      <c r="R1789" s="10">
        <f t="shared" si="10"/>
        <v>348</v>
      </c>
      <c r="S1789" s="5" t="s">
        <v>8172</v>
      </c>
      <c r="T1789" s="5" t="s">
        <v>1040</v>
      </c>
      <c r="U1789" s="5" t="s">
        <v>8173</v>
      </c>
      <c r="V1789" s="5" t="s">
        <v>6942</v>
      </c>
    </row>
    <row r="1790" ht="12.75" customHeight="1">
      <c r="A1790" s="5">
        <v>34935.0</v>
      </c>
      <c r="B1790" s="5" t="s">
        <v>68</v>
      </c>
      <c r="C1790" s="5" t="s">
        <v>69</v>
      </c>
      <c r="D1790" s="5" t="s">
        <v>2614</v>
      </c>
      <c r="E1790" s="7" t="s">
        <v>8170</v>
      </c>
      <c r="F1790" s="5" t="s">
        <v>8154</v>
      </c>
      <c r="G1790" s="5" t="s">
        <v>8155</v>
      </c>
      <c r="H1790" s="5">
        <v>2006.0</v>
      </c>
      <c r="I1790" s="5">
        <v>0.0</v>
      </c>
      <c r="J1790" s="5">
        <v>0.0</v>
      </c>
      <c r="K1790" s="5">
        <v>9.0</v>
      </c>
      <c r="L1790" s="54"/>
      <c r="M1790" s="5" t="s">
        <v>8174</v>
      </c>
      <c r="N1790" s="53" t="s">
        <v>5954</v>
      </c>
      <c r="O1790">
        <v>27.93556</v>
      </c>
      <c r="P1790">
        <v>-12.91871</v>
      </c>
      <c r="Q1790" s="5" t="s">
        <v>365</v>
      </c>
      <c r="R1790" s="10">
        <f t="shared" si="10"/>
        <v>85</v>
      </c>
      <c r="S1790" s="5" t="s">
        <v>8175</v>
      </c>
      <c r="T1790" s="5" t="s">
        <v>1040</v>
      </c>
      <c r="U1790" s="5" t="s">
        <v>2635</v>
      </c>
      <c r="V1790" s="5" t="s">
        <v>8176</v>
      </c>
    </row>
    <row r="1791" ht="12.75" customHeight="1">
      <c r="A1791" s="5">
        <v>34937.0</v>
      </c>
      <c r="B1791" s="5" t="s">
        <v>41</v>
      </c>
      <c r="C1791" s="5" t="s">
        <v>42</v>
      </c>
      <c r="D1791" s="5" t="s">
        <v>2614</v>
      </c>
      <c r="E1791" s="7" t="s">
        <v>8177</v>
      </c>
      <c r="F1791" s="5" t="s">
        <v>8154</v>
      </c>
      <c r="G1791" s="5" t="s">
        <v>8155</v>
      </c>
      <c r="H1791" s="5">
        <v>2006.0</v>
      </c>
      <c r="I1791" s="5">
        <v>0.0</v>
      </c>
      <c r="J1791" s="5">
        <v>0.0</v>
      </c>
      <c r="K1791" s="5">
        <v>1.0</v>
      </c>
      <c r="L1791" s="54"/>
      <c r="M1791" s="5" t="s">
        <v>8178</v>
      </c>
      <c r="N1791" s="53" t="s">
        <v>2718</v>
      </c>
      <c r="O1791">
        <v>35.292278</v>
      </c>
      <c r="P1791">
        <v>-2.938097</v>
      </c>
      <c r="Q1791" s="5" t="s">
        <v>649</v>
      </c>
      <c r="R1791" s="10">
        <f t="shared" si="10"/>
        <v>79</v>
      </c>
      <c r="S1791" s="5" t="s">
        <v>8179</v>
      </c>
      <c r="T1791" s="6" t="s">
        <v>72</v>
      </c>
      <c r="U1791" s="5" t="s">
        <v>3986</v>
      </c>
      <c r="V1791" s="5" t="s">
        <v>8180</v>
      </c>
    </row>
    <row r="1792" ht="12.75" customHeight="1">
      <c r="A1792" s="5">
        <v>34938.0</v>
      </c>
      <c r="B1792" s="5" t="s">
        <v>1555</v>
      </c>
      <c r="C1792" s="5" t="s">
        <v>42</v>
      </c>
      <c r="D1792" s="5" t="s">
        <v>2852</v>
      </c>
      <c r="E1792" s="7" t="s">
        <v>8181</v>
      </c>
      <c r="F1792" s="5" t="s">
        <v>8154</v>
      </c>
      <c r="G1792" s="5" t="s">
        <v>8155</v>
      </c>
      <c r="H1792" s="5">
        <v>2006.0</v>
      </c>
      <c r="I1792" s="5">
        <v>0.0</v>
      </c>
      <c r="J1792" s="5">
        <v>0.0</v>
      </c>
      <c r="K1792" s="5">
        <v>1.0</v>
      </c>
      <c r="L1792" s="54"/>
      <c r="M1792" s="5" t="s">
        <v>8182</v>
      </c>
      <c r="N1792" s="53" t="s">
        <v>8183</v>
      </c>
      <c r="O1792">
        <v>34.015049</v>
      </c>
      <c r="P1792">
        <v>-6.83272</v>
      </c>
      <c r="Q1792" s="5" t="s">
        <v>571</v>
      </c>
      <c r="R1792" s="10">
        <f t="shared" si="10"/>
        <v>19</v>
      </c>
      <c r="S1792" s="5" t="s">
        <v>8184</v>
      </c>
      <c r="T1792" s="5"/>
      <c r="U1792" s="5" t="s">
        <v>8185</v>
      </c>
      <c r="V1792" s="5"/>
    </row>
    <row r="1793" ht="12.75" customHeight="1">
      <c r="A1793" s="5">
        <v>34939.0</v>
      </c>
      <c r="B1793" s="5" t="s">
        <v>7114</v>
      </c>
      <c r="C1793" s="52" t="s">
        <v>50</v>
      </c>
      <c r="D1793" s="5" t="s">
        <v>2614</v>
      </c>
      <c r="E1793" s="7" t="s">
        <v>8186</v>
      </c>
      <c r="F1793" s="5" t="s">
        <v>8154</v>
      </c>
      <c r="G1793" s="5" t="s">
        <v>8155</v>
      </c>
      <c r="H1793" s="5">
        <v>2006.0</v>
      </c>
      <c r="I1793" s="5">
        <v>0.0</v>
      </c>
      <c r="J1793" s="5">
        <v>0.0</v>
      </c>
      <c r="K1793" s="5">
        <v>1.0</v>
      </c>
      <c r="L1793" s="54"/>
      <c r="M1793" s="5" t="s">
        <v>8187</v>
      </c>
      <c r="N1793" s="53" t="s">
        <v>6371</v>
      </c>
      <c r="O1793">
        <v>34.686667</v>
      </c>
      <c r="P1793">
        <v>-1.911389</v>
      </c>
      <c r="Q1793" s="5" t="s">
        <v>586</v>
      </c>
      <c r="R1793" s="10">
        <f t="shared" si="10"/>
        <v>17</v>
      </c>
      <c r="S1793" s="5" t="s">
        <v>8188</v>
      </c>
      <c r="T1793" s="6" t="s">
        <v>72</v>
      </c>
      <c r="U1793" s="5" t="s">
        <v>7119</v>
      </c>
      <c r="V1793" s="5" t="s">
        <v>7120</v>
      </c>
    </row>
    <row r="1794" ht="12.75" customHeight="1">
      <c r="A1794" s="5">
        <v>34940.0</v>
      </c>
      <c r="B1794" s="5" t="s">
        <v>491</v>
      </c>
      <c r="C1794" s="52" t="s">
        <v>50</v>
      </c>
      <c r="D1794" s="5" t="s">
        <v>2852</v>
      </c>
      <c r="E1794" s="7" t="s">
        <v>8189</v>
      </c>
      <c r="F1794" s="5" t="s">
        <v>8154</v>
      </c>
      <c r="G1794" s="5" t="s">
        <v>8155</v>
      </c>
      <c r="H1794" s="5">
        <v>2006.0</v>
      </c>
      <c r="I1794" s="5">
        <v>0.0</v>
      </c>
      <c r="J1794" s="5">
        <v>0.0</v>
      </c>
      <c r="K1794" s="5">
        <v>24.0</v>
      </c>
      <c r="L1794" s="54"/>
      <c r="M1794" s="5" t="s">
        <v>8190</v>
      </c>
      <c r="N1794" s="53" t="s">
        <v>8191</v>
      </c>
      <c r="O1794">
        <v>14.743417</v>
      </c>
      <c r="P1794">
        <v>-17.485433</v>
      </c>
      <c r="Q1794" s="5" t="s">
        <v>262</v>
      </c>
      <c r="R1794" s="10">
        <f t="shared" si="10"/>
        <v>74</v>
      </c>
      <c r="S1794" s="5" t="s">
        <v>8192</v>
      </c>
      <c r="T1794" s="5" t="s">
        <v>1040</v>
      </c>
      <c r="U1794" s="5" t="s">
        <v>8193</v>
      </c>
      <c r="V1794" s="5"/>
    </row>
    <row r="1795" ht="12.75" customHeight="1">
      <c r="A1795" s="5">
        <v>34941.0</v>
      </c>
      <c r="B1795" s="5" t="s">
        <v>49</v>
      </c>
      <c r="C1795" s="52" t="s">
        <v>50</v>
      </c>
      <c r="D1795" s="5" t="s">
        <v>2852</v>
      </c>
      <c r="E1795" s="7" t="s">
        <v>8194</v>
      </c>
      <c r="F1795" s="5" t="s">
        <v>8154</v>
      </c>
      <c r="G1795" s="5" t="s">
        <v>8155</v>
      </c>
      <c r="H1795" s="5">
        <v>2006.0</v>
      </c>
      <c r="I1795" s="5">
        <v>0.0</v>
      </c>
      <c r="J1795" s="5">
        <v>0.0</v>
      </c>
      <c r="K1795" s="5">
        <v>126.0</v>
      </c>
      <c r="L1795" s="54"/>
      <c r="M1795" s="5" t="s">
        <v>8195</v>
      </c>
      <c r="N1795" s="53" t="s">
        <v>4941</v>
      </c>
      <c r="O1795">
        <v>28.291564</v>
      </c>
      <c r="P1795">
        <v>-16.62913</v>
      </c>
      <c r="Q1795" s="5" t="s">
        <v>382</v>
      </c>
      <c r="R1795" s="10">
        <f t="shared" si="10"/>
        <v>1120</v>
      </c>
      <c r="S1795" s="5" t="s">
        <v>8196</v>
      </c>
      <c r="T1795" s="5" t="s">
        <v>1040</v>
      </c>
      <c r="U1795" s="5" t="s">
        <v>8197</v>
      </c>
      <c r="V1795" s="5" t="s">
        <v>8198</v>
      </c>
    </row>
    <row r="1796" ht="12.75" customHeight="1">
      <c r="A1796" s="5">
        <v>34943.0</v>
      </c>
      <c r="B1796" s="5" t="s">
        <v>68</v>
      </c>
      <c r="C1796" s="5" t="s">
        <v>69</v>
      </c>
      <c r="D1796" s="5" t="s">
        <v>2852</v>
      </c>
      <c r="E1796" s="7" t="s">
        <v>8199</v>
      </c>
      <c r="F1796" s="5" t="s">
        <v>8154</v>
      </c>
      <c r="G1796" s="5" t="s">
        <v>8155</v>
      </c>
      <c r="H1796" s="5">
        <v>2006.0</v>
      </c>
      <c r="I1796" s="5">
        <v>0.0</v>
      </c>
      <c r="J1796" s="5">
        <v>0.0</v>
      </c>
      <c r="K1796" s="5">
        <v>5.0</v>
      </c>
      <c r="L1796" s="54"/>
      <c r="M1796" s="5" t="s">
        <v>8200</v>
      </c>
      <c r="N1796" s="53" t="s">
        <v>4941</v>
      </c>
      <c r="O1796">
        <v>28.291564</v>
      </c>
      <c r="P1796">
        <v>-16.62913</v>
      </c>
      <c r="Q1796" s="5" t="s">
        <v>382</v>
      </c>
      <c r="R1796" s="10">
        <f t="shared" si="10"/>
        <v>1120</v>
      </c>
      <c r="S1796" s="5" t="s">
        <v>8201</v>
      </c>
      <c r="T1796" s="5" t="s">
        <v>1040</v>
      </c>
      <c r="U1796" s="5" t="s">
        <v>7512</v>
      </c>
      <c r="V1796" s="5"/>
    </row>
    <row r="1797" ht="12.75" customHeight="1">
      <c r="A1797" s="5">
        <v>34942.0</v>
      </c>
      <c r="B1797" s="5" t="s">
        <v>68</v>
      </c>
      <c r="C1797" s="5" t="s">
        <v>69</v>
      </c>
      <c r="D1797" s="5" t="s">
        <v>2614</v>
      </c>
      <c r="E1797" s="7" t="s">
        <v>8199</v>
      </c>
      <c r="F1797" s="5" t="s">
        <v>8154</v>
      </c>
      <c r="G1797" s="5" t="s">
        <v>8155</v>
      </c>
      <c r="H1797" s="5">
        <v>2006.0</v>
      </c>
      <c r="I1797" s="5">
        <v>0.0</v>
      </c>
      <c r="J1797" s="5">
        <v>0.0</v>
      </c>
      <c r="K1797" s="5">
        <v>1.0</v>
      </c>
      <c r="L1797" s="54"/>
      <c r="M1797" s="5" t="s">
        <v>8202</v>
      </c>
      <c r="N1797" s="53" t="s">
        <v>6794</v>
      </c>
      <c r="O1797">
        <v>35.861313</v>
      </c>
      <c r="P1797">
        <v>14.565384</v>
      </c>
      <c r="Q1797" s="5" t="s">
        <v>710</v>
      </c>
      <c r="R1797" s="10">
        <f t="shared" si="10"/>
        <v>2</v>
      </c>
      <c r="S1797" s="5" t="s">
        <v>8203</v>
      </c>
      <c r="T1797" s="6" t="s">
        <v>2130</v>
      </c>
      <c r="U1797" s="5" t="s">
        <v>2143</v>
      </c>
      <c r="V1797" s="5" t="s">
        <v>8204</v>
      </c>
    </row>
    <row r="1798" ht="12.75" customHeight="1">
      <c r="A1798" s="5">
        <v>34945.0</v>
      </c>
      <c r="B1798" s="5" t="s">
        <v>49</v>
      </c>
      <c r="C1798" s="52" t="s">
        <v>50</v>
      </c>
      <c r="D1798" s="5" t="s">
        <v>2852</v>
      </c>
      <c r="E1798" s="7" t="s">
        <v>8205</v>
      </c>
      <c r="F1798" s="5" t="s">
        <v>8154</v>
      </c>
      <c r="G1798" s="5" t="s">
        <v>8155</v>
      </c>
      <c r="H1798" s="5">
        <v>2006.0</v>
      </c>
      <c r="I1798" s="5">
        <v>0.0</v>
      </c>
      <c r="J1798" s="5">
        <v>0.0</v>
      </c>
      <c r="K1798" s="5">
        <v>1.0</v>
      </c>
      <c r="L1798" s="54"/>
      <c r="M1798" s="5" t="s">
        <v>8206</v>
      </c>
      <c r="N1798" s="53" t="s">
        <v>8207</v>
      </c>
      <c r="O1798">
        <v>14.764504</v>
      </c>
      <c r="P1798">
        <v>-17.366029</v>
      </c>
      <c r="Q1798" s="5" t="s">
        <v>266</v>
      </c>
      <c r="R1798" s="10">
        <f t="shared" si="10"/>
        <v>133</v>
      </c>
      <c r="S1798" s="5" t="s">
        <v>8208</v>
      </c>
      <c r="T1798" s="5" t="s">
        <v>1040</v>
      </c>
      <c r="U1798" s="5" t="s">
        <v>8209</v>
      </c>
      <c r="V1798" s="5" t="s">
        <v>8210</v>
      </c>
    </row>
    <row r="1799" ht="12.75" customHeight="1">
      <c r="A1799" s="5">
        <v>34944.0</v>
      </c>
      <c r="B1799" s="5" t="s">
        <v>68</v>
      </c>
      <c r="C1799" s="5" t="s">
        <v>69</v>
      </c>
      <c r="D1799" s="5" t="s">
        <v>2852</v>
      </c>
      <c r="E1799" s="7" t="s">
        <v>8205</v>
      </c>
      <c r="F1799" s="5" t="s">
        <v>8154</v>
      </c>
      <c r="G1799" s="5" t="s">
        <v>8155</v>
      </c>
      <c r="H1799" s="5">
        <v>2006.0</v>
      </c>
      <c r="I1799" s="5">
        <v>0.0</v>
      </c>
      <c r="J1799" s="5">
        <v>0.0</v>
      </c>
      <c r="K1799" s="5">
        <v>3.0</v>
      </c>
      <c r="L1799" s="54"/>
      <c r="M1799" s="5" t="s">
        <v>8211</v>
      </c>
      <c r="N1799" s="53" t="s">
        <v>5160</v>
      </c>
      <c r="O1799">
        <v>14.764504</v>
      </c>
      <c r="P1799">
        <v>-17.366029</v>
      </c>
      <c r="Q1799" s="5" t="s">
        <v>266</v>
      </c>
      <c r="R1799" s="10">
        <f t="shared" si="10"/>
        <v>133</v>
      </c>
      <c r="S1799" s="5" t="s">
        <v>8208</v>
      </c>
      <c r="T1799" s="5" t="s">
        <v>1040</v>
      </c>
      <c r="U1799" s="5" t="s">
        <v>8212</v>
      </c>
      <c r="V1799" s="5"/>
    </row>
    <row r="1800" ht="12.75" customHeight="1">
      <c r="A1800" s="5">
        <v>34948.0</v>
      </c>
      <c r="B1800" s="5" t="s">
        <v>49</v>
      </c>
      <c r="C1800" s="52" t="s">
        <v>50</v>
      </c>
      <c r="D1800" s="5" t="s">
        <v>2852</v>
      </c>
      <c r="E1800" s="7" t="s">
        <v>8213</v>
      </c>
      <c r="F1800" s="5" t="s">
        <v>8154</v>
      </c>
      <c r="G1800" s="5" t="s">
        <v>8155</v>
      </c>
      <c r="H1800" s="5">
        <v>2006.0</v>
      </c>
      <c r="I1800" s="5">
        <v>0.0</v>
      </c>
      <c r="J1800" s="5">
        <v>0.0</v>
      </c>
      <c r="K1800" s="5">
        <v>10.0</v>
      </c>
      <c r="L1800" s="54"/>
      <c r="M1800" s="5" t="s">
        <v>8214</v>
      </c>
      <c r="N1800" s="53" t="s">
        <v>8215</v>
      </c>
      <c r="O1800">
        <v>36.666667</v>
      </c>
      <c r="P1800">
        <v>2.75</v>
      </c>
      <c r="Q1800" s="5" t="s">
        <v>814</v>
      </c>
      <c r="R1800" s="10">
        <f t="shared" si="10"/>
        <v>11</v>
      </c>
      <c r="S1800" s="5" t="s">
        <v>8216</v>
      </c>
      <c r="T1800" s="6" t="s">
        <v>72</v>
      </c>
      <c r="U1800" s="5" t="s">
        <v>6636</v>
      </c>
      <c r="V1800" s="5"/>
    </row>
    <row r="1801" ht="12.75" customHeight="1">
      <c r="A1801" s="5">
        <v>34947.0</v>
      </c>
      <c r="B1801" s="5" t="s">
        <v>49</v>
      </c>
      <c r="C1801" s="52" t="s">
        <v>50</v>
      </c>
      <c r="D1801" s="5" t="s">
        <v>2852</v>
      </c>
      <c r="E1801" s="7" t="s">
        <v>8213</v>
      </c>
      <c r="F1801" s="5" t="s">
        <v>8154</v>
      </c>
      <c r="G1801" s="5" t="s">
        <v>8155</v>
      </c>
      <c r="H1801" s="5">
        <v>2006.0</v>
      </c>
      <c r="I1801" s="5">
        <v>0.0</v>
      </c>
      <c r="J1801" s="5">
        <v>0.0</v>
      </c>
      <c r="K1801" s="5">
        <v>1.0</v>
      </c>
      <c r="L1801" s="54"/>
      <c r="M1801" s="5" t="s">
        <v>8217</v>
      </c>
      <c r="N1801" s="53" t="s">
        <v>8215</v>
      </c>
      <c r="O1801">
        <v>36.666667</v>
      </c>
      <c r="P1801">
        <v>2.75</v>
      </c>
      <c r="Q1801" s="5" t="s">
        <v>814</v>
      </c>
      <c r="R1801" s="10">
        <f t="shared" si="10"/>
        <v>11</v>
      </c>
      <c r="S1801" s="5" t="s">
        <v>8216</v>
      </c>
      <c r="T1801" s="6" t="s">
        <v>72</v>
      </c>
      <c r="U1801" s="5" t="s">
        <v>6636</v>
      </c>
      <c r="V1801" s="5"/>
    </row>
    <row r="1802" ht="12.75" customHeight="1">
      <c r="A1802" s="5">
        <v>34946.0</v>
      </c>
      <c r="B1802" s="5" t="s">
        <v>49</v>
      </c>
      <c r="C1802" s="52" t="s">
        <v>50</v>
      </c>
      <c r="D1802" s="5" t="s">
        <v>2614</v>
      </c>
      <c r="E1802" s="7" t="s">
        <v>8213</v>
      </c>
      <c r="F1802" s="5" t="s">
        <v>8154</v>
      </c>
      <c r="G1802" s="5" t="s">
        <v>8155</v>
      </c>
      <c r="H1802" s="5">
        <v>2006.0</v>
      </c>
      <c r="I1802" s="5">
        <v>0.0</v>
      </c>
      <c r="J1802" s="5">
        <v>0.0</v>
      </c>
      <c r="K1802" s="5">
        <v>1.0</v>
      </c>
      <c r="L1802" s="54"/>
      <c r="M1802" s="5" t="s">
        <v>8218</v>
      </c>
      <c r="N1802" s="53" t="s">
        <v>8219</v>
      </c>
      <c r="O1802">
        <v>49.63675</v>
      </c>
      <c r="P1802">
        <v>14.839266</v>
      </c>
      <c r="Q1802" s="5" t="s">
        <v>1470</v>
      </c>
      <c r="R1802" s="10">
        <f t="shared" si="10"/>
        <v>2</v>
      </c>
      <c r="S1802" s="5" t="s">
        <v>8220</v>
      </c>
      <c r="T1802" s="5"/>
      <c r="U1802" s="5" t="s">
        <v>8221</v>
      </c>
      <c r="V1802" s="5" t="s">
        <v>8222</v>
      </c>
    </row>
    <row r="1803" ht="12.75" customHeight="1">
      <c r="A1803" s="5">
        <v>34950.0</v>
      </c>
      <c r="B1803" s="5" t="s">
        <v>68</v>
      </c>
      <c r="C1803" s="5" t="s">
        <v>69</v>
      </c>
      <c r="D1803" s="5" t="s">
        <v>2852</v>
      </c>
      <c r="E1803" s="7" t="s">
        <v>8223</v>
      </c>
      <c r="F1803" s="5" t="s">
        <v>8154</v>
      </c>
      <c r="G1803" s="5" t="s">
        <v>8155</v>
      </c>
      <c r="H1803" s="5">
        <v>2006.0</v>
      </c>
      <c r="I1803" s="5">
        <v>0.0</v>
      </c>
      <c r="J1803" s="5">
        <v>0.0</v>
      </c>
      <c r="K1803" s="5">
        <v>250.0</v>
      </c>
      <c r="L1803" s="54"/>
      <c r="M1803" s="5" t="s">
        <v>8224</v>
      </c>
      <c r="N1803" s="53" t="s">
        <v>2700</v>
      </c>
      <c r="O1803">
        <v>35.508622</v>
      </c>
      <c r="P1803">
        <v>12.59292</v>
      </c>
      <c r="Q1803" s="5" t="s">
        <v>669</v>
      </c>
      <c r="R1803" s="10">
        <f t="shared" si="10"/>
        <v>3843</v>
      </c>
      <c r="S1803" s="5" t="s">
        <v>8225</v>
      </c>
      <c r="T1803" s="6" t="s">
        <v>2130</v>
      </c>
      <c r="U1803" s="5" t="s">
        <v>8226</v>
      </c>
      <c r="V1803" s="5"/>
    </row>
    <row r="1804" ht="12.75" customHeight="1">
      <c r="A1804" s="5">
        <v>34949.0</v>
      </c>
      <c r="B1804" s="5" t="s">
        <v>68</v>
      </c>
      <c r="C1804" s="5" t="s">
        <v>69</v>
      </c>
      <c r="D1804" s="5" t="s">
        <v>2614</v>
      </c>
      <c r="E1804" s="7" t="s">
        <v>8223</v>
      </c>
      <c r="F1804" s="5" t="s">
        <v>8154</v>
      </c>
      <c r="G1804" s="5" t="s">
        <v>8155</v>
      </c>
      <c r="H1804" s="5">
        <v>2006.0</v>
      </c>
      <c r="I1804" s="5">
        <v>0.0</v>
      </c>
      <c r="J1804" s="5">
        <v>0.0</v>
      </c>
      <c r="K1804" s="5">
        <v>2.0</v>
      </c>
      <c r="L1804" s="54"/>
      <c r="M1804" s="5" t="s">
        <v>8227</v>
      </c>
      <c r="N1804" s="53" t="s">
        <v>2996</v>
      </c>
      <c r="O1804">
        <v>43.61583</v>
      </c>
      <c r="P1804">
        <v>13.518915</v>
      </c>
      <c r="Q1804" s="5" t="s">
        <v>1284</v>
      </c>
      <c r="R1804" s="10">
        <f t="shared" si="10"/>
        <v>16</v>
      </c>
      <c r="S1804" s="5" t="s">
        <v>8228</v>
      </c>
      <c r="T1804" s="5"/>
      <c r="U1804" s="5" t="s">
        <v>2619</v>
      </c>
      <c r="V1804" s="5" t="s">
        <v>8229</v>
      </c>
    </row>
    <row r="1805" ht="12.75" customHeight="1">
      <c r="A1805" s="5">
        <v>34953.0</v>
      </c>
      <c r="B1805" s="5" t="s">
        <v>491</v>
      </c>
      <c r="C1805" s="52" t="s">
        <v>50</v>
      </c>
      <c r="D1805" s="5" t="s">
        <v>2852</v>
      </c>
      <c r="E1805" s="7" t="s">
        <v>8230</v>
      </c>
      <c r="F1805" s="5" t="s">
        <v>8154</v>
      </c>
      <c r="G1805" s="5" t="s">
        <v>8155</v>
      </c>
      <c r="H1805" s="5">
        <v>2006.0</v>
      </c>
      <c r="I1805" s="5">
        <v>0.0</v>
      </c>
      <c r="J1805" s="5">
        <v>0.0</v>
      </c>
      <c r="K1805" s="5">
        <v>28.0</v>
      </c>
      <c r="L1805" s="54"/>
      <c r="M1805" s="5" t="s">
        <v>8231</v>
      </c>
      <c r="N1805" s="53" t="s">
        <v>7822</v>
      </c>
      <c r="O1805">
        <v>35.010802</v>
      </c>
      <c r="P1805">
        <v>-7.514648</v>
      </c>
      <c r="Q1805" s="5" t="s">
        <v>614</v>
      </c>
      <c r="R1805" s="10">
        <f t="shared" si="10"/>
        <v>117</v>
      </c>
      <c r="S1805" s="5" t="s">
        <v>8232</v>
      </c>
      <c r="T1805" s="6" t="s">
        <v>72</v>
      </c>
      <c r="U1805" s="5" t="s">
        <v>8233</v>
      </c>
      <c r="V1805" s="5"/>
    </row>
    <row r="1806" ht="12.75" customHeight="1">
      <c r="A1806" s="5">
        <v>34951.0</v>
      </c>
      <c r="B1806" s="5" t="s">
        <v>41</v>
      </c>
      <c r="C1806" s="5" t="s">
        <v>42</v>
      </c>
      <c r="D1806" s="5" t="s">
        <v>2614</v>
      </c>
      <c r="E1806" s="7" t="s">
        <v>8230</v>
      </c>
      <c r="F1806" s="5" t="s">
        <v>8154</v>
      </c>
      <c r="G1806" s="5" t="s">
        <v>8155</v>
      </c>
      <c r="H1806" s="5">
        <v>2006.0</v>
      </c>
      <c r="I1806" s="5">
        <v>0.0</v>
      </c>
      <c r="J1806" s="5">
        <v>0.0</v>
      </c>
      <c r="K1806" s="5">
        <v>1.0</v>
      </c>
      <c r="L1806" s="54"/>
      <c r="M1806" s="5" t="s">
        <v>8234</v>
      </c>
      <c r="N1806" s="53" t="s">
        <v>2718</v>
      </c>
      <c r="O1806">
        <v>35.292278</v>
      </c>
      <c r="P1806">
        <v>-2.938097</v>
      </c>
      <c r="Q1806" s="5" t="s">
        <v>649</v>
      </c>
      <c r="R1806" s="10">
        <f t="shared" si="10"/>
        <v>79</v>
      </c>
      <c r="S1806" s="5" t="s">
        <v>8235</v>
      </c>
      <c r="T1806" s="6" t="s">
        <v>72</v>
      </c>
      <c r="U1806" s="5" t="s">
        <v>8236</v>
      </c>
      <c r="V1806" s="5" t="s">
        <v>8237</v>
      </c>
    </row>
    <row r="1807" ht="12.75" customHeight="1">
      <c r="A1807" s="5">
        <v>34952.0</v>
      </c>
      <c r="B1807" s="5" t="s">
        <v>491</v>
      </c>
      <c r="C1807" s="52" t="s">
        <v>50</v>
      </c>
      <c r="D1807" s="5" t="s">
        <v>2852</v>
      </c>
      <c r="E1807" s="7" t="s">
        <v>8230</v>
      </c>
      <c r="F1807" s="5" t="s">
        <v>8154</v>
      </c>
      <c r="G1807" s="5" t="s">
        <v>8155</v>
      </c>
      <c r="H1807" s="5">
        <v>2006.0</v>
      </c>
      <c r="I1807" s="5">
        <v>0.0</v>
      </c>
      <c r="J1807" s="5">
        <v>0.0</v>
      </c>
      <c r="K1807" s="5">
        <v>5.0</v>
      </c>
      <c r="L1807" s="54"/>
      <c r="M1807" s="5" t="s">
        <v>8238</v>
      </c>
      <c r="N1807" s="53" t="s">
        <v>4054</v>
      </c>
      <c r="O1807">
        <v>35.964373</v>
      </c>
      <c r="P1807">
        <v>-5.196533</v>
      </c>
      <c r="Q1807" s="5" t="s">
        <v>744</v>
      </c>
      <c r="R1807" s="10">
        <f t="shared" si="10"/>
        <v>63</v>
      </c>
      <c r="S1807" s="5" t="s">
        <v>8239</v>
      </c>
      <c r="T1807" s="6" t="s">
        <v>72</v>
      </c>
      <c r="U1807" s="5" t="s">
        <v>7512</v>
      </c>
      <c r="V1807" s="5"/>
    </row>
    <row r="1808" ht="12.75" customHeight="1">
      <c r="A1808" s="5">
        <v>34954.0</v>
      </c>
      <c r="B1808" s="5" t="s">
        <v>4108</v>
      </c>
      <c r="C1808" s="5" t="s">
        <v>211</v>
      </c>
      <c r="D1808" s="5" t="s">
        <v>2852</v>
      </c>
      <c r="E1808" s="7" t="s">
        <v>8230</v>
      </c>
      <c r="F1808" s="5" t="s">
        <v>8154</v>
      </c>
      <c r="G1808" s="5" t="s">
        <v>8155</v>
      </c>
      <c r="H1808" s="5">
        <v>2006.0</v>
      </c>
      <c r="I1808" s="5">
        <v>0.0</v>
      </c>
      <c r="J1808" s="5">
        <v>0.0</v>
      </c>
      <c r="K1808" s="5">
        <v>1.0</v>
      </c>
      <c r="L1808" s="54"/>
      <c r="M1808" s="5" t="s">
        <v>8240</v>
      </c>
      <c r="N1808" s="53" t="s">
        <v>8241</v>
      </c>
      <c r="O1808">
        <v>51.389646</v>
      </c>
      <c r="P1808">
        <v>1.386834</v>
      </c>
      <c r="Q1808" s="5" t="s">
        <v>1618</v>
      </c>
      <c r="R1808" s="10">
        <f t="shared" si="10"/>
        <v>1</v>
      </c>
      <c r="S1808" s="5" t="s">
        <v>8242</v>
      </c>
      <c r="T1808" s="5"/>
      <c r="U1808" s="5" t="s">
        <v>3219</v>
      </c>
      <c r="V1808" s="5"/>
    </row>
    <row r="1809" ht="12.75" customHeight="1">
      <c r="A1809" s="5">
        <v>34955.0</v>
      </c>
      <c r="B1809" s="5" t="s">
        <v>636</v>
      </c>
      <c r="C1809" s="52" t="s">
        <v>50</v>
      </c>
      <c r="D1809" s="5" t="s">
        <v>2614</v>
      </c>
      <c r="E1809" s="7" t="s">
        <v>8243</v>
      </c>
      <c r="F1809" s="5" t="s">
        <v>8154</v>
      </c>
      <c r="G1809" s="5" t="s">
        <v>8155</v>
      </c>
      <c r="H1809" s="5">
        <v>2006.0</v>
      </c>
      <c r="I1809" s="5">
        <v>0.0</v>
      </c>
      <c r="J1809" s="5">
        <v>0.0</v>
      </c>
      <c r="K1809" s="5">
        <v>2.0</v>
      </c>
      <c r="L1809" s="54"/>
      <c r="M1809" s="5" t="s">
        <v>8244</v>
      </c>
      <c r="N1809" s="53" t="s">
        <v>4941</v>
      </c>
      <c r="O1809">
        <v>28.291564</v>
      </c>
      <c r="P1809">
        <v>-16.62913</v>
      </c>
      <c r="Q1809" s="5" t="s">
        <v>382</v>
      </c>
      <c r="R1809" s="10">
        <f t="shared" si="10"/>
        <v>1120</v>
      </c>
      <c r="S1809" s="5" t="s">
        <v>8245</v>
      </c>
      <c r="T1809" s="5" t="s">
        <v>1040</v>
      </c>
      <c r="U1809" s="5" t="s">
        <v>2165</v>
      </c>
      <c r="V1809" s="5" t="s">
        <v>8246</v>
      </c>
    </row>
    <row r="1810" ht="12.75" customHeight="1">
      <c r="A1810" s="5">
        <v>34956.0</v>
      </c>
      <c r="B1810" s="5" t="s">
        <v>3555</v>
      </c>
      <c r="C1810" s="52" t="s">
        <v>50</v>
      </c>
      <c r="D1810" s="5" t="s">
        <v>2852</v>
      </c>
      <c r="E1810" s="7" t="s">
        <v>8247</v>
      </c>
      <c r="F1810" s="5" t="s">
        <v>8154</v>
      </c>
      <c r="G1810" s="5" t="s">
        <v>8155</v>
      </c>
      <c r="H1810" s="5">
        <v>2006.0</v>
      </c>
      <c r="I1810" s="5">
        <v>0.0</v>
      </c>
      <c r="J1810" s="5">
        <v>0.0</v>
      </c>
      <c r="K1810" s="5">
        <v>1.0</v>
      </c>
      <c r="L1810" s="54"/>
      <c r="M1810" s="5" t="s">
        <v>8248</v>
      </c>
      <c r="N1810" s="53" t="s">
        <v>7642</v>
      </c>
      <c r="O1810">
        <v>51.765908</v>
      </c>
      <c r="P1810">
        <v>0.667367</v>
      </c>
      <c r="Q1810" s="5" t="s">
        <v>1681</v>
      </c>
      <c r="R1810" s="10">
        <f t="shared" si="10"/>
        <v>4</v>
      </c>
      <c r="S1810" s="5" t="s">
        <v>8249</v>
      </c>
      <c r="T1810" s="5"/>
      <c r="U1810" s="5" t="s">
        <v>8250</v>
      </c>
      <c r="V1810" s="5"/>
    </row>
    <row r="1811" ht="12.75" customHeight="1">
      <c r="A1811" s="5">
        <v>34958.0</v>
      </c>
      <c r="B1811" s="5" t="s">
        <v>491</v>
      </c>
      <c r="C1811" s="52" t="s">
        <v>50</v>
      </c>
      <c r="D1811" s="5" t="s">
        <v>2852</v>
      </c>
      <c r="E1811" s="7" t="s">
        <v>8251</v>
      </c>
      <c r="F1811" s="5" t="s">
        <v>8154</v>
      </c>
      <c r="G1811" s="5" t="s">
        <v>8155</v>
      </c>
      <c r="H1811" s="5">
        <v>2006.0</v>
      </c>
      <c r="I1811" s="5">
        <v>0.0</v>
      </c>
      <c r="J1811" s="5">
        <v>0.0</v>
      </c>
      <c r="K1811" s="5">
        <v>12.0</v>
      </c>
      <c r="L1811" s="54"/>
      <c r="M1811" s="5" t="s">
        <v>8252</v>
      </c>
      <c r="N1811" s="53" t="s">
        <v>4941</v>
      </c>
      <c r="O1811">
        <v>28.291564</v>
      </c>
      <c r="P1811">
        <v>-16.62913</v>
      </c>
      <c r="Q1811" s="5" t="s">
        <v>382</v>
      </c>
      <c r="R1811" s="10">
        <f t="shared" si="10"/>
        <v>1120</v>
      </c>
      <c r="S1811" s="5" t="s">
        <v>8253</v>
      </c>
      <c r="T1811" s="5" t="s">
        <v>1040</v>
      </c>
      <c r="U1811" s="5" t="s">
        <v>8254</v>
      </c>
      <c r="V1811" s="5" t="s">
        <v>8255</v>
      </c>
    </row>
    <row r="1812" ht="12.75" customHeight="1">
      <c r="A1812" s="5">
        <v>34957.0</v>
      </c>
      <c r="B1812" s="5" t="s">
        <v>636</v>
      </c>
      <c r="C1812" s="52" t="s">
        <v>50</v>
      </c>
      <c r="D1812" s="5" t="s">
        <v>2614</v>
      </c>
      <c r="E1812" s="7" t="s">
        <v>8251</v>
      </c>
      <c r="F1812" s="5" t="s">
        <v>8154</v>
      </c>
      <c r="G1812" s="5" t="s">
        <v>8155</v>
      </c>
      <c r="H1812" s="5">
        <v>2006.0</v>
      </c>
      <c r="I1812" s="5">
        <v>0.0</v>
      </c>
      <c r="J1812" s="5">
        <v>0.0</v>
      </c>
      <c r="K1812" s="5">
        <v>1.0</v>
      </c>
      <c r="L1812" s="54"/>
      <c r="M1812" s="5" t="s">
        <v>8256</v>
      </c>
      <c r="N1812" s="53" t="s">
        <v>4556</v>
      </c>
      <c r="O1812">
        <v>28.291564</v>
      </c>
      <c r="P1812">
        <v>-16.62913</v>
      </c>
      <c r="Q1812" s="5" t="s">
        <v>382</v>
      </c>
      <c r="R1812" s="10">
        <f t="shared" si="10"/>
        <v>1120</v>
      </c>
      <c r="S1812" s="5" t="s">
        <v>8257</v>
      </c>
      <c r="T1812" s="5" t="s">
        <v>1040</v>
      </c>
      <c r="U1812" s="5" t="s">
        <v>8258</v>
      </c>
      <c r="V1812" s="5" t="s">
        <v>8259</v>
      </c>
    </row>
    <row r="1813" ht="12.75" customHeight="1">
      <c r="A1813" s="5">
        <v>34959.0</v>
      </c>
      <c r="B1813" s="5" t="s">
        <v>68</v>
      </c>
      <c r="C1813" s="5" t="s">
        <v>69</v>
      </c>
      <c r="D1813" s="5" t="s">
        <v>2614</v>
      </c>
      <c r="E1813" s="7" t="s">
        <v>8260</v>
      </c>
      <c r="F1813" s="5" t="s">
        <v>8154</v>
      </c>
      <c r="G1813" s="5" t="s">
        <v>8155</v>
      </c>
      <c r="H1813" s="5">
        <v>2006.0</v>
      </c>
      <c r="I1813" s="5">
        <v>0.0</v>
      </c>
      <c r="J1813" s="5">
        <v>0.0</v>
      </c>
      <c r="K1813" s="5">
        <v>3.0</v>
      </c>
      <c r="L1813" s="54"/>
      <c r="M1813" s="5" t="s">
        <v>8261</v>
      </c>
      <c r="N1813" s="53" t="s">
        <v>3340</v>
      </c>
      <c r="O1813">
        <v>37.743215</v>
      </c>
      <c r="P1813">
        <v>26.820351</v>
      </c>
      <c r="Q1813" s="5" t="s">
        <v>956</v>
      </c>
      <c r="R1813" s="10">
        <f t="shared" si="10"/>
        <v>218</v>
      </c>
      <c r="S1813" s="5" t="s">
        <v>8262</v>
      </c>
      <c r="T1813" s="6" t="s">
        <v>53</v>
      </c>
      <c r="U1813" s="5" t="s">
        <v>5662</v>
      </c>
      <c r="V1813" s="5" t="s">
        <v>8263</v>
      </c>
    </row>
    <row r="1814" ht="12.75" customHeight="1">
      <c r="A1814" s="5">
        <v>34960.0</v>
      </c>
      <c r="B1814" s="5" t="s">
        <v>68</v>
      </c>
      <c r="C1814" s="5" t="s">
        <v>69</v>
      </c>
      <c r="D1814" s="5" t="s">
        <v>2852</v>
      </c>
      <c r="E1814" s="7" t="s">
        <v>8264</v>
      </c>
      <c r="F1814" s="5" t="s">
        <v>8154</v>
      </c>
      <c r="G1814" s="5" t="s">
        <v>8265</v>
      </c>
      <c r="H1814" s="5">
        <v>2006.0</v>
      </c>
      <c r="I1814" s="5">
        <v>0.0</v>
      </c>
      <c r="J1814" s="5">
        <v>0.0</v>
      </c>
      <c r="K1814" s="5">
        <v>1.0</v>
      </c>
      <c r="L1814" s="54"/>
      <c r="M1814" s="5" t="s">
        <v>8266</v>
      </c>
      <c r="N1814" s="53" t="s">
        <v>4941</v>
      </c>
      <c r="O1814">
        <v>28.291564</v>
      </c>
      <c r="P1814">
        <v>-16.62913</v>
      </c>
      <c r="Q1814" s="5" t="s">
        <v>382</v>
      </c>
      <c r="R1814" s="10">
        <f t="shared" si="10"/>
        <v>1120</v>
      </c>
      <c r="S1814" s="5" t="s">
        <v>8267</v>
      </c>
      <c r="T1814" s="5" t="s">
        <v>1040</v>
      </c>
      <c r="U1814" s="5" t="s">
        <v>8268</v>
      </c>
      <c r="V1814" s="5" t="s">
        <v>8269</v>
      </c>
    </row>
    <row r="1815" ht="12.75" customHeight="1">
      <c r="A1815" s="5">
        <v>34963.0</v>
      </c>
      <c r="B1815" s="5" t="s">
        <v>49</v>
      </c>
      <c r="C1815" s="52" t="s">
        <v>50</v>
      </c>
      <c r="D1815" s="5" t="s">
        <v>2852</v>
      </c>
      <c r="E1815" s="7" t="s">
        <v>8270</v>
      </c>
      <c r="F1815" s="5" t="s">
        <v>8154</v>
      </c>
      <c r="G1815" s="5" t="s">
        <v>8265</v>
      </c>
      <c r="H1815" s="5">
        <v>2006.0</v>
      </c>
      <c r="I1815" s="5">
        <v>0.0</v>
      </c>
      <c r="J1815" s="5">
        <v>0.0</v>
      </c>
      <c r="K1815" s="5">
        <v>24.0</v>
      </c>
      <c r="L1815" s="54"/>
      <c r="M1815" s="5" t="s">
        <v>8271</v>
      </c>
      <c r="N1815" s="53" t="s">
        <v>7071</v>
      </c>
      <c r="O1815">
        <v>27.153611</v>
      </c>
      <c r="P1815">
        <v>-13.203333</v>
      </c>
      <c r="Q1815" s="5" t="s">
        <v>349</v>
      </c>
      <c r="R1815" s="10">
        <f t="shared" si="10"/>
        <v>348</v>
      </c>
      <c r="S1815" s="5" t="s">
        <v>8272</v>
      </c>
      <c r="T1815" s="5" t="s">
        <v>1040</v>
      </c>
      <c r="U1815" s="5" t="s">
        <v>8273</v>
      </c>
      <c r="V1815" s="5"/>
    </row>
    <row r="1816" ht="12.75" customHeight="1">
      <c r="A1816" s="5">
        <v>34962.0</v>
      </c>
      <c r="B1816" s="5" t="s">
        <v>49</v>
      </c>
      <c r="C1816" s="52" t="s">
        <v>50</v>
      </c>
      <c r="D1816" s="5" t="s">
        <v>2852</v>
      </c>
      <c r="E1816" s="7" t="s">
        <v>8270</v>
      </c>
      <c r="F1816" s="5" t="s">
        <v>8154</v>
      </c>
      <c r="G1816" s="5" t="s">
        <v>8265</v>
      </c>
      <c r="H1816" s="5">
        <v>2006.0</v>
      </c>
      <c r="I1816" s="5">
        <v>0.0</v>
      </c>
      <c r="J1816" s="5">
        <v>0.0</v>
      </c>
      <c r="K1816" s="5">
        <v>1.0</v>
      </c>
      <c r="L1816" s="54"/>
      <c r="M1816" s="5" t="s">
        <v>8274</v>
      </c>
      <c r="N1816" s="53" t="s">
        <v>7071</v>
      </c>
      <c r="O1816">
        <v>27.153611</v>
      </c>
      <c r="P1816">
        <v>-13.203333</v>
      </c>
      <c r="Q1816" s="5" t="s">
        <v>349</v>
      </c>
      <c r="R1816" s="10">
        <f t="shared" si="10"/>
        <v>348</v>
      </c>
      <c r="S1816" s="5" t="s">
        <v>8272</v>
      </c>
      <c r="T1816" s="5" t="s">
        <v>1040</v>
      </c>
      <c r="U1816" s="5" t="s">
        <v>8275</v>
      </c>
      <c r="V1816" s="5"/>
    </row>
    <row r="1817" ht="12.75" customHeight="1">
      <c r="A1817" s="5">
        <v>34961.0</v>
      </c>
      <c r="B1817" s="5" t="s">
        <v>49</v>
      </c>
      <c r="C1817" s="52" t="s">
        <v>50</v>
      </c>
      <c r="D1817" s="5" t="s">
        <v>2852</v>
      </c>
      <c r="E1817" s="7" t="s">
        <v>8270</v>
      </c>
      <c r="F1817" s="5" t="s">
        <v>8154</v>
      </c>
      <c r="G1817" s="5" t="s">
        <v>8265</v>
      </c>
      <c r="H1817" s="5">
        <v>2006.0</v>
      </c>
      <c r="I1817" s="5">
        <v>0.0</v>
      </c>
      <c r="J1817" s="5">
        <v>0.0</v>
      </c>
      <c r="K1817" s="5">
        <v>20.0</v>
      </c>
      <c r="L1817" s="54"/>
      <c r="M1817" s="5" t="s">
        <v>8276</v>
      </c>
      <c r="N1817" s="53" t="s">
        <v>7071</v>
      </c>
      <c r="O1817">
        <v>27.153611</v>
      </c>
      <c r="P1817">
        <v>-13.203333</v>
      </c>
      <c r="Q1817" s="5" t="s">
        <v>349</v>
      </c>
      <c r="R1817" s="10">
        <f t="shared" si="10"/>
        <v>348</v>
      </c>
      <c r="S1817" s="5" t="s">
        <v>8272</v>
      </c>
      <c r="T1817" s="5" t="s">
        <v>1040</v>
      </c>
      <c r="U1817" s="5" t="s">
        <v>8277</v>
      </c>
      <c r="V1817" s="5" t="s">
        <v>8278</v>
      </c>
    </row>
    <row r="1818" ht="12.75" customHeight="1">
      <c r="A1818" s="5">
        <v>34964.0</v>
      </c>
      <c r="B1818" s="5" t="s">
        <v>68</v>
      </c>
      <c r="C1818" s="5" t="s">
        <v>69</v>
      </c>
      <c r="D1818" s="5" t="s">
        <v>2852</v>
      </c>
      <c r="E1818" s="7" t="s">
        <v>8279</v>
      </c>
      <c r="F1818" s="5" t="s">
        <v>8154</v>
      </c>
      <c r="G1818" s="5" t="s">
        <v>8265</v>
      </c>
      <c r="H1818" s="5">
        <v>2006.0</v>
      </c>
      <c r="I1818" s="5">
        <v>0.0</v>
      </c>
      <c r="J1818" s="5">
        <v>0.0</v>
      </c>
      <c r="K1818" s="5">
        <v>1.0</v>
      </c>
      <c r="L1818" s="54"/>
      <c r="M1818" s="5" t="s">
        <v>8280</v>
      </c>
      <c r="N1818" s="53" t="s">
        <v>2638</v>
      </c>
      <c r="O1818">
        <v>35.888384</v>
      </c>
      <c r="P1818">
        <v>-5.324636</v>
      </c>
      <c r="Q1818" s="5" t="s">
        <v>717</v>
      </c>
      <c r="R1818" s="10">
        <f t="shared" si="10"/>
        <v>213</v>
      </c>
      <c r="S1818" s="5" t="s">
        <v>8281</v>
      </c>
      <c r="T1818" s="6" t="s">
        <v>72</v>
      </c>
      <c r="U1818" s="5" t="s">
        <v>7512</v>
      </c>
      <c r="V1818" s="5" t="s">
        <v>8282</v>
      </c>
    </row>
    <row r="1819" ht="12.75" customHeight="1">
      <c r="A1819" s="5">
        <v>34965.0</v>
      </c>
      <c r="B1819" s="5" t="s">
        <v>49</v>
      </c>
      <c r="C1819" s="52" t="s">
        <v>50</v>
      </c>
      <c r="D1819" s="5" t="s">
        <v>2852</v>
      </c>
      <c r="E1819" s="7" t="s">
        <v>8283</v>
      </c>
      <c r="F1819" s="5" t="s">
        <v>8154</v>
      </c>
      <c r="G1819" s="5" t="s">
        <v>8265</v>
      </c>
      <c r="H1819" s="5">
        <v>2006.0</v>
      </c>
      <c r="I1819" s="5">
        <v>0.0</v>
      </c>
      <c r="J1819" s="5">
        <v>0.0</v>
      </c>
      <c r="K1819" s="5">
        <v>3.0</v>
      </c>
      <c r="L1819" s="54"/>
      <c r="M1819" s="5" t="s">
        <v>8284</v>
      </c>
      <c r="N1819" s="53" t="s">
        <v>3014</v>
      </c>
      <c r="O1819">
        <v>38.41885</v>
      </c>
      <c r="P1819">
        <v>27.12872</v>
      </c>
      <c r="Q1819" s="5" t="s">
        <v>1022</v>
      </c>
      <c r="R1819" s="10">
        <f t="shared" si="10"/>
        <v>152</v>
      </c>
      <c r="S1819" s="5" t="s">
        <v>8285</v>
      </c>
      <c r="T1819" s="6" t="s">
        <v>53</v>
      </c>
      <c r="U1819" s="5" t="s">
        <v>8286</v>
      </c>
      <c r="V1819" s="5"/>
    </row>
    <row r="1820" ht="12.75" customHeight="1">
      <c r="A1820" s="5">
        <v>34966.0</v>
      </c>
      <c r="B1820" s="5" t="s">
        <v>49</v>
      </c>
      <c r="C1820" s="52" t="s">
        <v>50</v>
      </c>
      <c r="D1820" s="5" t="s">
        <v>2852</v>
      </c>
      <c r="E1820" s="7" t="s">
        <v>8287</v>
      </c>
      <c r="F1820" s="5" t="s">
        <v>8154</v>
      </c>
      <c r="G1820" s="5" t="s">
        <v>8265</v>
      </c>
      <c r="H1820" s="5">
        <v>2006.0</v>
      </c>
      <c r="I1820" s="5">
        <v>0.0</v>
      </c>
      <c r="J1820" s="5">
        <v>0.0</v>
      </c>
      <c r="K1820" s="5">
        <v>51.0</v>
      </c>
      <c r="L1820" s="54"/>
      <c r="M1820" s="5" t="s">
        <v>8288</v>
      </c>
      <c r="N1820" s="53" t="s">
        <v>6638</v>
      </c>
      <c r="O1820">
        <v>38.2</v>
      </c>
      <c r="P1820">
        <v>26.833333</v>
      </c>
      <c r="Q1820" s="5" t="s">
        <v>1006</v>
      </c>
      <c r="R1820" s="10">
        <f t="shared" si="10"/>
        <v>137</v>
      </c>
      <c r="S1820" s="5" t="s">
        <v>8289</v>
      </c>
      <c r="T1820" s="6" t="s">
        <v>53</v>
      </c>
      <c r="U1820" s="5" t="s">
        <v>8290</v>
      </c>
      <c r="V1820" s="5"/>
    </row>
    <row r="1821" ht="12.75" customHeight="1">
      <c r="A1821" s="5">
        <v>34968.0</v>
      </c>
      <c r="B1821" s="5" t="s">
        <v>68</v>
      </c>
      <c r="C1821" s="5" t="s">
        <v>69</v>
      </c>
      <c r="D1821" s="5" t="s">
        <v>2852</v>
      </c>
      <c r="E1821" s="7" t="s">
        <v>8291</v>
      </c>
      <c r="F1821" s="5" t="s">
        <v>8154</v>
      </c>
      <c r="G1821" s="5" t="s">
        <v>8265</v>
      </c>
      <c r="H1821" s="5">
        <v>2006.0</v>
      </c>
      <c r="I1821" s="5">
        <v>0.0</v>
      </c>
      <c r="J1821" s="5">
        <v>0.0</v>
      </c>
      <c r="K1821" s="5">
        <v>15.0</v>
      </c>
      <c r="L1821" s="54"/>
      <c r="M1821" s="5" t="s">
        <v>8292</v>
      </c>
      <c r="N1821" s="53" t="s">
        <v>5160</v>
      </c>
      <c r="O1821">
        <v>14.764504</v>
      </c>
      <c r="P1821">
        <v>-17.366029</v>
      </c>
      <c r="Q1821" s="5" t="s">
        <v>266</v>
      </c>
      <c r="R1821" s="10">
        <f t="shared" si="10"/>
        <v>133</v>
      </c>
      <c r="S1821" s="5" t="s">
        <v>8293</v>
      </c>
      <c r="T1821" s="5" t="s">
        <v>1040</v>
      </c>
      <c r="U1821" s="5" t="s">
        <v>8294</v>
      </c>
      <c r="V1821" s="5"/>
    </row>
    <row r="1822" ht="12.75" customHeight="1">
      <c r="A1822" s="5">
        <v>34967.0</v>
      </c>
      <c r="B1822" s="5" t="s">
        <v>68</v>
      </c>
      <c r="C1822" s="5" t="s">
        <v>69</v>
      </c>
      <c r="D1822" s="5" t="s">
        <v>2852</v>
      </c>
      <c r="E1822" s="7" t="s">
        <v>8291</v>
      </c>
      <c r="F1822" s="5" t="s">
        <v>8154</v>
      </c>
      <c r="G1822" s="5" t="s">
        <v>8265</v>
      </c>
      <c r="H1822" s="5">
        <v>2006.0</v>
      </c>
      <c r="I1822" s="5">
        <v>0.0</v>
      </c>
      <c r="J1822" s="5">
        <v>0.0</v>
      </c>
      <c r="K1822" s="5">
        <v>3.0</v>
      </c>
      <c r="L1822" s="54"/>
      <c r="M1822" s="5" t="s">
        <v>8295</v>
      </c>
      <c r="N1822" s="53" t="s">
        <v>5160</v>
      </c>
      <c r="O1822">
        <v>14.764504</v>
      </c>
      <c r="P1822">
        <v>-17.366029</v>
      </c>
      <c r="Q1822" s="5" t="s">
        <v>266</v>
      </c>
      <c r="R1822" s="10">
        <f t="shared" si="10"/>
        <v>133</v>
      </c>
      <c r="S1822" s="5" t="s">
        <v>8293</v>
      </c>
      <c r="T1822" s="5" t="s">
        <v>1040</v>
      </c>
      <c r="U1822" s="5" t="s">
        <v>8296</v>
      </c>
      <c r="V1822" s="5"/>
    </row>
    <row r="1823" ht="12.75" customHeight="1">
      <c r="A1823" s="5">
        <v>34969.0</v>
      </c>
      <c r="B1823" s="5" t="s">
        <v>763</v>
      </c>
      <c r="C1823" s="5" t="s">
        <v>124</v>
      </c>
      <c r="D1823" s="5" t="s">
        <v>2852</v>
      </c>
      <c r="E1823" s="7" t="s">
        <v>8297</v>
      </c>
      <c r="F1823" s="5" t="s">
        <v>8154</v>
      </c>
      <c r="G1823" s="5" t="s">
        <v>8265</v>
      </c>
      <c r="H1823" s="5">
        <v>2006.0</v>
      </c>
      <c r="I1823" s="5">
        <v>0.0</v>
      </c>
      <c r="J1823" s="5">
        <v>0.0</v>
      </c>
      <c r="K1823" s="5">
        <v>1.0</v>
      </c>
      <c r="L1823" s="54"/>
      <c r="M1823" s="5" t="s">
        <v>8298</v>
      </c>
      <c r="N1823" s="53" t="s">
        <v>8299</v>
      </c>
      <c r="O1823">
        <v>50.946071</v>
      </c>
      <c r="P1823">
        <v>-1.004294</v>
      </c>
      <c r="Q1823" s="5" t="s">
        <v>1547</v>
      </c>
      <c r="R1823" s="10">
        <f t="shared" si="10"/>
        <v>1</v>
      </c>
      <c r="S1823" s="5" t="s">
        <v>8300</v>
      </c>
      <c r="T1823" s="5"/>
      <c r="U1823" s="5" t="s">
        <v>3219</v>
      </c>
      <c r="V1823" s="5"/>
    </row>
    <row r="1824" ht="12.75" customHeight="1">
      <c r="A1824" s="5">
        <v>34970.0</v>
      </c>
      <c r="B1824" s="5" t="s">
        <v>68</v>
      </c>
      <c r="C1824" s="5" t="s">
        <v>69</v>
      </c>
      <c r="D1824" s="5" t="s">
        <v>2614</v>
      </c>
      <c r="E1824" s="7" t="s">
        <v>8301</v>
      </c>
      <c r="F1824" s="5" t="s">
        <v>8154</v>
      </c>
      <c r="G1824" s="5" t="s">
        <v>8265</v>
      </c>
      <c r="H1824" s="5">
        <v>2006.0</v>
      </c>
      <c r="I1824" s="5">
        <v>0.0</v>
      </c>
      <c r="J1824" s="5">
        <v>0.0</v>
      </c>
      <c r="K1824" s="5">
        <v>1.0</v>
      </c>
      <c r="L1824" s="54"/>
      <c r="M1824" s="5" t="s">
        <v>8302</v>
      </c>
      <c r="N1824" s="53" t="s">
        <v>6423</v>
      </c>
      <c r="O1824">
        <v>35.1</v>
      </c>
      <c r="P1824">
        <v>-1.85</v>
      </c>
      <c r="Q1824" s="5" t="s">
        <v>619</v>
      </c>
      <c r="R1824" s="10">
        <f t="shared" si="10"/>
        <v>7</v>
      </c>
      <c r="S1824" s="5" t="s">
        <v>8303</v>
      </c>
      <c r="T1824" s="6" t="s">
        <v>72</v>
      </c>
      <c r="U1824" s="5" t="s">
        <v>5920</v>
      </c>
      <c r="V1824" s="5" t="s">
        <v>7469</v>
      </c>
    </row>
    <row r="1825" ht="12.75" customHeight="1">
      <c r="A1825" s="5">
        <v>34971.0</v>
      </c>
      <c r="B1825" s="5" t="s">
        <v>68</v>
      </c>
      <c r="C1825" s="5" t="s">
        <v>69</v>
      </c>
      <c r="D1825" s="5" t="s">
        <v>2852</v>
      </c>
      <c r="E1825" s="7" t="s">
        <v>8304</v>
      </c>
      <c r="F1825" s="5" t="s">
        <v>8154</v>
      </c>
      <c r="G1825" s="5" t="s">
        <v>8305</v>
      </c>
      <c r="H1825" s="5">
        <v>2006.0</v>
      </c>
      <c r="I1825" s="5">
        <v>0.0</v>
      </c>
      <c r="J1825" s="5">
        <v>0.0</v>
      </c>
      <c r="K1825" s="5">
        <v>1.0</v>
      </c>
      <c r="L1825" s="54"/>
      <c r="M1825" s="5" t="s">
        <v>8306</v>
      </c>
      <c r="N1825" s="53" t="s">
        <v>4253</v>
      </c>
      <c r="O1825">
        <v>37.983716</v>
      </c>
      <c r="P1825">
        <v>23.72931</v>
      </c>
      <c r="Q1825" s="5" t="s">
        <v>974</v>
      </c>
      <c r="R1825" s="10">
        <f t="shared" si="10"/>
        <v>13</v>
      </c>
      <c r="S1825" s="5" t="s">
        <v>8307</v>
      </c>
      <c r="T1825" s="6" t="s">
        <v>53</v>
      </c>
      <c r="U1825" s="5" t="s">
        <v>3128</v>
      </c>
      <c r="V1825" s="5"/>
    </row>
    <row r="1826" ht="12.75" customHeight="1">
      <c r="A1826" s="5">
        <v>34972.0</v>
      </c>
      <c r="B1826" s="5" t="s">
        <v>49</v>
      </c>
      <c r="C1826" s="52" t="s">
        <v>50</v>
      </c>
      <c r="D1826" s="5" t="s">
        <v>2852</v>
      </c>
      <c r="E1826" s="7" t="s">
        <v>8308</v>
      </c>
      <c r="F1826" s="5" t="s">
        <v>8154</v>
      </c>
      <c r="G1826" s="5" t="s">
        <v>8305</v>
      </c>
      <c r="H1826" s="5">
        <v>2006.0</v>
      </c>
      <c r="I1826" s="5">
        <v>0.0</v>
      </c>
      <c r="J1826" s="5">
        <v>0.0</v>
      </c>
      <c r="K1826" s="5">
        <v>6.0</v>
      </c>
      <c r="L1826" s="54"/>
      <c r="M1826" s="5" t="s">
        <v>8309</v>
      </c>
      <c r="N1826" s="53" t="s">
        <v>3798</v>
      </c>
      <c r="O1826">
        <v>28.033886</v>
      </c>
      <c r="P1826">
        <v>1.659626</v>
      </c>
      <c r="Q1826" s="5" t="s">
        <v>369</v>
      </c>
      <c r="R1826" s="10">
        <f t="shared" si="10"/>
        <v>127</v>
      </c>
      <c r="S1826" s="5" t="s">
        <v>8310</v>
      </c>
      <c r="T1826" s="6" t="s">
        <v>72</v>
      </c>
      <c r="U1826" s="5" t="s">
        <v>8311</v>
      </c>
      <c r="V1826" s="5"/>
    </row>
    <row r="1827" ht="12.75" customHeight="1">
      <c r="A1827" s="5">
        <v>34973.0</v>
      </c>
      <c r="B1827" s="5" t="s">
        <v>2902</v>
      </c>
      <c r="C1827" s="5" t="s">
        <v>211</v>
      </c>
      <c r="D1827" s="5" t="s">
        <v>2852</v>
      </c>
      <c r="E1827" s="7" t="s">
        <v>8308</v>
      </c>
      <c r="F1827" s="5" t="s">
        <v>8154</v>
      </c>
      <c r="G1827" s="5" t="s">
        <v>8305</v>
      </c>
      <c r="H1827" s="5">
        <v>2006.0</v>
      </c>
      <c r="I1827" s="5">
        <v>0.0</v>
      </c>
      <c r="J1827" s="5">
        <v>0.0</v>
      </c>
      <c r="K1827" s="5">
        <v>1.0</v>
      </c>
      <c r="L1827" s="54"/>
      <c r="M1827" s="5" t="s">
        <v>8312</v>
      </c>
      <c r="N1827" s="53" t="s">
        <v>3810</v>
      </c>
      <c r="O1827">
        <v>55.57156</v>
      </c>
      <c r="P1827">
        <v>-4.410332</v>
      </c>
      <c r="Q1827" s="5" t="s">
        <v>1888</v>
      </c>
      <c r="R1827" s="10">
        <f t="shared" si="10"/>
        <v>11</v>
      </c>
      <c r="S1827" s="5" t="s">
        <v>8313</v>
      </c>
      <c r="T1827" s="5"/>
      <c r="U1827" s="5" t="s">
        <v>8314</v>
      </c>
      <c r="V1827" s="5"/>
    </row>
    <row r="1828" ht="12.75" customHeight="1">
      <c r="A1828" s="5">
        <v>34974.0</v>
      </c>
      <c r="B1828" s="5" t="s">
        <v>68</v>
      </c>
      <c r="C1828" s="5" t="s">
        <v>69</v>
      </c>
      <c r="D1828" s="5" t="s">
        <v>2614</v>
      </c>
      <c r="E1828" s="7" t="s">
        <v>8315</v>
      </c>
      <c r="F1828" s="5" t="s">
        <v>8154</v>
      </c>
      <c r="G1828" s="5" t="s">
        <v>8305</v>
      </c>
      <c r="H1828" s="5">
        <v>2006.0</v>
      </c>
      <c r="I1828" s="5">
        <v>0.0</v>
      </c>
      <c r="J1828" s="5">
        <v>0.0</v>
      </c>
      <c r="K1828" s="5">
        <v>12.0</v>
      </c>
      <c r="L1828" s="54"/>
      <c r="M1828" s="5" t="s">
        <v>8316</v>
      </c>
      <c r="N1828" s="53" t="s">
        <v>4412</v>
      </c>
      <c r="O1828">
        <v>35.696944</v>
      </c>
      <c r="P1828">
        <v>-0.633056</v>
      </c>
      <c r="Q1828" s="5" t="s">
        <v>690</v>
      </c>
      <c r="R1828" s="10">
        <f t="shared" si="10"/>
        <v>120</v>
      </c>
      <c r="S1828" s="5" t="s">
        <v>8317</v>
      </c>
      <c r="T1828" s="6" t="s">
        <v>72</v>
      </c>
      <c r="U1828" s="5" t="s">
        <v>5920</v>
      </c>
      <c r="V1828" s="5" t="s">
        <v>8318</v>
      </c>
    </row>
    <row r="1829" ht="12.75" customHeight="1">
      <c r="A1829" s="5">
        <v>34976.0</v>
      </c>
      <c r="B1829" s="5" t="s">
        <v>68</v>
      </c>
      <c r="C1829" s="5" t="s">
        <v>69</v>
      </c>
      <c r="D1829" s="5" t="s">
        <v>2614</v>
      </c>
      <c r="E1829" s="7" t="s">
        <v>8319</v>
      </c>
      <c r="F1829" s="5" t="s">
        <v>8154</v>
      </c>
      <c r="G1829" s="5" t="s">
        <v>8305</v>
      </c>
      <c r="H1829" s="5">
        <v>2006.0</v>
      </c>
      <c r="I1829" s="5">
        <v>0.0</v>
      </c>
      <c r="J1829" s="5">
        <v>0.0</v>
      </c>
      <c r="K1829" s="5">
        <v>3.0</v>
      </c>
      <c r="L1829" s="54"/>
      <c r="M1829" s="5" t="s">
        <v>8320</v>
      </c>
      <c r="N1829" s="53" t="s">
        <v>2689</v>
      </c>
      <c r="O1829">
        <v>35.937496</v>
      </c>
      <c r="P1829">
        <v>14.375416</v>
      </c>
      <c r="Q1829" s="5" t="s">
        <v>740</v>
      </c>
      <c r="R1829" s="10">
        <f t="shared" si="10"/>
        <v>655</v>
      </c>
      <c r="S1829" s="5" t="s">
        <v>8321</v>
      </c>
      <c r="T1829" s="6" t="s">
        <v>2130</v>
      </c>
      <c r="U1829" s="5" t="s">
        <v>2143</v>
      </c>
      <c r="V1829" s="5" t="s">
        <v>8322</v>
      </c>
    </row>
    <row r="1830" ht="12.75" customHeight="1">
      <c r="A1830" s="5">
        <v>34975.0</v>
      </c>
      <c r="B1830" s="5" t="s">
        <v>68</v>
      </c>
      <c r="C1830" s="5" t="s">
        <v>69</v>
      </c>
      <c r="D1830" s="5" t="s">
        <v>2614</v>
      </c>
      <c r="E1830" s="7" t="s">
        <v>8319</v>
      </c>
      <c r="F1830" s="5" t="s">
        <v>8154</v>
      </c>
      <c r="G1830" s="5" t="s">
        <v>8305</v>
      </c>
      <c r="H1830" s="5">
        <v>2006.0</v>
      </c>
      <c r="I1830" s="5">
        <v>0.0</v>
      </c>
      <c r="J1830" s="5">
        <v>0.0</v>
      </c>
      <c r="K1830" s="5">
        <v>1.0</v>
      </c>
      <c r="L1830" s="54"/>
      <c r="M1830" s="5" t="s">
        <v>8323</v>
      </c>
      <c r="N1830" s="53" t="s">
        <v>2689</v>
      </c>
      <c r="O1830">
        <v>35.937496</v>
      </c>
      <c r="P1830">
        <v>14.375416</v>
      </c>
      <c r="Q1830" s="5" t="s">
        <v>740</v>
      </c>
      <c r="R1830" s="10">
        <f t="shared" si="10"/>
        <v>655</v>
      </c>
      <c r="S1830" s="5" t="s">
        <v>8321</v>
      </c>
      <c r="T1830" s="6" t="s">
        <v>2130</v>
      </c>
      <c r="U1830" s="5" t="s">
        <v>2326</v>
      </c>
      <c r="V1830" s="5" t="s">
        <v>7579</v>
      </c>
    </row>
    <row r="1831" ht="12.75" customHeight="1">
      <c r="A1831" s="5">
        <v>34978.0</v>
      </c>
      <c r="B1831" s="5" t="s">
        <v>49</v>
      </c>
      <c r="C1831" s="52" t="s">
        <v>50</v>
      </c>
      <c r="D1831" s="5" t="s">
        <v>2852</v>
      </c>
      <c r="E1831" s="7" t="s">
        <v>8324</v>
      </c>
      <c r="F1831" s="5" t="s">
        <v>8154</v>
      </c>
      <c r="G1831" s="5" t="s">
        <v>8305</v>
      </c>
      <c r="H1831" s="5">
        <v>2006.0</v>
      </c>
      <c r="I1831" s="5">
        <v>0.0</v>
      </c>
      <c r="J1831" s="5">
        <v>0.0</v>
      </c>
      <c r="K1831" s="5">
        <v>4.0</v>
      </c>
      <c r="L1831" s="54"/>
      <c r="M1831" s="5" t="s">
        <v>8325</v>
      </c>
      <c r="N1831" s="53" t="s">
        <v>2938</v>
      </c>
      <c r="O1831">
        <v>35.937496</v>
      </c>
      <c r="P1831">
        <v>14.375416</v>
      </c>
      <c r="Q1831" s="5" t="s">
        <v>740</v>
      </c>
      <c r="R1831" s="10">
        <f t="shared" si="10"/>
        <v>655</v>
      </c>
      <c r="S1831" s="5" t="s">
        <v>8326</v>
      </c>
      <c r="T1831" s="6" t="s">
        <v>2130</v>
      </c>
      <c r="U1831" s="5" t="s">
        <v>8327</v>
      </c>
      <c r="V1831" s="5" t="s">
        <v>8328</v>
      </c>
    </row>
    <row r="1832" ht="12.75" customHeight="1">
      <c r="A1832" s="5">
        <v>34977.0</v>
      </c>
      <c r="B1832" s="5" t="s">
        <v>68</v>
      </c>
      <c r="C1832" s="5" t="s">
        <v>69</v>
      </c>
      <c r="D1832" s="5" t="s">
        <v>2614</v>
      </c>
      <c r="E1832" s="7" t="s">
        <v>8324</v>
      </c>
      <c r="F1832" s="5" t="s">
        <v>8154</v>
      </c>
      <c r="G1832" s="5" t="s">
        <v>8305</v>
      </c>
      <c r="H1832" s="5">
        <v>2006.0</v>
      </c>
      <c r="I1832" s="5">
        <v>0.0</v>
      </c>
      <c r="J1832" s="5">
        <v>0.0</v>
      </c>
      <c r="K1832" s="5">
        <v>2.0</v>
      </c>
      <c r="L1832" s="54"/>
      <c r="M1832" s="5" t="s">
        <v>8329</v>
      </c>
      <c r="N1832" s="53" t="s">
        <v>2689</v>
      </c>
      <c r="O1832">
        <v>35.937496</v>
      </c>
      <c r="P1832">
        <v>14.375416</v>
      </c>
      <c r="Q1832" s="5" t="s">
        <v>740</v>
      </c>
      <c r="R1832" s="10">
        <f t="shared" si="10"/>
        <v>655</v>
      </c>
      <c r="S1832" s="5" t="s">
        <v>8326</v>
      </c>
      <c r="T1832" s="6" t="s">
        <v>2130</v>
      </c>
      <c r="U1832" s="5" t="s">
        <v>2143</v>
      </c>
      <c r="V1832" s="5" t="s">
        <v>8322</v>
      </c>
    </row>
    <row r="1833" ht="12.75" customHeight="1">
      <c r="A1833" s="5">
        <v>34979.0</v>
      </c>
      <c r="B1833" s="5" t="s">
        <v>49</v>
      </c>
      <c r="C1833" s="52" t="s">
        <v>50</v>
      </c>
      <c r="D1833" s="5" t="s">
        <v>2852</v>
      </c>
      <c r="E1833" s="7" t="s">
        <v>8330</v>
      </c>
      <c r="F1833" s="5" t="s">
        <v>8154</v>
      </c>
      <c r="G1833" s="5" t="s">
        <v>8305</v>
      </c>
      <c r="H1833" s="5">
        <v>2006.0</v>
      </c>
      <c r="I1833" s="5">
        <v>0.0</v>
      </c>
      <c r="J1833" s="5">
        <v>0.0</v>
      </c>
      <c r="K1833" s="5">
        <v>1.0</v>
      </c>
      <c r="L1833" s="54"/>
      <c r="M1833" s="5" t="s">
        <v>8331</v>
      </c>
      <c r="N1833" s="53" t="s">
        <v>8219</v>
      </c>
      <c r="O1833">
        <v>49.63675</v>
      </c>
      <c r="P1833">
        <v>14.839266</v>
      </c>
      <c r="Q1833" s="5" t="s">
        <v>1470</v>
      </c>
      <c r="R1833" s="10">
        <f t="shared" si="10"/>
        <v>2</v>
      </c>
      <c r="S1833" s="5" t="s">
        <v>8332</v>
      </c>
      <c r="T1833" s="6" t="s">
        <v>72</v>
      </c>
      <c r="U1833" s="5" t="s">
        <v>7512</v>
      </c>
      <c r="V1833" s="5"/>
    </row>
    <row r="1834" ht="12.75" customHeight="1">
      <c r="A1834" s="5">
        <v>34980.0</v>
      </c>
      <c r="B1834" s="5" t="s">
        <v>49</v>
      </c>
      <c r="C1834" s="52" t="s">
        <v>50</v>
      </c>
      <c r="D1834" s="5" t="s">
        <v>2852</v>
      </c>
      <c r="E1834" s="7" t="s">
        <v>8333</v>
      </c>
      <c r="F1834" s="5" t="s">
        <v>8154</v>
      </c>
      <c r="G1834" s="5" t="s">
        <v>8305</v>
      </c>
      <c r="H1834" s="5">
        <v>2006.0</v>
      </c>
      <c r="I1834" s="5">
        <v>0.0</v>
      </c>
      <c r="J1834" s="5">
        <v>0.0</v>
      </c>
      <c r="K1834" s="5">
        <v>40.0</v>
      </c>
      <c r="L1834" s="54"/>
      <c r="M1834" s="5" t="s">
        <v>8334</v>
      </c>
      <c r="N1834" s="53" t="s">
        <v>8335</v>
      </c>
      <c r="O1834">
        <v>36.263269</v>
      </c>
      <c r="P1834">
        <v>22.97737</v>
      </c>
      <c r="Q1834" s="5" t="s">
        <v>786</v>
      </c>
      <c r="R1834" s="10">
        <f t="shared" si="10"/>
        <v>40</v>
      </c>
      <c r="S1834" s="5" t="s">
        <v>8336</v>
      </c>
      <c r="T1834" s="6" t="s">
        <v>53</v>
      </c>
      <c r="U1834" s="5" t="s">
        <v>8337</v>
      </c>
      <c r="V1834" s="5" t="s">
        <v>8338</v>
      </c>
    </row>
    <row r="1835" ht="12.75" customHeight="1">
      <c r="A1835" s="5">
        <v>34981.0</v>
      </c>
      <c r="B1835" s="5" t="s">
        <v>5200</v>
      </c>
      <c r="C1835" s="5" t="s">
        <v>124</v>
      </c>
      <c r="D1835" s="5" t="s">
        <v>2852</v>
      </c>
      <c r="E1835" s="7" t="s">
        <v>8339</v>
      </c>
      <c r="F1835" s="5" t="s">
        <v>8154</v>
      </c>
      <c r="G1835" s="5" t="s">
        <v>8305</v>
      </c>
      <c r="H1835" s="5">
        <v>2006.0</v>
      </c>
      <c r="I1835" s="5">
        <v>0.0</v>
      </c>
      <c r="J1835" s="5">
        <v>0.0</v>
      </c>
      <c r="K1835" s="5">
        <v>2.0</v>
      </c>
      <c r="L1835" s="54"/>
      <c r="M1835" s="5" t="s">
        <v>8340</v>
      </c>
      <c r="N1835" s="53" t="s">
        <v>2834</v>
      </c>
      <c r="O1835">
        <v>41.244376</v>
      </c>
      <c r="P1835">
        <v>26.135943</v>
      </c>
      <c r="Q1835" s="5" t="s">
        <v>1214</v>
      </c>
      <c r="R1835" s="10">
        <f t="shared" si="10"/>
        <v>188</v>
      </c>
      <c r="S1835" s="5" t="s">
        <v>8341</v>
      </c>
      <c r="T1835" s="6" t="s">
        <v>53</v>
      </c>
      <c r="U1835" s="5" t="s">
        <v>8342</v>
      </c>
      <c r="V1835" s="5"/>
    </row>
    <row r="1836" ht="12.75" customHeight="1">
      <c r="A1836" s="5">
        <v>34982.0</v>
      </c>
      <c r="B1836" s="5" t="s">
        <v>2902</v>
      </c>
      <c r="C1836" s="5" t="s">
        <v>211</v>
      </c>
      <c r="D1836" s="5" t="s">
        <v>2852</v>
      </c>
      <c r="E1836" s="7" t="s">
        <v>8343</v>
      </c>
      <c r="F1836" s="5" t="s">
        <v>8154</v>
      </c>
      <c r="G1836" s="5" t="s">
        <v>8305</v>
      </c>
      <c r="H1836" s="5">
        <v>2006.0</v>
      </c>
      <c r="I1836" s="5">
        <v>0.0</v>
      </c>
      <c r="J1836" s="5">
        <v>0.0</v>
      </c>
      <c r="K1836" s="5">
        <v>1.0</v>
      </c>
      <c r="L1836" s="54"/>
      <c r="M1836" s="5" t="s">
        <v>8344</v>
      </c>
      <c r="N1836" s="53" t="s">
        <v>8345</v>
      </c>
      <c r="O1836">
        <v>50.746259</v>
      </c>
      <c r="P1836">
        <v>-2.21973</v>
      </c>
      <c r="Q1836" s="5" t="s">
        <v>1509</v>
      </c>
      <c r="R1836" s="10">
        <f t="shared" si="10"/>
        <v>1</v>
      </c>
      <c r="S1836" s="5" t="s">
        <v>8346</v>
      </c>
      <c r="T1836" s="5"/>
      <c r="U1836" s="5" t="s">
        <v>8347</v>
      </c>
      <c r="V1836" s="5"/>
    </row>
    <row r="1837" ht="12.75" customHeight="1">
      <c r="A1837" s="5">
        <v>34983.0</v>
      </c>
      <c r="B1837" s="5" t="s">
        <v>68</v>
      </c>
      <c r="C1837" s="5" t="s">
        <v>69</v>
      </c>
      <c r="D1837" s="5" t="s">
        <v>2614</v>
      </c>
      <c r="E1837" s="7" t="s">
        <v>8348</v>
      </c>
      <c r="F1837" s="5" t="s">
        <v>8154</v>
      </c>
      <c r="G1837" s="5" t="s">
        <v>8305</v>
      </c>
      <c r="H1837" s="5">
        <v>2006.0</v>
      </c>
      <c r="I1837" s="5">
        <v>0.0</v>
      </c>
      <c r="J1837" s="5">
        <v>0.0</v>
      </c>
      <c r="K1837" s="5">
        <v>20.0</v>
      </c>
      <c r="L1837" s="54"/>
      <c r="M1837" s="5" t="s">
        <v>8349</v>
      </c>
      <c r="N1837" s="53" t="s">
        <v>4941</v>
      </c>
      <c r="O1837">
        <v>28.291564</v>
      </c>
      <c r="P1837">
        <v>-16.62913</v>
      </c>
      <c r="Q1837" s="5" t="s">
        <v>382</v>
      </c>
      <c r="R1837" s="10">
        <f t="shared" si="10"/>
        <v>1120</v>
      </c>
      <c r="S1837" s="5" t="s">
        <v>8350</v>
      </c>
      <c r="T1837" s="5" t="s">
        <v>1040</v>
      </c>
      <c r="U1837" s="5" t="s">
        <v>2165</v>
      </c>
      <c r="V1837" s="5" t="s">
        <v>8351</v>
      </c>
    </row>
    <row r="1838" ht="12.75" customHeight="1">
      <c r="A1838" s="5">
        <v>34984.0</v>
      </c>
      <c r="B1838" s="5" t="s">
        <v>2962</v>
      </c>
      <c r="C1838" s="5" t="s">
        <v>211</v>
      </c>
      <c r="D1838" s="5" t="s">
        <v>2852</v>
      </c>
      <c r="E1838" s="7" t="s">
        <v>8352</v>
      </c>
      <c r="F1838" s="5" t="s">
        <v>8154</v>
      </c>
      <c r="G1838" s="5" t="s">
        <v>8305</v>
      </c>
      <c r="H1838" s="5">
        <v>2006.0</v>
      </c>
      <c r="I1838" s="5">
        <v>0.0</v>
      </c>
      <c r="J1838" s="5">
        <v>0.0</v>
      </c>
      <c r="K1838" s="5">
        <v>1.0</v>
      </c>
      <c r="L1838" s="54"/>
      <c r="M1838" s="5" t="s">
        <v>8353</v>
      </c>
      <c r="N1838" s="53" t="s">
        <v>8354</v>
      </c>
      <c r="O1838">
        <v>53.614086</v>
      </c>
      <c r="P1838">
        <v>-2.161814</v>
      </c>
      <c r="Q1838" s="5" t="s">
        <v>1848</v>
      </c>
      <c r="R1838" s="10">
        <f t="shared" si="10"/>
        <v>1</v>
      </c>
      <c r="S1838" s="5" t="s">
        <v>8355</v>
      </c>
      <c r="T1838" s="5"/>
      <c r="U1838" s="5" t="s">
        <v>8356</v>
      </c>
      <c r="V1838" s="5"/>
    </row>
    <row r="1839" ht="12.75" customHeight="1">
      <c r="A1839" s="5">
        <v>35151.0</v>
      </c>
      <c r="B1839" s="5" t="s">
        <v>49</v>
      </c>
      <c r="C1839" s="52" t="s">
        <v>50</v>
      </c>
      <c r="D1839" s="5" t="s">
        <v>2852</v>
      </c>
      <c r="E1839" s="7" t="s">
        <v>8357</v>
      </c>
      <c r="F1839" s="5" t="s">
        <v>8011</v>
      </c>
      <c r="G1839" s="5" t="s">
        <v>8358</v>
      </c>
      <c r="H1839" s="5">
        <v>2006.0</v>
      </c>
      <c r="I1839" s="5">
        <v>0.0</v>
      </c>
      <c r="J1839" s="5">
        <v>0.0</v>
      </c>
      <c r="K1839" s="5">
        <v>9.0</v>
      </c>
      <c r="L1839" s="54"/>
      <c r="M1839" s="5" t="s">
        <v>8359</v>
      </c>
      <c r="N1839" s="53" t="s">
        <v>4412</v>
      </c>
      <c r="O1839">
        <v>35.696944</v>
      </c>
      <c r="P1839">
        <v>-0.633056</v>
      </c>
      <c r="Q1839" s="5" t="s">
        <v>690</v>
      </c>
      <c r="R1839" s="10">
        <f t="shared" si="10"/>
        <v>120</v>
      </c>
      <c r="S1839" s="5" t="s">
        <v>8360</v>
      </c>
      <c r="T1839" s="6" t="s">
        <v>72</v>
      </c>
      <c r="U1839" s="5" t="s">
        <v>8361</v>
      </c>
      <c r="V1839" s="5" t="s">
        <v>8362</v>
      </c>
    </row>
    <row r="1840" ht="12.75" customHeight="1">
      <c r="A1840" s="5">
        <v>35150.0</v>
      </c>
      <c r="B1840" s="5" t="s">
        <v>3521</v>
      </c>
      <c r="C1840" s="5" t="s">
        <v>62</v>
      </c>
      <c r="D1840" s="5" t="s">
        <v>2852</v>
      </c>
      <c r="E1840" s="7" t="s">
        <v>8357</v>
      </c>
      <c r="F1840" s="5" t="s">
        <v>8011</v>
      </c>
      <c r="G1840" s="5" t="s">
        <v>8358</v>
      </c>
      <c r="H1840" s="5">
        <v>2006.0</v>
      </c>
      <c r="I1840" s="5">
        <v>0.0</v>
      </c>
      <c r="J1840" s="5">
        <v>0.0</v>
      </c>
      <c r="K1840" s="5">
        <v>1.0</v>
      </c>
      <c r="L1840" s="54"/>
      <c r="M1840" s="5" t="s">
        <v>8363</v>
      </c>
      <c r="N1840" s="53" t="s">
        <v>8364</v>
      </c>
      <c r="O1840">
        <v>49.61001</v>
      </c>
      <c r="P1840">
        <v>6.2588</v>
      </c>
      <c r="Q1840" s="5" t="s">
        <v>1469</v>
      </c>
      <c r="R1840" s="10">
        <f t="shared" si="10"/>
        <v>1</v>
      </c>
      <c r="S1840" s="5" t="s">
        <v>8365</v>
      </c>
      <c r="T1840" s="5"/>
      <c r="U1840" s="5" t="s">
        <v>8366</v>
      </c>
      <c r="V1840" s="5"/>
    </row>
    <row r="1841" ht="12.75" customHeight="1">
      <c r="A1841" s="5">
        <v>35152.0</v>
      </c>
      <c r="B1841" s="5" t="s">
        <v>1773</v>
      </c>
      <c r="C1841" s="5" t="s">
        <v>124</v>
      </c>
      <c r="D1841" s="5" t="s">
        <v>2852</v>
      </c>
      <c r="E1841" s="7" t="s">
        <v>8367</v>
      </c>
      <c r="F1841" s="5" t="s">
        <v>8011</v>
      </c>
      <c r="G1841" s="5" t="s">
        <v>8358</v>
      </c>
      <c r="H1841" s="5">
        <v>2006.0</v>
      </c>
      <c r="I1841" s="5">
        <v>0.0</v>
      </c>
      <c r="J1841" s="5">
        <v>0.0</v>
      </c>
      <c r="K1841" s="5">
        <v>1.0</v>
      </c>
      <c r="L1841" s="54"/>
      <c r="M1841" s="5" t="s">
        <v>8368</v>
      </c>
      <c r="N1841" s="53" t="s">
        <v>8369</v>
      </c>
      <c r="O1841">
        <v>51.484807</v>
      </c>
      <c r="P1841">
        <v>0.087142</v>
      </c>
      <c r="Q1841" s="5" t="s">
        <v>1654</v>
      </c>
      <c r="R1841" s="10">
        <f t="shared" si="10"/>
        <v>1</v>
      </c>
      <c r="S1841" s="5" t="s">
        <v>8370</v>
      </c>
      <c r="T1841" s="5"/>
      <c r="U1841" s="5" t="s">
        <v>3219</v>
      </c>
      <c r="V1841" s="5"/>
    </row>
    <row r="1842" ht="12.75" customHeight="1">
      <c r="A1842" s="5">
        <v>35153.0</v>
      </c>
      <c r="B1842" s="5" t="s">
        <v>49</v>
      </c>
      <c r="C1842" s="52" t="s">
        <v>50</v>
      </c>
      <c r="D1842" s="5" t="s">
        <v>2852</v>
      </c>
      <c r="E1842" s="7" t="s">
        <v>8371</v>
      </c>
      <c r="F1842" s="5" t="s">
        <v>8011</v>
      </c>
      <c r="G1842" s="5" t="s">
        <v>8358</v>
      </c>
      <c r="H1842" s="5">
        <v>2006.0</v>
      </c>
      <c r="I1842" s="5">
        <v>0.0</v>
      </c>
      <c r="J1842" s="5">
        <v>0.0</v>
      </c>
      <c r="K1842" s="5">
        <v>8.0</v>
      </c>
      <c r="L1842" s="54"/>
      <c r="M1842" s="5" t="s">
        <v>8372</v>
      </c>
      <c r="N1842" s="53" t="s">
        <v>2766</v>
      </c>
      <c r="O1842">
        <v>35.249299</v>
      </c>
      <c r="P1842">
        <v>-3.937112</v>
      </c>
      <c r="Q1842" s="5" t="s">
        <v>642</v>
      </c>
      <c r="R1842" s="10">
        <f t="shared" si="10"/>
        <v>149</v>
      </c>
      <c r="S1842" s="5" t="s">
        <v>8373</v>
      </c>
      <c r="T1842" s="6" t="s">
        <v>72</v>
      </c>
      <c r="U1842" s="5" t="s">
        <v>8374</v>
      </c>
      <c r="V1842" s="5" t="s">
        <v>8375</v>
      </c>
    </row>
    <row r="1843" ht="12.75" customHeight="1">
      <c r="A1843" s="5">
        <v>35154.0</v>
      </c>
      <c r="B1843" s="5" t="s">
        <v>636</v>
      </c>
      <c r="C1843" s="52" t="s">
        <v>50</v>
      </c>
      <c r="D1843" s="5" t="s">
        <v>2852</v>
      </c>
      <c r="E1843" s="7" t="s">
        <v>8376</v>
      </c>
      <c r="F1843" s="5" t="s">
        <v>8011</v>
      </c>
      <c r="G1843" s="5" t="s">
        <v>8358</v>
      </c>
      <c r="H1843" s="5">
        <v>2006.0</v>
      </c>
      <c r="I1843" s="5">
        <v>0.0</v>
      </c>
      <c r="J1843" s="5">
        <v>0.0</v>
      </c>
      <c r="K1843" s="5">
        <v>3.0</v>
      </c>
      <c r="L1843" s="54"/>
      <c r="M1843" s="5" t="s">
        <v>8377</v>
      </c>
      <c r="N1843" s="53" t="s">
        <v>8378</v>
      </c>
      <c r="O1843">
        <v>38.523604</v>
      </c>
      <c r="P1843">
        <v>23.858474</v>
      </c>
      <c r="Q1843" s="5" t="s">
        <v>1030</v>
      </c>
      <c r="R1843" s="10">
        <f t="shared" si="10"/>
        <v>70</v>
      </c>
      <c r="S1843" s="5" t="s">
        <v>8379</v>
      </c>
      <c r="T1843" s="6" t="s">
        <v>53</v>
      </c>
      <c r="U1843" s="5" t="s">
        <v>8380</v>
      </c>
      <c r="V1843" s="5" t="s">
        <v>8381</v>
      </c>
    </row>
    <row r="1844" ht="12.75" customHeight="1">
      <c r="A1844" s="5">
        <v>35155.0</v>
      </c>
      <c r="B1844" s="5" t="s">
        <v>2962</v>
      </c>
      <c r="C1844" s="5" t="s">
        <v>211</v>
      </c>
      <c r="D1844" s="5" t="s">
        <v>2852</v>
      </c>
      <c r="E1844" s="7" t="s">
        <v>8382</v>
      </c>
      <c r="F1844" s="5" t="s">
        <v>8011</v>
      </c>
      <c r="G1844" s="5" t="s">
        <v>8358</v>
      </c>
      <c r="H1844" s="5">
        <v>2006.0</v>
      </c>
      <c r="I1844" s="5">
        <v>0.0</v>
      </c>
      <c r="J1844" s="5">
        <v>0.0</v>
      </c>
      <c r="K1844" s="5">
        <v>1.0</v>
      </c>
      <c r="L1844" s="54"/>
      <c r="M1844" s="5" t="s">
        <v>8383</v>
      </c>
      <c r="N1844" s="53" t="s">
        <v>8384</v>
      </c>
      <c r="O1844">
        <v>51.487453</v>
      </c>
      <c r="P1844">
        <v>-0.475554</v>
      </c>
      <c r="Q1844" s="5" t="s">
        <v>1655</v>
      </c>
      <c r="R1844" s="10">
        <f t="shared" si="10"/>
        <v>4</v>
      </c>
      <c r="S1844" s="5" t="s">
        <v>8385</v>
      </c>
      <c r="T1844" s="5"/>
      <c r="U1844" s="5" t="s">
        <v>8386</v>
      </c>
      <c r="V1844" s="5"/>
    </row>
    <row r="1845" ht="12.75" customHeight="1">
      <c r="A1845" s="5">
        <v>35156.0</v>
      </c>
      <c r="B1845" s="5" t="s">
        <v>491</v>
      </c>
      <c r="C1845" s="52" t="s">
        <v>50</v>
      </c>
      <c r="D1845" s="5" t="s">
        <v>2852</v>
      </c>
      <c r="E1845" s="7" t="s">
        <v>8387</v>
      </c>
      <c r="F1845" s="5" t="s">
        <v>8011</v>
      </c>
      <c r="G1845" s="5" t="s">
        <v>8358</v>
      </c>
      <c r="H1845" s="5">
        <v>2006.0</v>
      </c>
      <c r="I1845" s="5">
        <v>0.0</v>
      </c>
      <c r="J1845" s="5">
        <v>0.0</v>
      </c>
      <c r="K1845" s="5">
        <v>50.0</v>
      </c>
      <c r="L1845" s="54"/>
      <c r="M1845" s="5" t="s">
        <v>8388</v>
      </c>
      <c r="N1845" s="53" t="s">
        <v>8389</v>
      </c>
      <c r="O1845">
        <v>14.743417</v>
      </c>
      <c r="P1845">
        <v>-17.485433</v>
      </c>
      <c r="Q1845" s="5" t="s">
        <v>262</v>
      </c>
      <c r="R1845" s="10">
        <f t="shared" si="10"/>
        <v>74</v>
      </c>
      <c r="S1845" s="5" t="s">
        <v>8390</v>
      </c>
      <c r="T1845" s="5" t="s">
        <v>1040</v>
      </c>
      <c r="U1845" s="5" t="s">
        <v>7840</v>
      </c>
      <c r="V1845" s="5"/>
    </row>
    <row r="1846" ht="12.75" customHeight="1">
      <c r="A1846" s="5">
        <v>35158.0</v>
      </c>
      <c r="B1846" s="5" t="s">
        <v>2962</v>
      </c>
      <c r="C1846" s="5" t="s">
        <v>211</v>
      </c>
      <c r="D1846" s="5" t="s">
        <v>2852</v>
      </c>
      <c r="E1846" s="7" t="s">
        <v>8387</v>
      </c>
      <c r="F1846" s="5" t="s">
        <v>8011</v>
      </c>
      <c r="G1846" s="5" t="s">
        <v>8358</v>
      </c>
      <c r="H1846" s="5">
        <v>2006.0</v>
      </c>
      <c r="I1846" s="5">
        <v>0.0</v>
      </c>
      <c r="J1846" s="5">
        <v>0.0</v>
      </c>
      <c r="K1846" s="5">
        <v>1.0</v>
      </c>
      <c r="L1846" s="54"/>
      <c r="M1846" s="5" t="s">
        <v>8391</v>
      </c>
      <c r="N1846" s="53" t="s">
        <v>8392</v>
      </c>
      <c r="O1846">
        <v>43.296482</v>
      </c>
      <c r="P1846">
        <v>5.36978</v>
      </c>
      <c r="Q1846" s="5" t="s">
        <v>1268</v>
      </c>
      <c r="R1846" s="10">
        <f t="shared" si="10"/>
        <v>1</v>
      </c>
      <c r="S1846" s="5" t="s">
        <v>8393</v>
      </c>
      <c r="T1846" s="5"/>
      <c r="U1846" s="5" t="s">
        <v>8394</v>
      </c>
      <c r="V1846" s="5"/>
    </row>
    <row r="1847" ht="12.75" customHeight="1">
      <c r="A1847" s="5">
        <v>35157.0</v>
      </c>
      <c r="B1847" s="5" t="s">
        <v>1076</v>
      </c>
      <c r="C1847" s="52" t="s">
        <v>50</v>
      </c>
      <c r="D1847" s="5" t="s">
        <v>2852</v>
      </c>
      <c r="E1847" s="7" t="s">
        <v>8387</v>
      </c>
      <c r="F1847" s="5" t="s">
        <v>8011</v>
      </c>
      <c r="G1847" s="5" t="s">
        <v>8358</v>
      </c>
      <c r="H1847" s="5">
        <v>2006.0</v>
      </c>
      <c r="I1847" s="5">
        <v>0.0</v>
      </c>
      <c r="J1847" s="5">
        <v>0.0</v>
      </c>
      <c r="K1847" s="5">
        <v>2.0</v>
      </c>
      <c r="L1847" s="54"/>
      <c r="M1847" s="5" t="s">
        <v>8395</v>
      </c>
      <c r="N1847" s="53" t="s">
        <v>2996</v>
      </c>
      <c r="O1847">
        <v>43.61583</v>
      </c>
      <c r="P1847">
        <v>13.518915</v>
      </c>
      <c r="Q1847" s="5" t="s">
        <v>1284</v>
      </c>
      <c r="R1847" s="10">
        <f t="shared" si="10"/>
        <v>16</v>
      </c>
      <c r="S1847" s="5" t="s">
        <v>8396</v>
      </c>
      <c r="T1847" s="5"/>
      <c r="U1847" s="5" t="s">
        <v>8397</v>
      </c>
      <c r="V1847" s="5"/>
    </row>
    <row r="1848" ht="12.75" customHeight="1">
      <c r="A1848" s="5">
        <v>35159.0</v>
      </c>
      <c r="B1848" s="5" t="s">
        <v>68</v>
      </c>
      <c r="C1848" s="5" t="s">
        <v>69</v>
      </c>
      <c r="D1848" s="5" t="s">
        <v>2852</v>
      </c>
      <c r="E1848" s="7" t="s">
        <v>8398</v>
      </c>
      <c r="F1848" s="5" t="s">
        <v>8011</v>
      </c>
      <c r="G1848" s="5" t="s">
        <v>8358</v>
      </c>
      <c r="H1848" s="5">
        <v>2006.0</v>
      </c>
      <c r="I1848" s="5">
        <v>0.0</v>
      </c>
      <c r="J1848" s="5">
        <v>0.0</v>
      </c>
      <c r="K1848" s="5">
        <v>18.0</v>
      </c>
      <c r="L1848" s="54"/>
      <c r="M1848" s="5" t="s">
        <v>8399</v>
      </c>
      <c r="N1848" s="53" t="s">
        <v>4562</v>
      </c>
      <c r="O1848">
        <v>-8.783195</v>
      </c>
      <c r="P1848">
        <v>34.508523</v>
      </c>
      <c r="Q1848" s="5" t="s">
        <v>232</v>
      </c>
      <c r="R1848" s="10">
        <f t="shared" si="10"/>
        <v>21</v>
      </c>
      <c r="S1848" s="5" t="s">
        <v>8400</v>
      </c>
      <c r="T1848" s="6" t="s">
        <v>72</v>
      </c>
      <c r="U1848" s="5" t="s">
        <v>8401</v>
      </c>
      <c r="V1848" s="5"/>
    </row>
    <row r="1849" ht="12.75" customHeight="1">
      <c r="A1849" s="5">
        <v>35160.0</v>
      </c>
      <c r="B1849" s="5" t="s">
        <v>763</v>
      </c>
      <c r="C1849" s="5" t="s">
        <v>124</v>
      </c>
      <c r="D1849" s="5" t="s">
        <v>2852</v>
      </c>
      <c r="E1849" s="7" t="s">
        <v>8398</v>
      </c>
      <c r="F1849" s="5" t="s">
        <v>8011</v>
      </c>
      <c r="G1849" s="5" t="s">
        <v>8358</v>
      </c>
      <c r="H1849" s="5">
        <v>2006.0</v>
      </c>
      <c r="I1849" s="5">
        <v>0.0</v>
      </c>
      <c r="J1849" s="5">
        <v>0.0</v>
      </c>
      <c r="K1849" s="5">
        <v>1.0</v>
      </c>
      <c r="L1849" s="54"/>
      <c r="M1849" s="5" t="s">
        <v>8402</v>
      </c>
      <c r="N1849" s="53" t="s">
        <v>8403</v>
      </c>
      <c r="O1849">
        <v>51.767787</v>
      </c>
      <c r="P1849">
        <v>0.087806</v>
      </c>
      <c r="Q1849" s="5" t="s">
        <v>1685</v>
      </c>
      <c r="R1849" s="10">
        <f t="shared" si="10"/>
        <v>1</v>
      </c>
      <c r="S1849" s="5" t="s">
        <v>8404</v>
      </c>
      <c r="T1849" s="5"/>
      <c r="U1849" s="5" t="s">
        <v>3219</v>
      </c>
      <c r="V1849" s="5"/>
    </row>
    <row r="1850" ht="12.75" customHeight="1">
      <c r="A1850" s="5">
        <v>35163.0</v>
      </c>
      <c r="B1850" s="5" t="s">
        <v>3409</v>
      </c>
      <c r="C1850" s="5" t="s">
        <v>211</v>
      </c>
      <c r="D1850" s="5" t="s">
        <v>2852</v>
      </c>
      <c r="E1850" s="7" t="s">
        <v>8405</v>
      </c>
      <c r="F1850" s="5" t="s">
        <v>8011</v>
      </c>
      <c r="G1850" s="5" t="s">
        <v>8358</v>
      </c>
      <c r="H1850" s="5">
        <v>2006.0</v>
      </c>
      <c r="I1850" s="5">
        <v>0.0</v>
      </c>
      <c r="J1850" s="5">
        <v>0.0</v>
      </c>
      <c r="K1850" s="5">
        <v>1.0</v>
      </c>
      <c r="L1850" s="54"/>
      <c r="M1850" s="5" t="s">
        <v>8406</v>
      </c>
      <c r="N1850" s="53" t="s">
        <v>4366</v>
      </c>
      <c r="O1850">
        <v>33.223191</v>
      </c>
      <c r="P1850">
        <v>43.679291</v>
      </c>
      <c r="Q1850" s="5" t="s">
        <v>523</v>
      </c>
      <c r="R1850" s="10">
        <f t="shared" si="10"/>
        <v>13</v>
      </c>
      <c r="S1850" s="5" t="s">
        <v>8407</v>
      </c>
      <c r="T1850" s="5"/>
      <c r="U1850" s="5" t="s">
        <v>3219</v>
      </c>
      <c r="V1850" s="5"/>
    </row>
    <row r="1851" ht="12.75" customHeight="1">
      <c r="A1851" s="5">
        <v>35162.0</v>
      </c>
      <c r="B1851" s="5" t="s">
        <v>49</v>
      </c>
      <c r="C1851" s="52" t="s">
        <v>50</v>
      </c>
      <c r="D1851" s="5" t="s">
        <v>2852</v>
      </c>
      <c r="E1851" s="7" t="s">
        <v>8405</v>
      </c>
      <c r="F1851" s="5" t="s">
        <v>8011</v>
      </c>
      <c r="G1851" s="5" t="s">
        <v>8358</v>
      </c>
      <c r="H1851" s="5">
        <v>2006.0</v>
      </c>
      <c r="I1851" s="5">
        <v>0.0</v>
      </c>
      <c r="J1851" s="5">
        <v>0.0</v>
      </c>
      <c r="K1851" s="5">
        <v>3.0</v>
      </c>
      <c r="L1851" s="54"/>
      <c r="M1851" s="5" t="s">
        <v>8408</v>
      </c>
      <c r="N1851" s="53" t="s">
        <v>2938</v>
      </c>
      <c r="O1851">
        <v>35.937496</v>
      </c>
      <c r="P1851">
        <v>14.375416</v>
      </c>
      <c r="Q1851" s="5" t="s">
        <v>740</v>
      </c>
      <c r="R1851" s="10">
        <f t="shared" si="10"/>
        <v>655</v>
      </c>
      <c r="S1851" s="5" t="s">
        <v>8409</v>
      </c>
      <c r="T1851" s="6" t="s">
        <v>2130</v>
      </c>
      <c r="U1851" s="5" t="s">
        <v>2919</v>
      </c>
      <c r="V1851" s="5"/>
    </row>
    <row r="1852" ht="12.75" customHeight="1">
      <c r="A1852" s="5">
        <v>35161.0</v>
      </c>
      <c r="B1852" s="5" t="s">
        <v>68</v>
      </c>
      <c r="C1852" s="5" t="s">
        <v>69</v>
      </c>
      <c r="D1852" s="5" t="s">
        <v>2852</v>
      </c>
      <c r="E1852" s="7" t="s">
        <v>8405</v>
      </c>
      <c r="F1852" s="5" t="s">
        <v>8011</v>
      </c>
      <c r="G1852" s="5" t="s">
        <v>8358</v>
      </c>
      <c r="H1852" s="5">
        <v>2006.0</v>
      </c>
      <c r="I1852" s="5">
        <v>0.0</v>
      </c>
      <c r="J1852" s="5">
        <v>0.0</v>
      </c>
      <c r="K1852" s="5">
        <v>2.0</v>
      </c>
      <c r="L1852" s="54"/>
      <c r="M1852" s="5" t="s">
        <v>8410</v>
      </c>
      <c r="N1852" s="53" t="s">
        <v>2938</v>
      </c>
      <c r="O1852">
        <v>35.937496</v>
      </c>
      <c r="P1852">
        <v>14.375416</v>
      </c>
      <c r="Q1852" s="5" t="s">
        <v>740</v>
      </c>
      <c r="R1852" s="10">
        <f t="shared" si="10"/>
        <v>655</v>
      </c>
      <c r="S1852" s="5" t="s">
        <v>8409</v>
      </c>
      <c r="T1852" s="6" t="s">
        <v>2130</v>
      </c>
      <c r="U1852" s="5" t="s">
        <v>3128</v>
      </c>
      <c r="V1852" s="5"/>
    </row>
    <row r="1853" ht="12.75" customHeight="1">
      <c r="A1853" s="5">
        <v>35164.0</v>
      </c>
      <c r="B1853" s="5" t="s">
        <v>49</v>
      </c>
      <c r="C1853" s="52" t="s">
        <v>50</v>
      </c>
      <c r="D1853" s="5" t="s">
        <v>2852</v>
      </c>
      <c r="E1853" s="7" t="s">
        <v>8411</v>
      </c>
      <c r="F1853" s="5" t="s">
        <v>8011</v>
      </c>
      <c r="G1853" s="5" t="s">
        <v>8358</v>
      </c>
      <c r="H1853" s="5">
        <v>2006.0</v>
      </c>
      <c r="I1853" s="5">
        <v>0.0</v>
      </c>
      <c r="J1853" s="5">
        <v>0.0</v>
      </c>
      <c r="K1853" s="5">
        <v>3.0</v>
      </c>
      <c r="L1853" s="54"/>
      <c r="M1853" s="5" t="s">
        <v>8412</v>
      </c>
      <c r="N1853" s="53" t="s">
        <v>4668</v>
      </c>
      <c r="O1853">
        <v>27.725499</v>
      </c>
      <c r="P1853">
        <v>-18.024301</v>
      </c>
      <c r="Q1853" s="5" t="s">
        <v>351</v>
      </c>
      <c r="R1853" s="10">
        <f t="shared" si="10"/>
        <v>41</v>
      </c>
      <c r="S1853" s="5" t="s">
        <v>8413</v>
      </c>
      <c r="T1853" s="5" t="s">
        <v>1040</v>
      </c>
      <c r="U1853" s="5" t="s">
        <v>8414</v>
      </c>
      <c r="V1853" s="5"/>
    </row>
    <row r="1854" ht="12.75" customHeight="1">
      <c r="A1854" s="5">
        <v>35166.0</v>
      </c>
      <c r="B1854" s="5" t="s">
        <v>49</v>
      </c>
      <c r="C1854" s="52" t="s">
        <v>50</v>
      </c>
      <c r="D1854" s="5" t="s">
        <v>2852</v>
      </c>
      <c r="E1854" s="7" t="s">
        <v>8411</v>
      </c>
      <c r="F1854" s="5" t="s">
        <v>8011</v>
      </c>
      <c r="G1854" s="5" t="s">
        <v>8358</v>
      </c>
      <c r="H1854" s="5">
        <v>2006.0</v>
      </c>
      <c r="I1854" s="5">
        <v>0.0</v>
      </c>
      <c r="J1854" s="5">
        <v>0.0</v>
      </c>
      <c r="K1854" s="5">
        <v>7.0</v>
      </c>
      <c r="L1854" s="54"/>
      <c r="M1854" s="5" t="s">
        <v>8415</v>
      </c>
      <c r="N1854" s="53" t="s">
        <v>3503</v>
      </c>
      <c r="O1854">
        <v>35.240117</v>
      </c>
      <c r="P1854">
        <v>24.809269</v>
      </c>
      <c r="Q1854" s="5" t="s">
        <v>641</v>
      </c>
      <c r="R1854" s="10">
        <f t="shared" si="10"/>
        <v>84</v>
      </c>
      <c r="S1854" s="5" t="s">
        <v>8416</v>
      </c>
      <c r="T1854" s="6" t="s">
        <v>53</v>
      </c>
      <c r="U1854" s="5" t="s">
        <v>8417</v>
      </c>
      <c r="V1854" s="5"/>
    </row>
    <row r="1855" ht="12.75" customHeight="1">
      <c r="A1855" s="5">
        <v>35165.0</v>
      </c>
      <c r="B1855" s="5" t="s">
        <v>49</v>
      </c>
      <c r="C1855" s="52" t="s">
        <v>50</v>
      </c>
      <c r="D1855" s="5" t="s">
        <v>2852</v>
      </c>
      <c r="E1855" s="7" t="s">
        <v>8411</v>
      </c>
      <c r="F1855" s="5" t="s">
        <v>8011</v>
      </c>
      <c r="G1855" s="5" t="s">
        <v>8358</v>
      </c>
      <c r="H1855" s="5">
        <v>2006.0</v>
      </c>
      <c r="I1855" s="5">
        <v>0.0</v>
      </c>
      <c r="J1855" s="5">
        <v>0.0</v>
      </c>
      <c r="K1855" s="5">
        <v>1.0</v>
      </c>
      <c r="L1855" s="54"/>
      <c r="M1855" s="5" t="s">
        <v>8418</v>
      </c>
      <c r="N1855" s="53" t="s">
        <v>8419</v>
      </c>
      <c r="O1855">
        <v>35.616667</v>
      </c>
      <c r="P1855">
        <v>5.133333</v>
      </c>
      <c r="Q1855" s="5" t="s">
        <v>684</v>
      </c>
      <c r="R1855" s="10">
        <f t="shared" si="10"/>
        <v>1</v>
      </c>
      <c r="S1855" s="5" t="s">
        <v>8420</v>
      </c>
      <c r="T1855" s="6" t="s">
        <v>72</v>
      </c>
      <c r="U1855" s="5" t="s">
        <v>8421</v>
      </c>
      <c r="V1855" s="5"/>
    </row>
    <row r="1856" ht="12.75" customHeight="1">
      <c r="A1856" s="5">
        <v>35168.0</v>
      </c>
      <c r="B1856" s="5" t="s">
        <v>1161</v>
      </c>
      <c r="C1856" s="5" t="s">
        <v>124</v>
      </c>
      <c r="D1856" s="5" t="s">
        <v>2852</v>
      </c>
      <c r="E1856" s="7" t="s">
        <v>8422</v>
      </c>
      <c r="F1856" s="5" t="s">
        <v>8011</v>
      </c>
      <c r="G1856" s="5" t="s">
        <v>8358</v>
      </c>
      <c r="H1856" s="5">
        <v>2006.0</v>
      </c>
      <c r="I1856" s="5">
        <v>0.0</v>
      </c>
      <c r="J1856" s="5">
        <v>0.0</v>
      </c>
      <c r="K1856" s="5">
        <v>4.0</v>
      </c>
      <c r="L1856" s="54"/>
      <c r="M1856" s="5" t="s">
        <v>8423</v>
      </c>
      <c r="N1856" s="53" t="s">
        <v>5160</v>
      </c>
      <c r="O1856">
        <v>14.764504</v>
      </c>
      <c r="P1856">
        <v>-17.366029</v>
      </c>
      <c r="Q1856" s="5" t="s">
        <v>266</v>
      </c>
      <c r="R1856" s="10">
        <f t="shared" si="10"/>
        <v>133</v>
      </c>
      <c r="S1856" s="5" t="s">
        <v>8424</v>
      </c>
      <c r="T1856" s="5" t="s">
        <v>1040</v>
      </c>
      <c r="U1856" s="5" t="s">
        <v>8425</v>
      </c>
      <c r="V1856" s="5"/>
    </row>
    <row r="1857" ht="12.75" customHeight="1">
      <c r="A1857" s="5">
        <v>35170.0</v>
      </c>
      <c r="B1857" s="5" t="s">
        <v>49</v>
      </c>
      <c r="C1857" s="52" t="s">
        <v>50</v>
      </c>
      <c r="D1857" s="5" t="s">
        <v>2852</v>
      </c>
      <c r="E1857" s="7" t="s">
        <v>8422</v>
      </c>
      <c r="F1857" s="5" t="s">
        <v>8011</v>
      </c>
      <c r="G1857" s="5" t="s">
        <v>8358</v>
      </c>
      <c r="H1857" s="5">
        <v>2006.0</v>
      </c>
      <c r="I1857" s="5">
        <v>0.0</v>
      </c>
      <c r="J1857" s="5">
        <v>0.0</v>
      </c>
      <c r="K1857" s="5">
        <v>28.0</v>
      </c>
      <c r="L1857" s="54"/>
      <c r="M1857" s="5" t="s">
        <v>8426</v>
      </c>
      <c r="N1857" s="53" t="s">
        <v>4941</v>
      </c>
      <c r="O1857">
        <v>28.291564</v>
      </c>
      <c r="P1857">
        <v>-16.62913</v>
      </c>
      <c r="Q1857" s="5" t="s">
        <v>382</v>
      </c>
      <c r="R1857" s="10">
        <f t="shared" si="10"/>
        <v>1120</v>
      </c>
      <c r="S1857" s="5" t="s">
        <v>8427</v>
      </c>
      <c r="T1857" s="5" t="s">
        <v>1040</v>
      </c>
      <c r="U1857" s="5" t="s">
        <v>8428</v>
      </c>
      <c r="V1857" s="5"/>
    </row>
    <row r="1858" ht="12.75" customHeight="1">
      <c r="A1858" s="5">
        <v>35171.0</v>
      </c>
      <c r="B1858" s="5" t="s">
        <v>491</v>
      </c>
      <c r="C1858" s="52" t="s">
        <v>50</v>
      </c>
      <c r="D1858" s="5" t="s">
        <v>2852</v>
      </c>
      <c r="E1858" s="7" t="s">
        <v>8422</v>
      </c>
      <c r="F1858" s="5" t="s">
        <v>8011</v>
      </c>
      <c r="G1858" s="5" t="s">
        <v>8358</v>
      </c>
      <c r="H1858" s="5">
        <v>2006.0</v>
      </c>
      <c r="I1858" s="5">
        <v>0.0</v>
      </c>
      <c r="J1858" s="5">
        <v>0.0</v>
      </c>
      <c r="K1858" s="5">
        <v>2.0</v>
      </c>
      <c r="L1858" s="54"/>
      <c r="M1858" s="5" t="s">
        <v>8429</v>
      </c>
      <c r="N1858" s="53" t="s">
        <v>2700</v>
      </c>
      <c r="O1858">
        <v>35.508622</v>
      </c>
      <c r="P1858">
        <v>12.59292</v>
      </c>
      <c r="Q1858" s="5" t="s">
        <v>669</v>
      </c>
      <c r="R1858" s="10">
        <f t="shared" si="10"/>
        <v>3843</v>
      </c>
      <c r="S1858" s="5" t="s">
        <v>8430</v>
      </c>
      <c r="T1858" s="6" t="s">
        <v>2130</v>
      </c>
      <c r="U1858" s="5" t="s">
        <v>8431</v>
      </c>
      <c r="V1858" s="5"/>
    </row>
    <row r="1859" ht="12.75" customHeight="1">
      <c r="A1859" s="5">
        <v>35169.0</v>
      </c>
      <c r="B1859" s="5" t="s">
        <v>491</v>
      </c>
      <c r="C1859" s="52" t="s">
        <v>50</v>
      </c>
      <c r="D1859" s="5" t="s">
        <v>2852</v>
      </c>
      <c r="E1859" s="7" t="s">
        <v>8422</v>
      </c>
      <c r="F1859" s="5" t="s">
        <v>8011</v>
      </c>
      <c r="G1859" s="5" t="s">
        <v>8358</v>
      </c>
      <c r="H1859" s="5">
        <v>2006.0</v>
      </c>
      <c r="I1859" s="5">
        <v>0.0</v>
      </c>
      <c r="J1859" s="5">
        <v>0.0</v>
      </c>
      <c r="K1859" s="5">
        <v>1.0</v>
      </c>
      <c r="L1859" s="54"/>
      <c r="M1859" s="5" t="s">
        <v>8432</v>
      </c>
      <c r="N1859" s="53" t="s">
        <v>2700</v>
      </c>
      <c r="O1859">
        <v>35.508622</v>
      </c>
      <c r="P1859">
        <v>12.59292</v>
      </c>
      <c r="Q1859" s="5" t="s">
        <v>669</v>
      </c>
      <c r="R1859" s="10">
        <f t="shared" si="10"/>
        <v>3843</v>
      </c>
      <c r="S1859" s="5" t="s">
        <v>8430</v>
      </c>
      <c r="T1859" s="6" t="s">
        <v>2130</v>
      </c>
      <c r="U1859" s="5" t="s">
        <v>8431</v>
      </c>
      <c r="V1859" s="5"/>
    </row>
    <row r="1860" ht="12.75" customHeight="1">
      <c r="A1860" s="5">
        <v>35172.0</v>
      </c>
      <c r="B1860" s="5" t="s">
        <v>2902</v>
      </c>
      <c r="C1860" s="5" t="s">
        <v>211</v>
      </c>
      <c r="D1860" s="5" t="s">
        <v>2852</v>
      </c>
      <c r="E1860" s="7" t="s">
        <v>8422</v>
      </c>
      <c r="F1860" s="5" t="s">
        <v>8011</v>
      </c>
      <c r="G1860" s="5" t="s">
        <v>8358</v>
      </c>
      <c r="H1860" s="5">
        <v>2006.0</v>
      </c>
      <c r="I1860" s="5">
        <v>0.0</v>
      </c>
      <c r="J1860" s="5">
        <v>0.0</v>
      </c>
      <c r="K1860" s="5">
        <v>1.0</v>
      </c>
      <c r="L1860" s="54"/>
      <c r="M1860" s="5" t="s">
        <v>8433</v>
      </c>
      <c r="N1860" s="53" t="s">
        <v>8434</v>
      </c>
      <c r="O1860">
        <v>51.453667</v>
      </c>
      <c r="P1860">
        <v>3.570912</v>
      </c>
      <c r="Q1860" s="5" t="s">
        <v>1625</v>
      </c>
      <c r="R1860" s="10">
        <f t="shared" si="10"/>
        <v>1</v>
      </c>
      <c r="S1860" s="5" t="s">
        <v>8435</v>
      </c>
      <c r="T1860" s="5"/>
      <c r="U1860" s="5" t="s">
        <v>8436</v>
      </c>
      <c r="V1860" s="5"/>
    </row>
    <row r="1861" ht="12.75" customHeight="1">
      <c r="A1861" s="5">
        <v>35167.0</v>
      </c>
      <c r="B1861" s="5" t="s">
        <v>763</v>
      </c>
      <c r="C1861" s="5" t="s">
        <v>124</v>
      </c>
      <c r="D1861" s="5" t="s">
        <v>2852</v>
      </c>
      <c r="E1861" s="7" t="s">
        <v>8422</v>
      </c>
      <c r="F1861" s="5" t="s">
        <v>8011</v>
      </c>
      <c r="G1861" s="5" t="s">
        <v>8358</v>
      </c>
      <c r="H1861" s="5">
        <v>2006.0</v>
      </c>
      <c r="I1861" s="5">
        <v>0.0</v>
      </c>
      <c r="J1861" s="5">
        <v>0.0</v>
      </c>
      <c r="K1861" s="5">
        <v>3.0</v>
      </c>
      <c r="L1861" s="54"/>
      <c r="M1861" s="5" t="s">
        <v>8437</v>
      </c>
      <c r="N1861" s="53" t="s">
        <v>8438</v>
      </c>
      <c r="O1861">
        <v>52.283056</v>
      </c>
      <c r="P1861">
        <v>13.8</v>
      </c>
      <c r="Q1861" s="5" t="s">
        <v>1737</v>
      </c>
      <c r="R1861" s="10">
        <f t="shared" si="10"/>
        <v>3</v>
      </c>
      <c r="S1861" s="5" t="s">
        <v>8439</v>
      </c>
      <c r="T1861" s="5"/>
      <c r="U1861" s="5" t="s">
        <v>8440</v>
      </c>
      <c r="V1861" s="5"/>
    </row>
    <row r="1862" ht="12.75" customHeight="1">
      <c r="A1862" s="5">
        <v>35175.0</v>
      </c>
      <c r="B1862" s="5" t="s">
        <v>49</v>
      </c>
      <c r="C1862" s="52" t="s">
        <v>50</v>
      </c>
      <c r="D1862" s="5" t="s">
        <v>2852</v>
      </c>
      <c r="E1862" s="7" t="s">
        <v>8441</v>
      </c>
      <c r="F1862" s="5" t="s">
        <v>8011</v>
      </c>
      <c r="G1862" s="5" t="s">
        <v>8358</v>
      </c>
      <c r="H1862" s="5">
        <v>2006.0</v>
      </c>
      <c r="I1862" s="5">
        <v>0.0</v>
      </c>
      <c r="J1862" s="5">
        <v>0.0</v>
      </c>
      <c r="K1862" s="5">
        <v>30.0</v>
      </c>
      <c r="L1862" s="54"/>
      <c r="M1862" s="5" t="s">
        <v>8442</v>
      </c>
      <c r="N1862" s="53" t="s">
        <v>5260</v>
      </c>
      <c r="O1862">
        <v>23.803497</v>
      </c>
      <c r="P1862">
        <v>11.291889</v>
      </c>
      <c r="Q1862" s="5" t="s">
        <v>324</v>
      </c>
      <c r="R1862" s="10">
        <f t="shared" si="10"/>
        <v>234</v>
      </c>
      <c r="S1862" s="5" t="s">
        <v>8443</v>
      </c>
      <c r="T1862" s="5"/>
      <c r="U1862" s="5" t="s">
        <v>8444</v>
      </c>
      <c r="V1862" s="5"/>
    </row>
    <row r="1863" ht="12.75" customHeight="1">
      <c r="A1863" s="5">
        <v>35174.0</v>
      </c>
      <c r="B1863" s="5" t="s">
        <v>68</v>
      </c>
      <c r="C1863" s="5" t="s">
        <v>69</v>
      </c>
      <c r="D1863" s="5" t="s">
        <v>2852</v>
      </c>
      <c r="E1863" s="7" t="s">
        <v>8441</v>
      </c>
      <c r="F1863" s="5" t="s">
        <v>8011</v>
      </c>
      <c r="G1863" s="5" t="s">
        <v>8358</v>
      </c>
      <c r="H1863" s="5">
        <v>2006.0</v>
      </c>
      <c r="I1863" s="5">
        <v>0.0</v>
      </c>
      <c r="J1863" s="5">
        <v>0.0</v>
      </c>
      <c r="K1863" s="5">
        <v>11.0</v>
      </c>
      <c r="L1863" s="54"/>
      <c r="M1863" s="5" t="s">
        <v>8445</v>
      </c>
      <c r="N1863" s="53" t="s">
        <v>4941</v>
      </c>
      <c r="O1863">
        <v>28.291564</v>
      </c>
      <c r="P1863">
        <v>-16.62913</v>
      </c>
      <c r="Q1863" s="5" t="s">
        <v>382</v>
      </c>
      <c r="R1863" s="10">
        <f t="shared" si="10"/>
        <v>1120</v>
      </c>
      <c r="S1863" s="5" t="s">
        <v>8446</v>
      </c>
      <c r="T1863" s="5" t="s">
        <v>1040</v>
      </c>
      <c r="U1863" s="5" t="s">
        <v>7788</v>
      </c>
      <c r="V1863" s="5"/>
    </row>
    <row r="1864" ht="12.75" customHeight="1">
      <c r="A1864" s="5">
        <v>35173.0</v>
      </c>
      <c r="B1864" s="5" t="s">
        <v>41</v>
      </c>
      <c r="C1864" s="5" t="s">
        <v>42</v>
      </c>
      <c r="D1864" s="5" t="s">
        <v>2614</v>
      </c>
      <c r="E1864" s="7" t="s">
        <v>8441</v>
      </c>
      <c r="F1864" s="5" t="s">
        <v>8011</v>
      </c>
      <c r="G1864" s="5" t="s">
        <v>8358</v>
      </c>
      <c r="H1864" s="5">
        <v>2006.0</v>
      </c>
      <c r="I1864" s="5">
        <v>0.0</v>
      </c>
      <c r="J1864" s="5">
        <v>0.0</v>
      </c>
      <c r="K1864" s="5">
        <v>1.0</v>
      </c>
      <c r="L1864" s="54"/>
      <c r="M1864" s="5" t="s">
        <v>8447</v>
      </c>
      <c r="N1864" s="53" t="s">
        <v>2718</v>
      </c>
      <c r="O1864">
        <v>35.292278</v>
      </c>
      <c r="P1864">
        <v>-2.938097</v>
      </c>
      <c r="Q1864" s="5" t="s">
        <v>649</v>
      </c>
      <c r="R1864" s="10">
        <f t="shared" si="10"/>
        <v>79</v>
      </c>
      <c r="S1864" s="5" t="s">
        <v>8448</v>
      </c>
      <c r="T1864" s="6" t="s">
        <v>72</v>
      </c>
      <c r="U1864" s="5" t="s">
        <v>2165</v>
      </c>
      <c r="V1864" s="5" t="s">
        <v>7846</v>
      </c>
    </row>
    <row r="1865" ht="12.75" customHeight="1">
      <c r="A1865" s="5">
        <v>35176.0</v>
      </c>
      <c r="B1865" s="5" t="s">
        <v>68</v>
      </c>
      <c r="C1865" s="5" t="s">
        <v>69</v>
      </c>
      <c r="D1865" s="5" t="s">
        <v>2852</v>
      </c>
      <c r="E1865" s="7" t="s">
        <v>8449</v>
      </c>
      <c r="F1865" s="5" t="s">
        <v>8011</v>
      </c>
      <c r="G1865" s="5" t="s">
        <v>8358</v>
      </c>
      <c r="H1865" s="5">
        <v>2006.0</v>
      </c>
      <c r="I1865" s="5">
        <v>0.0</v>
      </c>
      <c r="J1865" s="5">
        <v>0.0</v>
      </c>
      <c r="K1865" s="5">
        <v>1.0</v>
      </c>
      <c r="L1865" s="54"/>
      <c r="M1865" s="5" t="s">
        <v>8450</v>
      </c>
      <c r="N1865" s="53" t="s">
        <v>5086</v>
      </c>
      <c r="O1865">
        <v>51.511214</v>
      </c>
      <c r="P1865">
        <v>-0.119824</v>
      </c>
      <c r="Q1865" s="5" t="s">
        <v>1662</v>
      </c>
      <c r="R1865" s="10">
        <f t="shared" si="10"/>
        <v>9</v>
      </c>
      <c r="S1865" s="5" t="s">
        <v>8451</v>
      </c>
      <c r="T1865" s="5"/>
      <c r="U1865" s="5" t="s">
        <v>8452</v>
      </c>
      <c r="V1865" s="5"/>
    </row>
    <row r="1866" ht="12.75" customHeight="1">
      <c r="A1866" s="5">
        <v>35177.0</v>
      </c>
      <c r="B1866" s="5" t="s">
        <v>491</v>
      </c>
      <c r="C1866" s="52" t="s">
        <v>50</v>
      </c>
      <c r="D1866" s="5" t="s">
        <v>2852</v>
      </c>
      <c r="E1866" s="7" t="s">
        <v>8453</v>
      </c>
      <c r="F1866" s="5" t="s">
        <v>8011</v>
      </c>
      <c r="G1866" s="5" t="s">
        <v>8358</v>
      </c>
      <c r="H1866" s="5">
        <v>2006.0</v>
      </c>
      <c r="I1866" s="5">
        <v>0.0</v>
      </c>
      <c r="J1866" s="5">
        <v>0.0</v>
      </c>
      <c r="K1866" s="5">
        <v>11.0</v>
      </c>
      <c r="L1866" s="54"/>
      <c r="M1866" s="5" t="s">
        <v>8454</v>
      </c>
      <c r="N1866" s="53" t="s">
        <v>4941</v>
      </c>
      <c r="O1866">
        <v>28.291564</v>
      </c>
      <c r="P1866">
        <v>-16.62913</v>
      </c>
      <c r="Q1866" s="5" t="s">
        <v>382</v>
      </c>
      <c r="R1866" s="10">
        <f t="shared" si="10"/>
        <v>1120</v>
      </c>
      <c r="S1866" s="5" t="s">
        <v>8455</v>
      </c>
      <c r="T1866" s="5" t="s">
        <v>1040</v>
      </c>
      <c r="U1866" s="5" t="s">
        <v>4492</v>
      </c>
      <c r="V1866" s="5"/>
    </row>
    <row r="1867" ht="12.75" customHeight="1">
      <c r="A1867" s="5">
        <v>35179.0</v>
      </c>
      <c r="B1867" s="5" t="s">
        <v>49</v>
      </c>
      <c r="C1867" s="52" t="s">
        <v>50</v>
      </c>
      <c r="D1867" s="5" t="s">
        <v>2852</v>
      </c>
      <c r="E1867" s="7" t="s">
        <v>8456</v>
      </c>
      <c r="F1867" s="5" t="s">
        <v>8011</v>
      </c>
      <c r="G1867" s="5" t="s">
        <v>8358</v>
      </c>
      <c r="H1867" s="5">
        <v>2006.0</v>
      </c>
      <c r="I1867" s="5">
        <v>0.0</v>
      </c>
      <c r="J1867" s="5">
        <v>0.0</v>
      </c>
      <c r="K1867" s="5">
        <v>1.0</v>
      </c>
      <c r="L1867" s="54"/>
      <c r="M1867" s="5" t="s">
        <v>8457</v>
      </c>
      <c r="N1867" s="53" t="s">
        <v>2700</v>
      </c>
      <c r="O1867">
        <v>35.508622</v>
      </c>
      <c r="P1867">
        <v>12.59292</v>
      </c>
      <c r="Q1867" s="5" t="s">
        <v>669</v>
      </c>
      <c r="R1867" s="10">
        <f t="shared" si="10"/>
        <v>3843</v>
      </c>
      <c r="S1867" s="5" t="s">
        <v>8458</v>
      </c>
      <c r="T1867" s="6" t="s">
        <v>2130</v>
      </c>
      <c r="U1867" s="5" t="s">
        <v>8459</v>
      </c>
      <c r="V1867" s="5"/>
    </row>
    <row r="1868" ht="12.75" customHeight="1">
      <c r="A1868" s="5">
        <v>35178.0</v>
      </c>
      <c r="B1868" s="5" t="s">
        <v>68</v>
      </c>
      <c r="C1868" s="5" t="s">
        <v>69</v>
      </c>
      <c r="D1868" s="5" t="s">
        <v>2614</v>
      </c>
      <c r="E1868" s="7" t="s">
        <v>8456</v>
      </c>
      <c r="F1868" s="5" t="s">
        <v>8011</v>
      </c>
      <c r="G1868" s="5" t="s">
        <v>8358</v>
      </c>
      <c r="H1868" s="5">
        <v>2006.0</v>
      </c>
      <c r="I1868" s="5">
        <v>0.0</v>
      </c>
      <c r="J1868" s="5">
        <v>0.0</v>
      </c>
      <c r="K1868" s="5">
        <v>1.0</v>
      </c>
      <c r="L1868" s="54"/>
      <c r="M1868" s="5" t="s">
        <v>8460</v>
      </c>
      <c r="N1868" s="53" t="s">
        <v>3146</v>
      </c>
      <c r="O1868">
        <v>39.16408</v>
      </c>
      <c r="P1868">
        <v>26.372171</v>
      </c>
      <c r="Q1868" s="5" t="s">
        <v>1068</v>
      </c>
      <c r="R1868" s="10">
        <f t="shared" si="10"/>
        <v>101</v>
      </c>
      <c r="S1868" s="5" t="s">
        <v>8461</v>
      </c>
      <c r="T1868" s="6" t="s">
        <v>53</v>
      </c>
      <c r="U1868" s="5" t="s">
        <v>3318</v>
      </c>
      <c r="V1868" s="5" t="s">
        <v>8462</v>
      </c>
    </row>
    <row r="1869" ht="12.75" customHeight="1">
      <c r="A1869" s="5">
        <v>35180.0</v>
      </c>
      <c r="B1869" s="5" t="s">
        <v>2902</v>
      </c>
      <c r="C1869" s="5" t="s">
        <v>211</v>
      </c>
      <c r="D1869" s="5" t="s">
        <v>2852</v>
      </c>
      <c r="E1869" s="7" t="s">
        <v>8456</v>
      </c>
      <c r="F1869" s="5" t="s">
        <v>8011</v>
      </c>
      <c r="G1869" s="5" t="s">
        <v>8358</v>
      </c>
      <c r="H1869" s="5">
        <v>2006.0</v>
      </c>
      <c r="I1869" s="5">
        <v>0.0</v>
      </c>
      <c r="J1869" s="5">
        <v>0.0</v>
      </c>
      <c r="K1869" s="5">
        <v>1.0</v>
      </c>
      <c r="L1869" s="54"/>
      <c r="M1869" s="5" t="s">
        <v>8463</v>
      </c>
      <c r="N1869" s="53" t="s">
        <v>4095</v>
      </c>
      <c r="O1869">
        <v>55.378051</v>
      </c>
      <c r="P1869">
        <v>-3.435973</v>
      </c>
      <c r="Q1869" s="5" t="s">
        <v>1882</v>
      </c>
      <c r="R1869" s="10">
        <f t="shared" si="10"/>
        <v>23</v>
      </c>
      <c r="S1869" s="5" t="s">
        <v>8464</v>
      </c>
      <c r="T1869" s="5"/>
      <c r="U1869" s="5" t="s">
        <v>3219</v>
      </c>
      <c r="V1869" s="5"/>
    </row>
    <row r="1870" ht="12.75" customHeight="1">
      <c r="A1870" s="5">
        <v>35182.0</v>
      </c>
      <c r="B1870" s="5" t="s">
        <v>98</v>
      </c>
      <c r="C1870" s="5" t="s">
        <v>62</v>
      </c>
      <c r="D1870" s="5" t="s">
        <v>2852</v>
      </c>
      <c r="E1870" s="7" t="s">
        <v>8465</v>
      </c>
      <c r="F1870" s="5" t="s">
        <v>8011</v>
      </c>
      <c r="G1870" s="5" t="s">
        <v>8358</v>
      </c>
      <c r="H1870" s="5">
        <v>2006.0</v>
      </c>
      <c r="I1870" s="5">
        <v>0.0</v>
      </c>
      <c r="J1870" s="5">
        <v>0.0</v>
      </c>
      <c r="K1870" s="5">
        <v>2.0</v>
      </c>
      <c r="L1870" s="54"/>
      <c r="M1870" s="5" t="s">
        <v>8466</v>
      </c>
      <c r="N1870" s="53" t="s">
        <v>7081</v>
      </c>
      <c r="O1870">
        <v>32.427908</v>
      </c>
      <c r="P1870">
        <v>53.688046</v>
      </c>
      <c r="Q1870" s="5" t="s">
        <v>470</v>
      </c>
      <c r="R1870" s="10">
        <f t="shared" si="10"/>
        <v>95</v>
      </c>
      <c r="S1870" s="5" t="s">
        <v>8467</v>
      </c>
      <c r="T1870" s="5"/>
      <c r="U1870" s="5" t="s">
        <v>8468</v>
      </c>
      <c r="V1870" s="5"/>
    </row>
    <row r="1871" ht="12.75" customHeight="1">
      <c r="A1871" s="5">
        <v>35181.0</v>
      </c>
      <c r="B1871" s="5" t="s">
        <v>68</v>
      </c>
      <c r="C1871" s="5" t="s">
        <v>69</v>
      </c>
      <c r="D1871" s="5" t="s">
        <v>2852</v>
      </c>
      <c r="E1871" s="7" t="s">
        <v>8465</v>
      </c>
      <c r="F1871" s="5" t="s">
        <v>8011</v>
      </c>
      <c r="G1871" s="5" t="s">
        <v>8358</v>
      </c>
      <c r="H1871" s="5">
        <v>2006.0</v>
      </c>
      <c r="I1871" s="5">
        <v>0.0</v>
      </c>
      <c r="J1871" s="5">
        <v>0.0</v>
      </c>
      <c r="K1871" s="5">
        <v>1.0</v>
      </c>
      <c r="L1871" s="54"/>
      <c r="M1871" s="5" t="s">
        <v>8469</v>
      </c>
      <c r="N1871" s="53" t="s">
        <v>7081</v>
      </c>
      <c r="O1871">
        <v>32.427908</v>
      </c>
      <c r="P1871">
        <v>53.688046</v>
      </c>
      <c r="Q1871" s="5" t="s">
        <v>470</v>
      </c>
      <c r="R1871" s="10">
        <f t="shared" si="10"/>
        <v>95</v>
      </c>
      <c r="S1871" s="5" t="s">
        <v>8467</v>
      </c>
      <c r="T1871" s="5"/>
      <c r="U1871" s="5" t="s">
        <v>8468</v>
      </c>
      <c r="V1871" s="5"/>
    </row>
    <row r="1872" ht="12.75" customHeight="1">
      <c r="A1872" s="5">
        <v>53693.0</v>
      </c>
      <c r="B1872" s="5" t="s">
        <v>49</v>
      </c>
      <c r="C1872" s="52" t="s">
        <v>50</v>
      </c>
      <c r="D1872" s="5"/>
      <c r="E1872" s="7" t="s">
        <v>8465</v>
      </c>
      <c r="F1872" s="5" t="s">
        <v>8011</v>
      </c>
      <c r="G1872" s="5" t="s">
        <v>8358</v>
      </c>
      <c r="H1872" s="5">
        <v>2006.0</v>
      </c>
      <c r="I1872" s="5">
        <v>0.0</v>
      </c>
      <c r="J1872" s="5">
        <v>0.0</v>
      </c>
      <c r="K1872" s="5">
        <v>1.0</v>
      </c>
      <c r="L1872" s="54"/>
      <c r="M1872" s="5" t="s">
        <v>4002</v>
      </c>
      <c r="N1872" s="53" t="s">
        <v>4003</v>
      </c>
      <c r="O1872">
        <v>52.825559</v>
      </c>
      <c r="P1872">
        <v>14.197083</v>
      </c>
      <c r="Q1872" s="5" t="s">
        <v>1796</v>
      </c>
      <c r="R1872" s="10">
        <f t="shared" si="10"/>
        <v>6</v>
      </c>
      <c r="S1872" s="5" t="s">
        <v>8470</v>
      </c>
      <c r="T1872" s="5"/>
      <c r="U1872" s="5" t="s">
        <v>4005</v>
      </c>
      <c r="V1872" s="5"/>
    </row>
    <row r="1873" ht="12.75" customHeight="1">
      <c r="A1873" s="5">
        <v>35239.0</v>
      </c>
      <c r="B1873" s="5" t="s">
        <v>68</v>
      </c>
      <c r="C1873" s="5" t="s">
        <v>69</v>
      </c>
      <c r="D1873" s="5" t="s">
        <v>2614</v>
      </c>
      <c r="E1873" s="7" t="s">
        <v>8471</v>
      </c>
      <c r="F1873" s="5" t="s">
        <v>8472</v>
      </c>
      <c r="G1873" s="5" t="s">
        <v>8473</v>
      </c>
      <c r="H1873" s="5">
        <v>2005.0</v>
      </c>
      <c r="I1873" s="5">
        <v>0.0</v>
      </c>
      <c r="J1873" s="5">
        <v>0.0</v>
      </c>
      <c r="K1873" s="5">
        <v>17.0</v>
      </c>
      <c r="L1873" s="54"/>
      <c r="M1873" s="5" t="s">
        <v>8474</v>
      </c>
      <c r="N1873" s="53" t="s">
        <v>4941</v>
      </c>
      <c r="O1873">
        <v>28.291564</v>
      </c>
      <c r="P1873">
        <v>-16.62913</v>
      </c>
      <c r="Q1873" s="5" t="s">
        <v>382</v>
      </c>
      <c r="R1873" s="10">
        <f t="shared" si="10"/>
        <v>1120</v>
      </c>
      <c r="S1873" s="5" t="s">
        <v>8475</v>
      </c>
      <c r="T1873" s="5" t="s">
        <v>1040</v>
      </c>
      <c r="U1873" s="5" t="s">
        <v>2165</v>
      </c>
      <c r="V1873" s="5" t="s">
        <v>8476</v>
      </c>
    </row>
    <row r="1874" ht="12.75" customHeight="1">
      <c r="A1874" s="5">
        <v>35238.0</v>
      </c>
      <c r="B1874" s="5" t="s">
        <v>68</v>
      </c>
      <c r="C1874" s="5" t="s">
        <v>69</v>
      </c>
      <c r="D1874" s="5" t="s">
        <v>2614</v>
      </c>
      <c r="E1874" s="7" t="s">
        <v>8471</v>
      </c>
      <c r="F1874" s="5" t="s">
        <v>8472</v>
      </c>
      <c r="G1874" s="5" t="s">
        <v>8473</v>
      </c>
      <c r="H1874" s="5">
        <v>2005.0</v>
      </c>
      <c r="I1874" s="5">
        <v>0.0</v>
      </c>
      <c r="J1874" s="5">
        <v>0.0</v>
      </c>
      <c r="K1874" s="5">
        <v>3.0</v>
      </c>
      <c r="L1874" s="54"/>
      <c r="M1874" s="5" t="s">
        <v>8477</v>
      </c>
      <c r="N1874" s="53" t="s">
        <v>2638</v>
      </c>
      <c r="O1874">
        <v>35.888384</v>
      </c>
      <c r="P1874">
        <v>-5.324636</v>
      </c>
      <c r="Q1874" s="5" t="s">
        <v>717</v>
      </c>
      <c r="R1874" s="10">
        <f t="shared" si="10"/>
        <v>213</v>
      </c>
      <c r="S1874" s="5" t="s">
        <v>8478</v>
      </c>
      <c r="T1874" s="6" t="s">
        <v>72</v>
      </c>
      <c r="U1874" s="5" t="s">
        <v>8479</v>
      </c>
      <c r="V1874" s="5" t="s">
        <v>8480</v>
      </c>
    </row>
    <row r="1875" ht="12.75" customHeight="1">
      <c r="A1875" s="5">
        <v>35240.0</v>
      </c>
      <c r="B1875" s="5" t="s">
        <v>49</v>
      </c>
      <c r="C1875" s="52" t="s">
        <v>50</v>
      </c>
      <c r="D1875" s="5" t="s">
        <v>2852</v>
      </c>
      <c r="E1875" s="7" t="s">
        <v>8481</v>
      </c>
      <c r="F1875" s="5" t="s">
        <v>8472</v>
      </c>
      <c r="G1875" s="5" t="s">
        <v>8473</v>
      </c>
      <c r="H1875" s="5">
        <v>2005.0</v>
      </c>
      <c r="I1875" s="5">
        <v>0.0</v>
      </c>
      <c r="J1875" s="5">
        <v>0.0</v>
      </c>
      <c r="K1875" s="5">
        <v>1.0</v>
      </c>
      <c r="L1875" s="54"/>
      <c r="M1875" s="5" t="s">
        <v>8482</v>
      </c>
      <c r="N1875" s="53" t="s">
        <v>3073</v>
      </c>
      <c r="O1875">
        <v>37.31109</v>
      </c>
      <c r="P1875">
        <v>13.576548</v>
      </c>
      <c r="Q1875" s="5" t="s">
        <v>923</v>
      </c>
      <c r="R1875" s="10">
        <f t="shared" si="10"/>
        <v>3</v>
      </c>
      <c r="S1875" s="5" t="s">
        <v>8483</v>
      </c>
      <c r="T1875" s="6" t="s">
        <v>2130</v>
      </c>
      <c r="U1875" s="5" t="s">
        <v>3490</v>
      </c>
      <c r="V1875" s="5"/>
    </row>
    <row r="1876" ht="12.75" customHeight="1">
      <c r="A1876" s="5">
        <v>35241.0</v>
      </c>
      <c r="B1876" s="5" t="s">
        <v>68</v>
      </c>
      <c r="C1876" s="5" t="s">
        <v>69</v>
      </c>
      <c r="D1876" s="5" t="s">
        <v>2614</v>
      </c>
      <c r="E1876" s="7" t="s">
        <v>8484</v>
      </c>
      <c r="F1876" s="5" t="s">
        <v>8472</v>
      </c>
      <c r="G1876" s="5" t="s">
        <v>8473</v>
      </c>
      <c r="H1876" s="5">
        <v>2005.0</v>
      </c>
      <c r="I1876" s="5">
        <v>0.0</v>
      </c>
      <c r="J1876" s="5">
        <v>0.0</v>
      </c>
      <c r="K1876" s="5">
        <v>1.0</v>
      </c>
      <c r="L1876" s="54"/>
      <c r="M1876" s="5" t="s">
        <v>8485</v>
      </c>
      <c r="N1876" s="53" t="s">
        <v>3300</v>
      </c>
      <c r="O1876">
        <v>35.126413</v>
      </c>
      <c r="P1876">
        <v>33.429859</v>
      </c>
      <c r="Q1876" s="5" t="s">
        <v>624</v>
      </c>
      <c r="R1876" s="10">
        <f t="shared" si="10"/>
        <v>40</v>
      </c>
      <c r="S1876" s="5" t="s">
        <v>8486</v>
      </c>
      <c r="T1876" s="5"/>
      <c r="U1876" s="5" t="s">
        <v>7559</v>
      </c>
      <c r="V1876" s="5" t="s">
        <v>8487</v>
      </c>
    </row>
    <row r="1877" ht="12.75" customHeight="1">
      <c r="A1877" s="5">
        <v>35242.0</v>
      </c>
      <c r="B1877" s="5" t="s">
        <v>41</v>
      </c>
      <c r="C1877" s="5" t="s">
        <v>42</v>
      </c>
      <c r="D1877" s="5" t="s">
        <v>2852</v>
      </c>
      <c r="E1877" s="7" t="s">
        <v>8484</v>
      </c>
      <c r="F1877" s="5" t="s">
        <v>8472</v>
      </c>
      <c r="G1877" s="5" t="s">
        <v>8473</v>
      </c>
      <c r="H1877" s="5">
        <v>2005.0</v>
      </c>
      <c r="I1877" s="5">
        <v>0.0</v>
      </c>
      <c r="J1877" s="5">
        <v>0.0</v>
      </c>
      <c r="K1877" s="5">
        <v>5.0</v>
      </c>
      <c r="L1877" s="54"/>
      <c r="M1877" s="5" t="s">
        <v>8488</v>
      </c>
      <c r="N1877" s="53" t="s">
        <v>2638</v>
      </c>
      <c r="O1877">
        <v>35.888384</v>
      </c>
      <c r="P1877">
        <v>-5.324636</v>
      </c>
      <c r="Q1877" s="5" t="s">
        <v>717</v>
      </c>
      <c r="R1877" s="10">
        <f t="shared" si="10"/>
        <v>213</v>
      </c>
      <c r="S1877" s="5" t="s">
        <v>8489</v>
      </c>
      <c r="T1877" s="6" t="s">
        <v>72</v>
      </c>
      <c r="U1877" s="5" t="s">
        <v>8490</v>
      </c>
      <c r="V1877" s="5" t="s">
        <v>8491</v>
      </c>
    </row>
    <row r="1878" ht="12.75" customHeight="1">
      <c r="A1878" s="5">
        <v>35243.0</v>
      </c>
      <c r="B1878" s="5" t="s">
        <v>49</v>
      </c>
      <c r="C1878" s="52" t="s">
        <v>50</v>
      </c>
      <c r="D1878" s="5" t="s">
        <v>2852</v>
      </c>
      <c r="E1878" s="7" t="s">
        <v>8492</v>
      </c>
      <c r="F1878" s="5" t="s">
        <v>8472</v>
      </c>
      <c r="G1878" s="5" t="s">
        <v>8473</v>
      </c>
      <c r="H1878" s="5">
        <v>2005.0</v>
      </c>
      <c r="I1878" s="5">
        <v>0.0</v>
      </c>
      <c r="J1878" s="5">
        <v>0.0</v>
      </c>
      <c r="K1878" s="5">
        <v>34.0</v>
      </c>
      <c r="L1878" s="54"/>
      <c r="M1878" s="5" t="s">
        <v>8493</v>
      </c>
      <c r="N1878" s="53" t="s">
        <v>3300</v>
      </c>
      <c r="O1878">
        <v>35.126413</v>
      </c>
      <c r="P1878">
        <v>33.429859</v>
      </c>
      <c r="Q1878" s="5" t="s">
        <v>624</v>
      </c>
      <c r="R1878" s="10">
        <f t="shared" si="10"/>
        <v>40</v>
      </c>
      <c r="S1878" s="5" t="s">
        <v>8494</v>
      </c>
      <c r="T1878" s="6" t="s">
        <v>53</v>
      </c>
      <c r="U1878" s="5" t="s">
        <v>8495</v>
      </c>
      <c r="V1878" s="5"/>
    </row>
    <row r="1879" ht="12.75" customHeight="1">
      <c r="A1879" s="5">
        <v>35244.0</v>
      </c>
      <c r="B1879" s="5" t="s">
        <v>49</v>
      </c>
      <c r="C1879" s="52" t="s">
        <v>50</v>
      </c>
      <c r="D1879" s="5" t="s">
        <v>2852</v>
      </c>
      <c r="E1879" s="7" t="s">
        <v>8492</v>
      </c>
      <c r="F1879" s="5" t="s">
        <v>8472</v>
      </c>
      <c r="G1879" s="5" t="s">
        <v>8473</v>
      </c>
      <c r="H1879" s="5">
        <v>2005.0</v>
      </c>
      <c r="I1879" s="5">
        <v>0.0</v>
      </c>
      <c r="J1879" s="5">
        <v>0.0</v>
      </c>
      <c r="K1879" s="5">
        <v>1.0</v>
      </c>
      <c r="L1879" s="54"/>
      <c r="M1879" s="5" t="s">
        <v>8496</v>
      </c>
      <c r="N1879" s="53" t="s">
        <v>3657</v>
      </c>
      <c r="O1879">
        <v>36.711697</v>
      </c>
      <c r="P1879">
        <v>14.773094</v>
      </c>
      <c r="Q1879" s="5" t="s">
        <v>822</v>
      </c>
      <c r="R1879" s="10">
        <f t="shared" si="10"/>
        <v>2</v>
      </c>
      <c r="S1879" s="5" t="s">
        <v>8497</v>
      </c>
      <c r="T1879" s="6" t="s">
        <v>2130</v>
      </c>
      <c r="U1879" s="5" t="s">
        <v>8498</v>
      </c>
      <c r="V1879" s="5"/>
    </row>
    <row r="1880" ht="12.75" customHeight="1">
      <c r="A1880" s="5">
        <v>35245.0</v>
      </c>
      <c r="B1880" s="5" t="s">
        <v>68</v>
      </c>
      <c r="C1880" s="5" t="s">
        <v>69</v>
      </c>
      <c r="D1880" s="5" t="s">
        <v>2614</v>
      </c>
      <c r="E1880" s="7" t="s">
        <v>8499</v>
      </c>
      <c r="F1880" s="5" t="s">
        <v>8472</v>
      </c>
      <c r="G1880" s="5" t="s">
        <v>8473</v>
      </c>
      <c r="H1880" s="5">
        <v>2005.0</v>
      </c>
      <c r="I1880" s="5">
        <v>0.0</v>
      </c>
      <c r="J1880" s="5">
        <v>0.0</v>
      </c>
      <c r="K1880" s="5">
        <v>6.0</v>
      </c>
      <c r="L1880" s="54"/>
      <c r="M1880" s="5" t="s">
        <v>8500</v>
      </c>
      <c r="N1880" s="53" t="s">
        <v>2700</v>
      </c>
      <c r="O1880">
        <v>35.508622</v>
      </c>
      <c r="P1880">
        <v>12.59292</v>
      </c>
      <c r="Q1880" s="5" t="s">
        <v>669</v>
      </c>
      <c r="R1880" s="10">
        <f t="shared" si="10"/>
        <v>3843</v>
      </c>
      <c r="S1880" s="5" t="s">
        <v>8501</v>
      </c>
      <c r="T1880" s="6" t="s">
        <v>2130</v>
      </c>
      <c r="U1880" s="5" t="s">
        <v>8502</v>
      </c>
      <c r="V1880" s="5" t="s">
        <v>8503</v>
      </c>
    </row>
    <row r="1881" ht="12.75" customHeight="1">
      <c r="A1881" s="5">
        <v>35246.0</v>
      </c>
      <c r="B1881" s="5" t="s">
        <v>763</v>
      </c>
      <c r="C1881" s="5" t="s">
        <v>124</v>
      </c>
      <c r="D1881" s="5" t="s">
        <v>2614</v>
      </c>
      <c r="E1881" s="7" t="s">
        <v>8504</v>
      </c>
      <c r="F1881" s="5" t="s">
        <v>8472</v>
      </c>
      <c r="G1881" s="5" t="s">
        <v>8473</v>
      </c>
      <c r="H1881" s="5">
        <v>2005.0</v>
      </c>
      <c r="I1881" s="5">
        <v>0.0</v>
      </c>
      <c r="J1881" s="5">
        <v>0.0</v>
      </c>
      <c r="K1881" s="5">
        <v>6.0</v>
      </c>
      <c r="L1881" s="54"/>
      <c r="M1881" s="5" t="s">
        <v>8505</v>
      </c>
      <c r="N1881" s="53" t="s">
        <v>8506</v>
      </c>
      <c r="O1881">
        <v>39.9</v>
      </c>
      <c r="P1881">
        <v>41.27</v>
      </c>
      <c r="Q1881" s="5" t="s">
        <v>1113</v>
      </c>
      <c r="R1881" s="10">
        <f t="shared" si="10"/>
        <v>6</v>
      </c>
      <c r="S1881" s="5" t="s">
        <v>8507</v>
      </c>
      <c r="T1881" s="5"/>
      <c r="U1881" s="5" t="s">
        <v>7559</v>
      </c>
      <c r="V1881" s="5" t="s">
        <v>8508</v>
      </c>
    </row>
    <row r="1882" ht="12.75" customHeight="1">
      <c r="A1882" s="5">
        <v>35247.0</v>
      </c>
      <c r="B1882" s="5" t="s">
        <v>49</v>
      </c>
      <c r="C1882" s="52" t="s">
        <v>50</v>
      </c>
      <c r="D1882" s="5" t="s">
        <v>2852</v>
      </c>
      <c r="E1882" s="7" t="s">
        <v>8509</v>
      </c>
      <c r="F1882" s="5" t="s">
        <v>8472</v>
      </c>
      <c r="G1882" s="5" t="s">
        <v>8473</v>
      </c>
      <c r="H1882" s="5">
        <v>2005.0</v>
      </c>
      <c r="I1882" s="5">
        <v>0.0</v>
      </c>
      <c r="J1882" s="5">
        <v>0.0</v>
      </c>
      <c r="K1882" s="5">
        <v>18.0</v>
      </c>
      <c r="L1882" s="54"/>
      <c r="M1882" s="5" t="s">
        <v>8510</v>
      </c>
      <c r="N1882" s="53" t="s">
        <v>5291</v>
      </c>
      <c r="O1882">
        <v>23.69751</v>
      </c>
      <c r="P1882">
        <v>-15.93698</v>
      </c>
      <c r="Q1882" s="5" t="s">
        <v>323</v>
      </c>
      <c r="R1882" s="10">
        <f t="shared" si="10"/>
        <v>177</v>
      </c>
      <c r="S1882" s="5" t="s">
        <v>8511</v>
      </c>
      <c r="T1882" s="5" t="s">
        <v>1040</v>
      </c>
      <c r="U1882" s="5" t="s">
        <v>8512</v>
      </c>
      <c r="V1882" s="5" t="s">
        <v>8513</v>
      </c>
    </row>
    <row r="1883" ht="12.75" customHeight="1">
      <c r="A1883" s="5">
        <v>35248.0</v>
      </c>
      <c r="B1883" s="5" t="s">
        <v>491</v>
      </c>
      <c r="C1883" s="52" t="s">
        <v>50</v>
      </c>
      <c r="D1883" s="5" t="s">
        <v>2852</v>
      </c>
      <c r="E1883" s="7" t="s">
        <v>8509</v>
      </c>
      <c r="F1883" s="5" t="s">
        <v>8472</v>
      </c>
      <c r="G1883" s="5" t="s">
        <v>8473</v>
      </c>
      <c r="H1883" s="5">
        <v>2005.0</v>
      </c>
      <c r="I1883" s="5">
        <v>0.0</v>
      </c>
      <c r="J1883" s="5">
        <v>0.0</v>
      </c>
      <c r="K1883" s="5">
        <v>4.0</v>
      </c>
      <c r="L1883" s="54"/>
      <c r="M1883" s="5" t="s">
        <v>8514</v>
      </c>
      <c r="N1883" s="53" t="s">
        <v>3524</v>
      </c>
      <c r="O1883">
        <v>36.81881</v>
      </c>
      <c r="P1883">
        <v>10.16596</v>
      </c>
      <c r="Q1883" s="5" t="s">
        <v>854</v>
      </c>
      <c r="R1883" s="10">
        <f t="shared" si="10"/>
        <v>540</v>
      </c>
      <c r="S1883" s="5" t="s">
        <v>8515</v>
      </c>
      <c r="T1883" s="6" t="s">
        <v>2130</v>
      </c>
      <c r="U1883" s="5" t="s">
        <v>2875</v>
      </c>
      <c r="V1883" s="5"/>
    </row>
    <row r="1884" ht="12.75" customHeight="1">
      <c r="A1884" s="5">
        <v>35249.0</v>
      </c>
      <c r="B1884" s="5" t="s">
        <v>41</v>
      </c>
      <c r="C1884" s="5" t="s">
        <v>42</v>
      </c>
      <c r="D1884" s="5" t="s">
        <v>2852</v>
      </c>
      <c r="E1884" s="7" t="s">
        <v>8516</v>
      </c>
      <c r="F1884" s="5" t="s">
        <v>8472</v>
      </c>
      <c r="G1884" s="5" t="s">
        <v>8473</v>
      </c>
      <c r="H1884" s="5">
        <v>2005.0</v>
      </c>
      <c r="I1884" s="5">
        <v>0.0</v>
      </c>
      <c r="J1884" s="5">
        <v>0.0</v>
      </c>
      <c r="K1884" s="5">
        <v>2.0</v>
      </c>
      <c r="L1884" s="54"/>
      <c r="M1884" s="5" t="s">
        <v>8517</v>
      </c>
      <c r="N1884" s="53" t="s">
        <v>2844</v>
      </c>
      <c r="O1884">
        <v>38.370981</v>
      </c>
      <c r="P1884">
        <v>26.136346</v>
      </c>
      <c r="Q1884" s="5" t="s">
        <v>1020</v>
      </c>
      <c r="R1884" s="10">
        <f t="shared" si="10"/>
        <v>31</v>
      </c>
      <c r="S1884" s="5" t="s">
        <v>8518</v>
      </c>
      <c r="T1884" s="6" t="s">
        <v>53</v>
      </c>
      <c r="U1884" s="5" t="s">
        <v>8519</v>
      </c>
      <c r="V1884" s="5" t="s">
        <v>8520</v>
      </c>
    </row>
    <row r="1885" ht="12.75" customHeight="1">
      <c r="A1885" s="5">
        <v>35252.0</v>
      </c>
      <c r="B1885" s="5" t="s">
        <v>68</v>
      </c>
      <c r="C1885" s="5" t="s">
        <v>69</v>
      </c>
      <c r="D1885" s="5" t="s">
        <v>2852</v>
      </c>
      <c r="E1885" s="7" t="s">
        <v>8521</v>
      </c>
      <c r="F1885" s="5" t="s">
        <v>8472</v>
      </c>
      <c r="G1885" s="5" t="s">
        <v>8473</v>
      </c>
      <c r="H1885" s="5">
        <v>2005.0</v>
      </c>
      <c r="I1885" s="5">
        <v>0.0</v>
      </c>
      <c r="J1885" s="5">
        <v>0.0</v>
      </c>
      <c r="K1885" s="5">
        <v>1.0</v>
      </c>
      <c r="L1885" s="54"/>
      <c r="M1885" s="5" t="s">
        <v>8522</v>
      </c>
      <c r="N1885" s="53" t="s">
        <v>2718</v>
      </c>
      <c r="O1885">
        <v>35.292278</v>
      </c>
      <c r="P1885">
        <v>-2.938097</v>
      </c>
      <c r="Q1885" s="5" t="s">
        <v>649</v>
      </c>
      <c r="R1885" s="10">
        <f t="shared" si="10"/>
        <v>79</v>
      </c>
      <c r="S1885" s="5" t="s">
        <v>8523</v>
      </c>
      <c r="T1885" s="6" t="s">
        <v>72</v>
      </c>
      <c r="U1885" s="5" t="s">
        <v>8524</v>
      </c>
      <c r="V1885" s="5"/>
    </row>
    <row r="1886" ht="12.75" customHeight="1">
      <c r="A1886" s="5">
        <v>35251.0</v>
      </c>
      <c r="B1886" s="5" t="s">
        <v>41</v>
      </c>
      <c r="C1886" s="5" t="s">
        <v>42</v>
      </c>
      <c r="D1886" s="5" t="s">
        <v>2614</v>
      </c>
      <c r="E1886" s="7" t="s">
        <v>8521</v>
      </c>
      <c r="F1886" s="5" t="s">
        <v>8472</v>
      </c>
      <c r="G1886" s="5" t="s">
        <v>8473</v>
      </c>
      <c r="H1886" s="5">
        <v>2005.0</v>
      </c>
      <c r="I1886" s="5">
        <v>0.0</v>
      </c>
      <c r="J1886" s="5">
        <v>0.0</v>
      </c>
      <c r="K1886" s="5">
        <v>1.0</v>
      </c>
      <c r="L1886" s="54"/>
      <c r="M1886" s="5" t="s">
        <v>8525</v>
      </c>
      <c r="N1886" s="53" t="s">
        <v>2718</v>
      </c>
      <c r="O1886">
        <v>35.292278</v>
      </c>
      <c r="P1886">
        <v>-2.938097</v>
      </c>
      <c r="Q1886" s="5" t="s">
        <v>649</v>
      </c>
      <c r="R1886" s="10">
        <f t="shared" si="10"/>
        <v>79</v>
      </c>
      <c r="S1886" s="5" t="s">
        <v>8523</v>
      </c>
      <c r="T1886" s="6" t="s">
        <v>72</v>
      </c>
      <c r="U1886" s="5" t="s">
        <v>8479</v>
      </c>
      <c r="V1886" s="5" t="s">
        <v>8480</v>
      </c>
    </row>
    <row r="1887" ht="12.75" customHeight="1">
      <c r="A1887" s="5">
        <v>35250.0</v>
      </c>
      <c r="B1887" s="5" t="s">
        <v>68</v>
      </c>
      <c r="C1887" s="5" t="s">
        <v>69</v>
      </c>
      <c r="D1887" s="5" t="s">
        <v>2614</v>
      </c>
      <c r="E1887" s="7" t="s">
        <v>8521</v>
      </c>
      <c r="F1887" s="5" t="s">
        <v>8472</v>
      </c>
      <c r="G1887" s="5" t="s">
        <v>8473</v>
      </c>
      <c r="H1887" s="5">
        <v>2005.0</v>
      </c>
      <c r="I1887" s="5">
        <v>0.0</v>
      </c>
      <c r="J1887" s="5">
        <v>0.0</v>
      </c>
      <c r="K1887" s="5">
        <v>4.0</v>
      </c>
      <c r="L1887" s="54"/>
      <c r="M1887" s="5" t="s">
        <v>8526</v>
      </c>
      <c r="N1887" s="53" t="s">
        <v>8527</v>
      </c>
      <c r="O1887">
        <v>45.928847</v>
      </c>
      <c r="P1887">
        <v>24.929615</v>
      </c>
      <c r="Q1887" s="5" t="s">
        <v>1339</v>
      </c>
      <c r="R1887" s="10">
        <f t="shared" si="10"/>
        <v>4</v>
      </c>
      <c r="S1887" s="5" t="s">
        <v>8528</v>
      </c>
      <c r="T1887" s="5"/>
      <c r="U1887" s="5" t="s">
        <v>7559</v>
      </c>
      <c r="V1887" s="5" t="s">
        <v>8529</v>
      </c>
    </row>
    <row r="1888" ht="12.75" customHeight="1">
      <c r="A1888" s="5">
        <v>35253.0</v>
      </c>
      <c r="B1888" s="5" t="s">
        <v>2962</v>
      </c>
      <c r="C1888" s="5" t="s">
        <v>211</v>
      </c>
      <c r="D1888" s="5" t="s">
        <v>2852</v>
      </c>
      <c r="E1888" s="7" t="s">
        <v>8521</v>
      </c>
      <c r="F1888" s="5" t="s">
        <v>8472</v>
      </c>
      <c r="G1888" s="5" t="s">
        <v>8473</v>
      </c>
      <c r="H1888" s="5">
        <v>2005.0</v>
      </c>
      <c r="I1888" s="5">
        <v>0.0</v>
      </c>
      <c r="J1888" s="5">
        <v>0.0</v>
      </c>
      <c r="K1888" s="5">
        <v>1.0</v>
      </c>
      <c r="L1888" s="54"/>
      <c r="M1888" s="5" t="s">
        <v>8530</v>
      </c>
      <c r="N1888" s="53" t="s">
        <v>8531</v>
      </c>
      <c r="O1888">
        <v>52.193566</v>
      </c>
      <c r="P1888">
        <v>-0.482377</v>
      </c>
      <c r="Q1888" s="5" t="s">
        <v>1724</v>
      </c>
      <c r="R1888" s="10">
        <f t="shared" si="10"/>
        <v>1</v>
      </c>
      <c r="S1888" s="5" t="s">
        <v>8532</v>
      </c>
      <c r="T1888" s="5"/>
      <c r="U1888" s="5" t="s">
        <v>8533</v>
      </c>
      <c r="V1888" s="5"/>
    </row>
    <row r="1889" ht="12.75" customHeight="1">
      <c r="A1889" s="5">
        <v>35254.0</v>
      </c>
      <c r="B1889" s="5" t="s">
        <v>49</v>
      </c>
      <c r="C1889" s="52" t="s">
        <v>50</v>
      </c>
      <c r="D1889" s="5" t="s">
        <v>2852</v>
      </c>
      <c r="E1889" s="7" t="s">
        <v>8534</v>
      </c>
      <c r="F1889" s="5" t="s">
        <v>8472</v>
      </c>
      <c r="G1889" s="5" t="s">
        <v>8473</v>
      </c>
      <c r="H1889" s="5">
        <v>2005.0</v>
      </c>
      <c r="I1889" s="5">
        <v>0.0</v>
      </c>
      <c r="J1889" s="5">
        <v>0.0</v>
      </c>
      <c r="K1889" s="5">
        <v>1.0</v>
      </c>
      <c r="L1889" s="54"/>
      <c r="M1889" s="5" t="s">
        <v>8535</v>
      </c>
      <c r="N1889" s="53" t="s">
        <v>8536</v>
      </c>
      <c r="O1889">
        <v>53.474021</v>
      </c>
      <c r="P1889">
        <v>-2.290393</v>
      </c>
      <c r="Q1889" s="5" t="s">
        <v>1836</v>
      </c>
      <c r="R1889" s="10">
        <f t="shared" si="10"/>
        <v>1</v>
      </c>
      <c r="S1889" s="5" t="s">
        <v>8537</v>
      </c>
      <c r="T1889" s="5"/>
      <c r="U1889" s="5" t="s">
        <v>8538</v>
      </c>
      <c r="V1889" s="5"/>
    </row>
    <row r="1890" ht="12.75" customHeight="1">
      <c r="A1890" s="5">
        <v>35256.0</v>
      </c>
      <c r="B1890" s="5" t="s">
        <v>68</v>
      </c>
      <c r="C1890" s="5" t="s">
        <v>69</v>
      </c>
      <c r="D1890" s="5" t="s">
        <v>2614</v>
      </c>
      <c r="E1890" s="7" t="s">
        <v>8539</v>
      </c>
      <c r="F1890" s="5" t="s">
        <v>8472</v>
      </c>
      <c r="G1890" s="5" t="s">
        <v>8473</v>
      </c>
      <c r="H1890" s="5">
        <v>2005.0</v>
      </c>
      <c r="I1890" s="5">
        <v>0.0</v>
      </c>
      <c r="J1890" s="5">
        <v>0.0</v>
      </c>
      <c r="K1890" s="5">
        <v>1.0</v>
      </c>
      <c r="L1890" s="54"/>
      <c r="M1890" s="5" t="s">
        <v>8540</v>
      </c>
      <c r="N1890" s="53" t="s">
        <v>3073</v>
      </c>
      <c r="O1890">
        <v>37.31109</v>
      </c>
      <c r="P1890">
        <v>13.576548</v>
      </c>
      <c r="Q1890" s="5" t="s">
        <v>923</v>
      </c>
      <c r="R1890" s="10">
        <f t="shared" si="10"/>
        <v>3</v>
      </c>
      <c r="S1890" s="5" t="s">
        <v>8541</v>
      </c>
      <c r="T1890" s="6" t="s">
        <v>2130</v>
      </c>
      <c r="U1890" s="5" t="s">
        <v>8542</v>
      </c>
      <c r="V1890" s="5" t="s">
        <v>8543</v>
      </c>
    </row>
    <row r="1891" ht="12.75" customHeight="1">
      <c r="A1891" s="5">
        <v>35255.0</v>
      </c>
      <c r="B1891" s="5" t="s">
        <v>41</v>
      </c>
      <c r="C1891" s="5" t="s">
        <v>42</v>
      </c>
      <c r="D1891" s="5" t="s">
        <v>2614</v>
      </c>
      <c r="E1891" s="7" t="s">
        <v>8539</v>
      </c>
      <c r="F1891" s="5" t="s">
        <v>8472</v>
      </c>
      <c r="G1891" s="5" t="s">
        <v>8473</v>
      </c>
      <c r="H1891" s="5">
        <v>2005.0</v>
      </c>
      <c r="I1891" s="5">
        <v>0.0</v>
      </c>
      <c r="J1891" s="5">
        <v>0.0</v>
      </c>
      <c r="K1891" s="5">
        <v>1.0</v>
      </c>
      <c r="L1891" s="54"/>
      <c r="M1891" s="5" t="s">
        <v>8544</v>
      </c>
      <c r="N1891" s="53" t="s">
        <v>8545</v>
      </c>
      <c r="O1891">
        <v>41.608635</v>
      </c>
      <c r="P1891">
        <v>21.745275</v>
      </c>
      <c r="Q1891" s="5" t="s">
        <v>1230</v>
      </c>
      <c r="R1891" s="10">
        <f t="shared" si="10"/>
        <v>1</v>
      </c>
      <c r="S1891" s="5" t="s">
        <v>8546</v>
      </c>
      <c r="T1891" s="5"/>
      <c r="U1891" s="5" t="s">
        <v>3318</v>
      </c>
      <c r="V1891" s="5" t="s">
        <v>8547</v>
      </c>
    </row>
    <row r="1892" ht="12.75" customHeight="1">
      <c r="A1892" s="5">
        <v>35257.0</v>
      </c>
      <c r="B1892" s="5" t="s">
        <v>68</v>
      </c>
      <c r="C1892" s="5" t="s">
        <v>69</v>
      </c>
      <c r="D1892" s="5" t="s">
        <v>2852</v>
      </c>
      <c r="E1892" s="7" t="s">
        <v>8539</v>
      </c>
      <c r="F1892" s="5" t="s">
        <v>8472</v>
      </c>
      <c r="G1892" s="5" t="s">
        <v>8473</v>
      </c>
      <c r="H1892" s="5">
        <v>2005.0</v>
      </c>
      <c r="I1892" s="5">
        <v>0.0</v>
      </c>
      <c r="J1892" s="5">
        <v>0.0</v>
      </c>
      <c r="K1892" s="5">
        <v>2.0</v>
      </c>
      <c r="L1892" s="54"/>
      <c r="M1892" s="5" t="s">
        <v>8548</v>
      </c>
      <c r="N1892" s="53" t="s">
        <v>6557</v>
      </c>
      <c r="O1892">
        <v>46.198392</v>
      </c>
      <c r="P1892">
        <v>6.142296</v>
      </c>
      <c r="Q1892" s="5" t="s">
        <v>1345</v>
      </c>
      <c r="R1892" s="10">
        <f t="shared" si="10"/>
        <v>3</v>
      </c>
      <c r="S1892" s="5" t="s">
        <v>8549</v>
      </c>
      <c r="T1892" s="5"/>
      <c r="U1892" s="5" t="s">
        <v>8550</v>
      </c>
      <c r="V1892" s="5"/>
    </row>
    <row r="1893" ht="12.75" customHeight="1">
      <c r="A1893" s="5">
        <v>35258.0</v>
      </c>
      <c r="B1893" s="5" t="s">
        <v>68</v>
      </c>
      <c r="C1893" s="5" t="s">
        <v>69</v>
      </c>
      <c r="D1893" s="5" t="s">
        <v>2614</v>
      </c>
      <c r="E1893" s="7" t="s">
        <v>8551</v>
      </c>
      <c r="F1893" s="5" t="s">
        <v>8472</v>
      </c>
      <c r="G1893" s="5" t="s">
        <v>8473</v>
      </c>
      <c r="H1893" s="5">
        <v>2005.0</v>
      </c>
      <c r="I1893" s="5">
        <v>0.0</v>
      </c>
      <c r="J1893" s="5">
        <v>0.0</v>
      </c>
      <c r="K1893" s="5">
        <v>1.0</v>
      </c>
      <c r="L1893" s="54"/>
      <c r="M1893" s="5" t="s">
        <v>8552</v>
      </c>
      <c r="N1893" s="53" t="s">
        <v>2718</v>
      </c>
      <c r="O1893">
        <v>35.292278</v>
      </c>
      <c r="P1893">
        <v>-2.938097</v>
      </c>
      <c r="Q1893" s="5" t="s">
        <v>649</v>
      </c>
      <c r="R1893" s="10">
        <f t="shared" si="10"/>
        <v>79</v>
      </c>
      <c r="S1893" s="5" t="s">
        <v>8553</v>
      </c>
      <c r="T1893" s="6" t="s">
        <v>72</v>
      </c>
      <c r="U1893" s="5" t="s">
        <v>2165</v>
      </c>
      <c r="V1893" s="5" t="s">
        <v>8554</v>
      </c>
    </row>
    <row r="1894" ht="12.75" customHeight="1">
      <c r="A1894" s="5">
        <v>35259.0</v>
      </c>
      <c r="B1894" s="5" t="s">
        <v>5200</v>
      </c>
      <c r="C1894" s="5" t="s">
        <v>124</v>
      </c>
      <c r="D1894" s="5" t="s">
        <v>2852</v>
      </c>
      <c r="E1894" s="7" t="s">
        <v>8551</v>
      </c>
      <c r="F1894" s="5" t="s">
        <v>8472</v>
      </c>
      <c r="G1894" s="5" t="s">
        <v>8473</v>
      </c>
      <c r="H1894" s="5">
        <v>2005.0</v>
      </c>
      <c r="I1894" s="5">
        <v>0.0</v>
      </c>
      <c r="J1894" s="5">
        <v>0.0</v>
      </c>
      <c r="K1894" s="5">
        <v>2.0</v>
      </c>
      <c r="L1894" s="54"/>
      <c r="M1894" s="5" t="s">
        <v>8555</v>
      </c>
      <c r="N1894" s="53" t="s">
        <v>8556</v>
      </c>
      <c r="O1894">
        <v>41.645487</v>
      </c>
      <c r="P1894">
        <v>26.476442</v>
      </c>
      <c r="Q1894" s="5" t="s">
        <v>1232</v>
      </c>
      <c r="R1894" s="10">
        <f t="shared" si="10"/>
        <v>4</v>
      </c>
      <c r="S1894" s="5" t="s">
        <v>8557</v>
      </c>
      <c r="T1894" s="6" t="s">
        <v>53</v>
      </c>
      <c r="U1894" s="5" t="s">
        <v>8558</v>
      </c>
      <c r="V1894" s="5"/>
    </row>
    <row r="1895" ht="12.75" customHeight="1">
      <c r="A1895" s="5">
        <v>35260.0</v>
      </c>
      <c r="B1895" s="5" t="s">
        <v>68</v>
      </c>
      <c r="C1895" s="5" t="s">
        <v>69</v>
      </c>
      <c r="D1895" s="5" t="s">
        <v>2614</v>
      </c>
      <c r="E1895" s="7" t="s">
        <v>8559</v>
      </c>
      <c r="F1895" s="5" t="s">
        <v>8472</v>
      </c>
      <c r="G1895" s="5" t="s">
        <v>8473</v>
      </c>
      <c r="H1895" s="5">
        <v>2005.0</v>
      </c>
      <c r="I1895" s="5">
        <v>0.0</v>
      </c>
      <c r="J1895" s="5">
        <v>0.0</v>
      </c>
      <c r="K1895" s="5">
        <v>21.0</v>
      </c>
      <c r="L1895" s="54"/>
      <c r="M1895" s="5" t="s">
        <v>8560</v>
      </c>
      <c r="N1895" s="53" t="s">
        <v>4739</v>
      </c>
      <c r="O1895">
        <v>37.074153</v>
      </c>
      <c r="P1895">
        <v>14.240354</v>
      </c>
      <c r="Q1895" s="5" t="s">
        <v>894</v>
      </c>
      <c r="R1895" s="10">
        <f t="shared" si="10"/>
        <v>59</v>
      </c>
      <c r="S1895" s="5" t="s">
        <v>8561</v>
      </c>
      <c r="T1895" s="6" t="s">
        <v>2130</v>
      </c>
      <c r="U1895" s="5" t="s">
        <v>8502</v>
      </c>
      <c r="V1895" s="5" t="s">
        <v>8562</v>
      </c>
    </row>
    <row r="1896" ht="12.75" customHeight="1">
      <c r="A1896" s="5">
        <v>35261.0</v>
      </c>
      <c r="B1896" s="5" t="s">
        <v>763</v>
      </c>
      <c r="C1896" s="5" t="s">
        <v>124</v>
      </c>
      <c r="D1896" s="5" t="s">
        <v>2614</v>
      </c>
      <c r="E1896" s="7" t="s">
        <v>8563</v>
      </c>
      <c r="F1896" s="5" t="s">
        <v>8472</v>
      </c>
      <c r="G1896" s="5" t="s">
        <v>8473</v>
      </c>
      <c r="H1896" s="5">
        <v>2005.0</v>
      </c>
      <c r="I1896" s="5">
        <v>0.0</v>
      </c>
      <c r="J1896" s="5">
        <v>0.0</v>
      </c>
      <c r="K1896" s="5">
        <v>4.0</v>
      </c>
      <c r="L1896" s="54"/>
      <c r="M1896" s="5" t="s">
        <v>8564</v>
      </c>
      <c r="N1896" s="53" t="s">
        <v>3251</v>
      </c>
      <c r="O1896">
        <v>39.074208</v>
      </c>
      <c r="P1896">
        <v>21.824312</v>
      </c>
      <c r="Q1896" s="5" t="s">
        <v>1061</v>
      </c>
      <c r="R1896" s="10">
        <f t="shared" si="10"/>
        <v>20</v>
      </c>
      <c r="S1896" s="5" t="s">
        <v>8565</v>
      </c>
      <c r="T1896" s="5"/>
      <c r="U1896" s="5" t="s">
        <v>3318</v>
      </c>
      <c r="V1896" s="5" t="s">
        <v>8566</v>
      </c>
    </row>
    <row r="1897" ht="12.75" customHeight="1">
      <c r="A1897" s="5">
        <v>35262.0</v>
      </c>
      <c r="B1897" s="5" t="s">
        <v>2962</v>
      </c>
      <c r="C1897" s="5" t="s">
        <v>211</v>
      </c>
      <c r="D1897" s="5" t="s">
        <v>2852</v>
      </c>
      <c r="E1897" s="7" t="s">
        <v>8567</v>
      </c>
      <c r="F1897" s="5" t="s">
        <v>8472</v>
      </c>
      <c r="G1897" s="5" t="s">
        <v>8473</v>
      </c>
      <c r="H1897" s="5">
        <v>2005.0</v>
      </c>
      <c r="I1897" s="5">
        <v>0.0</v>
      </c>
      <c r="J1897" s="5">
        <v>0.0</v>
      </c>
      <c r="K1897" s="6">
        <v>1.0</v>
      </c>
      <c r="L1897" s="54"/>
      <c r="M1897" s="5" t="s">
        <v>8568</v>
      </c>
      <c r="N1897" s="53" t="s">
        <v>8569</v>
      </c>
      <c r="O1897">
        <v>53.545921</v>
      </c>
      <c r="P1897">
        <v>-2.201948</v>
      </c>
      <c r="Q1897" s="5" t="s">
        <v>1845</v>
      </c>
      <c r="R1897" s="10">
        <f t="shared" si="10"/>
        <v>1</v>
      </c>
      <c r="S1897" s="5" t="s">
        <v>8570</v>
      </c>
      <c r="T1897" s="5"/>
      <c r="U1897" s="5" t="s">
        <v>8571</v>
      </c>
      <c r="V1897" s="5"/>
    </row>
    <row r="1898" ht="12.75" customHeight="1">
      <c r="A1898" s="5">
        <v>35263.0</v>
      </c>
      <c r="B1898" s="5" t="s">
        <v>41</v>
      </c>
      <c r="C1898" s="5" t="s">
        <v>42</v>
      </c>
      <c r="D1898" s="5" t="s">
        <v>2614</v>
      </c>
      <c r="E1898" s="7" t="s">
        <v>8572</v>
      </c>
      <c r="F1898" s="5" t="s">
        <v>8472</v>
      </c>
      <c r="G1898" s="5" t="s">
        <v>8473</v>
      </c>
      <c r="H1898" s="5">
        <v>2005.0</v>
      </c>
      <c r="I1898" s="5">
        <v>0.0</v>
      </c>
      <c r="J1898" s="5">
        <v>0.0</v>
      </c>
      <c r="K1898" s="5">
        <v>1.0</v>
      </c>
      <c r="L1898" s="54"/>
      <c r="M1898" s="5" t="s">
        <v>8573</v>
      </c>
      <c r="N1898" s="53" t="s">
        <v>2718</v>
      </c>
      <c r="O1898">
        <v>35.292278</v>
      </c>
      <c r="P1898">
        <v>-2.938097</v>
      </c>
      <c r="Q1898" s="5" t="s">
        <v>649</v>
      </c>
      <c r="R1898" s="10">
        <f t="shared" si="10"/>
        <v>79</v>
      </c>
      <c r="S1898" s="5" t="s">
        <v>8574</v>
      </c>
      <c r="T1898" s="6" t="s">
        <v>72</v>
      </c>
      <c r="U1898" s="5" t="s">
        <v>2165</v>
      </c>
      <c r="V1898" s="5" t="s">
        <v>8575</v>
      </c>
    </row>
    <row r="1899" ht="12.75" customHeight="1">
      <c r="A1899" s="5">
        <v>35264.0</v>
      </c>
      <c r="B1899" s="5" t="s">
        <v>68</v>
      </c>
      <c r="C1899" s="5" t="s">
        <v>69</v>
      </c>
      <c r="D1899" s="5" t="s">
        <v>2852</v>
      </c>
      <c r="E1899" s="7" t="s">
        <v>8576</v>
      </c>
      <c r="F1899" s="5" t="s">
        <v>8472</v>
      </c>
      <c r="G1899" s="5" t="s">
        <v>8577</v>
      </c>
      <c r="H1899" s="5">
        <v>2005.0</v>
      </c>
      <c r="I1899" s="5">
        <v>0.0</v>
      </c>
      <c r="J1899" s="5">
        <v>0.0</v>
      </c>
      <c r="K1899" s="5">
        <v>2.0</v>
      </c>
      <c r="L1899" s="54"/>
      <c r="M1899" s="5" t="s">
        <v>8578</v>
      </c>
      <c r="N1899" s="53" t="s">
        <v>2718</v>
      </c>
      <c r="O1899">
        <v>35.292278</v>
      </c>
      <c r="P1899">
        <v>-2.938097</v>
      </c>
      <c r="Q1899" s="5" t="s">
        <v>649</v>
      </c>
      <c r="R1899" s="10">
        <f t="shared" si="10"/>
        <v>79</v>
      </c>
      <c r="S1899" s="5" t="s">
        <v>8579</v>
      </c>
      <c r="T1899" s="6" t="s">
        <v>72</v>
      </c>
      <c r="U1899" s="5" t="s">
        <v>8580</v>
      </c>
      <c r="V1899" s="5" t="s">
        <v>8581</v>
      </c>
    </row>
    <row r="1900" ht="12.75" customHeight="1">
      <c r="A1900" s="5">
        <v>35265.0</v>
      </c>
      <c r="B1900" s="5" t="s">
        <v>68</v>
      </c>
      <c r="C1900" s="5" t="s">
        <v>69</v>
      </c>
      <c r="D1900" s="5" t="s">
        <v>2614</v>
      </c>
      <c r="E1900" s="7" t="s">
        <v>8582</v>
      </c>
      <c r="F1900" s="5" t="s">
        <v>8472</v>
      </c>
      <c r="G1900" s="5" t="s">
        <v>8577</v>
      </c>
      <c r="H1900" s="5">
        <v>2005.0</v>
      </c>
      <c r="I1900" s="5">
        <v>0.0</v>
      </c>
      <c r="J1900" s="5">
        <v>0.0</v>
      </c>
      <c r="K1900" s="5">
        <v>25.0</v>
      </c>
      <c r="L1900" s="54"/>
      <c r="M1900" s="5" t="s">
        <v>8583</v>
      </c>
      <c r="N1900" s="53" t="s">
        <v>2944</v>
      </c>
      <c r="O1900">
        <v>-12.8275</v>
      </c>
      <c r="P1900">
        <v>45.166244</v>
      </c>
      <c r="Q1900" s="5" t="s">
        <v>228</v>
      </c>
      <c r="R1900" s="10">
        <f t="shared" si="10"/>
        <v>757</v>
      </c>
      <c r="S1900" s="5" t="s">
        <v>8584</v>
      </c>
      <c r="T1900" s="5"/>
      <c r="U1900" s="5" t="s">
        <v>8097</v>
      </c>
      <c r="V1900" s="5" t="s">
        <v>8585</v>
      </c>
    </row>
    <row r="1901" ht="12.75" customHeight="1">
      <c r="A1901" s="5">
        <v>35266.0</v>
      </c>
      <c r="B1901" s="5" t="s">
        <v>49</v>
      </c>
      <c r="C1901" s="52" t="s">
        <v>50</v>
      </c>
      <c r="D1901" s="5" t="s">
        <v>2852</v>
      </c>
      <c r="E1901" s="7" t="s">
        <v>8586</v>
      </c>
      <c r="F1901" s="5" t="s">
        <v>8472</v>
      </c>
      <c r="G1901" s="5" t="s">
        <v>8577</v>
      </c>
      <c r="H1901" s="5">
        <v>2005.0</v>
      </c>
      <c r="I1901" s="5">
        <v>0.0</v>
      </c>
      <c r="J1901" s="5">
        <v>0.0</v>
      </c>
      <c r="K1901" s="5">
        <v>26.0</v>
      </c>
      <c r="L1901" s="54"/>
      <c r="M1901" s="5" t="s">
        <v>8587</v>
      </c>
      <c r="N1901" s="53" t="s">
        <v>2938</v>
      </c>
      <c r="O1901">
        <v>35.937496</v>
      </c>
      <c r="P1901">
        <v>14.375416</v>
      </c>
      <c r="Q1901" s="5" t="s">
        <v>740</v>
      </c>
      <c r="R1901" s="10">
        <f t="shared" si="10"/>
        <v>655</v>
      </c>
      <c r="S1901" s="5" t="s">
        <v>8588</v>
      </c>
      <c r="T1901" s="6" t="s">
        <v>2130</v>
      </c>
      <c r="U1901" s="5" t="s">
        <v>8589</v>
      </c>
      <c r="V1901" s="5"/>
    </row>
    <row r="1902" ht="12.75" customHeight="1">
      <c r="A1902" s="5">
        <v>35267.0</v>
      </c>
      <c r="B1902" s="5" t="s">
        <v>68</v>
      </c>
      <c r="C1902" s="5" t="s">
        <v>69</v>
      </c>
      <c r="D1902" s="5" t="s">
        <v>2614</v>
      </c>
      <c r="E1902" s="7" t="s">
        <v>8590</v>
      </c>
      <c r="F1902" s="5" t="s">
        <v>8472</v>
      </c>
      <c r="G1902" s="5" t="s">
        <v>8577</v>
      </c>
      <c r="H1902" s="5">
        <v>2005.0</v>
      </c>
      <c r="I1902" s="5">
        <v>0.0</v>
      </c>
      <c r="J1902" s="5">
        <v>0.0</v>
      </c>
      <c r="K1902" s="5">
        <v>2.0</v>
      </c>
      <c r="L1902" s="54"/>
      <c r="M1902" s="5" t="s">
        <v>8591</v>
      </c>
      <c r="N1902" s="53" t="s">
        <v>4556</v>
      </c>
      <c r="O1902">
        <v>28.291564</v>
      </c>
      <c r="P1902">
        <v>-16.62913</v>
      </c>
      <c r="Q1902" s="5" t="s">
        <v>382</v>
      </c>
      <c r="R1902" s="10">
        <f t="shared" si="10"/>
        <v>1120</v>
      </c>
      <c r="S1902" s="5" t="s">
        <v>8592</v>
      </c>
      <c r="T1902" s="5" t="s">
        <v>1040</v>
      </c>
      <c r="U1902" s="5" t="s">
        <v>2165</v>
      </c>
      <c r="V1902" s="5" t="s">
        <v>8593</v>
      </c>
    </row>
    <row r="1903" ht="12.75" customHeight="1">
      <c r="A1903" s="5">
        <v>35268.0</v>
      </c>
      <c r="B1903" s="5" t="s">
        <v>49</v>
      </c>
      <c r="C1903" s="52" t="s">
        <v>50</v>
      </c>
      <c r="D1903" s="5" t="s">
        <v>2852</v>
      </c>
      <c r="E1903" s="7" t="s">
        <v>8590</v>
      </c>
      <c r="F1903" s="5" t="s">
        <v>8472</v>
      </c>
      <c r="G1903" s="5" t="s">
        <v>8577</v>
      </c>
      <c r="H1903" s="5">
        <v>2005.0</v>
      </c>
      <c r="I1903" s="5">
        <v>0.0</v>
      </c>
      <c r="J1903" s="5">
        <v>0.0</v>
      </c>
      <c r="K1903" s="5">
        <v>2.0</v>
      </c>
      <c r="L1903" s="54"/>
      <c r="M1903" s="5" t="s">
        <v>8594</v>
      </c>
      <c r="N1903" s="53" t="s">
        <v>2700</v>
      </c>
      <c r="O1903">
        <v>35.508622</v>
      </c>
      <c r="P1903">
        <v>12.59292</v>
      </c>
      <c r="Q1903" s="5" t="s">
        <v>669</v>
      </c>
      <c r="R1903" s="10">
        <f t="shared" si="10"/>
        <v>3843</v>
      </c>
      <c r="S1903" s="5" t="s">
        <v>8595</v>
      </c>
      <c r="T1903" s="6" t="s">
        <v>2130</v>
      </c>
      <c r="U1903" s="5" t="s">
        <v>8596</v>
      </c>
      <c r="V1903" s="5"/>
    </row>
    <row r="1904" ht="12.75" customHeight="1">
      <c r="A1904" s="5">
        <v>35269.0</v>
      </c>
      <c r="B1904" s="5" t="s">
        <v>1076</v>
      </c>
      <c r="C1904" s="52" t="s">
        <v>50</v>
      </c>
      <c r="D1904" s="5" t="s">
        <v>2852</v>
      </c>
      <c r="E1904" s="7" t="s">
        <v>8597</v>
      </c>
      <c r="F1904" s="5" t="s">
        <v>8472</v>
      </c>
      <c r="G1904" s="5" t="s">
        <v>8577</v>
      </c>
      <c r="H1904" s="5">
        <v>2005.0</v>
      </c>
      <c r="I1904" s="5">
        <v>0.0</v>
      </c>
      <c r="J1904" s="5">
        <v>0.0</v>
      </c>
      <c r="K1904" s="5">
        <v>4.0</v>
      </c>
      <c r="L1904" s="54"/>
      <c r="M1904" s="5" t="s">
        <v>8598</v>
      </c>
      <c r="N1904" s="53" t="s">
        <v>8599</v>
      </c>
      <c r="O1904">
        <v>33.533333</v>
      </c>
      <c r="P1904">
        <v>-7.583333</v>
      </c>
      <c r="Q1904" s="5" t="s">
        <v>544</v>
      </c>
      <c r="R1904" s="10">
        <f t="shared" si="10"/>
        <v>7</v>
      </c>
      <c r="S1904" s="5" t="s">
        <v>8600</v>
      </c>
      <c r="T1904" s="5"/>
      <c r="U1904" s="5" t="s">
        <v>6297</v>
      </c>
      <c r="V1904" s="5" t="s">
        <v>7579</v>
      </c>
    </row>
    <row r="1905" ht="12.75" customHeight="1">
      <c r="A1905" s="5">
        <v>35270.0</v>
      </c>
      <c r="B1905" s="5" t="s">
        <v>2902</v>
      </c>
      <c r="C1905" s="5" t="s">
        <v>211</v>
      </c>
      <c r="D1905" s="5" t="s">
        <v>2852</v>
      </c>
      <c r="E1905" s="7" t="s">
        <v>8601</v>
      </c>
      <c r="F1905" s="5" t="s">
        <v>8472</v>
      </c>
      <c r="G1905" s="5" t="s">
        <v>8577</v>
      </c>
      <c r="H1905" s="5">
        <v>2005.0</v>
      </c>
      <c r="I1905" s="5">
        <v>0.0</v>
      </c>
      <c r="J1905" s="5">
        <v>0.0</v>
      </c>
      <c r="K1905" s="5">
        <v>1.0</v>
      </c>
      <c r="L1905" s="54"/>
      <c r="M1905" s="5" t="s">
        <v>8602</v>
      </c>
      <c r="N1905" s="53" t="s">
        <v>8603</v>
      </c>
      <c r="O1905">
        <v>51.12509</v>
      </c>
      <c r="P1905">
        <v>5.367066</v>
      </c>
      <c r="Q1905" s="5" t="s">
        <v>1585</v>
      </c>
      <c r="R1905" s="10">
        <f t="shared" si="10"/>
        <v>1</v>
      </c>
      <c r="S1905" s="5" t="s">
        <v>8604</v>
      </c>
      <c r="T1905" s="5"/>
      <c r="U1905" s="5" t="s">
        <v>8605</v>
      </c>
      <c r="V1905" s="5"/>
    </row>
    <row r="1906" ht="12.75" customHeight="1">
      <c r="A1906" s="5">
        <v>35271.0</v>
      </c>
      <c r="B1906" s="5" t="s">
        <v>68</v>
      </c>
      <c r="C1906" s="5" t="s">
        <v>69</v>
      </c>
      <c r="D1906" s="5" t="s">
        <v>2614</v>
      </c>
      <c r="E1906" s="7" t="s">
        <v>8606</v>
      </c>
      <c r="F1906" s="5" t="s">
        <v>8472</v>
      </c>
      <c r="G1906" s="5" t="s">
        <v>8577</v>
      </c>
      <c r="H1906" s="5">
        <v>2005.0</v>
      </c>
      <c r="I1906" s="5">
        <v>0.0</v>
      </c>
      <c r="J1906" s="5">
        <v>0.0</v>
      </c>
      <c r="K1906" s="5">
        <v>1.0</v>
      </c>
      <c r="L1906" s="54"/>
      <c r="M1906" s="5" t="s">
        <v>8607</v>
      </c>
      <c r="N1906" s="53" t="s">
        <v>3503</v>
      </c>
      <c r="O1906">
        <v>35.240117</v>
      </c>
      <c r="P1906">
        <v>24.809269</v>
      </c>
      <c r="Q1906" s="5" t="s">
        <v>641</v>
      </c>
      <c r="R1906" s="10">
        <f t="shared" si="10"/>
        <v>84</v>
      </c>
      <c r="S1906" s="5" t="s">
        <v>8608</v>
      </c>
      <c r="T1906" s="6" t="s">
        <v>53</v>
      </c>
      <c r="U1906" s="5" t="s">
        <v>3318</v>
      </c>
      <c r="V1906" s="5" t="s">
        <v>8609</v>
      </c>
    </row>
    <row r="1907" ht="12.75" customHeight="1">
      <c r="A1907" s="5">
        <v>35272.0</v>
      </c>
      <c r="B1907" s="5" t="s">
        <v>49</v>
      </c>
      <c r="C1907" s="52" t="s">
        <v>50</v>
      </c>
      <c r="D1907" s="5" t="s">
        <v>2852</v>
      </c>
      <c r="E1907" s="7" t="s">
        <v>8606</v>
      </c>
      <c r="F1907" s="5" t="s">
        <v>8472</v>
      </c>
      <c r="G1907" s="5" t="s">
        <v>8577</v>
      </c>
      <c r="H1907" s="5">
        <v>2005.0</v>
      </c>
      <c r="I1907" s="5">
        <v>0.0</v>
      </c>
      <c r="J1907" s="5">
        <v>0.0</v>
      </c>
      <c r="K1907" s="5">
        <v>9.0</v>
      </c>
      <c r="L1907" s="54"/>
      <c r="M1907" s="5" t="s">
        <v>8610</v>
      </c>
      <c r="N1907" s="53" t="s">
        <v>3146</v>
      </c>
      <c r="O1907">
        <v>39.16408</v>
      </c>
      <c r="P1907">
        <v>26.372171</v>
      </c>
      <c r="Q1907" s="5" t="s">
        <v>1068</v>
      </c>
      <c r="R1907" s="10">
        <f t="shared" si="10"/>
        <v>101</v>
      </c>
      <c r="S1907" s="5" t="s">
        <v>8611</v>
      </c>
      <c r="T1907" s="6" t="s">
        <v>53</v>
      </c>
      <c r="U1907" s="5" t="s">
        <v>2875</v>
      </c>
      <c r="V1907" s="5" t="s">
        <v>8612</v>
      </c>
    </row>
    <row r="1908" ht="12.75" customHeight="1">
      <c r="A1908" s="5">
        <v>35273.0</v>
      </c>
      <c r="B1908" s="5" t="s">
        <v>68</v>
      </c>
      <c r="C1908" s="5" t="s">
        <v>69</v>
      </c>
      <c r="D1908" s="5" t="s">
        <v>2614</v>
      </c>
      <c r="E1908" s="7" t="s">
        <v>8613</v>
      </c>
      <c r="F1908" s="5" t="s">
        <v>8472</v>
      </c>
      <c r="G1908" s="5" t="s">
        <v>8577</v>
      </c>
      <c r="H1908" s="5">
        <v>2005.0</v>
      </c>
      <c r="I1908" s="5">
        <v>0.0</v>
      </c>
      <c r="J1908" s="5">
        <v>0.0</v>
      </c>
      <c r="K1908" s="5">
        <v>23.0</v>
      </c>
      <c r="L1908" s="54"/>
      <c r="M1908" s="5" t="s">
        <v>8614</v>
      </c>
      <c r="N1908" s="53" t="s">
        <v>7285</v>
      </c>
      <c r="O1908">
        <v>28.291564</v>
      </c>
      <c r="P1908">
        <v>-16.62913</v>
      </c>
      <c r="Q1908" s="5" t="s">
        <v>382</v>
      </c>
      <c r="R1908" s="10">
        <f t="shared" si="10"/>
        <v>1120</v>
      </c>
      <c r="S1908" s="5" t="s">
        <v>8615</v>
      </c>
      <c r="T1908" s="5" t="s">
        <v>1040</v>
      </c>
      <c r="U1908" s="5" t="s">
        <v>2165</v>
      </c>
      <c r="V1908" s="5" t="s">
        <v>8616</v>
      </c>
    </row>
    <row r="1909" ht="12.75" customHeight="1">
      <c r="A1909" s="5">
        <v>35274.0</v>
      </c>
      <c r="B1909" s="5" t="s">
        <v>68</v>
      </c>
      <c r="C1909" s="5" t="s">
        <v>69</v>
      </c>
      <c r="D1909" s="5" t="s">
        <v>2614</v>
      </c>
      <c r="E1909" s="7" t="s">
        <v>8617</v>
      </c>
      <c r="F1909" s="5" t="s">
        <v>8472</v>
      </c>
      <c r="G1909" s="5" t="s">
        <v>8577</v>
      </c>
      <c r="H1909" s="5">
        <v>2005.0</v>
      </c>
      <c r="I1909" s="5">
        <v>0.0</v>
      </c>
      <c r="J1909" s="5">
        <v>0.0</v>
      </c>
      <c r="K1909" s="5">
        <v>130.0</v>
      </c>
      <c r="L1909" s="54"/>
      <c r="M1909" s="5" t="s">
        <v>8618</v>
      </c>
      <c r="N1909" s="53" t="s">
        <v>3314</v>
      </c>
      <c r="O1909">
        <v>37.599994</v>
      </c>
      <c r="P1909">
        <v>14.015356</v>
      </c>
      <c r="Q1909" s="5" t="s">
        <v>949</v>
      </c>
      <c r="R1909" s="10">
        <f t="shared" si="10"/>
        <v>363</v>
      </c>
      <c r="S1909" s="5" t="s">
        <v>8619</v>
      </c>
      <c r="T1909" s="6" t="s">
        <v>2130</v>
      </c>
      <c r="U1909" s="5" t="s">
        <v>8502</v>
      </c>
      <c r="V1909" s="5" t="s">
        <v>8620</v>
      </c>
    </row>
    <row r="1910" ht="12.75" customHeight="1">
      <c r="A1910" s="5">
        <v>35275.0</v>
      </c>
      <c r="B1910" s="5" t="s">
        <v>68</v>
      </c>
      <c r="C1910" s="5" t="s">
        <v>69</v>
      </c>
      <c r="D1910" s="5" t="s">
        <v>2614</v>
      </c>
      <c r="E1910" s="7" t="s">
        <v>8621</v>
      </c>
      <c r="F1910" s="5" t="s">
        <v>8472</v>
      </c>
      <c r="G1910" s="5" t="s">
        <v>8577</v>
      </c>
      <c r="H1910" s="5">
        <v>2005.0</v>
      </c>
      <c r="I1910" s="5">
        <v>0.0</v>
      </c>
      <c r="J1910" s="5">
        <v>0.0</v>
      </c>
      <c r="K1910" s="5">
        <v>1.0</v>
      </c>
      <c r="L1910" s="54"/>
      <c r="M1910" s="5" t="s">
        <v>8622</v>
      </c>
      <c r="N1910" s="53" t="s">
        <v>7418</v>
      </c>
      <c r="O1910">
        <v>50.85034</v>
      </c>
      <c r="P1910">
        <v>4.35171</v>
      </c>
      <c r="Q1910" s="5" t="s">
        <v>1526</v>
      </c>
      <c r="R1910" s="10">
        <f t="shared" si="10"/>
        <v>5</v>
      </c>
      <c r="S1910" s="5" t="s">
        <v>8623</v>
      </c>
      <c r="T1910" s="5"/>
      <c r="U1910" s="5" t="s">
        <v>3610</v>
      </c>
      <c r="V1910" s="5" t="s">
        <v>8624</v>
      </c>
    </row>
    <row r="1911" ht="12.75" customHeight="1">
      <c r="A1911" s="5">
        <v>35276.0</v>
      </c>
      <c r="B1911" s="5" t="s">
        <v>41</v>
      </c>
      <c r="C1911" s="5" t="s">
        <v>42</v>
      </c>
      <c r="D1911" s="5" t="s">
        <v>2614</v>
      </c>
      <c r="E1911" s="7" t="s">
        <v>8625</v>
      </c>
      <c r="F1911" s="5" t="s">
        <v>8472</v>
      </c>
      <c r="G1911" s="5" t="s">
        <v>8577</v>
      </c>
      <c r="H1911" s="5">
        <v>2005.0</v>
      </c>
      <c r="I1911" s="5">
        <v>0.0</v>
      </c>
      <c r="J1911" s="5">
        <v>0.0</v>
      </c>
      <c r="K1911" s="5">
        <v>1.0</v>
      </c>
      <c r="L1911" s="54"/>
      <c r="M1911" s="5" t="s">
        <v>8626</v>
      </c>
      <c r="N1911" s="53" t="s">
        <v>8627</v>
      </c>
      <c r="O1911">
        <v>35.166667</v>
      </c>
      <c r="P1911">
        <v>-2.933333</v>
      </c>
      <c r="Q1911" s="5" t="s">
        <v>629</v>
      </c>
      <c r="R1911" s="10">
        <f t="shared" si="10"/>
        <v>14</v>
      </c>
      <c r="S1911" s="5" t="s">
        <v>8628</v>
      </c>
      <c r="T1911" s="6" t="s">
        <v>72</v>
      </c>
      <c r="U1911" s="5" t="s">
        <v>8085</v>
      </c>
      <c r="V1911" s="5" t="s">
        <v>8629</v>
      </c>
    </row>
    <row r="1912" ht="12.75" customHeight="1">
      <c r="A1912" s="5">
        <v>35277.0</v>
      </c>
      <c r="B1912" s="5" t="s">
        <v>49</v>
      </c>
      <c r="C1912" s="52" t="s">
        <v>50</v>
      </c>
      <c r="D1912" s="5" t="s">
        <v>2852</v>
      </c>
      <c r="E1912" s="7" t="s">
        <v>8630</v>
      </c>
      <c r="F1912" s="5" t="s">
        <v>8472</v>
      </c>
      <c r="G1912" s="5" t="s">
        <v>8631</v>
      </c>
      <c r="H1912" s="5">
        <v>2005.0</v>
      </c>
      <c r="I1912" s="5">
        <v>0.0</v>
      </c>
      <c r="J1912" s="5">
        <v>0.0</v>
      </c>
      <c r="K1912" s="5">
        <v>2.0</v>
      </c>
      <c r="L1912" s="54"/>
      <c r="M1912" s="5" t="s">
        <v>8632</v>
      </c>
      <c r="N1912" s="53" t="s">
        <v>2705</v>
      </c>
      <c r="O1912">
        <v>36.799851</v>
      </c>
      <c r="P1912">
        <v>27.102943</v>
      </c>
      <c r="Q1912" s="5" t="s">
        <v>848</v>
      </c>
      <c r="R1912" s="10">
        <f t="shared" si="10"/>
        <v>119</v>
      </c>
      <c r="S1912" s="5" t="s">
        <v>8633</v>
      </c>
      <c r="T1912" s="6" t="s">
        <v>53</v>
      </c>
      <c r="U1912" s="5" t="s">
        <v>3700</v>
      </c>
      <c r="V1912" s="5"/>
    </row>
    <row r="1913" ht="12.75" customHeight="1">
      <c r="A1913" s="5">
        <v>35278.0</v>
      </c>
      <c r="B1913" s="5" t="s">
        <v>49</v>
      </c>
      <c r="C1913" s="52" t="s">
        <v>50</v>
      </c>
      <c r="D1913" s="5" t="s">
        <v>2852</v>
      </c>
      <c r="E1913" s="7" t="s">
        <v>8634</v>
      </c>
      <c r="F1913" s="5" t="s">
        <v>8472</v>
      </c>
      <c r="G1913" s="5" t="s">
        <v>8631</v>
      </c>
      <c r="H1913" s="5">
        <v>2005.0</v>
      </c>
      <c r="I1913" s="5">
        <v>0.0</v>
      </c>
      <c r="J1913" s="5">
        <v>0.0</v>
      </c>
      <c r="K1913" s="5">
        <v>3.0</v>
      </c>
      <c r="L1913" s="54"/>
      <c r="M1913" s="5" t="s">
        <v>8635</v>
      </c>
      <c r="N1913" s="53" t="s">
        <v>3014</v>
      </c>
      <c r="O1913">
        <v>38.41885</v>
      </c>
      <c r="P1913">
        <v>27.12872</v>
      </c>
      <c r="Q1913" s="5" t="s">
        <v>1022</v>
      </c>
      <c r="R1913" s="10">
        <f t="shared" si="10"/>
        <v>152</v>
      </c>
      <c r="S1913" s="5" t="s">
        <v>8636</v>
      </c>
      <c r="T1913" s="6" t="s">
        <v>53</v>
      </c>
      <c r="U1913" s="5" t="s">
        <v>5475</v>
      </c>
      <c r="V1913" s="5" t="s">
        <v>8637</v>
      </c>
    </row>
    <row r="1914" ht="12.75" customHeight="1">
      <c r="A1914" s="5">
        <v>35279.0</v>
      </c>
      <c r="B1914" s="5" t="s">
        <v>68</v>
      </c>
      <c r="C1914" s="5" t="s">
        <v>69</v>
      </c>
      <c r="D1914" s="5" t="s">
        <v>2614</v>
      </c>
      <c r="E1914" s="7" t="s">
        <v>8638</v>
      </c>
      <c r="F1914" s="5" t="s">
        <v>8472</v>
      </c>
      <c r="G1914" s="5" t="s">
        <v>8631</v>
      </c>
      <c r="H1914" s="5">
        <v>2005.0</v>
      </c>
      <c r="I1914" s="5">
        <v>0.0</v>
      </c>
      <c r="J1914" s="5">
        <v>0.0</v>
      </c>
      <c r="K1914" s="5">
        <v>7.0</v>
      </c>
      <c r="L1914" s="54"/>
      <c r="M1914" s="5" t="s">
        <v>8639</v>
      </c>
      <c r="N1914" s="53" t="s">
        <v>2938</v>
      </c>
      <c r="O1914">
        <v>35.937496</v>
      </c>
      <c r="P1914">
        <v>14.375416</v>
      </c>
      <c r="Q1914" s="5" t="s">
        <v>740</v>
      </c>
      <c r="R1914" s="10">
        <f t="shared" si="10"/>
        <v>655</v>
      </c>
      <c r="S1914" s="5" t="s">
        <v>8640</v>
      </c>
      <c r="T1914" s="6" t="s">
        <v>2130</v>
      </c>
      <c r="U1914" s="5" t="s">
        <v>8542</v>
      </c>
      <c r="V1914" s="5" t="s">
        <v>8641</v>
      </c>
    </row>
    <row r="1915" ht="12.75" customHeight="1">
      <c r="A1915" s="5">
        <v>35280.0</v>
      </c>
      <c r="B1915" s="5" t="s">
        <v>3409</v>
      </c>
      <c r="C1915" s="5" t="s">
        <v>211</v>
      </c>
      <c r="D1915" s="5" t="s">
        <v>2852</v>
      </c>
      <c r="E1915" s="7" t="s">
        <v>8642</v>
      </c>
      <c r="F1915" s="5" t="s">
        <v>8472</v>
      </c>
      <c r="G1915" s="5" t="s">
        <v>8631</v>
      </c>
      <c r="H1915" s="5">
        <v>2005.0</v>
      </c>
      <c r="I1915" s="5">
        <v>0.0</v>
      </c>
      <c r="J1915" s="5">
        <v>0.0</v>
      </c>
      <c r="K1915" s="5">
        <v>1.0</v>
      </c>
      <c r="L1915" s="54"/>
      <c r="M1915" s="5" t="s">
        <v>8643</v>
      </c>
      <c r="N1915" s="53" t="s">
        <v>8644</v>
      </c>
      <c r="O1915">
        <v>51.454513</v>
      </c>
      <c r="P1915">
        <v>-2.58791</v>
      </c>
      <c r="Q1915" s="5" t="s">
        <v>1626</v>
      </c>
      <c r="R1915" s="10">
        <f t="shared" si="10"/>
        <v>2</v>
      </c>
      <c r="S1915" s="5" t="s">
        <v>8645</v>
      </c>
      <c r="T1915" s="5"/>
      <c r="U1915" s="5" t="s">
        <v>8646</v>
      </c>
      <c r="V1915" s="5"/>
    </row>
    <row r="1916" ht="12.75" customHeight="1">
      <c r="A1916" s="5">
        <v>35281.0</v>
      </c>
      <c r="B1916" s="5" t="s">
        <v>68</v>
      </c>
      <c r="C1916" s="5" t="s">
        <v>69</v>
      </c>
      <c r="D1916" s="5" t="s">
        <v>2614</v>
      </c>
      <c r="E1916" s="7" t="s">
        <v>8647</v>
      </c>
      <c r="F1916" s="5" t="s">
        <v>8472</v>
      </c>
      <c r="G1916" s="5" t="s">
        <v>8631</v>
      </c>
      <c r="H1916" s="5">
        <v>2005.0</v>
      </c>
      <c r="I1916" s="5">
        <v>0.0</v>
      </c>
      <c r="J1916" s="5">
        <v>0.0</v>
      </c>
      <c r="K1916" s="5">
        <v>2.0</v>
      </c>
      <c r="L1916" s="54"/>
      <c r="M1916" s="5" t="s">
        <v>8648</v>
      </c>
      <c r="N1916" s="53" t="s">
        <v>8649</v>
      </c>
      <c r="O1916">
        <v>45.545479</v>
      </c>
      <c r="P1916">
        <v>11.535421</v>
      </c>
      <c r="Q1916" s="5" t="s">
        <v>1330</v>
      </c>
      <c r="R1916" s="10">
        <f t="shared" si="10"/>
        <v>2</v>
      </c>
      <c r="S1916" s="5" t="s">
        <v>8650</v>
      </c>
      <c r="T1916" s="5"/>
      <c r="U1916" s="5" t="s">
        <v>8502</v>
      </c>
      <c r="V1916" s="5" t="s">
        <v>8651</v>
      </c>
    </row>
    <row r="1917" ht="12.75" customHeight="1">
      <c r="A1917" s="5">
        <v>35282.0</v>
      </c>
      <c r="B1917" s="5" t="s">
        <v>49</v>
      </c>
      <c r="C1917" s="52" t="s">
        <v>50</v>
      </c>
      <c r="D1917" s="5" t="s">
        <v>2852</v>
      </c>
      <c r="E1917" s="7" t="s">
        <v>8652</v>
      </c>
      <c r="F1917" s="5" t="s">
        <v>8472</v>
      </c>
      <c r="G1917" s="5" t="s">
        <v>8631</v>
      </c>
      <c r="H1917" s="5">
        <v>2005.0</v>
      </c>
      <c r="I1917" s="5">
        <v>0.0</v>
      </c>
      <c r="J1917" s="5">
        <v>0.0</v>
      </c>
      <c r="K1917" s="5">
        <v>39.0</v>
      </c>
      <c r="L1917" s="54"/>
      <c r="M1917" s="5" t="s">
        <v>8653</v>
      </c>
      <c r="N1917" s="53" t="s">
        <v>2766</v>
      </c>
      <c r="O1917">
        <v>35.249299</v>
      </c>
      <c r="P1917">
        <v>-3.937112</v>
      </c>
      <c r="Q1917" s="5" t="s">
        <v>642</v>
      </c>
      <c r="R1917" s="10">
        <f t="shared" si="10"/>
        <v>149</v>
      </c>
      <c r="S1917" s="5" t="s">
        <v>8654</v>
      </c>
      <c r="T1917" s="6" t="s">
        <v>72</v>
      </c>
      <c r="U1917" s="5" t="s">
        <v>7512</v>
      </c>
      <c r="V1917" s="5"/>
    </row>
    <row r="1918" ht="12.75" customHeight="1">
      <c r="A1918" s="5">
        <v>35283.0</v>
      </c>
      <c r="B1918" s="5" t="s">
        <v>1161</v>
      </c>
      <c r="C1918" s="5" t="s">
        <v>124</v>
      </c>
      <c r="D1918" s="5" t="s">
        <v>2852</v>
      </c>
      <c r="E1918" s="7" t="s">
        <v>8655</v>
      </c>
      <c r="F1918" s="5" t="s">
        <v>8656</v>
      </c>
      <c r="G1918" s="5" t="s">
        <v>8657</v>
      </c>
      <c r="H1918" s="5">
        <v>2005.0</v>
      </c>
      <c r="I1918" s="5">
        <v>0.0</v>
      </c>
      <c r="J1918" s="5">
        <v>0.0</v>
      </c>
      <c r="K1918" s="5">
        <v>1.0</v>
      </c>
      <c r="L1918" s="54"/>
      <c r="M1918" s="5" t="s">
        <v>8658</v>
      </c>
      <c r="N1918" s="53" t="s">
        <v>8659</v>
      </c>
      <c r="O1918">
        <v>51.822244</v>
      </c>
      <c r="P1918">
        <v>12.242452</v>
      </c>
      <c r="Q1918" s="5" t="s">
        <v>1686</v>
      </c>
      <c r="R1918" s="10">
        <f t="shared" si="10"/>
        <v>1</v>
      </c>
      <c r="S1918" s="5" t="s">
        <v>8660</v>
      </c>
      <c r="T1918" s="5"/>
      <c r="U1918" s="5" t="s">
        <v>8661</v>
      </c>
      <c r="V1918" s="5"/>
    </row>
    <row r="1919" ht="12.75" customHeight="1">
      <c r="A1919" s="5">
        <v>35284.0</v>
      </c>
      <c r="B1919" s="5" t="s">
        <v>1555</v>
      </c>
      <c r="C1919" s="5" t="s">
        <v>42</v>
      </c>
      <c r="D1919" s="5" t="s">
        <v>2852</v>
      </c>
      <c r="E1919" s="7" t="s">
        <v>8655</v>
      </c>
      <c r="F1919" s="5" t="s">
        <v>8656</v>
      </c>
      <c r="G1919" s="5" t="s">
        <v>8657</v>
      </c>
      <c r="H1919" s="5">
        <v>2005.0</v>
      </c>
      <c r="I1919" s="5">
        <v>0.0</v>
      </c>
      <c r="J1919" s="5">
        <v>0.0</v>
      </c>
      <c r="K1919" s="5">
        <v>1.0</v>
      </c>
      <c r="L1919" s="54"/>
      <c r="M1919" s="5" t="s">
        <v>8662</v>
      </c>
      <c r="N1919" s="53" t="s">
        <v>8663</v>
      </c>
      <c r="O1919">
        <v>53.079296</v>
      </c>
      <c r="P1919">
        <v>8.801694</v>
      </c>
      <c r="Q1919" s="5" t="s">
        <v>1812</v>
      </c>
      <c r="R1919" s="10">
        <f t="shared" si="10"/>
        <v>1</v>
      </c>
      <c r="S1919" s="5" t="s">
        <v>8664</v>
      </c>
      <c r="T1919" s="5"/>
      <c r="U1919" s="5" t="s">
        <v>8665</v>
      </c>
      <c r="V1919" s="5"/>
    </row>
    <row r="1920" ht="12.75" customHeight="1">
      <c r="A1920" s="5">
        <v>35285.0</v>
      </c>
      <c r="B1920" s="5" t="s">
        <v>2962</v>
      </c>
      <c r="C1920" s="5" t="s">
        <v>211</v>
      </c>
      <c r="D1920" s="5" t="s">
        <v>2852</v>
      </c>
      <c r="E1920" s="7" t="s">
        <v>8666</v>
      </c>
      <c r="F1920" s="5" t="s">
        <v>8656</v>
      </c>
      <c r="G1920" s="5" t="s">
        <v>8657</v>
      </c>
      <c r="H1920" s="5">
        <v>2005.0</v>
      </c>
      <c r="I1920" s="5">
        <v>0.0</v>
      </c>
      <c r="J1920" s="5">
        <v>0.0</v>
      </c>
      <c r="K1920" s="5">
        <v>1.0</v>
      </c>
      <c r="L1920" s="54"/>
      <c r="M1920" s="5" t="s">
        <v>8667</v>
      </c>
      <c r="N1920" s="53" t="s">
        <v>8668</v>
      </c>
      <c r="O1920">
        <v>51.590352</v>
      </c>
      <c r="P1920">
        <v>-0.119725</v>
      </c>
      <c r="Q1920" s="5" t="s">
        <v>1672</v>
      </c>
      <c r="R1920" s="10">
        <f t="shared" si="10"/>
        <v>3</v>
      </c>
      <c r="S1920" s="5" t="s">
        <v>8669</v>
      </c>
      <c r="T1920" s="5"/>
      <c r="U1920" s="5" t="s">
        <v>8670</v>
      </c>
      <c r="V1920" s="5"/>
    </row>
    <row r="1921" ht="12.75" customHeight="1">
      <c r="A1921" s="5">
        <v>35286.0</v>
      </c>
      <c r="B1921" s="5" t="s">
        <v>49</v>
      </c>
      <c r="C1921" s="52" t="s">
        <v>50</v>
      </c>
      <c r="D1921" s="5" t="s">
        <v>2852</v>
      </c>
      <c r="E1921" s="7" t="s">
        <v>8671</v>
      </c>
      <c r="F1921" s="5" t="s">
        <v>8656</v>
      </c>
      <c r="G1921" s="5" t="s">
        <v>8657</v>
      </c>
      <c r="H1921" s="5">
        <v>2005.0</v>
      </c>
      <c r="I1921" s="5">
        <v>0.0</v>
      </c>
      <c r="J1921" s="5">
        <v>0.0</v>
      </c>
      <c r="K1921" s="5">
        <v>2.0</v>
      </c>
      <c r="L1921" s="54"/>
      <c r="M1921" s="5" t="s">
        <v>8672</v>
      </c>
      <c r="N1921" s="53" t="s">
        <v>8673</v>
      </c>
      <c r="O1921">
        <v>39.072097</v>
      </c>
      <c r="P1921">
        <v>26.888203</v>
      </c>
      <c r="Q1921" s="5" t="s">
        <v>1060</v>
      </c>
      <c r="R1921" s="10">
        <f t="shared" si="10"/>
        <v>2</v>
      </c>
      <c r="S1921" s="5" t="s">
        <v>8674</v>
      </c>
      <c r="T1921" s="6" t="s">
        <v>53</v>
      </c>
      <c r="U1921" s="5" t="s">
        <v>5475</v>
      </c>
      <c r="V1921" s="5" t="s">
        <v>8675</v>
      </c>
    </row>
    <row r="1922" ht="12.75" customHeight="1">
      <c r="A1922" s="5">
        <v>35287.0</v>
      </c>
      <c r="B1922" s="5" t="s">
        <v>49</v>
      </c>
      <c r="C1922" s="52" t="s">
        <v>50</v>
      </c>
      <c r="D1922" s="5" t="s">
        <v>2852</v>
      </c>
      <c r="E1922" s="7" t="s">
        <v>8676</v>
      </c>
      <c r="F1922" s="5" t="s">
        <v>8656</v>
      </c>
      <c r="G1922" s="5" t="s">
        <v>8657</v>
      </c>
      <c r="H1922" s="5">
        <v>2005.0</v>
      </c>
      <c r="I1922" s="5">
        <v>0.0</v>
      </c>
      <c r="J1922" s="5">
        <v>0.0</v>
      </c>
      <c r="K1922" s="5">
        <v>27.0</v>
      </c>
      <c r="L1922" s="54"/>
      <c r="M1922" s="5" t="s">
        <v>8677</v>
      </c>
      <c r="N1922" s="53" t="s">
        <v>2938</v>
      </c>
      <c r="O1922">
        <v>35.937496</v>
      </c>
      <c r="P1922">
        <v>14.375416</v>
      </c>
      <c r="Q1922" s="5" t="s">
        <v>740</v>
      </c>
      <c r="R1922" s="10">
        <f t="shared" si="10"/>
        <v>655</v>
      </c>
      <c r="S1922" s="5" t="s">
        <v>8678</v>
      </c>
      <c r="T1922" s="6" t="s">
        <v>2130</v>
      </c>
      <c r="U1922" s="5" t="s">
        <v>8679</v>
      </c>
      <c r="V1922" s="5" t="s">
        <v>8680</v>
      </c>
    </row>
    <row r="1923" ht="12.75" customHeight="1">
      <c r="A1923" s="5">
        <v>35288.0</v>
      </c>
      <c r="B1923" s="5" t="s">
        <v>68</v>
      </c>
      <c r="C1923" s="5" t="s">
        <v>69</v>
      </c>
      <c r="D1923" s="5" t="s">
        <v>2614</v>
      </c>
      <c r="E1923" s="7" t="s">
        <v>8681</v>
      </c>
      <c r="F1923" s="5" t="s">
        <v>8656</v>
      </c>
      <c r="G1923" s="5" t="s">
        <v>8657</v>
      </c>
      <c r="H1923" s="5">
        <v>2005.0</v>
      </c>
      <c r="I1923" s="5">
        <v>0.0</v>
      </c>
      <c r="J1923" s="5">
        <v>0.0</v>
      </c>
      <c r="K1923" s="5">
        <v>12.0</v>
      </c>
      <c r="L1923" s="54"/>
      <c r="M1923" s="5" t="s">
        <v>8682</v>
      </c>
      <c r="N1923" s="53" t="s">
        <v>4941</v>
      </c>
      <c r="O1923">
        <v>28.291564</v>
      </c>
      <c r="P1923">
        <v>-16.62913</v>
      </c>
      <c r="Q1923" s="5" t="s">
        <v>382</v>
      </c>
      <c r="R1923" s="10">
        <f t="shared" si="10"/>
        <v>1120</v>
      </c>
      <c r="S1923" s="5" t="s">
        <v>8683</v>
      </c>
      <c r="T1923" s="5" t="s">
        <v>1040</v>
      </c>
      <c r="U1923" s="5" t="s">
        <v>2165</v>
      </c>
      <c r="V1923" s="5" t="s">
        <v>8684</v>
      </c>
    </row>
    <row r="1924" ht="12.75" customHeight="1">
      <c r="A1924" s="5">
        <v>35289.0</v>
      </c>
      <c r="B1924" s="5" t="s">
        <v>1076</v>
      </c>
      <c r="C1924" s="52" t="s">
        <v>50</v>
      </c>
      <c r="D1924" s="5" t="s">
        <v>2614</v>
      </c>
      <c r="E1924" s="7" t="s">
        <v>8685</v>
      </c>
      <c r="F1924" s="5" t="s">
        <v>8656</v>
      </c>
      <c r="G1924" s="5" t="s">
        <v>8657</v>
      </c>
      <c r="H1924" s="5">
        <v>2005.0</v>
      </c>
      <c r="I1924" s="5">
        <v>0.0</v>
      </c>
      <c r="J1924" s="5">
        <v>0.0</v>
      </c>
      <c r="K1924" s="5">
        <v>3.0</v>
      </c>
      <c r="L1924" s="54"/>
      <c r="M1924" s="5" t="s">
        <v>8686</v>
      </c>
      <c r="N1924" s="53" t="s">
        <v>8687</v>
      </c>
      <c r="O1924">
        <v>56.26392</v>
      </c>
      <c r="P1924">
        <v>9.501785</v>
      </c>
      <c r="Q1924" s="5" t="s">
        <v>1901</v>
      </c>
      <c r="R1924" s="10">
        <f t="shared" si="10"/>
        <v>3</v>
      </c>
      <c r="S1924" s="5" t="s">
        <v>8688</v>
      </c>
      <c r="T1924" s="5"/>
      <c r="U1924" s="5" t="s">
        <v>8689</v>
      </c>
      <c r="V1924" s="5" t="s">
        <v>8690</v>
      </c>
    </row>
    <row r="1925" ht="12.75" customHeight="1">
      <c r="A1925" s="5">
        <v>35290.0</v>
      </c>
      <c r="B1925" s="5" t="s">
        <v>2040</v>
      </c>
      <c r="C1925" s="52" t="s">
        <v>50</v>
      </c>
      <c r="D1925" s="5" t="s">
        <v>2614</v>
      </c>
      <c r="E1925" s="7" t="s">
        <v>8691</v>
      </c>
      <c r="F1925" s="5" t="s">
        <v>8656</v>
      </c>
      <c r="G1925" s="5" t="s">
        <v>8657</v>
      </c>
      <c r="H1925" s="5">
        <v>2005.0</v>
      </c>
      <c r="I1925" s="5">
        <v>0.0</v>
      </c>
      <c r="J1925" s="5">
        <v>0.0</v>
      </c>
      <c r="K1925" s="5">
        <v>14.0</v>
      </c>
      <c r="L1925" s="54"/>
      <c r="M1925" s="5" t="s">
        <v>8692</v>
      </c>
      <c r="N1925" s="53" t="s">
        <v>8693</v>
      </c>
      <c r="O1925">
        <v>16.966667</v>
      </c>
      <c r="P1925">
        <v>7.983333</v>
      </c>
      <c r="Q1925" s="5" t="s">
        <v>277</v>
      </c>
      <c r="R1925" s="10">
        <f t="shared" si="10"/>
        <v>38</v>
      </c>
      <c r="S1925" s="5" t="s">
        <v>8694</v>
      </c>
      <c r="T1925" s="5"/>
      <c r="U1925" s="5" t="s">
        <v>8695</v>
      </c>
      <c r="V1925" s="5" t="s">
        <v>8696</v>
      </c>
    </row>
    <row r="1926" ht="12.75" customHeight="1">
      <c r="A1926" s="5">
        <v>35291.0</v>
      </c>
      <c r="B1926" s="5" t="s">
        <v>68</v>
      </c>
      <c r="C1926" s="5" t="s">
        <v>69</v>
      </c>
      <c r="D1926" s="5" t="s">
        <v>2614</v>
      </c>
      <c r="E1926" s="7" t="s">
        <v>8697</v>
      </c>
      <c r="F1926" s="5" t="s">
        <v>8656</v>
      </c>
      <c r="G1926" s="5" t="s">
        <v>8657</v>
      </c>
      <c r="H1926" s="5">
        <v>2005.0</v>
      </c>
      <c r="I1926" s="5">
        <v>0.0</v>
      </c>
      <c r="J1926" s="5">
        <v>0.0</v>
      </c>
      <c r="K1926" s="5">
        <v>11.0</v>
      </c>
      <c r="L1926" s="54"/>
      <c r="M1926" s="5" t="s">
        <v>8698</v>
      </c>
      <c r="N1926" s="53" t="s">
        <v>2944</v>
      </c>
      <c r="O1926">
        <v>-12.8275</v>
      </c>
      <c r="P1926">
        <v>45.166244</v>
      </c>
      <c r="Q1926" s="5" t="s">
        <v>228</v>
      </c>
      <c r="R1926" s="10">
        <f t="shared" si="10"/>
        <v>757</v>
      </c>
      <c r="S1926" s="5" t="s">
        <v>8699</v>
      </c>
      <c r="T1926" s="5"/>
      <c r="U1926" s="5" t="s">
        <v>8097</v>
      </c>
      <c r="V1926" s="5" t="s">
        <v>8585</v>
      </c>
    </row>
    <row r="1927" ht="12.75" customHeight="1">
      <c r="A1927" s="5">
        <v>35293.0</v>
      </c>
      <c r="B1927" s="5" t="s">
        <v>49</v>
      </c>
      <c r="C1927" s="52" t="s">
        <v>50</v>
      </c>
      <c r="D1927" s="5" t="s">
        <v>2614</v>
      </c>
      <c r="E1927" s="7" t="s">
        <v>8700</v>
      </c>
      <c r="F1927" s="5" t="s">
        <v>8656</v>
      </c>
      <c r="G1927" s="5" t="s">
        <v>8657</v>
      </c>
      <c r="H1927" s="5">
        <v>2005.0</v>
      </c>
      <c r="I1927" s="5">
        <v>0.0</v>
      </c>
      <c r="J1927" s="5">
        <v>0.0</v>
      </c>
      <c r="K1927" s="5">
        <v>2.0</v>
      </c>
      <c r="L1927" s="54"/>
      <c r="M1927" s="5" t="s">
        <v>8701</v>
      </c>
      <c r="N1927" s="53" t="s">
        <v>3251</v>
      </c>
      <c r="O1927">
        <v>39.074208</v>
      </c>
      <c r="P1927">
        <v>21.824312</v>
      </c>
      <c r="Q1927" s="5" t="s">
        <v>1061</v>
      </c>
      <c r="R1927" s="10">
        <f t="shared" si="10"/>
        <v>20</v>
      </c>
      <c r="S1927" s="5" t="s">
        <v>8702</v>
      </c>
      <c r="T1927" s="5"/>
      <c r="U1927" s="5" t="s">
        <v>8703</v>
      </c>
      <c r="V1927" s="5" t="s">
        <v>8704</v>
      </c>
    </row>
    <row r="1928" ht="12.75" customHeight="1">
      <c r="A1928" s="5">
        <v>35294.0</v>
      </c>
      <c r="B1928" s="5" t="s">
        <v>49</v>
      </c>
      <c r="C1928" s="52" t="s">
        <v>50</v>
      </c>
      <c r="D1928" s="5" t="s">
        <v>2614</v>
      </c>
      <c r="E1928" s="7" t="s">
        <v>8700</v>
      </c>
      <c r="F1928" s="5" t="s">
        <v>8656</v>
      </c>
      <c r="G1928" s="5" t="s">
        <v>8657</v>
      </c>
      <c r="H1928" s="5">
        <v>2005.0</v>
      </c>
      <c r="I1928" s="5">
        <v>0.0</v>
      </c>
      <c r="J1928" s="5">
        <v>0.0</v>
      </c>
      <c r="K1928" s="5">
        <v>4.0</v>
      </c>
      <c r="L1928" s="54"/>
      <c r="M1928" s="5" t="s">
        <v>8705</v>
      </c>
      <c r="N1928" s="53" t="s">
        <v>8706</v>
      </c>
      <c r="O1928">
        <v>48.669026</v>
      </c>
      <c r="P1928">
        <v>19.699024</v>
      </c>
      <c r="Q1928" s="5" t="s">
        <v>1431</v>
      </c>
      <c r="R1928" s="10">
        <f t="shared" si="10"/>
        <v>16</v>
      </c>
      <c r="S1928" s="5" t="s">
        <v>8707</v>
      </c>
      <c r="T1928" s="5"/>
      <c r="U1928" s="5" t="s">
        <v>8708</v>
      </c>
      <c r="V1928" s="5" t="s">
        <v>8709</v>
      </c>
    </row>
    <row r="1929" ht="12.75" customHeight="1">
      <c r="A1929" s="5">
        <v>35292.0</v>
      </c>
      <c r="B1929" s="5" t="s">
        <v>49</v>
      </c>
      <c r="C1929" s="52" t="s">
        <v>50</v>
      </c>
      <c r="D1929" s="5" t="s">
        <v>2614</v>
      </c>
      <c r="E1929" s="7" t="s">
        <v>8700</v>
      </c>
      <c r="F1929" s="5" t="s">
        <v>8656</v>
      </c>
      <c r="G1929" s="5" t="s">
        <v>8657</v>
      </c>
      <c r="H1929" s="5">
        <v>2005.0</v>
      </c>
      <c r="I1929" s="5">
        <v>0.0</v>
      </c>
      <c r="J1929" s="5">
        <v>0.0</v>
      </c>
      <c r="K1929" s="5">
        <v>3.0</v>
      </c>
      <c r="L1929" s="54"/>
      <c r="M1929" s="5" t="s">
        <v>8710</v>
      </c>
      <c r="N1929" s="53" t="s">
        <v>8711</v>
      </c>
      <c r="O1929">
        <v>50.482286</v>
      </c>
      <c r="P1929">
        <v>17.329586</v>
      </c>
      <c r="Q1929" s="5" t="s">
        <v>1495</v>
      </c>
      <c r="R1929" s="10">
        <f t="shared" si="10"/>
        <v>5</v>
      </c>
      <c r="S1929" s="5" t="s">
        <v>8712</v>
      </c>
      <c r="T1929" s="5"/>
      <c r="U1929" s="5" t="s">
        <v>8713</v>
      </c>
      <c r="V1929" s="5" t="s">
        <v>8714</v>
      </c>
    </row>
    <row r="1930" ht="12.75" customHeight="1">
      <c r="A1930" s="5">
        <v>35295.0</v>
      </c>
      <c r="B1930" s="5" t="s">
        <v>49</v>
      </c>
      <c r="C1930" s="52" t="s">
        <v>50</v>
      </c>
      <c r="D1930" s="5" t="s">
        <v>2614</v>
      </c>
      <c r="E1930" s="7" t="s">
        <v>8715</v>
      </c>
      <c r="F1930" s="5" t="s">
        <v>8656</v>
      </c>
      <c r="G1930" s="5" t="s">
        <v>8657</v>
      </c>
      <c r="H1930" s="5">
        <v>2005.0</v>
      </c>
      <c r="I1930" s="5">
        <v>0.0</v>
      </c>
      <c r="J1930" s="5">
        <v>0.0</v>
      </c>
      <c r="K1930" s="5">
        <v>1.0</v>
      </c>
      <c r="L1930" s="54"/>
      <c r="M1930" s="5" t="s">
        <v>8716</v>
      </c>
      <c r="N1930" s="53" t="s">
        <v>5367</v>
      </c>
      <c r="O1930">
        <v>28.291564</v>
      </c>
      <c r="P1930">
        <v>-16.62913</v>
      </c>
      <c r="Q1930" s="5" t="s">
        <v>382</v>
      </c>
      <c r="R1930" s="10">
        <f t="shared" si="10"/>
        <v>1120</v>
      </c>
      <c r="S1930" s="5" t="s">
        <v>8717</v>
      </c>
      <c r="T1930" s="5" t="s">
        <v>1040</v>
      </c>
      <c r="U1930" s="5" t="s">
        <v>2785</v>
      </c>
      <c r="V1930" s="5" t="s">
        <v>8718</v>
      </c>
    </row>
    <row r="1931" ht="12.75" customHeight="1">
      <c r="A1931" s="5">
        <v>35297.0</v>
      </c>
      <c r="B1931" s="5" t="s">
        <v>49</v>
      </c>
      <c r="C1931" s="52" t="s">
        <v>50</v>
      </c>
      <c r="D1931" s="5" t="s">
        <v>2852</v>
      </c>
      <c r="E1931" s="7" t="s">
        <v>8719</v>
      </c>
      <c r="F1931" s="5" t="s">
        <v>8656</v>
      </c>
      <c r="G1931" s="5" t="s">
        <v>8657</v>
      </c>
      <c r="H1931" s="5">
        <v>2005.0</v>
      </c>
      <c r="I1931" s="5">
        <v>0.0</v>
      </c>
      <c r="J1931" s="5">
        <v>0.0</v>
      </c>
      <c r="K1931" s="5">
        <v>12.0</v>
      </c>
      <c r="L1931" s="54"/>
      <c r="M1931" s="5" t="s">
        <v>8720</v>
      </c>
      <c r="N1931" s="53" t="s">
        <v>3005</v>
      </c>
      <c r="O1931">
        <v>31.791702</v>
      </c>
      <c r="P1931">
        <v>-7.09262</v>
      </c>
      <c r="Q1931" s="5" t="s">
        <v>439</v>
      </c>
      <c r="R1931" s="10">
        <f t="shared" si="10"/>
        <v>77</v>
      </c>
      <c r="S1931" s="5" t="s">
        <v>8721</v>
      </c>
      <c r="T1931" s="6" t="s">
        <v>72</v>
      </c>
      <c r="U1931" s="5" t="s">
        <v>7512</v>
      </c>
      <c r="V1931" s="5"/>
    </row>
    <row r="1932" ht="12.75" customHeight="1">
      <c r="A1932" s="5">
        <v>35296.0</v>
      </c>
      <c r="B1932" s="5" t="s">
        <v>49</v>
      </c>
      <c r="C1932" s="52" t="s">
        <v>50</v>
      </c>
      <c r="D1932" s="5" t="s">
        <v>2852</v>
      </c>
      <c r="E1932" s="7" t="s">
        <v>8719</v>
      </c>
      <c r="F1932" s="5" t="s">
        <v>8656</v>
      </c>
      <c r="G1932" s="5" t="s">
        <v>8657</v>
      </c>
      <c r="H1932" s="5">
        <v>2005.0</v>
      </c>
      <c r="I1932" s="5">
        <v>0.0</v>
      </c>
      <c r="J1932" s="5">
        <v>0.0</v>
      </c>
      <c r="K1932" s="5">
        <v>14.0</v>
      </c>
      <c r="L1932" s="54"/>
      <c r="M1932" s="5" t="s">
        <v>8722</v>
      </c>
      <c r="N1932" s="53" t="s">
        <v>4526</v>
      </c>
      <c r="O1932">
        <v>35.766667</v>
      </c>
      <c r="P1932">
        <v>-5.8</v>
      </c>
      <c r="Q1932" s="5" t="s">
        <v>695</v>
      </c>
      <c r="R1932" s="10">
        <f t="shared" si="10"/>
        <v>190</v>
      </c>
      <c r="S1932" s="5" t="s">
        <v>8723</v>
      </c>
      <c r="T1932" s="6" t="s">
        <v>72</v>
      </c>
      <c r="U1932" s="5" t="s">
        <v>8724</v>
      </c>
      <c r="V1932" s="5" t="s">
        <v>8725</v>
      </c>
    </row>
    <row r="1933" ht="12.75" customHeight="1">
      <c r="A1933" s="5">
        <v>35298.0</v>
      </c>
      <c r="B1933" s="5" t="s">
        <v>68</v>
      </c>
      <c r="C1933" s="5" t="s">
        <v>69</v>
      </c>
      <c r="D1933" s="5" t="s">
        <v>2852</v>
      </c>
      <c r="E1933" s="7" t="s">
        <v>8726</v>
      </c>
      <c r="F1933" s="5" t="s">
        <v>8656</v>
      </c>
      <c r="G1933" s="5" t="s">
        <v>8657</v>
      </c>
      <c r="H1933" s="5">
        <v>2005.0</v>
      </c>
      <c r="I1933" s="5">
        <v>0.0</v>
      </c>
      <c r="J1933" s="5">
        <v>0.0</v>
      </c>
      <c r="K1933" s="5">
        <v>6.0</v>
      </c>
      <c r="L1933" s="54"/>
      <c r="M1933" s="5" t="s">
        <v>8727</v>
      </c>
      <c r="N1933" s="53" t="s">
        <v>2718</v>
      </c>
      <c r="O1933">
        <v>35.292278</v>
      </c>
      <c r="P1933">
        <v>-2.938097</v>
      </c>
      <c r="Q1933" s="5" t="s">
        <v>649</v>
      </c>
      <c r="R1933" s="10">
        <f t="shared" si="10"/>
        <v>79</v>
      </c>
      <c r="S1933" s="5" t="s">
        <v>8728</v>
      </c>
      <c r="T1933" s="6" t="s">
        <v>72</v>
      </c>
      <c r="U1933" s="5" t="s">
        <v>8729</v>
      </c>
      <c r="V1933" s="5"/>
    </row>
    <row r="1934" ht="12.75" customHeight="1">
      <c r="A1934" s="5">
        <v>35299.0</v>
      </c>
      <c r="B1934" s="5" t="s">
        <v>49</v>
      </c>
      <c r="C1934" s="52" t="s">
        <v>50</v>
      </c>
      <c r="D1934" s="5" t="s">
        <v>2852</v>
      </c>
      <c r="E1934" s="7" t="s">
        <v>8730</v>
      </c>
      <c r="F1934" s="5" t="s">
        <v>8656</v>
      </c>
      <c r="G1934" s="5" t="s">
        <v>8657</v>
      </c>
      <c r="H1934" s="5">
        <v>2005.0</v>
      </c>
      <c r="I1934" s="5">
        <v>0.0</v>
      </c>
      <c r="J1934" s="5">
        <v>0.0</v>
      </c>
      <c r="K1934" s="5">
        <v>1.0</v>
      </c>
      <c r="L1934" s="54"/>
      <c r="M1934" s="5" t="s">
        <v>8731</v>
      </c>
      <c r="N1934" s="53" t="s">
        <v>3503</v>
      </c>
      <c r="O1934">
        <v>35.240117</v>
      </c>
      <c r="P1934">
        <v>24.809269</v>
      </c>
      <c r="Q1934" s="5" t="s">
        <v>641</v>
      </c>
      <c r="R1934" s="10">
        <f t="shared" si="10"/>
        <v>84</v>
      </c>
      <c r="S1934" s="5" t="s">
        <v>8732</v>
      </c>
      <c r="T1934" s="6" t="s">
        <v>53</v>
      </c>
      <c r="U1934" s="5" t="s">
        <v>6297</v>
      </c>
      <c r="V1934" s="5"/>
    </row>
    <row r="1935" ht="12.75" customHeight="1">
      <c r="A1935" s="5">
        <v>35300.0</v>
      </c>
      <c r="B1935" s="5" t="s">
        <v>49</v>
      </c>
      <c r="C1935" s="52" t="s">
        <v>50</v>
      </c>
      <c r="D1935" s="5" t="s">
        <v>2614</v>
      </c>
      <c r="E1935" s="7" t="s">
        <v>8733</v>
      </c>
      <c r="F1935" s="5" t="s">
        <v>8656</v>
      </c>
      <c r="G1935" s="5" t="s">
        <v>8657</v>
      </c>
      <c r="H1935" s="5">
        <v>2005.0</v>
      </c>
      <c r="I1935" s="5">
        <v>0.0</v>
      </c>
      <c r="J1935" s="5">
        <v>0.0</v>
      </c>
      <c r="K1935" s="5">
        <v>2.0</v>
      </c>
      <c r="L1935" s="54"/>
      <c r="M1935" s="5" t="s">
        <v>8734</v>
      </c>
      <c r="N1935" s="53" t="s">
        <v>2638</v>
      </c>
      <c r="O1935">
        <v>35.888384</v>
      </c>
      <c r="P1935">
        <v>-5.324636</v>
      </c>
      <c r="Q1935" s="5" t="s">
        <v>717</v>
      </c>
      <c r="R1935" s="10">
        <f t="shared" si="10"/>
        <v>213</v>
      </c>
      <c r="S1935" s="5" t="s">
        <v>8735</v>
      </c>
      <c r="T1935" s="6" t="s">
        <v>72</v>
      </c>
      <c r="U1935" s="5" t="s">
        <v>2785</v>
      </c>
      <c r="V1935" s="5" t="s">
        <v>8736</v>
      </c>
    </row>
    <row r="1936" ht="12.75" customHeight="1">
      <c r="A1936" s="5">
        <v>35301.0</v>
      </c>
      <c r="B1936" s="5" t="s">
        <v>68</v>
      </c>
      <c r="C1936" s="5" t="s">
        <v>69</v>
      </c>
      <c r="D1936" s="5" t="s">
        <v>2614</v>
      </c>
      <c r="E1936" s="7" t="s">
        <v>8737</v>
      </c>
      <c r="F1936" s="5" t="s">
        <v>8656</v>
      </c>
      <c r="G1936" s="5" t="s">
        <v>8738</v>
      </c>
      <c r="H1936" s="5">
        <v>2005.0</v>
      </c>
      <c r="I1936" s="5">
        <v>0.0</v>
      </c>
      <c r="J1936" s="5">
        <v>0.0</v>
      </c>
      <c r="K1936" s="5">
        <v>4.0</v>
      </c>
      <c r="L1936" s="54"/>
      <c r="M1936" s="5" t="s">
        <v>8739</v>
      </c>
      <c r="N1936" s="53" t="s">
        <v>6012</v>
      </c>
      <c r="O1936">
        <v>39.599541</v>
      </c>
      <c r="P1936">
        <v>26.40086</v>
      </c>
      <c r="Q1936" s="5" t="s">
        <v>1100</v>
      </c>
      <c r="R1936" s="10">
        <f t="shared" si="10"/>
        <v>11</v>
      </c>
      <c r="S1936" s="5" t="s">
        <v>8740</v>
      </c>
      <c r="T1936" s="6" t="s">
        <v>53</v>
      </c>
      <c r="U1936" s="5" t="s">
        <v>7559</v>
      </c>
      <c r="V1936" s="5" t="s">
        <v>8741</v>
      </c>
    </row>
    <row r="1937" ht="12.75" customHeight="1">
      <c r="A1937" s="5">
        <v>35302.0</v>
      </c>
      <c r="B1937" s="5" t="s">
        <v>5200</v>
      </c>
      <c r="C1937" s="5" t="s">
        <v>124</v>
      </c>
      <c r="D1937" s="5" t="s">
        <v>2852</v>
      </c>
      <c r="E1937" s="7" t="s">
        <v>8742</v>
      </c>
      <c r="F1937" s="5" t="s">
        <v>8656</v>
      </c>
      <c r="G1937" s="5" t="s">
        <v>8738</v>
      </c>
      <c r="H1937" s="5">
        <v>2005.0</v>
      </c>
      <c r="I1937" s="5">
        <v>0.0</v>
      </c>
      <c r="J1937" s="5">
        <v>0.0</v>
      </c>
      <c r="K1937" s="5">
        <v>2.0</v>
      </c>
      <c r="L1937" s="54"/>
      <c r="M1937" s="5" t="s">
        <v>8743</v>
      </c>
      <c r="N1937" s="53" t="s">
        <v>2834</v>
      </c>
      <c r="O1937">
        <v>41.244376</v>
      </c>
      <c r="P1937">
        <v>26.135943</v>
      </c>
      <c r="Q1937" s="5" t="s">
        <v>1214</v>
      </c>
      <c r="R1937" s="10">
        <f t="shared" si="10"/>
        <v>188</v>
      </c>
      <c r="S1937" s="5" t="s">
        <v>8744</v>
      </c>
      <c r="T1937" s="6" t="s">
        <v>53</v>
      </c>
      <c r="U1937" s="5" t="s">
        <v>8745</v>
      </c>
      <c r="V1937" s="5" t="s">
        <v>8746</v>
      </c>
    </row>
    <row r="1938" ht="12.75" customHeight="1">
      <c r="A1938" s="5">
        <v>35303.0</v>
      </c>
      <c r="B1938" s="5" t="s">
        <v>2040</v>
      </c>
      <c r="C1938" s="52" t="s">
        <v>50</v>
      </c>
      <c r="D1938" s="5" t="s">
        <v>2852</v>
      </c>
      <c r="E1938" s="7" t="s">
        <v>8747</v>
      </c>
      <c r="F1938" s="5" t="s">
        <v>8656</v>
      </c>
      <c r="G1938" s="5" t="s">
        <v>8738</v>
      </c>
      <c r="H1938" s="5">
        <v>2005.0</v>
      </c>
      <c r="I1938" s="5">
        <v>0.0</v>
      </c>
      <c r="J1938" s="5">
        <v>0.0</v>
      </c>
      <c r="K1938" s="5">
        <v>11.0</v>
      </c>
      <c r="L1938" s="54"/>
      <c r="M1938" s="5" t="s">
        <v>8748</v>
      </c>
      <c r="N1938" s="53" t="s">
        <v>8693</v>
      </c>
      <c r="O1938">
        <v>16.966667</v>
      </c>
      <c r="P1938">
        <v>7.983333</v>
      </c>
      <c r="Q1938" s="5" t="s">
        <v>277</v>
      </c>
      <c r="R1938" s="10">
        <f t="shared" si="10"/>
        <v>38</v>
      </c>
      <c r="S1938" s="5" t="s">
        <v>8749</v>
      </c>
      <c r="T1938" s="5"/>
      <c r="U1938" s="5" t="s">
        <v>8750</v>
      </c>
      <c r="V1938" s="5" t="s">
        <v>8751</v>
      </c>
    </row>
    <row r="1939" ht="12.75" customHeight="1">
      <c r="A1939" s="5">
        <v>35304.0</v>
      </c>
      <c r="B1939" s="5" t="s">
        <v>49</v>
      </c>
      <c r="C1939" s="52" t="s">
        <v>50</v>
      </c>
      <c r="D1939" s="5" t="s">
        <v>2614</v>
      </c>
      <c r="E1939" s="7" t="s">
        <v>8752</v>
      </c>
      <c r="F1939" s="5" t="s">
        <v>8656</v>
      </c>
      <c r="G1939" s="5" t="s">
        <v>8738</v>
      </c>
      <c r="H1939" s="5">
        <v>2005.0</v>
      </c>
      <c r="I1939" s="5">
        <v>0.0</v>
      </c>
      <c r="J1939" s="5">
        <v>0.0</v>
      </c>
      <c r="K1939" s="5">
        <v>1.0</v>
      </c>
      <c r="L1939" s="54"/>
      <c r="M1939" s="5" t="s">
        <v>8753</v>
      </c>
      <c r="N1939" s="53" t="s">
        <v>2638</v>
      </c>
      <c r="O1939">
        <v>35.888384</v>
      </c>
      <c r="P1939">
        <v>-5.324636</v>
      </c>
      <c r="Q1939" s="5" t="s">
        <v>717</v>
      </c>
      <c r="R1939" s="10">
        <f t="shared" si="10"/>
        <v>213</v>
      </c>
      <c r="S1939" s="5" t="s">
        <v>8754</v>
      </c>
      <c r="T1939" s="6" t="s">
        <v>72</v>
      </c>
      <c r="U1939" s="5" t="s">
        <v>2635</v>
      </c>
      <c r="V1939" s="5" t="s">
        <v>8755</v>
      </c>
    </row>
    <row r="1940" ht="12.75" customHeight="1">
      <c r="A1940" s="5">
        <v>35305.0</v>
      </c>
      <c r="B1940" s="5" t="s">
        <v>49</v>
      </c>
      <c r="C1940" s="52" t="s">
        <v>50</v>
      </c>
      <c r="D1940" s="5" t="s">
        <v>2852</v>
      </c>
      <c r="E1940" s="7" t="s">
        <v>8756</v>
      </c>
      <c r="F1940" s="5" t="s">
        <v>8656</v>
      </c>
      <c r="G1940" s="5" t="s">
        <v>8738</v>
      </c>
      <c r="H1940" s="5">
        <v>2005.0</v>
      </c>
      <c r="I1940" s="5">
        <v>0.0</v>
      </c>
      <c r="J1940" s="5">
        <v>0.0</v>
      </c>
      <c r="K1940" s="5">
        <v>16.0</v>
      </c>
      <c r="L1940" s="54"/>
      <c r="M1940" s="5" t="s">
        <v>8757</v>
      </c>
      <c r="N1940" s="53" t="s">
        <v>2700</v>
      </c>
      <c r="O1940">
        <v>35.508622</v>
      </c>
      <c r="P1940">
        <v>12.59292</v>
      </c>
      <c r="Q1940" s="5" t="s">
        <v>669</v>
      </c>
      <c r="R1940" s="10">
        <f t="shared" si="10"/>
        <v>3843</v>
      </c>
      <c r="S1940" s="5" t="s">
        <v>8758</v>
      </c>
      <c r="T1940" s="6" t="s">
        <v>2130</v>
      </c>
      <c r="U1940" s="5" t="s">
        <v>8759</v>
      </c>
      <c r="V1940" s="5" t="s">
        <v>8760</v>
      </c>
    </row>
    <row r="1941" ht="12.75" customHeight="1">
      <c r="A1941" s="5">
        <v>35306.0</v>
      </c>
      <c r="B1941" s="5" t="s">
        <v>68</v>
      </c>
      <c r="C1941" s="5" t="s">
        <v>69</v>
      </c>
      <c r="D1941" s="5" t="s">
        <v>2614</v>
      </c>
      <c r="E1941" s="7" t="s">
        <v>8761</v>
      </c>
      <c r="F1941" s="5" t="s">
        <v>8656</v>
      </c>
      <c r="G1941" s="5" t="s">
        <v>8738</v>
      </c>
      <c r="H1941" s="5">
        <v>2005.0</v>
      </c>
      <c r="I1941" s="5">
        <v>0.0</v>
      </c>
      <c r="J1941" s="5">
        <v>0.0</v>
      </c>
      <c r="K1941" s="5">
        <v>17.0</v>
      </c>
      <c r="L1941" s="54"/>
      <c r="M1941" s="5" t="s">
        <v>8762</v>
      </c>
      <c r="N1941" s="53" t="s">
        <v>2928</v>
      </c>
      <c r="O1941">
        <v>26.3351</v>
      </c>
      <c r="P1941">
        <v>17.228331</v>
      </c>
      <c r="Q1941" s="5" t="s">
        <v>337</v>
      </c>
      <c r="R1941" s="10">
        <f t="shared" si="10"/>
        <v>1371</v>
      </c>
      <c r="S1941" s="5" t="s">
        <v>8763</v>
      </c>
      <c r="T1941" s="5"/>
      <c r="U1941" s="5" t="s">
        <v>8542</v>
      </c>
      <c r="V1941" s="5" t="s">
        <v>8764</v>
      </c>
    </row>
    <row r="1942" ht="12.75" customHeight="1">
      <c r="A1942" s="5">
        <v>35307.0</v>
      </c>
      <c r="B1942" s="5" t="s">
        <v>68</v>
      </c>
      <c r="C1942" s="5" t="s">
        <v>69</v>
      </c>
      <c r="D1942" s="5" t="s">
        <v>2614</v>
      </c>
      <c r="E1942" s="7" t="s">
        <v>8765</v>
      </c>
      <c r="F1942" s="5" t="s">
        <v>8656</v>
      </c>
      <c r="G1942" s="5" t="s">
        <v>8738</v>
      </c>
      <c r="H1942" s="5">
        <v>2005.0</v>
      </c>
      <c r="I1942" s="5">
        <v>0.0</v>
      </c>
      <c r="J1942" s="5">
        <v>0.0</v>
      </c>
      <c r="K1942" s="5">
        <v>1.0</v>
      </c>
      <c r="L1942" s="54"/>
      <c r="M1942" s="5" t="s">
        <v>8766</v>
      </c>
      <c r="N1942" s="53" t="s">
        <v>4941</v>
      </c>
      <c r="O1942">
        <v>28.291564</v>
      </c>
      <c r="P1942">
        <v>-16.62913</v>
      </c>
      <c r="Q1942" s="5" t="s">
        <v>382</v>
      </c>
      <c r="R1942" s="10">
        <f t="shared" si="10"/>
        <v>1120</v>
      </c>
      <c r="S1942" s="5" t="s">
        <v>8767</v>
      </c>
      <c r="T1942" s="5" t="s">
        <v>1040</v>
      </c>
      <c r="U1942" s="5" t="s">
        <v>2165</v>
      </c>
      <c r="V1942" s="5" t="s">
        <v>8768</v>
      </c>
    </row>
    <row r="1943" ht="12.75" customHeight="1">
      <c r="A1943" s="5">
        <v>35308.0</v>
      </c>
      <c r="B1943" s="5" t="s">
        <v>2025</v>
      </c>
      <c r="C1943" s="52" t="s">
        <v>50</v>
      </c>
      <c r="D1943" s="5" t="s">
        <v>2852</v>
      </c>
      <c r="E1943" s="7" t="s">
        <v>8769</v>
      </c>
      <c r="F1943" s="5" t="s">
        <v>8656</v>
      </c>
      <c r="G1943" s="5" t="s">
        <v>8770</v>
      </c>
      <c r="H1943" s="5">
        <v>2005.0</v>
      </c>
      <c r="I1943" s="5">
        <v>0.0</v>
      </c>
      <c r="J1943" s="5">
        <v>0.0</v>
      </c>
      <c r="K1943" s="5">
        <v>1.0</v>
      </c>
      <c r="L1943" s="54"/>
      <c r="M1943" s="5" t="s">
        <v>8771</v>
      </c>
      <c r="N1943" s="53" t="s">
        <v>5814</v>
      </c>
      <c r="O1943">
        <v>28.358744</v>
      </c>
      <c r="P1943">
        <v>-14.053676</v>
      </c>
      <c r="Q1943" s="5" t="s">
        <v>390</v>
      </c>
      <c r="R1943" s="10">
        <f t="shared" si="10"/>
        <v>488</v>
      </c>
      <c r="S1943" s="5" t="s">
        <v>8772</v>
      </c>
      <c r="T1943" s="5" t="s">
        <v>1040</v>
      </c>
      <c r="U1943" s="5" t="s">
        <v>8773</v>
      </c>
      <c r="V1943" s="5"/>
    </row>
    <row r="1944" ht="12.75" customHeight="1">
      <c r="A1944" s="5">
        <v>35309.0</v>
      </c>
      <c r="B1944" s="5" t="s">
        <v>68</v>
      </c>
      <c r="C1944" s="5" t="s">
        <v>69</v>
      </c>
      <c r="D1944" s="5" t="s">
        <v>2614</v>
      </c>
      <c r="E1944" s="7" t="s">
        <v>8774</v>
      </c>
      <c r="F1944" s="5" t="s">
        <v>8656</v>
      </c>
      <c r="G1944" s="5" t="s">
        <v>8770</v>
      </c>
      <c r="H1944" s="5">
        <v>2005.0</v>
      </c>
      <c r="I1944" s="5">
        <v>0.0</v>
      </c>
      <c r="J1944" s="5">
        <v>0.0</v>
      </c>
      <c r="K1944" s="5">
        <v>2.0</v>
      </c>
      <c r="L1944" s="54"/>
      <c r="M1944" s="5" t="s">
        <v>8775</v>
      </c>
      <c r="N1944" s="53" t="s">
        <v>2754</v>
      </c>
      <c r="O1944">
        <v>37.282956</v>
      </c>
      <c r="P1944">
        <v>27.088338</v>
      </c>
      <c r="Q1944" s="5" t="s">
        <v>921</v>
      </c>
      <c r="R1944" s="10">
        <f t="shared" si="10"/>
        <v>15</v>
      </c>
      <c r="S1944" s="5" t="s">
        <v>8776</v>
      </c>
      <c r="T1944" s="6" t="s">
        <v>53</v>
      </c>
      <c r="U1944" s="5" t="s">
        <v>3318</v>
      </c>
      <c r="V1944" s="5" t="s">
        <v>8777</v>
      </c>
    </row>
    <row r="1945" ht="12.75" customHeight="1">
      <c r="A1945" s="5">
        <v>35310.0</v>
      </c>
      <c r="B1945" s="5" t="s">
        <v>68</v>
      </c>
      <c r="C1945" s="5" t="s">
        <v>69</v>
      </c>
      <c r="D1945" s="5" t="s">
        <v>2614</v>
      </c>
      <c r="E1945" s="7" t="s">
        <v>8774</v>
      </c>
      <c r="F1945" s="5" t="s">
        <v>8656</v>
      </c>
      <c r="G1945" s="5" t="s">
        <v>8770</v>
      </c>
      <c r="H1945" s="5">
        <v>2005.0</v>
      </c>
      <c r="I1945" s="5">
        <v>0.0</v>
      </c>
      <c r="J1945" s="5">
        <v>0.0</v>
      </c>
      <c r="K1945" s="5">
        <v>2.0</v>
      </c>
      <c r="L1945" s="54"/>
      <c r="M1945" s="5" t="s">
        <v>8778</v>
      </c>
      <c r="N1945" s="53" t="s">
        <v>2844</v>
      </c>
      <c r="O1945">
        <v>38.370981</v>
      </c>
      <c r="P1945">
        <v>26.136346</v>
      </c>
      <c r="Q1945" s="5" t="s">
        <v>1020</v>
      </c>
      <c r="R1945" s="10">
        <f t="shared" si="10"/>
        <v>31</v>
      </c>
      <c r="S1945" s="5" t="s">
        <v>8779</v>
      </c>
      <c r="T1945" s="6" t="s">
        <v>53</v>
      </c>
      <c r="U1945" s="5" t="s">
        <v>3318</v>
      </c>
      <c r="V1945" s="5" t="s">
        <v>8777</v>
      </c>
    </row>
    <row r="1946" ht="12.75" customHeight="1">
      <c r="A1946" s="5">
        <v>35311.0</v>
      </c>
      <c r="B1946" s="5" t="s">
        <v>2962</v>
      </c>
      <c r="C1946" s="5" t="s">
        <v>211</v>
      </c>
      <c r="D1946" s="5" t="s">
        <v>2852</v>
      </c>
      <c r="E1946" s="7" t="s">
        <v>8780</v>
      </c>
      <c r="F1946" s="5" t="s">
        <v>8656</v>
      </c>
      <c r="G1946" s="5" t="s">
        <v>8770</v>
      </c>
      <c r="H1946" s="5">
        <v>2005.0</v>
      </c>
      <c r="I1946" s="5">
        <v>0.0</v>
      </c>
      <c r="J1946" s="5">
        <v>0.0</v>
      </c>
      <c r="K1946" s="5">
        <v>1.0</v>
      </c>
      <c r="L1946" s="54"/>
      <c r="M1946" s="5" t="s">
        <v>8781</v>
      </c>
      <c r="N1946" s="53" t="s">
        <v>8782</v>
      </c>
      <c r="O1946">
        <v>34.802075</v>
      </c>
      <c r="P1946">
        <v>38.996815</v>
      </c>
      <c r="Q1946" s="5" t="s">
        <v>598</v>
      </c>
      <c r="R1946" s="10">
        <f t="shared" si="10"/>
        <v>7</v>
      </c>
      <c r="S1946" s="5" t="s">
        <v>8783</v>
      </c>
      <c r="T1946" s="5"/>
      <c r="U1946" s="5" t="s">
        <v>8784</v>
      </c>
      <c r="V1946" s="5"/>
    </row>
    <row r="1947" ht="12.75" customHeight="1">
      <c r="A1947" s="5">
        <v>35312.0</v>
      </c>
      <c r="B1947" s="5" t="s">
        <v>68</v>
      </c>
      <c r="C1947" s="5" t="s">
        <v>69</v>
      </c>
      <c r="D1947" s="5" t="s">
        <v>2614</v>
      </c>
      <c r="E1947" s="7" t="s">
        <v>8785</v>
      </c>
      <c r="F1947" s="5" t="s">
        <v>8656</v>
      </c>
      <c r="G1947" s="5" t="s">
        <v>8770</v>
      </c>
      <c r="H1947" s="5">
        <v>2005.0</v>
      </c>
      <c r="I1947" s="5">
        <v>0.0</v>
      </c>
      <c r="J1947" s="5">
        <v>0.0</v>
      </c>
      <c r="K1947" s="5">
        <v>1.0</v>
      </c>
      <c r="L1947" s="54"/>
      <c r="M1947" s="5" t="s">
        <v>8786</v>
      </c>
      <c r="N1947" s="53" t="s">
        <v>2680</v>
      </c>
      <c r="O1947">
        <v>36.018776</v>
      </c>
      <c r="P1947">
        <v>-5.600819</v>
      </c>
      <c r="Q1947" s="5" t="s">
        <v>761</v>
      </c>
      <c r="R1947" s="10">
        <f t="shared" si="10"/>
        <v>492</v>
      </c>
      <c r="S1947" s="5" t="s">
        <v>8787</v>
      </c>
      <c r="T1947" s="6" t="s">
        <v>72</v>
      </c>
      <c r="U1947" s="5" t="s">
        <v>2165</v>
      </c>
      <c r="V1947" s="5" t="s">
        <v>8788</v>
      </c>
    </row>
    <row r="1948" ht="12.75" customHeight="1">
      <c r="A1948" s="5">
        <v>35314.0</v>
      </c>
      <c r="B1948" s="5" t="s">
        <v>49</v>
      </c>
      <c r="C1948" s="52" t="s">
        <v>50</v>
      </c>
      <c r="D1948" s="5" t="s">
        <v>2852</v>
      </c>
      <c r="E1948" s="7" t="s">
        <v>8789</v>
      </c>
      <c r="F1948" s="5" t="s">
        <v>8656</v>
      </c>
      <c r="G1948" s="5" t="s">
        <v>8770</v>
      </c>
      <c r="H1948" s="5">
        <v>2005.0</v>
      </c>
      <c r="I1948" s="5">
        <v>0.0</v>
      </c>
      <c r="J1948" s="5">
        <v>0.0</v>
      </c>
      <c r="K1948" s="5">
        <v>24.0</v>
      </c>
      <c r="L1948" s="54"/>
      <c r="M1948" s="5" t="s">
        <v>8790</v>
      </c>
      <c r="N1948" s="53" t="s">
        <v>3314</v>
      </c>
      <c r="O1948">
        <v>37.599994</v>
      </c>
      <c r="P1948">
        <v>14.015356</v>
      </c>
      <c r="Q1948" s="5" t="s">
        <v>949</v>
      </c>
      <c r="R1948" s="10">
        <f t="shared" si="10"/>
        <v>363</v>
      </c>
      <c r="S1948" s="5" t="s">
        <v>8791</v>
      </c>
      <c r="T1948" s="6" t="s">
        <v>2130</v>
      </c>
      <c r="U1948" s="5" t="s">
        <v>2875</v>
      </c>
      <c r="V1948" s="5" t="s">
        <v>7579</v>
      </c>
    </row>
    <row r="1949" ht="12.75" customHeight="1">
      <c r="A1949" s="5">
        <v>35313.0</v>
      </c>
      <c r="B1949" s="5" t="s">
        <v>41</v>
      </c>
      <c r="C1949" s="5" t="s">
        <v>42</v>
      </c>
      <c r="D1949" s="5" t="s">
        <v>2614</v>
      </c>
      <c r="E1949" s="7" t="s">
        <v>8789</v>
      </c>
      <c r="F1949" s="5" t="s">
        <v>8656</v>
      </c>
      <c r="G1949" s="5" t="s">
        <v>8770</v>
      </c>
      <c r="H1949" s="5">
        <v>2005.0</v>
      </c>
      <c r="I1949" s="5">
        <v>0.0</v>
      </c>
      <c r="J1949" s="5">
        <v>0.0</v>
      </c>
      <c r="K1949" s="5">
        <v>1.0</v>
      </c>
      <c r="L1949" s="54"/>
      <c r="M1949" s="5" t="s">
        <v>8792</v>
      </c>
      <c r="N1949" s="53" t="s">
        <v>8793</v>
      </c>
      <c r="O1949">
        <v>38.994722</v>
      </c>
      <c r="P1949">
        <v>43.768056</v>
      </c>
      <c r="Q1949" s="5" t="s">
        <v>1053</v>
      </c>
      <c r="R1949" s="10">
        <f t="shared" si="10"/>
        <v>1</v>
      </c>
      <c r="S1949" s="5" t="s">
        <v>8794</v>
      </c>
      <c r="T1949" s="5"/>
      <c r="U1949" s="5" t="s">
        <v>7559</v>
      </c>
      <c r="V1949" s="5" t="s">
        <v>8795</v>
      </c>
    </row>
    <row r="1950" ht="12.75" customHeight="1">
      <c r="A1950" s="5">
        <v>35315.0</v>
      </c>
      <c r="B1950" s="5" t="s">
        <v>68</v>
      </c>
      <c r="C1950" s="5" t="s">
        <v>69</v>
      </c>
      <c r="D1950" s="5" t="s">
        <v>2614</v>
      </c>
      <c r="E1950" s="7" t="s">
        <v>8796</v>
      </c>
      <c r="F1950" s="5" t="s">
        <v>8656</v>
      </c>
      <c r="G1950" s="5" t="s">
        <v>8770</v>
      </c>
      <c r="H1950" s="5">
        <v>2005.0</v>
      </c>
      <c r="I1950" s="5">
        <v>0.0</v>
      </c>
      <c r="J1950" s="5">
        <v>0.0</v>
      </c>
      <c r="K1950" s="5">
        <v>2.0</v>
      </c>
      <c r="L1950" s="54"/>
      <c r="M1950" s="5" t="s">
        <v>8797</v>
      </c>
      <c r="N1950" s="53" t="s">
        <v>3314</v>
      </c>
      <c r="O1950">
        <v>37.599994</v>
      </c>
      <c r="P1950">
        <v>14.015356</v>
      </c>
      <c r="Q1950" s="5" t="s">
        <v>949</v>
      </c>
      <c r="R1950" s="10">
        <f t="shared" si="10"/>
        <v>363</v>
      </c>
      <c r="S1950" s="5" t="s">
        <v>8798</v>
      </c>
      <c r="T1950" s="6" t="s">
        <v>2130</v>
      </c>
      <c r="U1950" s="5" t="s">
        <v>2143</v>
      </c>
      <c r="V1950" s="5" t="s">
        <v>8799</v>
      </c>
    </row>
    <row r="1951" ht="12.75" customHeight="1">
      <c r="A1951" s="5">
        <v>35316.0</v>
      </c>
      <c r="B1951" s="5" t="s">
        <v>68</v>
      </c>
      <c r="C1951" s="5" t="s">
        <v>69</v>
      </c>
      <c r="D1951" s="5" t="s">
        <v>2614</v>
      </c>
      <c r="E1951" s="7" t="s">
        <v>8800</v>
      </c>
      <c r="F1951" s="5" t="s">
        <v>8656</v>
      </c>
      <c r="G1951" s="5" t="s">
        <v>8770</v>
      </c>
      <c r="H1951" s="5">
        <v>2005.0</v>
      </c>
      <c r="I1951" s="5">
        <v>0.0</v>
      </c>
      <c r="J1951" s="5">
        <v>0.0</v>
      </c>
      <c r="K1951" s="5">
        <v>14.0</v>
      </c>
      <c r="L1951" s="54"/>
      <c r="M1951" s="5" t="s">
        <v>8801</v>
      </c>
      <c r="N1951" s="53" t="s">
        <v>4941</v>
      </c>
      <c r="O1951">
        <v>28.291564</v>
      </c>
      <c r="P1951">
        <v>-16.62913</v>
      </c>
      <c r="Q1951" s="5" t="s">
        <v>382</v>
      </c>
      <c r="R1951" s="10">
        <f t="shared" si="10"/>
        <v>1120</v>
      </c>
      <c r="S1951" s="5" t="s">
        <v>8802</v>
      </c>
      <c r="T1951" s="5" t="s">
        <v>1040</v>
      </c>
      <c r="U1951" s="5" t="s">
        <v>8803</v>
      </c>
      <c r="V1951" s="5" t="s">
        <v>8804</v>
      </c>
    </row>
    <row r="1952" ht="12.75" customHeight="1">
      <c r="A1952" s="5">
        <v>35317.0</v>
      </c>
      <c r="B1952" s="5" t="s">
        <v>491</v>
      </c>
      <c r="C1952" s="52" t="s">
        <v>50</v>
      </c>
      <c r="D1952" s="5" t="s">
        <v>2614</v>
      </c>
      <c r="E1952" s="7" t="s">
        <v>8805</v>
      </c>
      <c r="F1952" s="5" t="s">
        <v>8656</v>
      </c>
      <c r="G1952" s="5" t="s">
        <v>8770</v>
      </c>
      <c r="H1952" s="5">
        <v>2005.0</v>
      </c>
      <c r="I1952" s="5">
        <v>0.0</v>
      </c>
      <c r="J1952" s="5">
        <v>0.0</v>
      </c>
      <c r="K1952" s="5">
        <v>18.0</v>
      </c>
      <c r="L1952" s="54"/>
      <c r="M1952" s="5" t="s">
        <v>8806</v>
      </c>
      <c r="N1952" s="53" t="s">
        <v>4412</v>
      </c>
      <c r="O1952">
        <v>35.696944</v>
      </c>
      <c r="P1952">
        <v>-0.633056</v>
      </c>
      <c r="Q1952" s="5" t="s">
        <v>690</v>
      </c>
      <c r="R1952" s="10">
        <f t="shared" si="10"/>
        <v>120</v>
      </c>
      <c r="S1952" s="5" t="s">
        <v>8807</v>
      </c>
      <c r="T1952" s="6" t="s">
        <v>72</v>
      </c>
      <c r="U1952" s="5" t="s">
        <v>5833</v>
      </c>
      <c r="V1952" s="5" t="s">
        <v>8808</v>
      </c>
    </row>
    <row r="1953" ht="12.75" customHeight="1">
      <c r="A1953" s="5">
        <v>35318.0</v>
      </c>
      <c r="B1953" s="5" t="s">
        <v>4264</v>
      </c>
      <c r="C1953" s="5" t="s">
        <v>211</v>
      </c>
      <c r="D1953" s="5" t="s">
        <v>2852</v>
      </c>
      <c r="E1953" s="7" t="s">
        <v>8809</v>
      </c>
      <c r="F1953" s="5" t="s">
        <v>8656</v>
      </c>
      <c r="G1953" s="5" t="s">
        <v>8770</v>
      </c>
      <c r="H1953" s="5">
        <v>2005.0</v>
      </c>
      <c r="I1953" s="5">
        <v>0.0</v>
      </c>
      <c r="J1953" s="5">
        <v>0.0</v>
      </c>
      <c r="K1953" s="5">
        <v>1.0</v>
      </c>
      <c r="L1953" s="54"/>
      <c r="M1953" s="5" t="s">
        <v>8810</v>
      </c>
      <c r="N1953" s="53" t="s">
        <v>8811</v>
      </c>
      <c r="O1953">
        <v>48.30694</v>
      </c>
      <c r="P1953">
        <v>14.28583</v>
      </c>
      <c r="Q1953" s="5" t="s">
        <v>1419</v>
      </c>
      <c r="R1953" s="10">
        <f t="shared" si="10"/>
        <v>1</v>
      </c>
      <c r="S1953" s="5" t="s">
        <v>8812</v>
      </c>
      <c r="T1953" s="5"/>
      <c r="U1953" s="5" t="s">
        <v>8813</v>
      </c>
      <c r="V1953" s="5"/>
    </row>
    <row r="1954" ht="12.75" customHeight="1">
      <c r="A1954" s="5">
        <v>35319.0</v>
      </c>
      <c r="B1954" s="5" t="s">
        <v>49</v>
      </c>
      <c r="C1954" s="52" t="s">
        <v>50</v>
      </c>
      <c r="D1954" s="5" t="s">
        <v>2852</v>
      </c>
      <c r="E1954" s="7" t="s">
        <v>8814</v>
      </c>
      <c r="F1954" s="5" t="s">
        <v>8656</v>
      </c>
      <c r="G1954" s="5" t="s">
        <v>8770</v>
      </c>
      <c r="H1954" s="5">
        <v>2005.0</v>
      </c>
      <c r="I1954" s="5">
        <v>0.0</v>
      </c>
      <c r="J1954" s="5">
        <v>0.0</v>
      </c>
      <c r="K1954" s="5">
        <v>23.0</v>
      </c>
      <c r="L1954" s="54"/>
      <c r="M1954" s="5" t="s">
        <v>8815</v>
      </c>
      <c r="N1954" s="53" t="s">
        <v>5954</v>
      </c>
      <c r="O1954">
        <v>27.93556</v>
      </c>
      <c r="P1954">
        <v>-12.91871</v>
      </c>
      <c r="Q1954" s="5" t="s">
        <v>365</v>
      </c>
      <c r="R1954" s="10">
        <f t="shared" si="10"/>
        <v>85</v>
      </c>
      <c r="S1954" s="5" t="s">
        <v>8816</v>
      </c>
      <c r="T1954" s="5" t="s">
        <v>1040</v>
      </c>
      <c r="U1954" s="5" t="s">
        <v>8817</v>
      </c>
      <c r="V1954" s="5"/>
    </row>
    <row r="1955" ht="12.75" customHeight="1">
      <c r="A1955" s="5">
        <v>35320.0</v>
      </c>
      <c r="B1955" s="5" t="s">
        <v>5200</v>
      </c>
      <c r="C1955" s="5" t="s">
        <v>124</v>
      </c>
      <c r="D1955" s="5" t="s">
        <v>2852</v>
      </c>
      <c r="E1955" s="7" t="s">
        <v>8818</v>
      </c>
      <c r="F1955" s="5" t="s">
        <v>8656</v>
      </c>
      <c r="G1955" s="5" t="s">
        <v>8770</v>
      </c>
      <c r="H1955" s="5">
        <v>2005.0</v>
      </c>
      <c r="I1955" s="5">
        <v>0.0</v>
      </c>
      <c r="J1955" s="5">
        <v>0.0</v>
      </c>
      <c r="K1955" s="5">
        <v>2.0</v>
      </c>
      <c r="L1955" s="54"/>
      <c r="M1955" s="5" t="s">
        <v>8819</v>
      </c>
      <c r="N1955" s="53" t="s">
        <v>2834</v>
      </c>
      <c r="O1955">
        <v>41.244376</v>
      </c>
      <c r="P1955">
        <v>26.135943</v>
      </c>
      <c r="Q1955" s="5" t="s">
        <v>1214</v>
      </c>
      <c r="R1955" s="10">
        <f t="shared" si="10"/>
        <v>188</v>
      </c>
      <c r="S1955" s="5" t="s">
        <v>8820</v>
      </c>
      <c r="T1955" s="6" t="s">
        <v>53</v>
      </c>
      <c r="U1955" s="5" t="s">
        <v>8821</v>
      </c>
      <c r="V1955" s="5" t="s">
        <v>8822</v>
      </c>
    </row>
    <row r="1956" ht="12.75" customHeight="1">
      <c r="A1956" s="5">
        <v>35321.0</v>
      </c>
      <c r="B1956" s="5" t="s">
        <v>491</v>
      </c>
      <c r="C1956" s="52" t="s">
        <v>50</v>
      </c>
      <c r="D1956" s="5" t="s">
        <v>2852</v>
      </c>
      <c r="E1956" s="7" t="s">
        <v>8823</v>
      </c>
      <c r="F1956" s="5" t="s">
        <v>8824</v>
      </c>
      <c r="G1956" s="5" t="s">
        <v>8825</v>
      </c>
      <c r="H1956" s="5">
        <v>2005.0</v>
      </c>
      <c r="I1956" s="5">
        <v>0.0</v>
      </c>
      <c r="J1956" s="5">
        <v>0.0</v>
      </c>
      <c r="K1956" s="5">
        <v>14.0</v>
      </c>
      <c r="L1956" s="54"/>
      <c r="M1956" s="5" t="s">
        <v>8826</v>
      </c>
      <c r="N1956" s="53" t="s">
        <v>4668</v>
      </c>
      <c r="O1956">
        <v>27.725499</v>
      </c>
      <c r="P1956">
        <v>-18.024301</v>
      </c>
      <c r="Q1956" s="5" t="s">
        <v>351</v>
      </c>
      <c r="R1956" s="10">
        <f t="shared" si="10"/>
        <v>41</v>
      </c>
      <c r="S1956" s="5" t="s">
        <v>8827</v>
      </c>
      <c r="T1956" s="5" t="s">
        <v>1040</v>
      </c>
      <c r="U1956" s="5" t="s">
        <v>8828</v>
      </c>
      <c r="V1956" s="5"/>
    </row>
    <row r="1957" ht="12.75" customHeight="1">
      <c r="A1957" s="5">
        <v>35324.0</v>
      </c>
      <c r="B1957" s="5" t="s">
        <v>49</v>
      </c>
      <c r="C1957" s="52" t="s">
        <v>50</v>
      </c>
      <c r="D1957" s="5" t="s">
        <v>2852</v>
      </c>
      <c r="E1957" s="7" t="s">
        <v>8829</v>
      </c>
      <c r="F1957" s="5" t="s">
        <v>8824</v>
      </c>
      <c r="G1957" s="5" t="s">
        <v>8825</v>
      </c>
      <c r="H1957" s="5">
        <v>2005.0</v>
      </c>
      <c r="I1957" s="5">
        <v>0.0</v>
      </c>
      <c r="J1957" s="5">
        <v>0.0</v>
      </c>
      <c r="K1957" s="5">
        <v>3.0</v>
      </c>
      <c r="L1957" s="54"/>
      <c r="M1957" s="5" t="s">
        <v>8830</v>
      </c>
      <c r="N1957" s="53" t="s">
        <v>2633</v>
      </c>
      <c r="O1957">
        <v>28.569022</v>
      </c>
      <c r="P1957">
        <v>-16.324539</v>
      </c>
      <c r="Q1957" s="5" t="s">
        <v>396</v>
      </c>
      <c r="R1957" s="10">
        <f t="shared" si="10"/>
        <v>53</v>
      </c>
      <c r="S1957" s="5" t="s">
        <v>8831</v>
      </c>
      <c r="T1957" s="5" t="s">
        <v>1040</v>
      </c>
      <c r="U1957" s="5" t="s">
        <v>8832</v>
      </c>
      <c r="V1957" s="5"/>
    </row>
    <row r="1958" ht="12.75" customHeight="1">
      <c r="A1958" s="5">
        <v>35323.0</v>
      </c>
      <c r="B1958" s="5" t="s">
        <v>49</v>
      </c>
      <c r="C1958" s="52" t="s">
        <v>50</v>
      </c>
      <c r="D1958" s="5" t="s">
        <v>2852</v>
      </c>
      <c r="E1958" s="7" t="s">
        <v>8829</v>
      </c>
      <c r="F1958" s="5" t="s">
        <v>8824</v>
      </c>
      <c r="G1958" s="5" t="s">
        <v>8825</v>
      </c>
      <c r="H1958" s="5">
        <v>2005.0</v>
      </c>
      <c r="I1958" s="5">
        <v>0.0</v>
      </c>
      <c r="J1958" s="5">
        <v>0.0</v>
      </c>
      <c r="K1958" s="5">
        <v>5.0</v>
      </c>
      <c r="L1958" s="54"/>
      <c r="M1958" s="5" t="s">
        <v>8833</v>
      </c>
      <c r="N1958" s="53" t="s">
        <v>2633</v>
      </c>
      <c r="O1958">
        <v>28.569022</v>
      </c>
      <c r="P1958">
        <v>-16.324539</v>
      </c>
      <c r="Q1958" s="5" t="s">
        <v>396</v>
      </c>
      <c r="R1958" s="10">
        <f t="shared" si="10"/>
        <v>53</v>
      </c>
      <c r="S1958" s="5" t="s">
        <v>8831</v>
      </c>
      <c r="T1958" s="5" t="s">
        <v>1040</v>
      </c>
      <c r="U1958" s="5" t="s">
        <v>8832</v>
      </c>
      <c r="V1958" s="5"/>
    </row>
    <row r="1959" ht="12.75" customHeight="1">
      <c r="A1959" s="5">
        <v>35322.0</v>
      </c>
      <c r="B1959" s="5" t="s">
        <v>49</v>
      </c>
      <c r="C1959" s="52" t="s">
        <v>50</v>
      </c>
      <c r="D1959" s="5" t="s">
        <v>2852</v>
      </c>
      <c r="E1959" s="7" t="s">
        <v>8829</v>
      </c>
      <c r="F1959" s="5" t="s">
        <v>8824</v>
      </c>
      <c r="G1959" s="5" t="s">
        <v>8825</v>
      </c>
      <c r="H1959" s="5">
        <v>2005.0</v>
      </c>
      <c r="I1959" s="5">
        <v>0.0</v>
      </c>
      <c r="J1959" s="5">
        <v>0.0</v>
      </c>
      <c r="K1959" s="5">
        <v>1.0</v>
      </c>
      <c r="L1959" s="54"/>
      <c r="M1959" s="5" t="s">
        <v>8834</v>
      </c>
      <c r="N1959" s="53" t="s">
        <v>2633</v>
      </c>
      <c r="O1959">
        <v>28.569022</v>
      </c>
      <c r="P1959">
        <v>-16.324539</v>
      </c>
      <c r="Q1959" s="5" t="s">
        <v>396</v>
      </c>
      <c r="R1959" s="10">
        <f t="shared" si="10"/>
        <v>53</v>
      </c>
      <c r="S1959" s="5" t="s">
        <v>8831</v>
      </c>
      <c r="T1959" s="5" t="s">
        <v>1040</v>
      </c>
      <c r="U1959" s="5" t="s">
        <v>8832</v>
      </c>
      <c r="V1959" s="5"/>
    </row>
    <row r="1960" ht="12.75" customHeight="1">
      <c r="A1960" s="5">
        <v>35326.0</v>
      </c>
      <c r="B1960" s="5" t="s">
        <v>98</v>
      </c>
      <c r="C1960" s="5" t="s">
        <v>62</v>
      </c>
      <c r="D1960" s="5" t="s">
        <v>2614</v>
      </c>
      <c r="E1960" s="7" t="s">
        <v>8835</v>
      </c>
      <c r="F1960" s="5" t="s">
        <v>8824</v>
      </c>
      <c r="G1960" s="5" t="s">
        <v>8825</v>
      </c>
      <c r="H1960" s="5">
        <v>2005.0</v>
      </c>
      <c r="I1960" s="5">
        <v>0.0</v>
      </c>
      <c r="J1960" s="5">
        <v>0.0</v>
      </c>
      <c r="K1960" s="5">
        <v>9.0</v>
      </c>
      <c r="L1960" s="54"/>
      <c r="M1960" s="5" t="s">
        <v>8836</v>
      </c>
      <c r="N1960" s="53" t="s">
        <v>5692</v>
      </c>
      <c r="O1960">
        <v>36.926927</v>
      </c>
      <c r="P1960">
        <v>14.725513</v>
      </c>
      <c r="Q1960" s="5" t="s">
        <v>887</v>
      </c>
      <c r="R1960" s="10">
        <f t="shared" si="10"/>
        <v>58</v>
      </c>
      <c r="S1960" s="5" t="s">
        <v>8837</v>
      </c>
      <c r="T1960" s="6" t="s">
        <v>2130</v>
      </c>
      <c r="U1960" s="5" t="s">
        <v>8803</v>
      </c>
      <c r="V1960" s="5" t="s">
        <v>8838</v>
      </c>
    </row>
    <row r="1961" ht="12.75" customHeight="1">
      <c r="A1961" s="5">
        <v>35327.0</v>
      </c>
      <c r="B1961" s="5" t="s">
        <v>49</v>
      </c>
      <c r="C1961" s="52" t="s">
        <v>50</v>
      </c>
      <c r="D1961" s="5" t="s">
        <v>2852</v>
      </c>
      <c r="E1961" s="7" t="s">
        <v>8835</v>
      </c>
      <c r="F1961" s="5" t="s">
        <v>8824</v>
      </c>
      <c r="G1961" s="5" t="s">
        <v>8825</v>
      </c>
      <c r="H1961" s="5">
        <v>2005.0</v>
      </c>
      <c r="I1961" s="5">
        <v>0.0</v>
      </c>
      <c r="J1961" s="5">
        <v>0.0</v>
      </c>
      <c r="K1961" s="5">
        <v>6.0</v>
      </c>
      <c r="L1961" s="54"/>
      <c r="M1961" s="5" t="s">
        <v>8839</v>
      </c>
      <c r="N1961" s="53" t="s">
        <v>3314</v>
      </c>
      <c r="O1961">
        <v>37.599994</v>
      </c>
      <c r="P1961">
        <v>14.015356</v>
      </c>
      <c r="Q1961" s="5" t="s">
        <v>949</v>
      </c>
      <c r="R1961" s="10">
        <f t="shared" si="10"/>
        <v>363</v>
      </c>
      <c r="S1961" s="5" t="s">
        <v>8840</v>
      </c>
      <c r="T1961" s="6" t="s">
        <v>2130</v>
      </c>
      <c r="U1961" s="5" t="s">
        <v>8841</v>
      </c>
      <c r="V1961" s="5"/>
    </row>
    <row r="1962" ht="12.75" customHeight="1">
      <c r="A1962" s="5">
        <v>35325.0</v>
      </c>
      <c r="B1962" s="5" t="s">
        <v>68</v>
      </c>
      <c r="C1962" s="5" t="s">
        <v>69</v>
      </c>
      <c r="D1962" s="5" t="s">
        <v>2614</v>
      </c>
      <c r="E1962" s="7" t="s">
        <v>8835</v>
      </c>
      <c r="F1962" s="5" t="s">
        <v>8824</v>
      </c>
      <c r="G1962" s="5" t="s">
        <v>8825</v>
      </c>
      <c r="H1962" s="5">
        <v>2005.0</v>
      </c>
      <c r="I1962" s="5">
        <v>0.0</v>
      </c>
      <c r="J1962" s="5">
        <v>0.0</v>
      </c>
      <c r="K1962" s="5">
        <v>100.0</v>
      </c>
      <c r="L1962" s="54"/>
      <c r="M1962" s="5" t="s">
        <v>8842</v>
      </c>
      <c r="N1962" s="53" t="s">
        <v>8843</v>
      </c>
      <c r="O1962">
        <v>37.969674</v>
      </c>
      <c r="P1962">
        <v>13.180775</v>
      </c>
      <c r="Q1962" s="5" t="s">
        <v>968</v>
      </c>
      <c r="R1962" s="10">
        <f t="shared" si="10"/>
        <v>100</v>
      </c>
      <c r="S1962" s="5" t="s">
        <v>8844</v>
      </c>
      <c r="T1962" s="6" t="s">
        <v>2130</v>
      </c>
      <c r="U1962" s="5" t="s">
        <v>8502</v>
      </c>
      <c r="V1962" s="5" t="s">
        <v>8845</v>
      </c>
    </row>
    <row r="1963" ht="12.75" customHeight="1">
      <c r="A1963" s="5">
        <v>35328.0</v>
      </c>
      <c r="B1963" s="5" t="s">
        <v>49</v>
      </c>
      <c r="C1963" s="52" t="s">
        <v>50</v>
      </c>
      <c r="D1963" s="5" t="s">
        <v>2614</v>
      </c>
      <c r="E1963" s="7" t="s">
        <v>8846</v>
      </c>
      <c r="F1963" s="5" t="s">
        <v>8824</v>
      </c>
      <c r="G1963" s="5" t="s">
        <v>8825</v>
      </c>
      <c r="H1963" s="5">
        <v>2005.0</v>
      </c>
      <c r="I1963" s="5">
        <v>0.0</v>
      </c>
      <c r="J1963" s="5">
        <v>0.0</v>
      </c>
      <c r="K1963" s="5">
        <v>30.0</v>
      </c>
      <c r="L1963" s="54"/>
      <c r="M1963" s="5" t="s">
        <v>8847</v>
      </c>
      <c r="N1963" s="53" t="s">
        <v>7071</v>
      </c>
      <c r="O1963">
        <v>27.153611</v>
      </c>
      <c r="P1963">
        <v>-13.203333</v>
      </c>
      <c r="Q1963" s="5" t="s">
        <v>349</v>
      </c>
      <c r="R1963" s="10">
        <f t="shared" si="10"/>
        <v>348</v>
      </c>
      <c r="S1963" s="5" t="s">
        <v>8848</v>
      </c>
      <c r="T1963" s="5" t="s">
        <v>1040</v>
      </c>
      <c r="U1963" s="5" t="s">
        <v>8085</v>
      </c>
      <c r="V1963" s="5" t="s">
        <v>8849</v>
      </c>
    </row>
    <row r="1964" ht="12.75" customHeight="1">
      <c r="A1964" s="5">
        <v>35329.0</v>
      </c>
      <c r="B1964" s="5" t="s">
        <v>2921</v>
      </c>
      <c r="C1964" s="5" t="s">
        <v>124</v>
      </c>
      <c r="D1964" s="5" t="s">
        <v>2852</v>
      </c>
      <c r="E1964" s="7" t="s">
        <v>8850</v>
      </c>
      <c r="F1964" s="5" t="s">
        <v>8824</v>
      </c>
      <c r="G1964" s="5" t="s">
        <v>8825</v>
      </c>
      <c r="H1964" s="5">
        <v>2005.0</v>
      </c>
      <c r="I1964" s="5">
        <v>0.0</v>
      </c>
      <c r="J1964" s="5">
        <v>0.0</v>
      </c>
      <c r="K1964" s="5">
        <v>1.0</v>
      </c>
      <c r="L1964" s="54"/>
      <c r="M1964" s="5" t="s">
        <v>8851</v>
      </c>
      <c r="N1964" s="53" t="s">
        <v>7418</v>
      </c>
      <c r="O1964">
        <v>50.85034</v>
      </c>
      <c r="P1964">
        <v>4.35171</v>
      </c>
      <c r="Q1964" s="5" t="s">
        <v>1526</v>
      </c>
      <c r="R1964" s="10">
        <f t="shared" si="10"/>
        <v>5</v>
      </c>
      <c r="S1964" s="5" t="s">
        <v>8852</v>
      </c>
      <c r="T1964" s="5"/>
      <c r="U1964" s="5" t="s">
        <v>176</v>
      </c>
      <c r="V1964" s="5"/>
    </row>
    <row r="1965" ht="12.75" customHeight="1">
      <c r="A1965" s="5">
        <v>35330.0</v>
      </c>
      <c r="B1965" s="5" t="s">
        <v>68</v>
      </c>
      <c r="C1965" s="5" t="s">
        <v>69</v>
      </c>
      <c r="D1965" s="5" t="s">
        <v>2614</v>
      </c>
      <c r="E1965" s="7" t="s">
        <v>8853</v>
      </c>
      <c r="F1965" s="5" t="s">
        <v>8824</v>
      </c>
      <c r="G1965" s="5" t="s">
        <v>8825</v>
      </c>
      <c r="H1965" s="5">
        <v>2005.0</v>
      </c>
      <c r="I1965" s="5">
        <v>0.0</v>
      </c>
      <c r="J1965" s="5">
        <v>0.0</v>
      </c>
      <c r="K1965" s="5">
        <v>36.0</v>
      </c>
      <c r="L1965" s="54"/>
      <c r="M1965" s="5" t="s">
        <v>8854</v>
      </c>
      <c r="N1965" s="53" t="s">
        <v>6431</v>
      </c>
      <c r="O1965">
        <v>43.355524</v>
      </c>
      <c r="P1965">
        <v>-8.255738</v>
      </c>
      <c r="Q1965" s="5" t="s">
        <v>1278</v>
      </c>
      <c r="R1965" s="10">
        <f t="shared" si="10"/>
        <v>57</v>
      </c>
      <c r="S1965" s="5" t="s">
        <v>8855</v>
      </c>
      <c r="T1965" s="5"/>
      <c r="U1965" s="5" t="s">
        <v>8097</v>
      </c>
      <c r="V1965" s="5" t="s">
        <v>8585</v>
      </c>
    </row>
    <row r="1966" ht="12.75" customHeight="1">
      <c r="A1966" s="5">
        <v>35331.0</v>
      </c>
      <c r="B1966" s="5" t="s">
        <v>49</v>
      </c>
      <c r="C1966" s="52" t="s">
        <v>50</v>
      </c>
      <c r="D1966" s="5" t="s">
        <v>2852</v>
      </c>
      <c r="E1966" s="7" t="s">
        <v>8856</v>
      </c>
      <c r="F1966" s="5" t="s">
        <v>8824</v>
      </c>
      <c r="G1966" s="5" t="s">
        <v>8825</v>
      </c>
      <c r="H1966" s="5">
        <v>2005.0</v>
      </c>
      <c r="I1966" s="5">
        <v>0.0</v>
      </c>
      <c r="J1966" s="5">
        <v>0.0</v>
      </c>
      <c r="K1966" s="5">
        <v>1.0</v>
      </c>
      <c r="L1966" s="54"/>
      <c r="M1966" s="5" t="s">
        <v>8857</v>
      </c>
      <c r="N1966" s="53" t="s">
        <v>4941</v>
      </c>
      <c r="O1966">
        <v>28.291564</v>
      </c>
      <c r="P1966">
        <v>-16.62913</v>
      </c>
      <c r="Q1966" s="5" t="s">
        <v>382</v>
      </c>
      <c r="R1966" s="10">
        <f t="shared" si="10"/>
        <v>1120</v>
      </c>
      <c r="S1966" s="5" t="s">
        <v>8858</v>
      </c>
      <c r="T1966" s="5" t="s">
        <v>1040</v>
      </c>
      <c r="U1966" s="5" t="s">
        <v>3128</v>
      </c>
      <c r="V1966" s="5"/>
    </row>
    <row r="1967" ht="12.75" customHeight="1">
      <c r="A1967" s="5">
        <v>35332.0</v>
      </c>
      <c r="B1967" s="5" t="s">
        <v>49</v>
      </c>
      <c r="C1967" s="52" t="s">
        <v>50</v>
      </c>
      <c r="D1967" s="5" t="s">
        <v>2614</v>
      </c>
      <c r="E1967" s="7" t="s">
        <v>8859</v>
      </c>
      <c r="F1967" s="5" t="s">
        <v>8824</v>
      </c>
      <c r="G1967" s="5" t="s">
        <v>8860</v>
      </c>
      <c r="H1967" s="5">
        <v>2005.0</v>
      </c>
      <c r="I1967" s="5">
        <v>0.0</v>
      </c>
      <c r="J1967" s="5">
        <v>0.0</v>
      </c>
      <c r="K1967" s="5">
        <v>1.0</v>
      </c>
      <c r="L1967" s="54"/>
      <c r="M1967" s="5" t="s">
        <v>8861</v>
      </c>
      <c r="N1967" s="53" t="s">
        <v>5983</v>
      </c>
      <c r="O1967">
        <v>36.132977</v>
      </c>
      <c r="P1967">
        <v>-5.453909</v>
      </c>
      <c r="Q1967" s="5" t="s">
        <v>770</v>
      </c>
      <c r="R1967" s="10">
        <f t="shared" si="10"/>
        <v>29</v>
      </c>
      <c r="S1967" s="5" t="s">
        <v>8862</v>
      </c>
      <c r="T1967" s="6" t="s">
        <v>72</v>
      </c>
      <c r="U1967" s="5" t="s">
        <v>8863</v>
      </c>
      <c r="V1967" s="5" t="s">
        <v>8864</v>
      </c>
    </row>
    <row r="1968" ht="12.75" customHeight="1">
      <c r="A1968" s="5">
        <v>35335.0</v>
      </c>
      <c r="B1968" s="5" t="s">
        <v>49</v>
      </c>
      <c r="C1968" s="52" t="s">
        <v>50</v>
      </c>
      <c r="D1968" s="5" t="s">
        <v>2852</v>
      </c>
      <c r="E1968" s="7" t="s">
        <v>8865</v>
      </c>
      <c r="F1968" s="5" t="s">
        <v>8824</v>
      </c>
      <c r="G1968" s="5" t="s">
        <v>8860</v>
      </c>
      <c r="H1968" s="5">
        <v>2005.0</v>
      </c>
      <c r="I1968" s="5">
        <v>0.0</v>
      </c>
      <c r="J1968" s="5">
        <v>0.0</v>
      </c>
      <c r="K1968" s="5">
        <v>35.0</v>
      </c>
      <c r="L1968" s="54"/>
      <c r="M1968" s="5" t="s">
        <v>8866</v>
      </c>
      <c r="N1968" s="53" t="s">
        <v>4412</v>
      </c>
      <c r="O1968">
        <v>35.696944</v>
      </c>
      <c r="P1968">
        <v>-0.633056</v>
      </c>
      <c r="Q1968" s="5" t="s">
        <v>690</v>
      </c>
      <c r="R1968" s="10">
        <f t="shared" si="10"/>
        <v>120</v>
      </c>
      <c r="S1968" s="5" t="s">
        <v>8867</v>
      </c>
      <c r="T1968" s="6" t="s">
        <v>72</v>
      </c>
      <c r="U1968" s="5" t="s">
        <v>8868</v>
      </c>
      <c r="V1968" s="5" t="s">
        <v>8869</v>
      </c>
    </row>
    <row r="1969" ht="12.75" customHeight="1">
      <c r="A1969" s="5">
        <v>35334.0</v>
      </c>
      <c r="B1969" s="5" t="s">
        <v>68</v>
      </c>
      <c r="C1969" s="5" t="s">
        <v>69</v>
      </c>
      <c r="D1969" s="5" t="s">
        <v>2852</v>
      </c>
      <c r="E1969" s="7" t="s">
        <v>8865</v>
      </c>
      <c r="F1969" s="5" t="s">
        <v>8824</v>
      </c>
      <c r="G1969" s="5" t="s">
        <v>8860</v>
      </c>
      <c r="H1969" s="5">
        <v>2005.0</v>
      </c>
      <c r="I1969" s="5">
        <v>0.0</v>
      </c>
      <c r="J1969" s="5">
        <v>0.0</v>
      </c>
      <c r="K1969" s="5">
        <v>2.0</v>
      </c>
      <c r="L1969" s="54"/>
      <c r="M1969" s="5" t="s">
        <v>8870</v>
      </c>
      <c r="N1969" s="53" t="s">
        <v>4412</v>
      </c>
      <c r="O1969">
        <v>35.696944</v>
      </c>
      <c r="P1969">
        <v>-0.633056</v>
      </c>
      <c r="Q1969" s="5" t="s">
        <v>690</v>
      </c>
      <c r="R1969" s="10">
        <f t="shared" si="10"/>
        <v>120</v>
      </c>
      <c r="S1969" s="5" t="s">
        <v>8867</v>
      </c>
      <c r="T1969" s="6" t="s">
        <v>72</v>
      </c>
      <c r="U1969" s="5" t="s">
        <v>8868</v>
      </c>
      <c r="V1969" s="5"/>
    </row>
    <row r="1970" ht="12.75" customHeight="1">
      <c r="A1970" s="5">
        <v>35333.0</v>
      </c>
      <c r="B1970" s="5" t="s">
        <v>68</v>
      </c>
      <c r="C1970" s="5" t="s">
        <v>69</v>
      </c>
      <c r="D1970" s="5" t="s">
        <v>2614</v>
      </c>
      <c r="E1970" s="7" t="s">
        <v>8865</v>
      </c>
      <c r="F1970" s="5" t="s">
        <v>8824</v>
      </c>
      <c r="G1970" s="5" t="s">
        <v>8860</v>
      </c>
      <c r="H1970" s="5">
        <v>2005.0</v>
      </c>
      <c r="I1970" s="5">
        <v>0.0</v>
      </c>
      <c r="J1970" s="5">
        <v>0.0</v>
      </c>
      <c r="K1970" s="5">
        <v>2.0</v>
      </c>
      <c r="L1970" s="54"/>
      <c r="M1970" s="5" t="s">
        <v>8871</v>
      </c>
      <c r="N1970" s="53" t="s">
        <v>4412</v>
      </c>
      <c r="O1970">
        <v>35.696944</v>
      </c>
      <c r="P1970">
        <v>-0.633056</v>
      </c>
      <c r="Q1970" s="5" t="s">
        <v>690</v>
      </c>
      <c r="R1970" s="10">
        <f t="shared" si="10"/>
        <v>120</v>
      </c>
      <c r="S1970" s="5" t="s">
        <v>8867</v>
      </c>
      <c r="T1970" s="6" t="s">
        <v>72</v>
      </c>
      <c r="U1970" s="5" t="s">
        <v>8872</v>
      </c>
      <c r="V1970" s="5" t="s">
        <v>8873</v>
      </c>
    </row>
    <row r="1971" ht="12.75" customHeight="1">
      <c r="A1971" s="5">
        <v>35336.0</v>
      </c>
      <c r="B1971" s="5" t="s">
        <v>49</v>
      </c>
      <c r="C1971" s="52" t="s">
        <v>50</v>
      </c>
      <c r="D1971" s="5" t="s">
        <v>2852</v>
      </c>
      <c r="E1971" s="7" t="s">
        <v>8874</v>
      </c>
      <c r="F1971" s="5" t="s">
        <v>8824</v>
      </c>
      <c r="G1971" s="5" t="s">
        <v>8860</v>
      </c>
      <c r="H1971" s="5">
        <v>2005.0</v>
      </c>
      <c r="I1971" s="5">
        <v>0.0</v>
      </c>
      <c r="J1971" s="5">
        <v>0.0</v>
      </c>
      <c r="K1971" s="5">
        <v>1.0</v>
      </c>
      <c r="L1971" s="54"/>
      <c r="M1971" s="5" t="s">
        <v>8875</v>
      </c>
      <c r="N1971" s="53" t="s">
        <v>4412</v>
      </c>
      <c r="O1971">
        <v>35.696944</v>
      </c>
      <c r="P1971">
        <v>-0.633056</v>
      </c>
      <c r="Q1971" s="5" t="s">
        <v>690</v>
      </c>
      <c r="R1971" s="10">
        <f t="shared" si="10"/>
        <v>120</v>
      </c>
      <c r="S1971" s="5" t="s">
        <v>8876</v>
      </c>
      <c r="T1971" s="6" t="s">
        <v>72</v>
      </c>
      <c r="U1971" s="5" t="s">
        <v>8877</v>
      </c>
      <c r="V1971" s="5"/>
    </row>
    <row r="1972" ht="12.75" customHeight="1">
      <c r="A1972" s="5">
        <v>35337.0</v>
      </c>
      <c r="B1972" s="5" t="s">
        <v>68</v>
      </c>
      <c r="C1972" s="5" t="s">
        <v>69</v>
      </c>
      <c r="D1972" s="5" t="s">
        <v>2852</v>
      </c>
      <c r="E1972" s="7" t="s">
        <v>8874</v>
      </c>
      <c r="F1972" s="5" t="s">
        <v>8824</v>
      </c>
      <c r="G1972" s="5" t="s">
        <v>8860</v>
      </c>
      <c r="H1972" s="5">
        <v>2005.0</v>
      </c>
      <c r="I1972" s="5">
        <v>0.0</v>
      </c>
      <c r="J1972" s="5">
        <v>0.0</v>
      </c>
      <c r="K1972" s="5">
        <v>2.0</v>
      </c>
      <c r="L1972" s="54"/>
      <c r="M1972" s="5" t="s">
        <v>8878</v>
      </c>
      <c r="N1972" s="53" t="s">
        <v>3379</v>
      </c>
      <c r="O1972">
        <v>36.834047</v>
      </c>
      <c r="P1972">
        <v>-2.463714</v>
      </c>
      <c r="Q1972" s="5" t="s">
        <v>863</v>
      </c>
      <c r="R1972" s="10">
        <f t="shared" si="10"/>
        <v>208</v>
      </c>
      <c r="S1972" s="5" t="s">
        <v>8879</v>
      </c>
      <c r="T1972" s="6" t="s">
        <v>72</v>
      </c>
      <c r="U1972" s="5" t="s">
        <v>8880</v>
      </c>
      <c r="V1972" s="5"/>
    </row>
    <row r="1973" ht="12.75" customHeight="1">
      <c r="A1973" s="5">
        <v>35338.0</v>
      </c>
      <c r="B1973" s="5" t="s">
        <v>2902</v>
      </c>
      <c r="C1973" s="5" t="s">
        <v>211</v>
      </c>
      <c r="D1973" s="5" t="s">
        <v>2852</v>
      </c>
      <c r="E1973" s="7" t="s">
        <v>8874</v>
      </c>
      <c r="F1973" s="5" t="s">
        <v>8824</v>
      </c>
      <c r="G1973" s="5" t="s">
        <v>8860</v>
      </c>
      <c r="H1973" s="5">
        <v>2005.0</v>
      </c>
      <c r="I1973" s="5">
        <v>0.0</v>
      </c>
      <c r="J1973" s="5">
        <v>0.0</v>
      </c>
      <c r="K1973" s="5">
        <v>1.0</v>
      </c>
      <c r="L1973" s="54"/>
      <c r="M1973" s="5" t="s">
        <v>8881</v>
      </c>
      <c r="N1973" s="53" t="s">
        <v>5824</v>
      </c>
      <c r="O1973">
        <v>51.165691</v>
      </c>
      <c r="P1973">
        <v>10.451526</v>
      </c>
      <c r="Q1973" s="5" t="s">
        <v>1599</v>
      </c>
      <c r="R1973" s="10">
        <f t="shared" si="10"/>
        <v>8</v>
      </c>
      <c r="S1973" s="5" t="s">
        <v>8882</v>
      </c>
      <c r="T1973" s="5"/>
      <c r="U1973" s="5" t="s">
        <v>8883</v>
      </c>
      <c r="V1973" s="5"/>
    </row>
    <row r="1974" ht="12.75" customHeight="1">
      <c r="A1974" s="5">
        <v>35339.0</v>
      </c>
      <c r="B1974" s="5" t="s">
        <v>636</v>
      </c>
      <c r="C1974" s="52" t="s">
        <v>50</v>
      </c>
      <c r="D1974" s="5" t="s">
        <v>2614</v>
      </c>
      <c r="E1974" s="7" t="s">
        <v>8884</v>
      </c>
      <c r="F1974" s="5" t="s">
        <v>8824</v>
      </c>
      <c r="G1974" s="5" t="s">
        <v>8860</v>
      </c>
      <c r="H1974" s="5">
        <v>2005.0</v>
      </c>
      <c r="I1974" s="5">
        <v>1.0</v>
      </c>
      <c r="J1974" s="5">
        <v>0.0</v>
      </c>
      <c r="K1974" s="5">
        <v>1.0</v>
      </c>
      <c r="L1974" s="54"/>
      <c r="M1974" s="5" t="s">
        <v>8885</v>
      </c>
      <c r="N1974" s="53" t="s">
        <v>3379</v>
      </c>
      <c r="O1974">
        <v>36.834047</v>
      </c>
      <c r="P1974">
        <v>-2.463714</v>
      </c>
      <c r="Q1974" s="5" t="s">
        <v>863</v>
      </c>
      <c r="R1974" s="10">
        <f t="shared" si="10"/>
        <v>208</v>
      </c>
      <c r="S1974" s="5" t="s">
        <v>8886</v>
      </c>
      <c r="T1974" s="6" t="s">
        <v>72</v>
      </c>
      <c r="U1974" s="5" t="s">
        <v>2785</v>
      </c>
      <c r="V1974" s="5" t="s">
        <v>8887</v>
      </c>
    </row>
    <row r="1975" ht="12.75" customHeight="1">
      <c r="A1975" s="5">
        <v>35340.0</v>
      </c>
      <c r="B1975" s="5" t="s">
        <v>2962</v>
      </c>
      <c r="C1975" s="5" t="s">
        <v>211</v>
      </c>
      <c r="D1975" s="5" t="s">
        <v>2852</v>
      </c>
      <c r="E1975" s="7" t="s">
        <v>8884</v>
      </c>
      <c r="F1975" s="5" t="s">
        <v>8824</v>
      </c>
      <c r="G1975" s="5" t="s">
        <v>8860</v>
      </c>
      <c r="H1975" s="5">
        <v>2005.0</v>
      </c>
      <c r="I1975" s="5">
        <v>0.0</v>
      </c>
      <c r="J1975" s="5">
        <v>0.0</v>
      </c>
      <c r="K1975" s="5">
        <v>1.0</v>
      </c>
      <c r="L1975" s="54"/>
      <c r="M1975" s="5" t="s">
        <v>8888</v>
      </c>
      <c r="N1975" s="53" t="s">
        <v>8889</v>
      </c>
      <c r="O1975">
        <v>47.516231</v>
      </c>
      <c r="P1975">
        <v>14.550072</v>
      </c>
      <c r="Q1975" s="5" t="s">
        <v>1384</v>
      </c>
      <c r="R1975" s="10">
        <f t="shared" si="10"/>
        <v>4</v>
      </c>
      <c r="S1975" s="5" t="s">
        <v>8890</v>
      </c>
      <c r="T1975" s="5"/>
      <c r="U1975" s="5" t="s">
        <v>8891</v>
      </c>
      <c r="V1975" s="5"/>
    </row>
    <row r="1976" ht="12.75" customHeight="1">
      <c r="A1976" s="5">
        <v>35341.0</v>
      </c>
      <c r="B1976" s="5" t="s">
        <v>636</v>
      </c>
      <c r="C1976" s="52" t="s">
        <v>50</v>
      </c>
      <c r="D1976" s="5" t="s">
        <v>2852</v>
      </c>
      <c r="E1976" s="7" t="s">
        <v>8892</v>
      </c>
      <c r="F1976" s="5" t="s">
        <v>8824</v>
      </c>
      <c r="G1976" s="5" t="s">
        <v>8860</v>
      </c>
      <c r="H1976" s="5">
        <v>2005.0</v>
      </c>
      <c r="I1976" s="5">
        <v>0.0</v>
      </c>
      <c r="J1976" s="5">
        <v>0.0</v>
      </c>
      <c r="K1976" s="5">
        <v>1.0</v>
      </c>
      <c r="L1976" s="54"/>
      <c r="M1976" s="5" t="s">
        <v>8893</v>
      </c>
      <c r="N1976" s="53" t="s">
        <v>4470</v>
      </c>
      <c r="O1976">
        <v>35.950486</v>
      </c>
      <c r="P1976">
        <v>-3.035088</v>
      </c>
      <c r="Q1976" s="5" t="s">
        <v>743</v>
      </c>
      <c r="R1976" s="10">
        <f t="shared" si="10"/>
        <v>10</v>
      </c>
      <c r="S1976" s="5" t="s">
        <v>8894</v>
      </c>
      <c r="T1976" s="6" t="s">
        <v>72</v>
      </c>
      <c r="U1976" s="5" t="s">
        <v>3128</v>
      </c>
      <c r="V1976" s="5"/>
    </row>
    <row r="1977" ht="12.75" customHeight="1">
      <c r="A1977" s="5">
        <v>35343.0</v>
      </c>
      <c r="B1977" s="5" t="s">
        <v>49</v>
      </c>
      <c r="C1977" s="52" t="s">
        <v>50</v>
      </c>
      <c r="D1977" s="5" t="s">
        <v>2852</v>
      </c>
      <c r="E1977" s="7" t="s">
        <v>8895</v>
      </c>
      <c r="F1977" s="5" t="s">
        <v>8824</v>
      </c>
      <c r="G1977" s="5" t="s">
        <v>8860</v>
      </c>
      <c r="H1977" s="5">
        <v>2005.0</v>
      </c>
      <c r="I1977" s="5">
        <v>0.0</v>
      </c>
      <c r="J1977" s="5">
        <v>0.0</v>
      </c>
      <c r="K1977" s="5">
        <v>26.0</v>
      </c>
      <c r="L1977" s="54"/>
      <c r="M1977" s="5" t="s">
        <v>8896</v>
      </c>
      <c r="N1977" s="53" t="s">
        <v>2928</v>
      </c>
      <c r="O1977">
        <v>26.3351</v>
      </c>
      <c r="P1977">
        <v>17.228331</v>
      </c>
      <c r="Q1977" s="5" t="s">
        <v>337</v>
      </c>
      <c r="R1977" s="10">
        <f t="shared" si="10"/>
        <v>1371</v>
      </c>
      <c r="S1977" s="5" t="s">
        <v>8897</v>
      </c>
      <c r="T1977" s="6" t="s">
        <v>2130</v>
      </c>
      <c r="U1977" s="5" t="s">
        <v>8898</v>
      </c>
      <c r="V1977" s="5"/>
    </row>
    <row r="1978" ht="12.75" customHeight="1">
      <c r="A1978" s="5">
        <v>35342.0</v>
      </c>
      <c r="B1978" s="5" t="s">
        <v>49</v>
      </c>
      <c r="C1978" s="52" t="s">
        <v>50</v>
      </c>
      <c r="D1978" s="5" t="s">
        <v>2852</v>
      </c>
      <c r="E1978" s="7" t="s">
        <v>8895</v>
      </c>
      <c r="F1978" s="5" t="s">
        <v>8824</v>
      </c>
      <c r="G1978" s="5" t="s">
        <v>8860</v>
      </c>
      <c r="H1978" s="5">
        <v>2005.0</v>
      </c>
      <c r="I1978" s="5">
        <v>0.0</v>
      </c>
      <c r="J1978" s="5">
        <v>0.0</v>
      </c>
      <c r="K1978" s="5">
        <v>9.0</v>
      </c>
      <c r="L1978" s="54"/>
      <c r="M1978" s="5" t="s">
        <v>8899</v>
      </c>
      <c r="N1978" s="53" t="s">
        <v>3295</v>
      </c>
      <c r="O1978">
        <v>26.3351</v>
      </c>
      <c r="P1978">
        <v>17.228331</v>
      </c>
      <c r="Q1978" s="5" t="s">
        <v>337</v>
      </c>
      <c r="R1978" s="10">
        <f t="shared" si="10"/>
        <v>1371</v>
      </c>
      <c r="S1978" s="5" t="s">
        <v>8900</v>
      </c>
      <c r="T1978" s="6" t="s">
        <v>2130</v>
      </c>
      <c r="U1978" s="5" t="s">
        <v>8901</v>
      </c>
      <c r="V1978" s="5" t="s">
        <v>7579</v>
      </c>
    </row>
    <row r="1979" ht="12.75" customHeight="1">
      <c r="A1979" s="5">
        <v>35344.0</v>
      </c>
      <c r="B1979" s="5" t="s">
        <v>2962</v>
      </c>
      <c r="C1979" s="5" t="s">
        <v>211</v>
      </c>
      <c r="D1979" s="5" t="s">
        <v>2852</v>
      </c>
      <c r="E1979" s="7" t="s">
        <v>8902</v>
      </c>
      <c r="F1979" s="5" t="s">
        <v>8824</v>
      </c>
      <c r="G1979" s="5" t="s">
        <v>8860</v>
      </c>
      <c r="H1979" s="5">
        <v>2005.0</v>
      </c>
      <c r="I1979" s="5">
        <v>0.0</v>
      </c>
      <c r="J1979" s="5">
        <v>0.0</v>
      </c>
      <c r="K1979" s="5">
        <v>1.0</v>
      </c>
      <c r="L1979" s="54"/>
      <c r="M1979" s="5" t="s">
        <v>8903</v>
      </c>
      <c r="N1979" s="53" t="s">
        <v>8904</v>
      </c>
      <c r="O1979">
        <v>51.457072</v>
      </c>
      <c r="P1979">
        <v>-0.181782</v>
      </c>
      <c r="Q1979" s="5" t="s">
        <v>1628</v>
      </c>
      <c r="R1979" s="10">
        <f t="shared" si="10"/>
        <v>1</v>
      </c>
      <c r="S1979" s="5" t="s">
        <v>8905</v>
      </c>
      <c r="T1979" s="5"/>
      <c r="U1979" s="5" t="s">
        <v>7189</v>
      </c>
      <c r="V1979" s="5"/>
    </row>
    <row r="1980" ht="12.75" customHeight="1">
      <c r="A1980" s="5">
        <v>35345.0</v>
      </c>
      <c r="B1980" s="5" t="s">
        <v>49</v>
      </c>
      <c r="C1980" s="52" t="s">
        <v>50</v>
      </c>
      <c r="D1980" s="5" t="s">
        <v>2852</v>
      </c>
      <c r="E1980" s="7" t="s">
        <v>8906</v>
      </c>
      <c r="F1980" s="5" t="s">
        <v>8824</v>
      </c>
      <c r="G1980" s="5" t="s">
        <v>8860</v>
      </c>
      <c r="H1980" s="5">
        <v>2005.0</v>
      </c>
      <c r="I1980" s="5">
        <v>0.0</v>
      </c>
      <c r="J1980" s="5">
        <v>0.0</v>
      </c>
      <c r="K1980" s="5">
        <v>30.0</v>
      </c>
      <c r="L1980" s="54"/>
      <c r="M1980" s="5" t="s">
        <v>8907</v>
      </c>
      <c r="N1980" s="53" t="s">
        <v>6562</v>
      </c>
      <c r="O1980">
        <v>38.32981</v>
      </c>
      <c r="P1980">
        <v>26.314921</v>
      </c>
      <c r="Q1980" s="5" t="s">
        <v>1015</v>
      </c>
      <c r="R1980" s="10">
        <f t="shared" si="10"/>
        <v>66</v>
      </c>
      <c r="S1980" s="5" t="s">
        <v>8908</v>
      </c>
      <c r="T1980" s="6" t="s">
        <v>53</v>
      </c>
      <c r="U1980" s="5" t="s">
        <v>8909</v>
      </c>
      <c r="V1980" s="5"/>
    </row>
    <row r="1981" ht="12.75" customHeight="1">
      <c r="A1981" s="5">
        <v>35346.0</v>
      </c>
      <c r="B1981" s="5" t="s">
        <v>3409</v>
      </c>
      <c r="C1981" s="5" t="s">
        <v>211</v>
      </c>
      <c r="D1981" s="5" t="s">
        <v>2852</v>
      </c>
      <c r="E1981" s="7" t="s">
        <v>8910</v>
      </c>
      <c r="F1981" s="5" t="s">
        <v>8824</v>
      </c>
      <c r="G1981" s="5" t="s">
        <v>8860</v>
      </c>
      <c r="H1981" s="5">
        <v>2005.0</v>
      </c>
      <c r="I1981" s="6">
        <v>1.0</v>
      </c>
      <c r="J1981" s="5">
        <v>0.0</v>
      </c>
      <c r="K1981" s="6">
        <v>1.0</v>
      </c>
      <c r="L1981" s="54"/>
      <c r="M1981" s="5" t="s">
        <v>8911</v>
      </c>
      <c r="N1981" s="53" t="s">
        <v>8912</v>
      </c>
      <c r="O1981">
        <v>53.795984</v>
      </c>
      <c r="P1981">
        <v>-1.759398</v>
      </c>
      <c r="Q1981" s="5" t="s">
        <v>1865</v>
      </c>
      <c r="R1981" s="10">
        <f t="shared" si="10"/>
        <v>1</v>
      </c>
      <c r="S1981" s="5" t="s">
        <v>8913</v>
      </c>
      <c r="T1981" s="5"/>
      <c r="U1981" s="5" t="s">
        <v>8914</v>
      </c>
      <c r="V1981" s="5"/>
    </row>
    <row r="1982" ht="12.75" customHeight="1">
      <c r="A1982" s="5">
        <v>35184.0</v>
      </c>
      <c r="B1982" s="5" t="s">
        <v>98</v>
      </c>
      <c r="C1982" s="5" t="s">
        <v>62</v>
      </c>
      <c r="D1982" s="5" t="s">
        <v>2852</v>
      </c>
      <c r="E1982" s="7" t="s">
        <v>8915</v>
      </c>
      <c r="F1982" s="5" t="s">
        <v>8916</v>
      </c>
      <c r="G1982" s="5" t="s">
        <v>8917</v>
      </c>
      <c r="H1982" s="5">
        <v>2005.0</v>
      </c>
      <c r="I1982" s="5">
        <v>0.0</v>
      </c>
      <c r="J1982" s="5">
        <v>0.0</v>
      </c>
      <c r="K1982" s="5">
        <v>1.0</v>
      </c>
      <c r="L1982" s="54"/>
      <c r="M1982" s="5" t="s">
        <v>8918</v>
      </c>
      <c r="N1982" s="53" t="s">
        <v>8919</v>
      </c>
      <c r="O1982">
        <v>15.552727</v>
      </c>
      <c r="P1982">
        <v>48.516388</v>
      </c>
      <c r="Q1982" s="5" t="s">
        <v>272</v>
      </c>
      <c r="R1982" s="10">
        <f t="shared" si="10"/>
        <v>1</v>
      </c>
      <c r="S1982" s="5" t="s">
        <v>8920</v>
      </c>
      <c r="T1982" s="5"/>
      <c r="U1982" s="5" t="s">
        <v>8921</v>
      </c>
      <c r="V1982" s="5"/>
    </row>
    <row r="1983" ht="12.75" customHeight="1">
      <c r="A1983" s="5">
        <v>35183.0</v>
      </c>
      <c r="B1983" s="5" t="s">
        <v>7878</v>
      </c>
      <c r="C1983" s="5" t="s">
        <v>62</v>
      </c>
      <c r="D1983" s="5" t="s">
        <v>2852</v>
      </c>
      <c r="E1983" s="7" t="s">
        <v>8915</v>
      </c>
      <c r="F1983" s="5" t="s">
        <v>8916</v>
      </c>
      <c r="G1983" s="5" t="s">
        <v>8917</v>
      </c>
      <c r="H1983" s="5">
        <v>2005.0</v>
      </c>
      <c r="I1983" s="5">
        <v>0.0</v>
      </c>
      <c r="J1983" s="5">
        <v>0.0</v>
      </c>
      <c r="K1983" s="5">
        <v>1.0</v>
      </c>
      <c r="L1983" s="54"/>
      <c r="M1983" s="5" t="s">
        <v>8922</v>
      </c>
      <c r="N1983" s="53" t="s">
        <v>8923</v>
      </c>
      <c r="O1983">
        <v>39.203084</v>
      </c>
      <c r="P1983">
        <v>16.311798</v>
      </c>
      <c r="Q1983" s="5" t="s">
        <v>1072</v>
      </c>
      <c r="R1983" s="10">
        <f t="shared" si="10"/>
        <v>1</v>
      </c>
      <c r="S1983" s="5" t="s">
        <v>8924</v>
      </c>
      <c r="T1983" s="6" t="s">
        <v>1963</v>
      </c>
      <c r="U1983" s="5" t="s">
        <v>8925</v>
      </c>
      <c r="V1983" s="5"/>
    </row>
    <row r="1984" ht="12.75" customHeight="1">
      <c r="A1984" s="5">
        <v>35185.0</v>
      </c>
      <c r="B1984" s="5" t="s">
        <v>1555</v>
      </c>
      <c r="C1984" s="5" t="s">
        <v>42</v>
      </c>
      <c r="D1984" s="5" t="s">
        <v>2614</v>
      </c>
      <c r="E1984" s="7" t="s">
        <v>8926</v>
      </c>
      <c r="F1984" s="5" t="s">
        <v>8916</v>
      </c>
      <c r="G1984" s="5" t="s">
        <v>8917</v>
      </c>
      <c r="H1984" s="5">
        <v>2005.0</v>
      </c>
      <c r="I1984" s="5">
        <v>0.0</v>
      </c>
      <c r="J1984" s="5">
        <v>0.0</v>
      </c>
      <c r="K1984" s="5">
        <v>26.0</v>
      </c>
      <c r="L1984" s="54"/>
      <c r="M1984" s="5" t="s">
        <v>8927</v>
      </c>
      <c r="N1984" s="53" t="s">
        <v>8928</v>
      </c>
      <c r="O1984">
        <v>30.04442</v>
      </c>
      <c r="P1984">
        <v>31.235712</v>
      </c>
      <c r="Q1984" s="5" t="s">
        <v>407</v>
      </c>
      <c r="R1984" s="10">
        <f t="shared" si="10"/>
        <v>28</v>
      </c>
      <c r="S1984" s="5" t="s">
        <v>8929</v>
      </c>
      <c r="T1984" s="5"/>
      <c r="U1984" s="5" t="s">
        <v>681</v>
      </c>
      <c r="V1984" s="5" t="s">
        <v>8930</v>
      </c>
    </row>
    <row r="1985" ht="12.75" customHeight="1">
      <c r="A1985" s="5">
        <v>35187.0</v>
      </c>
      <c r="B1985" s="5" t="s">
        <v>49</v>
      </c>
      <c r="C1985" s="52" t="s">
        <v>50</v>
      </c>
      <c r="D1985" s="5" t="s">
        <v>2852</v>
      </c>
      <c r="E1985" s="7" t="s">
        <v>8931</v>
      </c>
      <c r="F1985" s="5" t="s">
        <v>8916</v>
      </c>
      <c r="G1985" s="5" t="s">
        <v>8917</v>
      </c>
      <c r="H1985" s="5">
        <v>2005.0</v>
      </c>
      <c r="I1985" s="5">
        <v>0.0</v>
      </c>
      <c r="J1985" s="5">
        <v>0.0</v>
      </c>
      <c r="K1985" s="5">
        <v>1.0</v>
      </c>
      <c r="L1985" s="54"/>
      <c r="M1985" s="5" t="s">
        <v>8932</v>
      </c>
      <c r="N1985" s="53" t="s">
        <v>7822</v>
      </c>
      <c r="O1985">
        <v>35.010802</v>
      </c>
      <c r="P1985">
        <v>-7.514648</v>
      </c>
      <c r="Q1985" s="5" t="s">
        <v>614</v>
      </c>
      <c r="R1985" s="10">
        <f t="shared" si="10"/>
        <v>117</v>
      </c>
      <c r="S1985" s="5" t="s">
        <v>8933</v>
      </c>
      <c r="T1985" s="6" t="s">
        <v>72</v>
      </c>
      <c r="U1985" s="5" t="s">
        <v>7788</v>
      </c>
      <c r="V1985" s="5"/>
    </row>
    <row r="1986" ht="12.75" customHeight="1">
      <c r="A1986" s="5">
        <v>35186.0</v>
      </c>
      <c r="B1986" s="5" t="s">
        <v>49</v>
      </c>
      <c r="C1986" s="52" t="s">
        <v>50</v>
      </c>
      <c r="D1986" s="5" t="s">
        <v>2614</v>
      </c>
      <c r="E1986" s="7" t="s">
        <v>8931</v>
      </c>
      <c r="F1986" s="5" t="s">
        <v>8916</v>
      </c>
      <c r="G1986" s="5" t="s">
        <v>8917</v>
      </c>
      <c r="H1986" s="5">
        <v>2005.0</v>
      </c>
      <c r="I1986" s="5">
        <v>0.0</v>
      </c>
      <c r="J1986" s="5">
        <v>0.0</v>
      </c>
      <c r="K1986" s="5">
        <v>1.0</v>
      </c>
      <c r="L1986" s="54"/>
      <c r="M1986" s="5" t="s">
        <v>8934</v>
      </c>
      <c r="N1986" s="53" t="s">
        <v>3379</v>
      </c>
      <c r="O1986">
        <v>36.834047</v>
      </c>
      <c r="P1986">
        <v>-2.463714</v>
      </c>
      <c r="Q1986" s="5" t="s">
        <v>863</v>
      </c>
      <c r="R1986" s="10">
        <f t="shared" si="10"/>
        <v>208</v>
      </c>
      <c r="S1986" s="5" t="s">
        <v>8935</v>
      </c>
      <c r="T1986" s="6" t="s">
        <v>72</v>
      </c>
      <c r="U1986" s="5" t="s">
        <v>2785</v>
      </c>
      <c r="V1986" s="5" t="s">
        <v>8936</v>
      </c>
    </row>
    <row r="1987" ht="12.75" customHeight="1">
      <c r="A1987" s="5">
        <v>35189.0</v>
      </c>
      <c r="B1987" s="5" t="s">
        <v>49</v>
      </c>
      <c r="C1987" s="52" t="s">
        <v>50</v>
      </c>
      <c r="D1987" s="5" t="s">
        <v>2852</v>
      </c>
      <c r="E1987" s="7" t="s">
        <v>8937</v>
      </c>
      <c r="F1987" s="5" t="s">
        <v>8916</v>
      </c>
      <c r="G1987" s="5" t="s">
        <v>8917</v>
      </c>
      <c r="H1987" s="5">
        <v>2005.0</v>
      </c>
      <c r="I1987" s="5">
        <v>0.0</v>
      </c>
      <c r="J1987" s="5">
        <v>0.0</v>
      </c>
      <c r="K1987" s="5">
        <v>1.0</v>
      </c>
      <c r="L1987" s="54"/>
      <c r="M1987" s="5" t="s">
        <v>8938</v>
      </c>
      <c r="N1987" s="53" t="s">
        <v>7822</v>
      </c>
      <c r="O1987">
        <v>35.010802</v>
      </c>
      <c r="P1987">
        <v>-7.514648</v>
      </c>
      <c r="Q1987" s="5" t="s">
        <v>614</v>
      </c>
      <c r="R1987" s="10">
        <f t="shared" si="10"/>
        <v>117</v>
      </c>
      <c r="S1987" s="5" t="s">
        <v>8939</v>
      </c>
      <c r="T1987" s="6" t="s">
        <v>72</v>
      </c>
      <c r="U1987" s="5" t="s">
        <v>8233</v>
      </c>
      <c r="V1987" s="5"/>
    </row>
    <row r="1988" ht="12.75" customHeight="1">
      <c r="A1988" s="5">
        <v>35188.0</v>
      </c>
      <c r="B1988" s="5" t="s">
        <v>68</v>
      </c>
      <c r="C1988" s="5" t="s">
        <v>69</v>
      </c>
      <c r="D1988" s="5" t="s">
        <v>2614</v>
      </c>
      <c r="E1988" s="7" t="s">
        <v>8937</v>
      </c>
      <c r="F1988" s="5" t="s">
        <v>8916</v>
      </c>
      <c r="G1988" s="5" t="s">
        <v>8917</v>
      </c>
      <c r="H1988" s="5">
        <v>2005.0</v>
      </c>
      <c r="I1988" s="5">
        <v>0.0</v>
      </c>
      <c r="J1988" s="5">
        <v>0.0</v>
      </c>
      <c r="K1988" s="5">
        <v>2.0</v>
      </c>
      <c r="L1988" s="54"/>
      <c r="M1988" s="5" t="s">
        <v>8940</v>
      </c>
      <c r="N1988" s="53" t="s">
        <v>2680</v>
      </c>
      <c r="O1988">
        <v>36.018776</v>
      </c>
      <c r="P1988">
        <v>-5.600819</v>
      </c>
      <c r="Q1988" s="5" t="s">
        <v>761</v>
      </c>
      <c r="R1988" s="10">
        <f t="shared" si="10"/>
        <v>492</v>
      </c>
      <c r="S1988" s="5" t="s">
        <v>8941</v>
      </c>
      <c r="T1988" s="6" t="s">
        <v>72</v>
      </c>
      <c r="U1988" s="5" t="s">
        <v>2165</v>
      </c>
      <c r="V1988" s="5" t="s">
        <v>8942</v>
      </c>
    </row>
    <row r="1989" ht="12.75" customHeight="1">
      <c r="A1989" s="5">
        <v>35190.0</v>
      </c>
      <c r="B1989" s="5" t="s">
        <v>49</v>
      </c>
      <c r="C1989" s="52" t="s">
        <v>50</v>
      </c>
      <c r="D1989" s="5" t="s">
        <v>2852</v>
      </c>
      <c r="E1989" s="7" t="s">
        <v>8943</v>
      </c>
      <c r="F1989" s="5" t="s">
        <v>8916</v>
      </c>
      <c r="G1989" s="5" t="s">
        <v>8917</v>
      </c>
      <c r="H1989" s="5">
        <v>2005.0</v>
      </c>
      <c r="I1989" s="5">
        <v>0.0</v>
      </c>
      <c r="J1989" s="5">
        <v>0.0</v>
      </c>
      <c r="K1989" s="5">
        <v>2.0</v>
      </c>
      <c r="L1989" s="54"/>
      <c r="M1989" s="5" t="s">
        <v>8944</v>
      </c>
      <c r="N1989" s="53" t="s">
        <v>2857</v>
      </c>
      <c r="O1989">
        <v>36.527061</v>
      </c>
      <c r="P1989">
        <v>-6.288596</v>
      </c>
      <c r="Q1989" s="5" t="s">
        <v>802</v>
      </c>
      <c r="R1989" s="10">
        <f t="shared" si="10"/>
        <v>185</v>
      </c>
      <c r="S1989" s="5" t="s">
        <v>8945</v>
      </c>
      <c r="T1989" s="6" t="s">
        <v>72</v>
      </c>
      <c r="U1989" s="5" t="s">
        <v>8946</v>
      </c>
      <c r="V1989" s="5"/>
    </row>
    <row r="1990" ht="12.75" customHeight="1">
      <c r="A1990" s="5">
        <v>35191.0</v>
      </c>
      <c r="B1990" s="5" t="s">
        <v>98</v>
      </c>
      <c r="C1990" s="5" t="s">
        <v>62</v>
      </c>
      <c r="D1990" s="5" t="s">
        <v>2852</v>
      </c>
      <c r="E1990" s="7" t="s">
        <v>8947</v>
      </c>
      <c r="F1990" s="5" t="s">
        <v>8916</v>
      </c>
      <c r="G1990" s="5" t="s">
        <v>8917</v>
      </c>
      <c r="H1990" s="5">
        <v>2005.0</v>
      </c>
      <c r="I1990" s="5">
        <v>0.0</v>
      </c>
      <c r="J1990" s="5">
        <v>0.0</v>
      </c>
      <c r="K1990" s="5">
        <v>2.0</v>
      </c>
      <c r="L1990" s="54"/>
      <c r="M1990" s="5" t="s">
        <v>8948</v>
      </c>
      <c r="N1990" s="53" t="s">
        <v>6515</v>
      </c>
      <c r="O1990">
        <v>17.607789</v>
      </c>
      <c r="P1990">
        <v>8.081666</v>
      </c>
      <c r="Q1990" s="5" t="s">
        <v>284</v>
      </c>
      <c r="R1990" s="10">
        <f t="shared" si="10"/>
        <v>164</v>
      </c>
      <c r="S1990" s="5" t="s">
        <v>8949</v>
      </c>
      <c r="T1990" s="5"/>
      <c r="U1990" s="5" t="s">
        <v>8950</v>
      </c>
      <c r="V1990" s="5" t="s">
        <v>7135</v>
      </c>
    </row>
    <row r="1991" ht="12.75" customHeight="1">
      <c r="A1991" s="5">
        <v>35192.0</v>
      </c>
      <c r="B1991" s="5" t="s">
        <v>49</v>
      </c>
      <c r="C1991" s="52" t="s">
        <v>50</v>
      </c>
      <c r="D1991" s="5" t="s">
        <v>2852</v>
      </c>
      <c r="E1991" s="7" t="s">
        <v>8951</v>
      </c>
      <c r="F1991" s="5" t="s">
        <v>8916</v>
      </c>
      <c r="G1991" s="5" t="s">
        <v>8917</v>
      </c>
      <c r="H1991" s="5">
        <v>2005.0</v>
      </c>
      <c r="I1991" s="5">
        <v>0.0</v>
      </c>
      <c r="J1991" s="5">
        <v>0.0</v>
      </c>
      <c r="K1991" s="5">
        <v>30.0</v>
      </c>
      <c r="L1991" s="54"/>
      <c r="M1991" s="5" t="s">
        <v>8952</v>
      </c>
      <c r="N1991" s="53" t="s">
        <v>7132</v>
      </c>
      <c r="O1991">
        <v>20.942518</v>
      </c>
      <c r="P1991">
        <v>-17.036227</v>
      </c>
      <c r="Q1991" s="5" t="s">
        <v>309</v>
      </c>
      <c r="R1991" s="10">
        <f t="shared" si="10"/>
        <v>83</v>
      </c>
      <c r="S1991" s="5" t="s">
        <v>8953</v>
      </c>
      <c r="T1991" s="5" t="s">
        <v>1040</v>
      </c>
      <c r="U1991" s="5" t="s">
        <v>8954</v>
      </c>
      <c r="V1991" s="5" t="s">
        <v>8955</v>
      </c>
    </row>
    <row r="1992" ht="12.75" customHeight="1">
      <c r="A1992" s="5">
        <v>35193.0</v>
      </c>
      <c r="B1992" s="5" t="s">
        <v>215</v>
      </c>
      <c r="C1992" s="5" t="s">
        <v>62</v>
      </c>
      <c r="D1992" s="5" t="s">
        <v>2852</v>
      </c>
      <c r="E1992" s="7" t="s">
        <v>8956</v>
      </c>
      <c r="F1992" s="5" t="s">
        <v>8916</v>
      </c>
      <c r="G1992" s="5" t="s">
        <v>8917</v>
      </c>
      <c r="H1992" s="5">
        <v>2005.0</v>
      </c>
      <c r="I1992" s="5">
        <v>0.0</v>
      </c>
      <c r="J1992" s="5">
        <v>0.0</v>
      </c>
      <c r="K1992" s="5">
        <v>1.0</v>
      </c>
      <c r="L1992" s="54"/>
      <c r="M1992" s="5" t="s">
        <v>8957</v>
      </c>
      <c r="N1992" s="53" t="s">
        <v>8958</v>
      </c>
      <c r="O1992">
        <v>17.992731</v>
      </c>
      <c r="P1992">
        <v>-76.792009</v>
      </c>
      <c r="Q1992" s="5" t="s">
        <v>294</v>
      </c>
      <c r="R1992" s="10">
        <f t="shared" si="10"/>
        <v>1</v>
      </c>
      <c r="S1992" s="5" t="s">
        <v>8959</v>
      </c>
      <c r="T1992" s="5"/>
      <c r="U1992" s="5" t="s">
        <v>8960</v>
      </c>
      <c r="V1992" s="5"/>
    </row>
    <row r="1993" ht="12.75" customHeight="1">
      <c r="A1993" s="5">
        <v>35195.0</v>
      </c>
      <c r="B1993" s="5" t="s">
        <v>49</v>
      </c>
      <c r="C1993" s="52" t="s">
        <v>50</v>
      </c>
      <c r="D1993" s="5" t="s">
        <v>2852</v>
      </c>
      <c r="E1993" s="7" t="s">
        <v>8961</v>
      </c>
      <c r="F1993" s="5" t="s">
        <v>8916</v>
      </c>
      <c r="G1993" s="5" t="s">
        <v>8917</v>
      </c>
      <c r="H1993" s="5">
        <v>2005.0</v>
      </c>
      <c r="I1993" s="5">
        <v>0.0</v>
      </c>
      <c r="J1993" s="5">
        <v>0.0</v>
      </c>
      <c r="K1993" s="5">
        <v>1.0</v>
      </c>
      <c r="L1993" s="54"/>
      <c r="M1993" s="5" t="s">
        <v>8962</v>
      </c>
      <c r="N1993" s="53" t="s">
        <v>3597</v>
      </c>
      <c r="O1993">
        <v>36.750191</v>
      </c>
      <c r="P1993">
        <v>-3.017606</v>
      </c>
      <c r="Q1993" s="5" t="s">
        <v>834</v>
      </c>
      <c r="R1993" s="10">
        <f t="shared" si="10"/>
        <v>28</v>
      </c>
      <c r="S1993" s="5" t="s">
        <v>8963</v>
      </c>
      <c r="T1993" s="6" t="s">
        <v>72</v>
      </c>
      <c r="U1993" s="5" t="s">
        <v>8964</v>
      </c>
      <c r="V1993" s="5"/>
    </row>
    <row r="1994" ht="12.75" customHeight="1">
      <c r="A1994" s="5">
        <v>35194.0</v>
      </c>
      <c r="B1994" s="5" t="s">
        <v>5200</v>
      </c>
      <c r="C1994" s="5" t="s">
        <v>124</v>
      </c>
      <c r="D1994" s="5" t="s">
        <v>2614</v>
      </c>
      <c r="E1994" s="7" t="s">
        <v>8961</v>
      </c>
      <c r="F1994" s="5" t="s">
        <v>8916</v>
      </c>
      <c r="G1994" s="5" t="s">
        <v>8917</v>
      </c>
      <c r="H1994" s="5">
        <v>2005.0</v>
      </c>
      <c r="I1994" s="5">
        <v>0.0</v>
      </c>
      <c r="J1994" s="5">
        <v>0.0</v>
      </c>
      <c r="K1994" s="5">
        <v>2.0</v>
      </c>
      <c r="L1994" s="54"/>
      <c r="M1994" s="5" t="s">
        <v>8965</v>
      </c>
      <c r="N1994" s="53" t="s">
        <v>8556</v>
      </c>
      <c r="O1994">
        <v>41.645487</v>
      </c>
      <c r="P1994">
        <v>26.476442</v>
      </c>
      <c r="Q1994" s="5" t="s">
        <v>1232</v>
      </c>
      <c r="R1994" s="10">
        <f t="shared" si="10"/>
        <v>4</v>
      </c>
      <c r="S1994" s="5" t="s">
        <v>8966</v>
      </c>
      <c r="T1994" s="6" t="s">
        <v>53</v>
      </c>
      <c r="U1994" s="5" t="s">
        <v>3318</v>
      </c>
      <c r="V1994" s="5" t="s">
        <v>8967</v>
      </c>
    </row>
    <row r="1995" ht="12.75" customHeight="1">
      <c r="A1995" s="5">
        <v>35196.0</v>
      </c>
      <c r="B1995" s="5" t="s">
        <v>1076</v>
      </c>
      <c r="C1995" s="52" t="s">
        <v>50</v>
      </c>
      <c r="D1995" s="5" t="s">
        <v>2852</v>
      </c>
      <c r="E1995" s="7" t="s">
        <v>8968</v>
      </c>
      <c r="F1995" s="5" t="s">
        <v>8916</v>
      </c>
      <c r="G1995" s="5" t="s">
        <v>8917</v>
      </c>
      <c r="H1995" s="5">
        <v>2005.0</v>
      </c>
      <c r="I1995" s="5">
        <v>0.0</v>
      </c>
      <c r="J1995" s="5">
        <v>0.0</v>
      </c>
      <c r="K1995" s="5">
        <v>3.0</v>
      </c>
      <c r="L1995" s="54"/>
      <c r="M1995" s="5" t="s">
        <v>8969</v>
      </c>
      <c r="N1995" s="53" t="s">
        <v>3005</v>
      </c>
      <c r="O1995">
        <v>31.791702</v>
      </c>
      <c r="P1995">
        <v>-7.09262</v>
      </c>
      <c r="Q1995" s="5" t="s">
        <v>439</v>
      </c>
      <c r="R1995" s="10">
        <f t="shared" si="10"/>
        <v>77</v>
      </c>
      <c r="S1995" s="5" t="s">
        <v>8970</v>
      </c>
      <c r="T1995" s="6" t="s">
        <v>72</v>
      </c>
      <c r="U1995" s="5" t="s">
        <v>8745</v>
      </c>
      <c r="V1995" s="5"/>
    </row>
    <row r="1996" ht="12.75" customHeight="1">
      <c r="A1996" s="5">
        <v>35198.0</v>
      </c>
      <c r="B1996" s="5" t="s">
        <v>68</v>
      </c>
      <c r="C1996" s="5" t="s">
        <v>69</v>
      </c>
      <c r="D1996" s="5" t="s">
        <v>2852</v>
      </c>
      <c r="E1996" s="7" t="s">
        <v>8971</v>
      </c>
      <c r="F1996" s="5" t="s">
        <v>8916</v>
      </c>
      <c r="G1996" s="5" t="s">
        <v>8917</v>
      </c>
      <c r="H1996" s="5">
        <v>2005.0</v>
      </c>
      <c r="I1996" s="5">
        <v>0.0</v>
      </c>
      <c r="J1996" s="5">
        <v>0.0</v>
      </c>
      <c r="K1996" s="5">
        <v>11.0</v>
      </c>
      <c r="L1996" s="54"/>
      <c r="M1996" s="5" t="s">
        <v>8972</v>
      </c>
      <c r="N1996" s="53" t="s">
        <v>7721</v>
      </c>
      <c r="O1996">
        <v>27.153611</v>
      </c>
      <c r="P1996">
        <v>-13.203333</v>
      </c>
      <c r="Q1996" s="5" t="s">
        <v>349</v>
      </c>
      <c r="R1996" s="10">
        <f t="shared" si="10"/>
        <v>348</v>
      </c>
      <c r="S1996" s="5" t="s">
        <v>8973</v>
      </c>
      <c r="T1996" s="5" t="s">
        <v>1040</v>
      </c>
      <c r="U1996" s="5" t="s">
        <v>8974</v>
      </c>
      <c r="V1996" s="5"/>
    </row>
    <row r="1997" ht="12.75" customHeight="1">
      <c r="A1997" s="5">
        <v>35197.0</v>
      </c>
      <c r="B1997" s="5" t="s">
        <v>49</v>
      </c>
      <c r="C1997" s="52" t="s">
        <v>50</v>
      </c>
      <c r="D1997" s="5" t="s">
        <v>2852</v>
      </c>
      <c r="E1997" s="7" t="s">
        <v>8971</v>
      </c>
      <c r="F1997" s="5" t="s">
        <v>8916</v>
      </c>
      <c r="G1997" s="5" t="s">
        <v>8917</v>
      </c>
      <c r="H1997" s="5">
        <v>2005.0</v>
      </c>
      <c r="I1997" s="5">
        <v>0.0</v>
      </c>
      <c r="J1997" s="5">
        <v>0.0</v>
      </c>
      <c r="K1997" s="5">
        <v>30.0</v>
      </c>
      <c r="L1997" s="54"/>
      <c r="M1997" s="5" t="s">
        <v>8975</v>
      </c>
      <c r="N1997" s="53" t="s">
        <v>7721</v>
      </c>
      <c r="O1997">
        <v>27.153611</v>
      </c>
      <c r="P1997">
        <v>-13.203333</v>
      </c>
      <c r="Q1997" s="5" t="s">
        <v>349</v>
      </c>
      <c r="R1997" s="10">
        <f t="shared" si="10"/>
        <v>348</v>
      </c>
      <c r="S1997" s="5" t="s">
        <v>8973</v>
      </c>
      <c r="T1997" s="5" t="s">
        <v>1040</v>
      </c>
      <c r="U1997" s="5" t="s">
        <v>8976</v>
      </c>
      <c r="V1997" s="5"/>
    </row>
    <row r="1998" ht="12.75" customHeight="1">
      <c r="A1998" s="5">
        <v>35199.0</v>
      </c>
      <c r="B1998" s="5" t="s">
        <v>49</v>
      </c>
      <c r="C1998" s="52" t="s">
        <v>50</v>
      </c>
      <c r="D1998" s="5" t="s">
        <v>2852</v>
      </c>
      <c r="E1998" s="7" t="s">
        <v>8971</v>
      </c>
      <c r="F1998" s="5" t="s">
        <v>8916</v>
      </c>
      <c r="G1998" s="5" t="s">
        <v>8917</v>
      </c>
      <c r="H1998" s="5">
        <v>2005.0</v>
      </c>
      <c r="I1998" s="5">
        <v>0.0</v>
      </c>
      <c r="J1998" s="5">
        <v>0.0</v>
      </c>
      <c r="K1998" s="5">
        <v>50.0</v>
      </c>
      <c r="L1998" s="54"/>
      <c r="M1998" s="5" t="s">
        <v>8977</v>
      </c>
      <c r="N1998" s="53" t="s">
        <v>8978</v>
      </c>
      <c r="O1998">
        <v>28.291564</v>
      </c>
      <c r="P1998">
        <v>-16.62913</v>
      </c>
      <c r="Q1998" s="5" t="s">
        <v>382</v>
      </c>
      <c r="R1998" s="10">
        <f t="shared" si="10"/>
        <v>1120</v>
      </c>
      <c r="S1998" s="5" t="s">
        <v>8979</v>
      </c>
      <c r="T1998" s="5" t="s">
        <v>1040</v>
      </c>
      <c r="U1998" s="5" t="s">
        <v>8980</v>
      </c>
      <c r="V1998" s="5"/>
    </row>
    <row r="1999" ht="12.75" customHeight="1">
      <c r="A1999" s="5">
        <v>35200.0</v>
      </c>
      <c r="B1999" s="5" t="s">
        <v>49</v>
      </c>
      <c r="C1999" s="52" t="s">
        <v>50</v>
      </c>
      <c r="D1999" s="5" t="s">
        <v>2852</v>
      </c>
      <c r="E1999" s="7" t="s">
        <v>8981</v>
      </c>
      <c r="F1999" s="5" t="s">
        <v>8916</v>
      </c>
      <c r="G1999" s="5" t="s">
        <v>8982</v>
      </c>
      <c r="H1999" s="5">
        <v>2005.0</v>
      </c>
      <c r="I1999" s="5">
        <v>0.0</v>
      </c>
      <c r="J1999" s="5">
        <v>0.0</v>
      </c>
      <c r="K1999" s="5">
        <v>1.0</v>
      </c>
      <c r="L1999" s="54"/>
      <c r="M1999" s="5" t="s">
        <v>8983</v>
      </c>
      <c r="N1999" s="53" t="s">
        <v>2680</v>
      </c>
      <c r="O1999">
        <v>36.018776</v>
      </c>
      <c r="P1999">
        <v>-5.600819</v>
      </c>
      <c r="Q1999" s="5" t="s">
        <v>761</v>
      </c>
      <c r="R1999" s="10">
        <f t="shared" si="10"/>
        <v>492</v>
      </c>
      <c r="S1999" s="5" t="s">
        <v>8984</v>
      </c>
      <c r="T1999" s="6" t="s">
        <v>72</v>
      </c>
      <c r="U1999" s="5" t="s">
        <v>7788</v>
      </c>
      <c r="V1999" s="5"/>
    </row>
    <row r="2000" ht="12.75" customHeight="1">
      <c r="A2000" s="5">
        <v>35201.0</v>
      </c>
      <c r="B2000" s="5" t="s">
        <v>49</v>
      </c>
      <c r="C2000" s="52" t="s">
        <v>50</v>
      </c>
      <c r="D2000" s="5" t="s">
        <v>2852</v>
      </c>
      <c r="E2000" s="7" t="s">
        <v>8985</v>
      </c>
      <c r="F2000" s="5" t="s">
        <v>8916</v>
      </c>
      <c r="G2000" s="5" t="s">
        <v>8982</v>
      </c>
      <c r="H2000" s="5">
        <v>2005.0</v>
      </c>
      <c r="I2000" s="5">
        <v>0.0</v>
      </c>
      <c r="J2000" s="5">
        <v>0.0</v>
      </c>
      <c r="K2000" s="5">
        <v>18.0</v>
      </c>
      <c r="L2000" s="54"/>
      <c r="M2000" s="5" t="s">
        <v>8986</v>
      </c>
      <c r="N2000" s="53" t="s">
        <v>5367</v>
      </c>
      <c r="O2000">
        <v>28.291564</v>
      </c>
      <c r="P2000">
        <v>-16.62913</v>
      </c>
      <c r="Q2000" s="5" t="s">
        <v>382</v>
      </c>
      <c r="R2000" s="10">
        <f t="shared" si="10"/>
        <v>1120</v>
      </c>
      <c r="S2000" s="5" t="s">
        <v>8987</v>
      </c>
      <c r="T2000" s="5" t="s">
        <v>1040</v>
      </c>
      <c r="U2000" s="5" t="s">
        <v>8988</v>
      </c>
      <c r="V2000" s="5" t="s">
        <v>8989</v>
      </c>
    </row>
    <row r="2001" ht="12.75" customHeight="1">
      <c r="A2001" s="5">
        <v>35202.0</v>
      </c>
      <c r="B2001" s="5" t="s">
        <v>41</v>
      </c>
      <c r="C2001" s="5" t="s">
        <v>42</v>
      </c>
      <c r="D2001" s="5" t="s">
        <v>2852</v>
      </c>
      <c r="E2001" s="7" t="s">
        <v>8985</v>
      </c>
      <c r="F2001" s="5" t="s">
        <v>8916</v>
      </c>
      <c r="G2001" s="5" t="s">
        <v>8982</v>
      </c>
      <c r="H2001" s="5">
        <v>2005.0</v>
      </c>
      <c r="I2001" s="5">
        <v>0.0</v>
      </c>
      <c r="J2001" s="5">
        <v>0.0</v>
      </c>
      <c r="K2001" s="5">
        <v>1.0</v>
      </c>
      <c r="L2001" s="54"/>
      <c r="M2001" s="5" t="s">
        <v>8990</v>
      </c>
      <c r="N2001" s="53" t="s">
        <v>8991</v>
      </c>
      <c r="O2001">
        <v>40.346202</v>
      </c>
      <c r="P2001">
        <v>43.470713</v>
      </c>
      <c r="Q2001" s="5" t="s">
        <v>1129</v>
      </c>
      <c r="R2001" s="10">
        <f t="shared" si="10"/>
        <v>1</v>
      </c>
      <c r="S2001" s="5" t="s">
        <v>8992</v>
      </c>
      <c r="T2001" s="5"/>
      <c r="U2001" s="5" t="s">
        <v>2934</v>
      </c>
      <c r="V2001" s="5" t="s">
        <v>8993</v>
      </c>
    </row>
    <row r="2002" ht="12.75" customHeight="1">
      <c r="A2002" s="5">
        <v>35204.0</v>
      </c>
      <c r="B2002" s="5" t="s">
        <v>68</v>
      </c>
      <c r="C2002" s="5" t="s">
        <v>69</v>
      </c>
      <c r="D2002" s="5" t="s">
        <v>2852</v>
      </c>
      <c r="E2002" s="7" t="s">
        <v>8994</v>
      </c>
      <c r="F2002" s="5" t="s">
        <v>8916</v>
      </c>
      <c r="G2002" s="5" t="s">
        <v>8982</v>
      </c>
      <c r="H2002" s="5">
        <v>2005.0</v>
      </c>
      <c r="I2002" s="5">
        <v>0.0</v>
      </c>
      <c r="J2002" s="5">
        <v>0.0</v>
      </c>
      <c r="K2002" s="5">
        <v>1.0</v>
      </c>
      <c r="L2002" s="54"/>
      <c r="M2002" s="5" t="s">
        <v>8995</v>
      </c>
      <c r="N2002" s="53" t="s">
        <v>3379</v>
      </c>
      <c r="O2002">
        <v>36.834047</v>
      </c>
      <c r="P2002">
        <v>-2.463714</v>
      </c>
      <c r="Q2002" s="5" t="s">
        <v>863</v>
      </c>
      <c r="R2002" s="10">
        <f t="shared" si="10"/>
        <v>208</v>
      </c>
      <c r="S2002" s="5" t="s">
        <v>8996</v>
      </c>
      <c r="T2002" s="6" t="s">
        <v>72</v>
      </c>
      <c r="U2002" s="5" t="s">
        <v>8946</v>
      </c>
      <c r="V2002" s="5" t="s">
        <v>8997</v>
      </c>
    </row>
    <row r="2003" ht="12.75" customHeight="1">
      <c r="A2003" s="5">
        <v>35203.0</v>
      </c>
      <c r="B2003" s="5" t="s">
        <v>49</v>
      </c>
      <c r="C2003" s="52" t="s">
        <v>50</v>
      </c>
      <c r="D2003" s="5" t="s">
        <v>2852</v>
      </c>
      <c r="E2003" s="7" t="s">
        <v>8994</v>
      </c>
      <c r="F2003" s="5" t="s">
        <v>8916</v>
      </c>
      <c r="G2003" s="5" t="s">
        <v>8982</v>
      </c>
      <c r="H2003" s="5">
        <v>2005.0</v>
      </c>
      <c r="I2003" s="5">
        <v>0.0</v>
      </c>
      <c r="J2003" s="5">
        <v>0.0</v>
      </c>
      <c r="K2003" s="5">
        <v>22.0</v>
      </c>
      <c r="L2003" s="54"/>
      <c r="M2003" s="5" t="s">
        <v>8998</v>
      </c>
      <c r="N2003" s="53" t="s">
        <v>3379</v>
      </c>
      <c r="O2003">
        <v>36.834047</v>
      </c>
      <c r="P2003">
        <v>-2.463714</v>
      </c>
      <c r="Q2003" s="5" t="s">
        <v>863</v>
      </c>
      <c r="R2003" s="10">
        <f t="shared" si="10"/>
        <v>208</v>
      </c>
      <c r="S2003" s="5" t="s">
        <v>8996</v>
      </c>
      <c r="T2003" s="6" t="s">
        <v>72</v>
      </c>
      <c r="U2003" s="5" t="s">
        <v>8999</v>
      </c>
      <c r="V2003" s="5" t="s">
        <v>9000</v>
      </c>
    </row>
    <row r="2004" ht="12.75" customHeight="1">
      <c r="A2004" s="5">
        <v>35205.0</v>
      </c>
      <c r="B2004" s="5" t="s">
        <v>1773</v>
      </c>
      <c r="C2004" s="5" t="s">
        <v>124</v>
      </c>
      <c r="D2004" s="5" t="s">
        <v>2852</v>
      </c>
      <c r="E2004" s="7" t="s">
        <v>9001</v>
      </c>
      <c r="F2004" s="5" t="s">
        <v>8916</v>
      </c>
      <c r="G2004" s="5" t="s">
        <v>8982</v>
      </c>
      <c r="H2004" s="5">
        <v>2005.0</v>
      </c>
      <c r="I2004" s="5">
        <v>0.0</v>
      </c>
      <c r="J2004" s="5">
        <v>0.0</v>
      </c>
      <c r="K2004" s="5">
        <v>1.0</v>
      </c>
      <c r="L2004" s="54"/>
      <c r="M2004" s="5" t="s">
        <v>9002</v>
      </c>
      <c r="N2004" s="53" t="s">
        <v>7880</v>
      </c>
      <c r="O2004">
        <v>44.494887</v>
      </c>
      <c r="P2004">
        <v>11.342616</v>
      </c>
      <c r="Q2004" s="5" t="s">
        <v>1295</v>
      </c>
      <c r="R2004" s="10">
        <f t="shared" si="10"/>
        <v>6</v>
      </c>
      <c r="S2004" s="5" t="s">
        <v>9003</v>
      </c>
      <c r="T2004" s="5"/>
      <c r="U2004" s="5" t="s">
        <v>3490</v>
      </c>
      <c r="V2004" s="5"/>
    </row>
    <row r="2005" ht="12.75" customHeight="1">
      <c r="A2005" s="5">
        <v>35206.0</v>
      </c>
      <c r="B2005" s="5" t="s">
        <v>636</v>
      </c>
      <c r="C2005" s="52" t="s">
        <v>50</v>
      </c>
      <c r="D2005" s="5" t="s">
        <v>2852</v>
      </c>
      <c r="E2005" s="7" t="s">
        <v>9001</v>
      </c>
      <c r="F2005" s="5" t="s">
        <v>8916</v>
      </c>
      <c r="G2005" s="5" t="s">
        <v>8982</v>
      </c>
      <c r="H2005" s="5">
        <v>2005.0</v>
      </c>
      <c r="I2005" s="5">
        <v>0.0</v>
      </c>
      <c r="J2005" s="5">
        <v>0.0</v>
      </c>
      <c r="K2005" s="5">
        <v>3.0</v>
      </c>
      <c r="L2005" s="54"/>
      <c r="M2005" s="5" t="s">
        <v>9004</v>
      </c>
      <c r="N2005" s="53" t="s">
        <v>8706</v>
      </c>
      <c r="O2005">
        <v>48.669026</v>
      </c>
      <c r="P2005">
        <v>19.699024</v>
      </c>
      <c r="Q2005" s="5" t="s">
        <v>1431</v>
      </c>
      <c r="R2005" s="10">
        <f t="shared" si="10"/>
        <v>16</v>
      </c>
      <c r="S2005" s="5" t="s">
        <v>9005</v>
      </c>
      <c r="T2005" s="6" t="s">
        <v>1964</v>
      </c>
      <c r="U2005" s="5" t="s">
        <v>9006</v>
      </c>
      <c r="V2005" s="5" t="s">
        <v>9007</v>
      </c>
    </row>
    <row r="2006" ht="12.75" customHeight="1">
      <c r="A2006" s="5">
        <v>35207.0</v>
      </c>
      <c r="B2006" s="5" t="s">
        <v>49</v>
      </c>
      <c r="C2006" s="52" t="s">
        <v>50</v>
      </c>
      <c r="D2006" s="5" t="s">
        <v>2852</v>
      </c>
      <c r="E2006" s="7" t="s">
        <v>9008</v>
      </c>
      <c r="F2006" s="5" t="s">
        <v>8916</v>
      </c>
      <c r="G2006" s="5" t="s">
        <v>8982</v>
      </c>
      <c r="H2006" s="5">
        <v>2005.0</v>
      </c>
      <c r="I2006" s="5">
        <v>0.0</v>
      </c>
      <c r="J2006" s="5">
        <v>0.0</v>
      </c>
      <c r="K2006" s="5">
        <v>20.0</v>
      </c>
      <c r="L2006" s="54"/>
      <c r="M2006" s="5" t="s">
        <v>9009</v>
      </c>
      <c r="N2006" s="53" t="s">
        <v>5692</v>
      </c>
      <c r="O2006">
        <v>36.926927</v>
      </c>
      <c r="P2006">
        <v>14.725513</v>
      </c>
      <c r="Q2006" s="5" t="s">
        <v>887</v>
      </c>
      <c r="R2006" s="10">
        <f t="shared" si="10"/>
        <v>58</v>
      </c>
      <c r="S2006" s="5" t="s">
        <v>9010</v>
      </c>
      <c r="T2006" s="6" t="s">
        <v>2130</v>
      </c>
      <c r="U2006" s="5" t="s">
        <v>9011</v>
      </c>
      <c r="V2006" s="5" t="s">
        <v>9012</v>
      </c>
    </row>
    <row r="2007" ht="12.75" customHeight="1">
      <c r="A2007" s="5">
        <v>35208.0</v>
      </c>
      <c r="B2007" s="5" t="s">
        <v>1773</v>
      </c>
      <c r="C2007" s="5" t="s">
        <v>124</v>
      </c>
      <c r="D2007" s="5" t="s">
        <v>2852</v>
      </c>
      <c r="E2007" s="7" t="s">
        <v>9013</v>
      </c>
      <c r="F2007" s="5" t="s">
        <v>8916</v>
      </c>
      <c r="G2007" s="5" t="s">
        <v>8982</v>
      </c>
      <c r="H2007" s="5">
        <v>2005.0</v>
      </c>
      <c r="I2007" s="5">
        <v>0.0</v>
      </c>
      <c r="J2007" s="5">
        <v>0.0</v>
      </c>
      <c r="K2007" s="5">
        <v>1.0</v>
      </c>
      <c r="L2007" s="54"/>
      <c r="M2007" s="5" t="s">
        <v>9014</v>
      </c>
      <c r="N2007" s="53" t="s">
        <v>9015</v>
      </c>
      <c r="O2007">
        <v>52.070498</v>
      </c>
      <c r="P2007">
        <v>4.3007</v>
      </c>
      <c r="Q2007" s="5" t="s">
        <v>1707</v>
      </c>
      <c r="R2007" s="10">
        <f t="shared" si="10"/>
        <v>1</v>
      </c>
      <c r="S2007" s="5" t="s">
        <v>9016</v>
      </c>
      <c r="T2007" s="5"/>
      <c r="U2007" s="5" t="s">
        <v>9017</v>
      </c>
      <c r="V2007" s="5"/>
    </row>
    <row r="2008" ht="12.75" customHeight="1">
      <c r="A2008" s="5">
        <v>35209.0</v>
      </c>
      <c r="B2008" s="5" t="s">
        <v>49</v>
      </c>
      <c r="C2008" s="52" t="s">
        <v>50</v>
      </c>
      <c r="D2008" s="5" t="s">
        <v>2614</v>
      </c>
      <c r="E2008" s="7" t="s">
        <v>9018</v>
      </c>
      <c r="F2008" s="5" t="s">
        <v>8916</v>
      </c>
      <c r="G2008" s="5" t="s">
        <v>8982</v>
      </c>
      <c r="H2008" s="5">
        <v>2005.0</v>
      </c>
      <c r="I2008" s="5">
        <v>0.0</v>
      </c>
      <c r="J2008" s="5">
        <v>0.0</v>
      </c>
      <c r="K2008" s="5">
        <v>1.0</v>
      </c>
      <c r="L2008" s="54"/>
      <c r="M2008" s="5" t="s">
        <v>9019</v>
      </c>
      <c r="N2008" s="53" t="s">
        <v>2638</v>
      </c>
      <c r="O2008">
        <v>35.888384</v>
      </c>
      <c r="P2008">
        <v>-5.324636</v>
      </c>
      <c r="Q2008" s="5" t="s">
        <v>717</v>
      </c>
      <c r="R2008" s="10">
        <f t="shared" si="10"/>
        <v>213</v>
      </c>
      <c r="S2008" s="5" t="s">
        <v>9020</v>
      </c>
      <c r="T2008" s="6" t="s">
        <v>72</v>
      </c>
      <c r="U2008" s="5" t="s">
        <v>9021</v>
      </c>
      <c r="V2008" s="5" t="s">
        <v>9022</v>
      </c>
    </row>
    <row r="2009" ht="12.75" customHeight="1">
      <c r="A2009" s="5">
        <v>35210.0</v>
      </c>
      <c r="B2009" s="5" t="s">
        <v>49</v>
      </c>
      <c r="C2009" s="52" t="s">
        <v>50</v>
      </c>
      <c r="D2009" s="5" t="s">
        <v>2852</v>
      </c>
      <c r="E2009" s="7" t="s">
        <v>9023</v>
      </c>
      <c r="F2009" s="5" t="s">
        <v>8916</v>
      </c>
      <c r="G2009" s="5" t="s">
        <v>8982</v>
      </c>
      <c r="H2009" s="5">
        <v>2005.0</v>
      </c>
      <c r="I2009" s="5">
        <v>0.0</v>
      </c>
      <c r="J2009" s="5">
        <v>0.0</v>
      </c>
      <c r="K2009" s="5">
        <v>9.0</v>
      </c>
      <c r="L2009" s="54"/>
      <c r="M2009" s="5" t="s">
        <v>9024</v>
      </c>
      <c r="N2009" s="53" t="s">
        <v>5692</v>
      </c>
      <c r="O2009">
        <v>36.926927</v>
      </c>
      <c r="P2009">
        <v>14.725513</v>
      </c>
      <c r="Q2009" s="5" t="s">
        <v>887</v>
      </c>
      <c r="R2009" s="10">
        <f t="shared" si="10"/>
        <v>58</v>
      </c>
      <c r="S2009" s="5" t="s">
        <v>9025</v>
      </c>
      <c r="T2009" s="6" t="s">
        <v>2130</v>
      </c>
      <c r="U2009" s="5" t="s">
        <v>9026</v>
      </c>
      <c r="V2009" s="5" t="s">
        <v>9027</v>
      </c>
    </row>
    <row r="2010" ht="12.75" customHeight="1">
      <c r="A2010" s="5">
        <v>35211.0</v>
      </c>
      <c r="B2010" s="5" t="s">
        <v>763</v>
      </c>
      <c r="C2010" s="5" t="s">
        <v>124</v>
      </c>
      <c r="D2010" s="5" t="s">
        <v>2852</v>
      </c>
      <c r="E2010" s="7" t="s">
        <v>9028</v>
      </c>
      <c r="F2010" s="5" t="s">
        <v>8916</v>
      </c>
      <c r="G2010" s="5" t="s">
        <v>8982</v>
      </c>
      <c r="H2010" s="5">
        <v>2005.0</v>
      </c>
      <c r="I2010" s="5">
        <v>0.0</v>
      </c>
      <c r="J2010" s="5">
        <v>0.0</v>
      </c>
      <c r="K2010" s="5">
        <v>1.0</v>
      </c>
      <c r="L2010" s="54"/>
      <c r="M2010" s="5" t="s">
        <v>9029</v>
      </c>
      <c r="N2010" s="53" t="s">
        <v>4253</v>
      </c>
      <c r="O2010">
        <v>37.983716</v>
      </c>
      <c r="P2010">
        <v>23.72931</v>
      </c>
      <c r="Q2010" s="5" t="s">
        <v>974</v>
      </c>
      <c r="R2010" s="10">
        <f t="shared" si="10"/>
        <v>13</v>
      </c>
      <c r="S2010" s="5" t="s">
        <v>9030</v>
      </c>
      <c r="T2010" s="6" t="s">
        <v>53</v>
      </c>
      <c r="U2010" s="5" t="s">
        <v>7009</v>
      </c>
      <c r="V2010" s="5" t="s">
        <v>9031</v>
      </c>
    </row>
    <row r="2011" ht="12.75" customHeight="1">
      <c r="A2011" s="5">
        <v>35212.0</v>
      </c>
      <c r="B2011" s="5" t="s">
        <v>49</v>
      </c>
      <c r="C2011" s="52" t="s">
        <v>50</v>
      </c>
      <c r="D2011" s="5" t="s">
        <v>2852</v>
      </c>
      <c r="E2011" s="7" t="s">
        <v>9032</v>
      </c>
      <c r="F2011" s="5" t="s">
        <v>8916</v>
      </c>
      <c r="G2011" s="5" t="s">
        <v>8982</v>
      </c>
      <c r="H2011" s="5">
        <v>2005.0</v>
      </c>
      <c r="I2011" s="5">
        <v>0.0</v>
      </c>
      <c r="J2011" s="5">
        <v>0.0</v>
      </c>
      <c r="K2011" s="5">
        <v>11.0</v>
      </c>
      <c r="L2011" s="54"/>
      <c r="M2011" s="5" t="s">
        <v>9033</v>
      </c>
      <c r="N2011" s="53" t="s">
        <v>4739</v>
      </c>
      <c r="O2011">
        <v>37.074153</v>
      </c>
      <c r="P2011">
        <v>14.240354</v>
      </c>
      <c r="Q2011" s="5" t="s">
        <v>894</v>
      </c>
      <c r="R2011" s="10">
        <f t="shared" si="10"/>
        <v>59</v>
      </c>
      <c r="S2011" s="5" t="s">
        <v>9034</v>
      </c>
      <c r="T2011" s="6" t="s">
        <v>2130</v>
      </c>
      <c r="U2011" s="5" t="s">
        <v>9035</v>
      </c>
      <c r="V2011" s="5"/>
    </row>
    <row r="2012" ht="12.75" customHeight="1">
      <c r="A2012" s="5">
        <v>35213.0</v>
      </c>
      <c r="B2012" s="5" t="s">
        <v>636</v>
      </c>
      <c r="C2012" s="52" t="s">
        <v>50</v>
      </c>
      <c r="D2012" s="5" t="s">
        <v>2852</v>
      </c>
      <c r="E2012" s="7" t="s">
        <v>9036</v>
      </c>
      <c r="F2012" s="5" t="s">
        <v>8916</v>
      </c>
      <c r="G2012" s="5" t="s">
        <v>8982</v>
      </c>
      <c r="H2012" s="5">
        <v>2005.0</v>
      </c>
      <c r="I2012" s="5">
        <v>0.0</v>
      </c>
      <c r="J2012" s="5">
        <v>0.0</v>
      </c>
      <c r="K2012" s="5">
        <v>1.0</v>
      </c>
      <c r="L2012" s="54"/>
      <c r="M2012" s="5" t="s">
        <v>9037</v>
      </c>
      <c r="N2012" s="53" t="s">
        <v>3346</v>
      </c>
      <c r="O2012">
        <v>37.544271</v>
      </c>
      <c r="P2012">
        <v>-4.727753</v>
      </c>
      <c r="Q2012" s="5" t="s">
        <v>944</v>
      </c>
      <c r="R2012" s="10">
        <f t="shared" si="10"/>
        <v>30</v>
      </c>
      <c r="S2012" s="5" t="s">
        <v>9038</v>
      </c>
      <c r="T2012" s="6" t="s">
        <v>72</v>
      </c>
      <c r="U2012" s="5" t="s">
        <v>9039</v>
      </c>
      <c r="V2012" s="5"/>
    </row>
    <row r="2013" ht="12.75" customHeight="1">
      <c r="A2013" s="5">
        <v>35215.0</v>
      </c>
      <c r="B2013" s="5" t="s">
        <v>68</v>
      </c>
      <c r="C2013" s="5" t="s">
        <v>69</v>
      </c>
      <c r="D2013" s="5" t="s">
        <v>2614</v>
      </c>
      <c r="E2013" s="7" t="s">
        <v>9040</v>
      </c>
      <c r="F2013" s="5" t="s">
        <v>8916</v>
      </c>
      <c r="G2013" s="5" t="s">
        <v>8982</v>
      </c>
      <c r="H2013" s="5">
        <v>2005.0</v>
      </c>
      <c r="I2013" s="5">
        <v>0.0</v>
      </c>
      <c r="J2013" s="5">
        <v>0.0</v>
      </c>
      <c r="K2013" s="5">
        <v>2.0</v>
      </c>
      <c r="L2013" s="54"/>
      <c r="M2013" s="5" t="s">
        <v>9041</v>
      </c>
      <c r="N2013" s="53" t="s">
        <v>2878</v>
      </c>
      <c r="O2013">
        <v>35.866074</v>
      </c>
      <c r="P2013">
        <v>12.868741</v>
      </c>
      <c r="Q2013" s="5" t="s">
        <v>714</v>
      </c>
      <c r="R2013" s="10">
        <f t="shared" si="10"/>
        <v>5</v>
      </c>
      <c r="S2013" s="5" t="s">
        <v>9042</v>
      </c>
      <c r="T2013" s="6" t="s">
        <v>2130</v>
      </c>
      <c r="U2013" s="5" t="s">
        <v>2326</v>
      </c>
      <c r="V2013" s="5" t="s">
        <v>7579</v>
      </c>
    </row>
    <row r="2014" ht="12.75" customHeight="1">
      <c r="A2014" s="5">
        <v>35214.0</v>
      </c>
      <c r="B2014" s="5" t="s">
        <v>68</v>
      </c>
      <c r="C2014" s="5" t="s">
        <v>69</v>
      </c>
      <c r="D2014" s="5" t="s">
        <v>2614</v>
      </c>
      <c r="E2014" s="7" t="s">
        <v>9040</v>
      </c>
      <c r="F2014" s="5" t="s">
        <v>8916</v>
      </c>
      <c r="G2014" s="5" t="s">
        <v>8982</v>
      </c>
      <c r="H2014" s="5">
        <v>2005.0</v>
      </c>
      <c r="I2014" s="5">
        <v>0.0</v>
      </c>
      <c r="J2014" s="5">
        <v>0.0</v>
      </c>
      <c r="K2014" s="5">
        <v>30.0</v>
      </c>
      <c r="L2014" s="54"/>
      <c r="M2014" s="5" t="s">
        <v>9043</v>
      </c>
      <c r="N2014" s="53" t="s">
        <v>6562</v>
      </c>
      <c r="O2014">
        <v>38.32981</v>
      </c>
      <c r="P2014">
        <v>26.314921</v>
      </c>
      <c r="Q2014" s="5" t="s">
        <v>1015</v>
      </c>
      <c r="R2014" s="10">
        <f t="shared" si="10"/>
        <v>66</v>
      </c>
      <c r="S2014" s="5" t="s">
        <v>9044</v>
      </c>
      <c r="T2014" s="6" t="s">
        <v>53</v>
      </c>
      <c r="U2014" s="5" t="s">
        <v>3318</v>
      </c>
      <c r="V2014" s="5" t="s">
        <v>9045</v>
      </c>
    </row>
    <row r="2015" ht="12.75" customHeight="1">
      <c r="A2015" s="5">
        <v>35216.0</v>
      </c>
      <c r="B2015" s="5" t="s">
        <v>491</v>
      </c>
      <c r="C2015" s="52" t="s">
        <v>50</v>
      </c>
      <c r="D2015" s="5" t="s">
        <v>2852</v>
      </c>
      <c r="E2015" s="7" t="s">
        <v>9046</v>
      </c>
      <c r="F2015" s="5" t="s">
        <v>8916</v>
      </c>
      <c r="G2015" s="5" t="s">
        <v>8982</v>
      </c>
      <c r="H2015" s="5">
        <v>2005.0</v>
      </c>
      <c r="I2015" s="5">
        <v>0.0</v>
      </c>
      <c r="J2015" s="5">
        <v>0.0</v>
      </c>
      <c r="K2015" s="5">
        <v>11.0</v>
      </c>
      <c r="L2015" s="54"/>
      <c r="M2015" s="5" t="s">
        <v>9047</v>
      </c>
      <c r="N2015" s="53" t="s">
        <v>3005</v>
      </c>
      <c r="O2015">
        <v>31.791702</v>
      </c>
      <c r="P2015">
        <v>-7.09262</v>
      </c>
      <c r="Q2015" s="5" t="s">
        <v>439</v>
      </c>
      <c r="R2015" s="10">
        <f t="shared" si="10"/>
        <v>77</v>
      </c>
      <c r="S2015" s="5" t="s">
        <v>9048</v>
      </c>
      <c r="T2015" s="6" t="s">
        <v>72</v>
      </c>
      <c r="U2015" s="5" t="s">
        <v>9049</v>
      </c>
      <c r="V2015" s="5"/>
    </row>
    <row r="2016" ht="12.75" customHeight="1">
      <c r="A2016" s="5">
        <v>35217.0</v>
      </c>
      <c r="B2016" s="5" t="s">
        <v>4108</v>
      </c>
      <c r="C2016" s="5" t="s">
        <v>211</v>
      </c>
      <c r="D2016" s="5" t="s">
        <v>2852</v>
      </c>
      <c r="E2016" s="7" t="s">
        <v>9050</v>
      </c>
      <c r="F2016" s="5" t="s">
        <v>8916</v>
      </c>
      <c r="G2016" s="5" t="s">
        <v>9051</v>
      </c>
      <c r="H2016" s="5">
        <v>2005.0</v>
      </c>
      <c r="I2016" s="5">
        <v>0.0</v>
      </c>
      <c r="J2016" s="5">
        <v>0.0</v>
      </c>
      <c r="K2016" s="5">
        <v>1.0</v>
      </c>
      <c r="L2016" s="54"/>
      <c r="M2016" s="5" t="s">
        <v>9052</v>
      </c>
      <c r="N2016" s="53" t="s">
        <v>7541</v>
      </c>
      <c r="O2016">
        <v>38.933622</v>
      </c>
      <c r="P2016">
        <v>16.275751</v>
      </c>
      <c r="Q2016" s="5" t="s">
        <v>1043</v>
      </c>
      <c r="R2016" s="10">
        <f t="shared" si="10"/>
        <v>3</v>
      </c>
      <c r="S2016" s="5" t="s">
        <v>9053</v>
      </c>
      <c r="T2016" s="6" t="s">
        <v>1963</v>
      </c>
      <c r="U2016" s="5" t="s">
        <v>9054</v>
      </c>
      <c r="V2016" s="5"/>
    </row>
    <row r="2017" ht="12.75" customHeight="1">
      <c r="A2017" s="5">
        <v>35218.0</v>
      </c>
      <c r="B2017" s="5" t="s">
        <v>68</v>
      </c>
      <c r="C2017" s="5" t="s">
        <v>69</v>
      </c>
      <c r="D2017" s="5" t="s">
        <v>2852</v>
      </c>
      <c r="E2017" s="7" t="s">
        <v>9055</v>
      </c>
      <c r="F2017" s="5" t="s">
        <v>8916</v>
      </c>
      <c r="G2017" s="5" t="s">
        <v>9051</v>
      </c>
      <c r="H2017" s="5">
        <v>2005.0</v>
      </c>
      <c r="I2017" s="5">
        <v>0.0</v>
      </c>
      <c r="J2017" s="5">
        <v>0.0</v>
      </c>
      <c r="K2017" s="5">
        <v>2.0</v>
      </c>
      <c r="L2017" s="54"/>
      <c r="M2017" s="5" t="s">
        <v>9056</v>
      </c>
      <c r="N2017" s="53" t="s">
        <v>3597</v>
      </c>
      <c r="O2017">
        <v>36.750191</v>
      </c>
      <c r="P2017">
        <v>-3.017606</v>
      </c>
      <c r="Q2017" s="5" t="s">
        <v>834</v>
      </c>
      <c r="R2017" s="10">
        <f t="shared" si="10"/>
        <v>28</v>
      </c>
      <c r="S2017" s="5" t="s">
        <v>9057</v>
      </c>
      <c r="T2017" s="6" t="s">
        <v>72</v>
      </c>
      <c r="U2017" s="5" t="s">
        <v>9058</v>
      </c>
      <c r="V2017" s="5" t="s">
        <v>9059</v>
      </c>
    </row>
    <row r="2018" ht="12.75" customHeight="1">
      <c r="A2018" s="5">
        <v>35221.0</v>
      </c>
      <c r="B2018" s="5" t="s">
        <v>1161</v>
      </c>
      <c r="C2018" s="5" t="s">
        <v>124</v>
      </c>
      <c r="D2018" s="5" t="s">
        <v>2852</v>
      </c>
      <c r="E2018" s="7" t="s">
        <v>9060</v>
      </c>
      <c r="F2018" s="5" t="s">
        <v>8916</v>
      </c>
      <c r="G2018" s="5" t="s">
        <v>9051</v>
      </c>
      <c r="H2018" s="5">
        <v>2005.0</v>
      </c>
      <c r="I2018" s="5">
        <v>0.0</v>
      </c>
      <c r="J2018" s="5">
        <v>0.0</v>
      </c>
      <c r="K2018" s="5">
        <v>1.0</v>
      </c>
      <c r="L2018" s="54"/>
      <c r="M2018" s="5" t="s">
        <v>9061</v>
      </c>
      <c r="N2018" s="53" t="s">
        <v>9062</v>
      </c>
      <c r="O2018">
        <v>52.313025</v>
      </c>
      <c r="P2018">
        <v>4.772477</v>
      </c>
      <c r="Q2018" s="5" t="s">
        <v>1741</v>
      </c>
      <c r="R2018" s="10">
        <f t="shared" si="10"/>
        <v>4</v>
      </c>
      <c r="S2018" s="5" t="s">
        <v>9063</v>
      </c>
      <c r="T2018" s="5"/>
      <c r="U2018" s="5" t="s">
        <v>9064</v>
      </c>
      <c r="V2018" s="5"/>
    </row>
    <row r="2019" ht="12.75" customHeight="1">
      <c r="A2019" s="5">
        <v>35220.0</v>
      </c>
      <c r="B2019" s="5" t="s">
        <v>1161</v>
      </c>
      <c r="C2019" s="5" t="s">
        <v>124</v>
      </c>
      <c r="D2019" s="5" t="s">
        <v>2852</v>
      </c>
      <c r="E2019" s="7" t="s">
        <v>9060</v>
      </c>
      <c r="F2019" s="5" t="s">
        <v>8916</v>
      </c>
      <c r="G2019" s="5" t="s">
        <v>9051</v>
      </c>
      <c r="H2019" s="5">
        <v>2005.0</v>
      </c>
      <c r="I2019" s="5">
        <v>0.0</v>
      </c>
      <c r="J2019" s="5">
        <v>0.0</v>
      </c>
      <c r="K2019" s="5">
        <v>1.0</v>
      </c>
      <c r="L2019" s="54"/>
      <c r="M2019" s="5" t="s">
        <v>9065</v>
      </c>
      <c r="N2019" s="53" t="s">
        <v>9066</v>
      </c>
      <c r="O2019">
        <v>52.313025</v>
      </c>
      <c r="P2019">
        <v>4.772477</v>
      </c>
      <c r="Q2019" s="5" t="s">
        <v>1741</v>
      </c>
      <c r="R2019" s="10">
        <f t="shared" si="10"/>
        <v>4</v>
      </c>
      <c r="S2019" s="5" t="s">
        <v>9067</v>
      </c>
      <c r="T2019" s="5"/>
      <c r="U2019" s="5" t="s">
        <v>9068</v>
      </c>
      <c r="V2019" s="5"/>
    </row>
    <row r="2020" ht="12.75" customHeight="1">
      <c r="A2020" s="5">
        <v>35219.0</v>
      </c>
      <c r="B2020" s="5" t="s">
        <v>1161</v>
      </c>
      <c r="C2020" s="5" t="s">
        <v>124</v>
      </c>
      <c r="D2020" s="5" t="s">
        <v>2852</v>
      </c>
      <c r="E2020" s="7" t="s">
        <v>9060</v>
      </c>
      <c r="F2020" s="5" t="s">
        <v>8916</v>
      </c>
      <c r="G2020" s="5" t="s">
        <v>9051</v>
      </c>
      <c r="H2020" s="5">
        <v>2005.0</v>
      </c>
      <c r="I2020" s="5">
        <v>0.0</v>
      </c>
      <c r="J2020" s="5">
        <v>0.0</v>
      </c>
      <c r="K2020" s="5">
        <v>9.0</v>
      </c>
      <c r="L2020" s="54"/>
      <c r="M2020" s="5" t="s">
        <v>9069</v>
      </c>
      <c r="N2020" s="53" t="s">
        <v>3412</v>
      </c>
      <c r="O2020">
        <v>52.370216</v>
      </c>
      <c r="P2020">
        <v>4.895168</v>
      </c>
      <c r="Q2020" s="5" t="s">
        <v>1753</v>
      </c>
      <c r="R2020" s="10">
        <f t="shared" si="10"/>
        <v>14</v>
      </c>
      <c r="S2020" s="5" t="s">
        <v>9070</v>
      </c>
      <c r="T2020" s="5"/>
      <c r="U2020" s="5" t="s">
        <v>9071</v>
      </c>
      <c r="V2020" s="5" t="s">
        <v>9072</v>
      </c>
    </row>
    <row r="2021" ht="12.75" customHeight="1">
      <c r="A2021" s="5">
        <v>35222.0</v>
      </c>
      <c r="B2021" s="5" t="s">
        <v>68</v>
      </c>
      <c r="C2021" s="5" t="s">
        <v>69</v>
      </c>
      <c r="D2021" s="5" t="s">
        <v>2614</v>
      </c>
      <c r="E2021" s="7" t="s">
        <v>9073</v>
      </c>
      <c r="F2021" s="5" t="s">
        <v>8916</v>
      </c>
      <c r="G2021" s="5" t="s">
        <v>9051</v>
      </c>
      <c r="H2021" s="5">
        <v>2005.0</v>
      </c>
      <c r="I2021" s="5">
        <v>0.0</v>
      </c>
      <c r="J2021" s="5">
        <v>0.0</v>
      </c>
      <c r="K2021" s="5">
        <v>1.0</v>
      </c>
      <c r="L2021" s="54"/>
      <c r="M2021" s="5" t="s">
        <v>9074</v>
      </c>
      <c r="N2021" s="53" t="s">
        <v>3503</v>
      </c>
      <c r="O2021">
        <v>35.240117</v>
      </c>
      <c r="P2021">
        <v>24.809269</v>
      </c>
      <c r="Q2021" s="5" t="s">
        <v>641</v>
      </c>
      <c r="R2021" s="10">
        <f t="shared" si="10"/>
        <v>84</v>
      </c>
      <c r="S2021" s="5" t="s">
        <v>9075</v>
      </c>
      <c r="T2021" s="6" t="s">
        <v>53</v>
      </c>
      <c r="U2021" s="5" t="s">
        <v>3318</v>
      </c>
      <c r="V2021" s="5" t="s">
        <v>9076</v>
      </c>
    </row>
    <row r="2022" ht="12.75" customHeight="1">
      <c r="A2022" s="5">
        <v>35224.0</v>
      </c>
      <c r="B2022" s="5" t="s">
        <v>49</v>
      </c>
      <c r="C2022" s="52" t="s">
        <v>50</v>
      </c>
      <c r="D2022" s="5" t="s">
        <v>2852</v>
      </c>
      <c r="E2022" s="7" t="s">
        <v>9073</v>
      </c>
      <c r="F2022" s="5" t="s">
        <v>8916</v>
      </c>
      <c r="G2022" s="5" t="s">
        <v>9051</v>
      </c>
      <c r="H2022" s="5">
        <v>2005.0</v>
      </c>
      <c r="I2022" s="5">
        <v>0.0</v>
      </c>
      <c r="J2022" s="5">
        <v>0.0</v>
      </c>
      <c r="K2022" s="5">
        <v>7.0</v>
      </c>
      <c r="L2022" s="54"/>
      <c r="M2022" s="5" t="s">
        <v>9077</v>
      </c>
      <c r="N2022" s="53" t="s">
        <v>2938</v>
      </c>
      <c r="O2022">
        <v>35.937496</v>
      </c>
      <c r="P2022">
        <v>14.375416</v>
      </c>
      <c r="Q2022" s="5" t="s">
        <v>740</v>
      </c>
      <c r="R2022" s="10">
        <f t="shared" si="10"/>
        <v>655</v>
      </c>
      <c r="S2022" s="5" t="s">
        <v>9078</v>
      </c>
      <c r="T2022" s="6" t="s">
        <v>2130</v>
      </c>
      <c r="U2022" s="5" t="s">
        <v>9079</v>
      </c>
      <c r="V2022" s="5" t="s">
        <v>9080</v>
      </c>
    </row>
    <row r="2023" ht="12.75" customHeight="1">
      <c r="A2023" s="5">
        <v>35223.0</v>
      </c>
      <c r="B2023" s="5" t="s">
        <v>68</v>
      </c>
      <c r="C2023" s="5" t="s">
        <v>69</v>
      </c>
      <c r="D2023" s="5" t="s">
        <v>2852</v>
      </c>
      <c r="E2023" s="7" t="s">
        <v>9073</v>
      </c>
      <c r="F2023" s="5" t="s">
        <v>8916</v>
      </c>
      <c r="G2023" s="5" t="s">
        <v>9051</v>
      </c>
      <c r="H2023" s="5">
        <v>2005.0</v>
      </c>
      <c r="I2023" s="5">
        <v>0.0</v>
      </c>
      <c r="J2023" s="5">
        <v>0.0</v>
      </c>
      <c r="K2023" s="5">
        <v>1.0</v>
      </c>
      <c r="L2023" s="54"/>
      <c r="M2023" s="5" t="s">
        <v>9081</v>
      </c>
      <c r="N2023" s="53" t="s">
        <v>9082</v>
      </c>
      <c r="O2023">
        <v>44.348399</v>
      </c>
      <c r="P2023">
        <v>9.234647</v>
      </c>
      <c r="Q2023" s="5" t="s">
        <v>1290</v>
      </c>
      <c r="R2023" s="10">
        <f t="shared" si="10"/>
        <v>57</v>
      </c>
      <c r="S2023" s="5" t="s">
        <v>9083</v>
      </c>
      <c r="T2023" s="5"/>
      <c r="U2023" s="5" t="s">
        <v>5296</v>
      </c>
      <c r="V2023" s="5"/>
    </row>
    <row r="2024" ht="12.75" customHeight="1">
      <c r="A2024" s="5">
        <v>35225.0</v>
      </c>
      <c r="B2024" s="5" t="s">
        <v>2962</v>
      </c>
      <c r="C2024" s="5" t="s">
        <v>211</v>
      </c>
      <c r="D2024" s="5" t="s">
        <v>2852</v>
      </c>
      <c r="E2024" s="7" t="s">
        <v>9084</v>
      </c>
      <c r="F2024" s="5" t="s">
        <v>8916</v>
      </c>
      <c r="G2024" s="5" t="s">
        <v>9051</v>
      </c>
      <c r="H2024" s="5">
        <v>2005.0</v>
      </c>
      <c r="I2024" s="5">
        <v>0.0</v>
      </c>
      <c r="J2024" s="5">
        <v>0.0</v>
      </c>
      <c r="K2024" s="5">
        <v>1.0</v>
      </c>
      <c r="L2024" s="54"/>
      <c r="M2024" s="5" t="s">
        <v>9085</v>
      </c>
      <c r="N2024" s="53" t="s">
        <v>4147</v>
      </c>
      <c r="O2024">
        <v>53.551085</v>
      </c>
      <c r="P2024">
        <v>9.993682</v>
      </c>
      <c r="Q2024" s="5" t="s">
        <v>1846</v>
      </c>
      <c r="R2024" s="10">
        <f t="shared" si="10"/>
        <v>7</v>
      </c>
      <c r="S2024" s="5" t="s">
        <v>9086</v>
      </c>
      <c r="T2024" s="5"/>
      <c r="U2024" s="5" t="s">
        <v>4578</v>
      </c>
      <c r="V2024" s="5"/>
    </row>
    <row r="2025" ht="12.75" customHeight="1">
      <c r="A2025" s="5">
        <v>35226.0</v>
      </c>
      <c r="B2025" s="5" t="s">
        <v>491</v>
      </c>
      <c r="C2025" s="52" t="s">
        <v>50</v>
      </c>
      <c r="D2025" s="5" t="s">
        <v>2614</v>
      </c>
      <c r="E2025" s="7" t="s">
        <v>9087</v>
      </c>
      <c r="F2025" s="5" t="s">
        <v>8916</v>
      </c>
      <c r="G2025" s="5" t="s">
        <v>9051</v>
      </c>
      <c r="H2025" s="5">
        <v>2005.0</v>
      </c>
      <c r="I2025" s="5">
        <v>0.0</v>
      </c>
      <c r="J2025" s="5">
        <v>0.0</v>
      </c>
      <c r="K2025" s="5">
        <v>2.0</v>
      </c>
      <c r="L2025" s="54"/>
      <c r="M2025" s="5" t="s">
        <v>9088</v>
      </c>
      <c r="N2025" s="53" t="s">
        <v>3798</v>
      </c>
      <c r="O2025">
        <v>28.033886</v>
      </c>
      <c r="P2025">
        <v>1.659626</v>
      </c>
      <c r="Q2025" s="5" t="s">
        <v>369</v>
      </c>
      <c r="R2025" s="10">
        <f t="shared" si="10"/>
        <v>127</v>
      </c>
      <c r="S2025" s="5" t="s">
        <v>9089</v>
      </c>
      <c r="T2025" s="5"/>
      <c r="U2025" s="5" t="s">
        <v>5833</v>
      </c>
      <c r="V2025" s="5" t="s">
        <v>9090</v>
      </c>
    </row>
    <row r="2026" ht="12.75" customHeight="1">
      <c r="A2026" s="5">
        <v>35227.0</v>
      </c>
      <c r="B2026" s="5" t="s">
        <v>68</v>
      </c>
      <c r="C2026" s="5" t="s">
        <v>69</v>
      </c>
      <c r="D2026" s="5" t="s">
        <v>2614</v>
      </c>
      <c r="E2026" s="7" t="s">
        <v>9091</v>
      </c>
      <c r="F2026" s="5" t="s">
        <v>8916</v>
      </c>
      <c r="G2026" s="5" t="s">
        <v>9051</v>
      </c>
      <c r="H2026" s="5">
        <v>2005.0</v>
      </c>
      <c r="I2026" s="5">
        <v>0.0</v>
      </c>
      <c r="J2026" s="5">
        <v>0.0</v>
      </c>
      <c r="K2026" s="5">
        <v>1.0</v>
      </c>
      <c r="L2026" s="54"/>
      <c r="M2026" s="5" t="s">
        <v>9092</v>
      </c>
      <c r="N2026" s="53" t="s">
        <v>9093</v>
      </c>
      <c r="O2026">
        <v>37.177336</v>
      </c>
      <c r="P2026">
        <v>-3.598557</v>
      </c>
      <c r="Q2026" s="5" t="s">
        <v>909</v>
      </c>
      <c r="R2026" s="10">
        <f t="shared" si="10"/>
        <v>38</v>
      </c>
      <c r="S2026" s="5" t="s">
        <v>9094</v>
      </c>
      <c r="T2026" s="6" t="s">
        <v>72</v>
      </c>
      <c r="U2026" s="5" t="s">
        <v>2165</v>
      </c>
      <c r="V2026" s="5" t="s">
        <v>9095</v>
      </c>
    </row>
    <row r="2027" ht="12.75" customHeight="1">
      <c r="A2027" s="5">
        <v>35229.0</v>
      </c>
      <c r="B2027" s="5" t="s">
        <v>49</v>
      </c>
      <c r="C2027" s="52" t="s">
        <v>50</v>
      </c>
      <c r="D2027" s="5" t="s">
        <v>2852</v>
      </c>
      <c r="E2027" s="7" t="s">
        <v>9096</v>
      </c>
      <c r="F2027" s="5" t="s">
        <v>8916</v>
      </c>
      <c r="G2027" s="5" t="s">
        <v>9051</v>
      </c>
      <c r="H2027" s="5">
        <v>2005.0</v>
      </c>
      <c r="I2027" s="5">
        <v>0.0</v>
      </c>
      <c r="J2027" s="5">
        <v>0.0</v>
      </c>
      <c r="K2027" s="5">
        <v>22.0</v>
      </c>
      <c r="L2027" s="54"/>
      <c r="M2027" s="5" t="s">
        <v>9097</v>
      </c>
      <c r="N2027" s="53" t="s">
        <v>3141</v>
      </c>
      <c r="O2027">
        <v>36.140751</v>
      </c>
      <c r="P2027">
        <v>-5.353585</v>
      </c>
      <c r="Q2027" s="5" t="s">
        <v>774</v>
      </c>
      <c r="R2027" s="10">
        <f t="shared" si="10"/>
        <v>107</v>
      </c>
      <c r="S2027" s="5" t="s">
        <v>9098</v>
      </c>
      <c r="T2027" s="6" t="s">
        <v>72</v>
      </c>
      <c r="U2027" s="5" t="s">
        <v>9099</v>
      </c>
      <c r="V2027" s="5"/>
    </row>
    <row r="2028" ht="12.75" customHeight="1">
      <c r="A2028" s="5">
        <v>35228.0</v>
      </c>
      <c r="B2028" s="5" t="s">
        <v>68</v>
      </c>
      <c r="C2028" s="5" t="s">
        <v>69</v>
      </c>
      <c r="D2028" s="5" t="s">
        <v>2852</v>
      </c>
      <c r="E2028" s="7" t="s">
        <v>9096</v>
      </c>
      <c r="F2028" s="5" t="s">
        <v>8916</v>
      </c>
      <c r="G2028" s="5" t="s">
        <v>9051</v>
      </c>
      <c r="H2028" s="5">
        <v>2005.0</v>
      </c>
      <c r="I2028" s="5">
        <v>0.0</v>
      </c>
      <c r="J2028" s="5">
        <v>0.0</v>
      </c>
      <c r="K2028" s="5">
        <v>1.0</v>
      </c>
      <c r="L2028" s="54"/>
      <c r="M2028" s="5" t="s">
        <v>9100</v>
      </c>
      <c r="N2028" s="53" t="s">
        <v>3141</v>
      </c>
      <c r="O2028">
        <v>36.140751</v>
      </c>
      <c r="P2028">
        <v>-5.353585</v>
      </c>
      <c r="Q2028" s="5" t="s">
        <v>774</v>
      </c>
      <c r="R2028" s="10">
        <f t="shared" si="10"/>
        <v>107</v>
      </c>
      <c r="S2028" s="5" t="s">
        <v>9098</v>
      </c>
      <c r="T2028" s="6" t="s">
        <v>72</v>
      </c>
      <c r="U2028" s="5" t="s">
        <v>9099</v>
      </c>
      <c r="V2028" s="5"/>
    </row>
    <row r="2029" ht="12.75" customHeight="1">
      <c r="A2029" s="5">
        <v>35230.0</v>
      </c>
      <c r="B2029" s="5" t="s">
        <v>1995</v>
      </c>
      <c r="C2029" s="52" t="s">
        <v>50</v>
      </c>
      <c r="D2029" s="5" t="s">
        <v>2852</v>
      </c>
      <c r="E2029" s="7" t="s">
        <v>9101</v>
      </c>
      <c r="F2029" s="5" t="s">
        <v>8916</v>
      </c>
      <c r="G2029" s="5" t="s">
        <v>9051</v>
      </c>
      <c r="H2029" s="5">
        <v>2005.0</v>
      </c>
      <c r="I2029" s="5">
        <v>0.0</v>
      </c>
      <c r="J2029" s="5">
        <v>0.0</v>
      </c>
      <c r="K2029" s="5">
        <v>1.0</v>
      </c>
      <c r="L2029" s="54"/>
      <c r="M2029" s="5" t="s">
        <v>9102</v>
      </c>
      <c r="N2029" s="53" t="s">
        <v>9103</v>
      </c>
      <c r="O2029">
        <v>52.486243</v>
      </c>
      <c r="P2029">
        <v>-1.890401</v>
      </c>
      <c r="Q2029" s="5" t="s">
        <v>1767</v>
      </c>
      <c r="R2029" s="10">
        <f t="shared" si="10"/>
        <v>2</v>
      </c>
      <c r="S2029" s="5" t="s">
        <v>9104</v>
      </c>
      <c r="T2029" s="5"/>
      <c r="U2029" s="5" t="s">
        <v>3219</v>
      </c>
      <c r="V2029" s="5"/>
    </row>
    <row r="2030" ht="12.75" customHeight="1">
      <c r="A2030" s="5">
        <v>35231.0</v>
      </c>
      <c r="B2030" s="5" t="s">
        <v>49</v>
      </c>
      <c r="C2030" s="52" t="s">
        <v>50</v>
      </c>
      <c r="D2030" s="5" t="s">
        <v>2852</v>
      </c>
      <c r="E2030" s="7" t="s">
        <v>9105</v>
      </c>
      <c r="F2030" s="5" t="s">
        <v>8916</v>
      </c>
      <c r="G2030" s="5" t="s">
        <v>9051</v>
      </c>
      <c r="H2030" s="5">
        <v>2005.0</v>
      </c>
      <c r="I2030" s="5">
        <v>0.0</v>
      </c>
      <c r="J2030" s="5">
        <v>0.0</v>
      </c>
      <c r="K2030" s="5">
        <v>11.0</v>
      </c>
      <c r="L2030" s="54"/>
      <c r="M2030" s="5" t="s">
        <v>9106</v>
      </c>
      <c r="N2030" s="53" t="s">
        <v>4739</v>
      </c>
      <c r="O2030">
        <v>37.074153</v>
      </c>
      <c r="P2030">
        <v>14.240354</v>
      </c>
      <c r="Q2030" s="5" t="s">
        <v>894</v>
      </c>
      <c r="R2030" s="10">
        <f t="shared" si="10"/>
        <v>59</v>
      </c>
      <c r="S2030" s="5" t="s">
        <v>9107</v>
      </c>
      <c r="T2030" s="6" t="s">
        <v>2130</v>
      </c>
      <c r="U2030" s="5" t="s">
        <v>9108</v>
      </c>
      <c r="V2030" s="5"/>
    </row>
    <row r="2031" ht="12.75" customHeight="1">
      <c r="A2031" s="5">
        <v>35232.0</v>
      </c>
      <c r="B2031" s="5" t="s">
        <v>41</v>
      </c>
      <c r="C2031" s="5" t="s">
        <v>42</v>
      </c>
      <c r="D2031" s="5" t="s">
        <v>2852</v>
      </c>
      <c r="E2031" s="7" t="s">
        <v>9105</v>
      </c>
      <c r="F2031" s="5" t="s">
        <v>8916</v>
      </c>
      <c r="G2031" s="5" t="s">
        <v>9051</v>
      </c>
      <c r="H2031" s="5">
        <v>2005.0</v>
      </c>
      <c r="I2031" s="5">
        <v>0.0</v>
      </c>
      <c r="J2031" s="5">
        <v>0.0</v>
      </c>
      <c r="K2031" s="5">
        <v>1.0</v>
      </c>
      <c r="L2031" s="54"/>
      <c r="M2031" s="5" t="s">
        <v>9109</v>
      </c>
      <c r="N2031" s="53" t="s">
        <v>9110</v>
      </c>
      <c r="O2031">
        <v>41.14943</v>
      </c>
      <c r="P2031">
        <v>22.071533</v>
      </c>
      <c r="Q2031" s="5" t="s">
        <v>1205</v>
      </c>
      <c r="R2031" s="10">
        <f t="shared" si="10"/>
        <v>1</v>
      </c>
      <c r="S2031" s="5" t="s">
        <v>9111</v>
      </c>
      <c r="T2031" s="5"/>
      <c r="U2031" s="5" t="s">
        <v>3128</v>
      </c>
      <c r="V2031" s="5"/>
    </row>
    <row r="2032" ht="12.75" customHeight="1">
      <c r="A2032" s="5">
        <v>35233.0</v>
      </c>
      <c r="B2032" s="5" t="s">
        <v>491</v>
      </c>
      <c r="C2032" s="52" t="s">
        <v>50</v>
      </c>
      <c r="D2032" s="5" t="s">
        <v>2614</v>
      </c>
      <c r="E2032" s="7" t="s">
        <v>9112</v>
      </c>
      <c r="F2032" s="5" t="s">
        <v>8916</v>
      </c>
      <c r="G2032" s="5" t="s">
        <v>9051</v>
      </c>
      <c r="H2032" s="5">
        <v>2005.0</v>
      </c>
      <c r="I2032" s="5">
        <v>0.0</v>
      </c>
      <c r="J2032" s="5">
        <v>0.0</v>
      </c>
      <c r="K2032" s="5">
        <v>20.0</v>
      </c>
      <c r="L2032" s="54"/>
      <c r="M2032" s="5" t="s">
        <v>9113</v>
      </c>
      <c r="N2032" s="53" t="s">
        <v>2638</v>
      </c>
      <c r="O2032">
        <v>35.888384</v>
      </c>
      <c r="P2032">
        <v>-5.324636</v>
      </c>
      <c r="Q2032" s="5" t="s">
        <v>717</v>
      </c>
      <c r="R2032" s="10">
        <f t="shared" si="10"/>
        <v>213</v>
      </c>
      <c r="S2032" s="5" t="s">
        <v>9114</v>
      </c>
      <c r="T2032" s="6" t="s">
        <v>72</v>
      </c>
      <c r="U2032" s="5" t="s">
        <v>254</v>
      </c>
      <c r="V2032" s="5" t="s">
        <v>9115</v>
      </c>
    </row>
    <row r="2033" ht="12.75" customHeight="1">
      <c r="A2033" s="5">
        <v>35235.0</v>
      </c>
      <c r="B2033" s="5" t="s">
        <v>2333</v>
      </c>
      <c r="C2033" s="5" t="s">
        <v>124</v>
      </c>
      <c r="D2033" s="5" t="s">
        <v>2614</v>
      </c>
      <c r="E2033" s="7" t="s">
        <v>9116</v>
      </c>
      <c r="F2033" s="5" t="s">
        <v>8916</v>
      </c>
      <c r="G2033" s="5" t="s">
        <v>9051</v>
      </c>
      <c r="H2033" s="5">
        <v>2005.0</v>
      </c>
      <c r="I2033" s="5">
        <v>0.0</v>
      </c>
      <c r="J2033" s="5">
        <v>0.0</v>
      </c>
      <c r="K2033" s="5">
        <v>6.0</v>
      </c>
      <c r="L2033" s="54"/>
      <c r="M2033" s="5" t="s">
        <v>9117</v>
      </c>
      <c r="N2033" s="53" t="s">
        <v>2718</v>
      </c>
      <c r="O2033">
        <v>35.292278</v>
      </c>
      <c r="P2033">
        <v>-2.938097</v>
      </c>
      <c r="Q2033" s="5" t="s">
        <v>649</v>
      </c>
      <c r="R2033" s="10">
        <f t="shared" si="10"/>
        <v>79</v>
      </c>
      <c r="S2033" s="5" t="s">
        <v>9118</v>
      </c>
      <c r="T2033" s="6" t="s">
        <v>72</v>
      </c>
      <c r="U2033" s="5" t="s">
        <v>8502</v>
      </c>
      <c r="V2033" s="5" t="s">
        <v>9119</v>
      </c>
    </row>
    <row r="2034" ht="12.75" customHeight="1">
      <c r="A2034" s="5">
        <v>35234.0</v>
      </c>
      <c r="B2034" s="5" t="s">
        <v>2421</v>
      </c>
      <c r="C2034" s="5" t="s">
        <v>124</v>
      </c>
      <c r="D2034" s="5" t="s">
        <v>2614</v>
      </c>
      <c r="E2034" s="7" t="s">
        <v>9116</v>
      </c>
      <c r="F2034" s="5" t="s">
        <v>8916</v>
      </c>
      <c r="G2034" s="5" t="s">
        <v>9051</v>
      </c>
      <c r="H2034" s="5">
        <v>2005.0</v>
      </c>
      <c r="I2034" s="5">
        <v>0.0</v>
      </c>
      <c r="J2034" s="5">
        <v>0.0</v>
      </c>
      <c r="K2034" s="5">
        <v>1.0</v>
      </c>
      <c r="L2034" s="54"/>
      <c r="M2034" s="5" t="s">
        <v>9120</v>
      </c>
      <c r="N2034" s="53" t="s">
        <v>4095</v>
      </c>
      <c r="O2034">
        <v>55.378051</v>
      </c>
      <c r="P2034">
        <v>-3.435973</v>
      </c>
      <c r="Q2034" s="5" t="s">
        <v>1882</v>
      </c>
      <c r="R2034" s="10">
        <f t="shared" si="10"/>
        <v>23</v>
      </c>
      <c r="S2034" s="5" t="s">
        <v>9121</v>
      </c>
      <c r="T2034" s="5"/>
      <c r="U2034" s="5" t="s">
        <v>9122</v>
      </c>
      <c r="V2034" s="5" t="s">
        <v>9123</v>
      </c>
    </row>
    <row r="2035" ht="12.75" customHeight="1">
      <c r="A2035" s="5">
        <v>35237.0</v>
      </c>
      <c r="B2035" s="5" t="s">
        <v>49</v>
      </c>
      <c r="C2035" s="52" t="s">
        <v>50</v>
      </c>
      <c r="D2035" s="5" t="s">
        <v>2852</v>
      </c>
      <c r="E2035" s="7" t="s">
        <v>9124</v>
      </c>
      <c r="F2035" s="5" t="s">
        <v>8916</v>
      </c>
      <c r="G2035" s="5" t="s">
        <v>9051</v>
      </c>
      <c r="H2035" s="5">
        <v>2005.0</v>
      </c>
      <c r="I2035" s="5">
        <v>0.0</v>
      </c>
      <c r="J2035" s="5">
        <v>0.0</v>
      </c>
      <c r="K2035" s="5">
        <v>16.0</v>
      </c>
      <c r="L2035" s="54"/>
      <c r="M2035" s="5" t="s">
        <v>9125</v>
      </c>
      <c r="N2035" s="53" t="s">
        <v>3798</v>
      </c>
      <c r="O2035">
        <v>28.033886</v>
      </c>
      <c r="P2035">
        <v>1.659626</v>
      </c>
      <c r="Q2035" s="5" t="s">
        <v>369</v>
      </c>
      <c r="R2035" s="10">
        <f t="shared" si="10"/>
        <v>127</v>
      </c>
      <c r="S2035" s="5" t="s">
        <v>9126</v>
      </c>
      <c r="T2035" s="6" t="s">
        <v>72</v>
      </c>
      <c r="U2035" s="5" t="s">
        <v>8093</v>
      </c>
      <c r="V2035" s="5"/>
    </row>
    <row r="2036" ht="12.75" customHeight="1">
      <c r="A2036" s="5">
        <v>35236.0</v>
      </c>
      <c r="B2036" s="5" t="s">
        <v>491</v>
      </c>
      <c r="C2036" s="52" t="s">
        <v>50</v>
      </c>
      <c r="D2036" s="5" t="s">
        <v>2852</v>
      </c>
      <c r="E2036" s="7" t="s">
        <v>9124</v>
      </c>
      <c r="F2036" s="5" t="s">
        <v>8916</v>
      </c>
      <c r="G2036" s="5" t="s">
        <v>9051</v>
      </c>
      <c r="H2036" s="5">
        <v>2005.0</v>
      </c>
      <c r="I2036" s="5">
        <v>0.0</v>
      </c>
      <c r="J2036" s="5">
        <v>0.0</v>
      </c>
      <c r="K2036" s="5">
        <v>2.0</v>
      </c>
      <c r="L2036" s="54"/>
      <c r="M2036" s="5" t="s">
        <v>9127</v>
      </c>
      <c r="N2036" s="53" t="s">
        <v>5367</v>
      </c>
      <c r="O2036">
        <v>28.291564</v>
      </c>
      <c r="P2036">
        <v>-16.62913</v>
      </c>
      <c r="Q2036" s="5" t="s">
        <v>382</v>
      </c>
      <c r="R2036" s="10">
        <f t="shared" si="10"/>
        <v>1120</v>
      </c>
      <c r="S2036" s="5" t="s">
        <v>9128</v>
      </c>
      <c r="T2036" s="5" t="s">
        <v>1040</v>
      </c>
      <c r="U2036" s="5" t="s">
        <v>8093</v>
      </c>
      <c r="V2036" s="5" t="s">
        <v>9129</v>
      </c>
    </row>
    <row r="2037" ht="12.75" customHeight="1">
      <c r="A2037" s="5">
        <v>35348.0</v>
      </c>
      <c r="B2037" s="5" t="s">
        <v>49</v>
      </c>
      <c r="C2037" s="52" t="s">
        <v>50</v>
      </c>
      <c r="D2037" s="5" t="s">
        <v>2852</v>
      </c>
      <c r="E2037" s="7" t="s">
        <v>9130</v>
      </c>
      <c r="F2037" s="5" t="s">
        <v>8824</v>
      </c>
      <c r="G2037" s="5" t="s">
        <v>9131</v>
      </c>
      <c r="H2037" s="5">
        <v>2005.0</v>
      </c>
      <c r="I2037" s="5">
        <v>0.0</v>
      </c>
      <c r="J2037" s="5">
        <v>0.0</v>
      </c>
      <c r="K2037" s="5">
        <v>1.0</v>
      </c>
      <c r="L2037" s="54"/>
      <c r="M2037" s="5" t="s">
        <v>9132</v>
      </c>
      <c r="N2037" s="53" t="s">
        <v>7911</v>
      </c>
      <c r="O2037">
        <v>38.652771</v>
      </c>
      <c r="P2037">
        <v>26.613007</v>
      </c>
      <c r="Q2037" s="5" t="s">
        <v>1032</v>
      </c>
      <c r="R2037" s="10">
        <f t="shared" si="10"/>
        <v>69</v>
      </c>
      <c r="S2037" s="5" t="s">
        <v>9133</v>
      </c>
      <c r="T2037" s="6" t="s">
        <v>53</v>
      </c>
      <c r="U2037" s="5" t="s">
        <v>9134</v>
      </c>
      <c r="V2037" s="5"/>
    </row>
    <row r="2038" ht="12.75" customHeight="1">
      <c r="A2038" s="5">
        <v>35347.0</v>
      </c>
      <c r="B2038" s="5" t="s">
        <v>49</v>
      </c>
      <c r="C2038" s="52" t="s">
        <v>50</v>
      </c>
      <c r="D2038" s="5" t="s">
        <v>2852</v>
      </c>
      <c r="E2038" s="7" t="s">
        <v>9130</v>
      </c>
      <c r="F2038" s="5" t="s">
        <v>8824</v>
      </c>
      <c r="G2038" s="5" t="s">
        <v>9131</v>
      </c>
      <c r="H2038" s="5">
        <v>2005.0</v>
      </c>
      <c r="I2038" s="5">
        <v>0.0</v>
      </c>
      <c r="J2038" s="5">
        <v>0.0</v>
      </c>
      <c r="K2038" s="5">
        <v>1.0</v>
      </c>
      <c r="L2038" s="54"/>
      <c r="M2038" s="5" t="s">
        <v>9135</v>
      </c>
      <c r="N2038" s="53" t="s">
        <v>7911</v>
      </c>
      <c r="O2038">
        <v>38.652771</v>
      </c>
      <c r="P2038">
        <v>26.613007</v>
      </c>
      <c r="Q2038" s="5" t="s">
        <v>1032</v>
      </c>
      <c r="R2038" s="10">
        <f t="shared" si="10"/>
        <v>69</v>
      </c>
      <c r="S2038" s="5" t="s">
        <v>9133</v>
      </c>
      <c r="T2038" s="6" t="s">
        <v>53</v>
      </c>
      <c r="U2038" s="5" t="s">
        <v>9134</v>
      </c>
      <c r="V2038" s="5"/>
    </row>
    <row r="2039" ht="12.75" customHeight="1">
      <c r="A2039" s="5">
        <v>35349.0</v>
      </c>
      <c r="B2039" s="5" t="s">
        <v>2962</v>
      </c>
      <c r="C2039" s="5" t="s">
        <v>211</v>
      </c>
      <c r="D2039" s="5" t="s">
        <v>2852</v>
      </c>
      <c r="E2039" s="7" t="s">
        <v>9136</v>
      </c>
      <c r="F2039" s="5" t="s">
        <v>8824</v>
      </c>
      <c r="G2039" s="5" t="s">
        <v>9131</v>
      </c>
      <c r="H2039" s="5">
        <v>2005.0</v>
      </c>
      <c r="I2039" s="5">
        <v>0.0</v>
      </c>
      <c r="J2039" s="5">
        <v>0.0</v>
      </c>
      <c r="K2039" s="5">
        <v>1.0</v>
      </c>
      <c r="L2039" s="54"/>
      <c r="M2039" s="5" t="s">
        <v>9137</v>
      </c>
      <c r="N2039" s="53" t="s">
        <v>5774</v>
      </c>
      <c r="O2039">
        <v>51.35819</v>
      </c>
      <c r="P2039">
        <v>4.863547</v>
      </c>
      <c r="Q2039" s="5" t="s">
        <v>1617</v>
      </c>
      <c r="R2039" s="10">
        <f t="shared" si="10"/>
        <v>4</v>
      </c>
      <c r="S2039" s="5" t="s">
        <v>9138</v>
      </c>
      <c r="T2039" s="5"/>
      <c r="U2039" s="5" t="s">
        <v>9139</v>
      </c>
      <c r="V2039" s="5"/>
    </row>
    <row r="2040" ht="12.75" customHeight="1">
      <c r="A2040" s="5">
        <v>35350.0</v>
      </c>
      <c r="B2040" s="5" t="s">
        <v>2962</v>
      </c>
      <c r="C2040" s="5" t="s">
        <v>211</v>
      </c>
      <c r="D2040" s="5" t="s">
        <v>2852</v>
      </c>
      <c r="E2040" s="7" t="s">
        <v>9140</v>
      </c>
      <c r="F2040" s="5" t="s">
        <v>8824</v>
      </c>
      <c r="G2040" s="5" t="s">
        <v>9131</v>
      </c>
      <c r="H2040" s="5">
        <v>2005.0</v>
      </c>
      <c r="I2040" s="5">
        <v>0.0</v>
      </c>
      <c r="J2040" s="5">
        <v>0.0</v>
      </c>
      <c r="K2040" s="5">
        <v>1.0</v>
      </c>
      <c r="L2040" s="54"/>
      <c r="M2040" s="5" t="s">
        <v>9141</v>
      </c>
      <c r="N2040" s="53" t="s">
        <v>9142</v>
      </c>
      <c r="O2040">
        <v>46.896129</v>
      </c>
      <c r="P2040">
        <v>8.244838</v>
      </c>
      <c r="Q2040" s="5" t="s">
        <v>1367</v>
      </c>
      <c r="R2040" s="10">
        <f t="shared" si="10"/>
        <v>1</v>
      </c>
      <c r="S2040" s="5" t="s">
        <v>9143</v>
      </c>
      <c r="T2040" s="5"/>
      <c r="U2040" s="5" t="s">
        <v>9144</v>
      </c>
      <c r="V2040" s="5"/>
    </row>
    <row r="2041" ht="12.75" customHeight="1">
      <c r="A2041" s="5">
        <v>35351.0</v>
      </c>
      <c r="B2041" s="5" t="s">
        <v>491</v>
      </c>
      <c r="C2041" s="52" t="s">
        <v>50</v>
      </c>
      <c r="D2041" s="5" t="s">
        <v>2852</v>
      </c>
      <c r="E2041" s="7" t="s">
        <v>9145</v>
      </c>
      <c r="F2041" s="5" t="s">
        <v>8824</v>
      </c>
      <c r="G2041" s="5" t="s">
        <v>9131</v>
      </c>
      <c r="H2041" s="5">
        <v>2005.0</v>
      </c>
      <c r="I2041" s="5">
        <v>0.0</v>
      </c>
      <c r="J2041" s="5">
        <v>0.0</v>
      </c>
      <c r="K2041" s="5">
        <v>10.0</v>
      </c>
      <c r="L2041" s="54"/>
      <c r="M2041" s="5" t="s">
        <v>9146</v>
      </c>
      <c r="N2041" s="53" t="s">
        <v>4941</v>
      </c>
      <c r="O2041">
        <v>28.291564</v>
      </c>
      <c r="P2041">
        <v>-16.62913</v>
      </c>
      <c r="Q2041" s="5" t="s">
        <v>382</v>
      </c>
      <c r="R2041" s="10">
        <f t="shared" si="10"/>
        <v>1120</v>
      </c>
      <c r="S2041" s="5" t="s">
        <v>9147</v>
      </c>
      <c r="T2041" s="5" t="s">
        <v>1040</v>
      </c>
      <c r="U2041" s="5" t="s">
        <v>9148</v>
      </c>
      <c r="V2041" s="5" t="s">
        <v>9149</v>
      </c>
    </row>
    <row r="2042" ht="12.75" customHeight="1">
      <c r="A2042" s="5">
        <v>35354.0</v>
      </c>
      <c r="B2042" s="5" t="s">
        <v>49</v>
      </c>
      <c r="C2042" s="52" t="s">
        <v>50</v>
      </c>
      <c r="D2042" s="5" t="s">
        <v>2852</v>
      </c>
      <c r="E2042" s="7" t="s">
        <v>9150</v>
      </c>
      <c r="F2042" s="5" t="s">
        <v>8824</v>
      </c>
      <c r="G2042" s="5" t="s">
        <v>9131</v>
      </c>
      <c r="H2042" s="5">
        <v>2005.0</v>
      </c>
      <c r="I2042" s="5">
        <v>0.0</v>
      </c>
      <c r="J2042" s="5">
        <v>0.0</v>
      </c>
      <c r="K2042" s="5">
        <v>17.0</v>
      </c>
      <c r="L2042" s="54"/>
      <c r="M2042" s="5" t="s">
        <v>9151</v>
      </c>
      <c r="N2042" s="53" t="s">
        <v>5814</v>
      </c>
      <c r="O2042">
        <v>28.358744</v>
      </c>
      <c r="P2042">
        <v>-14.053676</v>
      </c>
      <c r="Q2042" s="5" t="s">
        <v>390</v>
      </c>
      <c r="R2042" s="10">
        <f t="shared" si="10"/>
        <v>488</v>
      </c>
      <c r="S2042" s="5" t="s">
        <v>9152</v>
      </c>
      <c r="T2042" s="5" t="s">
        <v>1040</v>
      </c>
      <c r="U2042" s="5" t="s">
        <v>9153</v>
      </c>
      <c r="V2042" s="5"/>
    </row>
    <row r="2043" ht="12.75" customHeight="1">
      <c r="A2043" s="5">
        <v>35356.0</v>
      </c>
      <c r="B2043" s="5" t="s">
        <v>41</v>
      </c>
      <c r="C2043" s="5" t="s">
        <v>42</v>
      </c>
      <c r="D2043" s="5" t="s">
        <v>2852</v>
      </c>
      <c r="E2043" s="7" t="s">
        <v>9150</v>
      </c>
      <c r="F2043" s="5" t="s">
        <v>8824</v>
      </c>
      <c r="G2043" s="5" t="s">
        <v>9131</v>
      </c>
      <c r="H2043" s="5">
        <v>2005.0</v>
      </c>
      <c r="I2043" s="5">
        <v>0.0</v>
      </c>
      <c r="J2043" s="5">
        <v>0.0</v>
      </c>
      <c r="K2043" s="5">
        <v>11.0</v>
      </c>
      <c r="L2043" s="54"/>
      <c r="M2043" s="5" t="s">
        <v>9154</v>
      </c>
      <c r="N2043" s="53" t="s">
        <v>2638</v>
      </c>
      <c r="O2043">
        <v>35.888384</v>
      </c>
      <c r="P2043">
        <v>-5.324636</v>
      </c>
      <c r="Q2043" s="5" t="s">
        <v>717</v>
      </c>
      <c r="R2043" s="10">
        <f t="shared" si="10"/>
        <v>213</v>
      </c>
      <c r="S2043" s="5" t="s">
        <v>9155</v>
      </c>
      <c r="T2043" s="6" t="s">
        <v>72</v>
      </c>
      <c r="U2043" s="5" t="s">
        <v>9156</v>
      </c>
      <c r="V2043" s="5"/>
    </row>
    <row r="2044" ht="12.75" customHeight="1">
      <c r="A2044" s="5">
        <v>35352.0</v>
      </c>
      <c r="B2044" s="5" t="s">
        <v>68</v>
      </c>
      <c r="C2044" s="5" t="s">
        <v>69</v>
      </c>
      <c r="D2044" s="5" t="s">
        <v>2614</v>
      </c>
      <c r="E2044" s="7" t="s">
        <v>9150</v>
      </c>
      <c r="F2044" s="5" t="s">
        <v>8824</v>
      </c>
      <c r="G2044" s="5" t="s">
        <v>9131</v>
      </c>
      <c r="H2044" s="5">
        <v>2005.0</v>
      </c>
      <c r="I2044" s="5">
        <v>0.0</v>
      </c>
      <c r="J2044" s="5">
        <v>0.0</v>
      </c>
      <c r="K2044" s="5">
        <v>3.0</v>
      </c>
      <c r="L2044" s="54"/>
      <c r="M2044" s="5" t="s">
        <v>9157</v>
      </c>
      <c r="N2044" s="53" t="s">
        <v>3340</v>
      </c>
      <c r="O2044">
        <v>37.743215</v>
      </c>
      <c r="P2044">
        <v>26.820351</v>
      </c>
      <c r="Q2044" s="5" t="s">
        <v>956</v>
      </c>
      <c r="R2044" s="10">
        <f t="shared" si="10"/>
        <v>218</v>
      </c>
      <c r="S2044" s="5" t="s">
        <v>9158</v>
      </c>
      <c r="T2044" s="6" t="s">
        <v>53</v>
      </c>
      <c r="U2044" s="5" t="s">
        <v>9159</v>
      </c>
      <c r="V2044" s="5" t="s">
        <v>9160</v>
      </c>
    </row>
    <row r="2045" ht="12.75" customHeight="1">
      <c r="A2045" s="5">
        <v>35353.0</v>
      </c>
      <c r="B2045" s="5" t="s">
        <v>9161</v>
      </c>
      <c r="C2045" s="5" t="s">
        <v>62</v>
      </c>
      <c r="D2045" s="5" t="s">
        <v>2852</v>
      </c>
      <c r="E2045" s="7" t="s">
        <v>9150</v>
      </c>
      <c r="F2045" s="5" t="s">
        <v>8824</v>
      </c>
      <c r="G2045" s="5" t="s">
        <v>9131</v>
      </c>
      <c r="H2045" s="5">
        <v>2005.0</v>
      </c>
      <c r="I2045" s="5">
        <v>0.0</v>
      </c>
      <c r="J2045" s="5">
        <v>0.0</v>
      </c>
      <c r="K2045" s="5">
        <v>2.0</v>
      </c>
      <c r="L2045" s="54"/>
      <c r="M2045" s="5" t="s">
        <v>9162</v>
      </c>
      <c r="N2045" s="53" t="s">
        <v>9163</v>
      </c>
      <c r="O2045">
        <v>41.153332</v>
      </c>
      <c r="P2045">
        <v>20.168331</v>
      </c>
      <c r="Q2045" s="5" t="s">
        <v>1208</v>
      </c>
      <c r="R2045" s="10">
        <f t="shared" si="10"/>
        <v>8</v>
      </c>
      <c r="S2045" s="5" t="s">
        <v>9164</v>
      </c>
      <c r="T2045" s="5"/>
      <c r="U2045" s="5" t="s">
        <v>9165</v>
      </c>
      <c r="V2045" s="5"/>
    </row>
    <row r="2046" ht="12.75" customHeight="1">
      <c r="A2046" s="5">
        <v>35357.0</v>
      </c>
      <c r="B2046" s="5" t="s">
        <v>2902</v>
      </c>
      <c r="C2046" s="5" t="s">
        <v>211</v>
      </c>
      <c r="D2046" s="5" t="s">
        <v>2852</v>
      </c>
      <c r="E2046" s="7" t="s">
        <v>9150</v>
      </c>
      <c r="F2046" s="5" t="s">
        <v>8824</v>
      </c>
      <c r="G2046" s="5" t="s">
        <v>9131</v>
      </c>
      <c r="H2046" s="5">
        <v>2005.0</v>
      </c>
      <c r="I2046" s="5">
        <v>0.0</v>
      </c>
      <c r="J2046" s="5">
        <v>0.0</v>
      </c>
      <c r="K2046" s="5">
        <v>1.0</v>
      </c>
      <c r="L2046" s="54"/>
      <c r="M2046" s="5" t="s">
        <v>9166</v>
      </c>
      <c r="N2046" s="53" t="s">
        <v>9167</v>
      </c>
      <c r="O2046">
        <v>54.978252</v>
      </c>
      <c r="P2046">
        <v>-1.61778</v>
      </c>
      <c r="Q2046" s="5" t="s">
        <v>1875</v>
      </c>
      <c r="R2046" s="10">
        <f t="shared" si="10"/>
        <v>2</v>
      </c>
      <c r="S2046" s="5" t="s">
        <v>9168</v>
      </c>
      <c r="T2046" s="5"/>
      <c r="U2046" s="5" t="s">
        <v>9169</v>
      </c>
      <c r="V2046" s="5"/>
    </row>
    <row r="2047" ht="12.75" customHeight="1">
      <c r="A2047" s="5">
        <v>35358.0</v>
      </c>
      <c r="B2047" s="5" t="s">
        <v>4108</v>
      </c>
      <c r="C2047" s="5" t="s">
        <v>211</v>
      </c>
      <c r="D2047" s="5" t="s">
        <v>2852</v>
      </c>
      <c r="E2047" s="7" t="s">
        <v>9150</v>
      </c>
      <c r="F2047" s="5" t="s">
        <v>8824</v>
      </c>
      <c r="G2047" s="5" t="s">
        <v>9131</v>
      </c>
      <c r="H2047" s="5">
        <v>2005.0</v>
      </c>
      <c r="I2047" s="5">
        <v>0.0</v>
      </c>
      <c r="J2047" s="5">
        <v>0.0</v>
      </c>
      <c r="K2047" s="5">
        <v>1.0</v>
      </c>
      <c r="L2047" s="54"/>
      <c r="M2047" s="5" t="s">
        <v>9170</v>
      </c>
      <c r="N2047" s="53" t="s">
        <v>3810</v>
      </c>
      <c r="O2047">
        <v>55.57156</v>
      </c>
      <c r="P2047">
        <v>-4.410332</v>
      </c>
      <c r="Q2047" s="5" t="s">
        <v>1888</v>
      </c>
      <c r="R2047" s="10">
        <f t="shared" si="10"/>
        <v>11</v>
      </c>
      <c r="S2047" s="5" t="s">
        <v>9171</v>
      </c>
      <c r="T2047" s="5"/>
      <c r="U2047" s="5" t="s">
        <v>9172</v>
      </c>
      <c r="V2047" s="5"/>
    </row>
    <row r="2048" ht="12.75" customHeight="1">
      <c r="A2048" s="5">
        <v>35355.0</v>
      </c>
      <c r="B2048" s="5" t="s">
        <v>98</v>
      </c>
      <c r="C2048" s="5" t="s">
        <v>62</v>
      </c>
      <c r="D2048" s="5" t="s">
        <v>2852</v>
      </c>
      <c r="E2048" s="7" t="s">
        <v>9150</v>
      </c>
      <c r="F2048" s="5" t="s">
        <v>8824</v>
      </c>
      <c r="G2048" s="5" t="s">
        <v>9131</v>
      </c>
      <c r="H2048" s="5">
        <v>2005.0</v>
      </c>
      <c r="I2048" s="5">
        <v>0.0</v>
      </c>
      <c r="J2048" s="5">
        <v>0.0</v>
      </c>
      <c r="K2048" s="5">
        <v>2.0</v>
      </c>
      <c r="L2048" s="54"/>
      <c r="M2048" s="5" t="s">
        <v>9173</v>
      </c>
      <c r="N2048" s="53" t="s">
        <v>3810</v>
      </c>
      <c r="O2048">
        <v>55.57156</v>
      </c>
      <c r="P2048">
        <v>-4.410332</v>
      </c>
      <c r="Q2048" s="5" t="s">
        <v>1888</v>
      </c>
      <c r="R2048" s="10">
        <f t="shared" si="10"/>
        <v>11</v>
      </c>
      <c r="S2048" s="5" t="s">
        <v>9171</v>
      </c>
      <c r="T2048" s="5"/>
      <c r="U2048" s="5" t="s">
        <v>4492</v>
      </c>
      <c r="V2048" s="5"/>
    </row>
    <row r="2049" ht="12.75" customHeight="1">
      <c r="A2049" s="5">
        <v>35359.0</v>
      </c>
      <c r="B2049" s="5" t="s">
        <v>3555</v>
      </c>
      <c r="C2049" s="52" t="s">
        <v>50</v>
      </c>
      <c r="D2049" s="5" t="s">
        <v>2852</v>
      </c>
      <c r="E2049" s="7" t="s">
        <v>9174</v>
      </c>
      <c r="F2049" s="5" t="s">
        <v>8824</v>
      </c>
      <c r="G2049" s="5" t="s">
        <v>9131</v>
      </c>
      <c r="H2049" s="5">
        <v>2005.0</v>
      </c>
      <c r="I2049" s="5">
        <v>0.0</v>
      </c>
      <c r="J2049" s="5">
        <v>0.0</v>
      </c>
      <c r="K2049" s="5">
        <v>1.0</v>
      </c>
      <c r="L2049" s="54"/>
      <c r="M2049" s="5" t="s">
        <v>9175</v>
      </c>
      <c r="N2049" s="53" t="s">
        <v>9176</v>
      </c>
      <c r="O2049">
        <v>49.439453</v>
      </c>
      <c r="P2049">
        <v>11.107278</v>
      </c>
      <c r="Q2049" s="5" t="s">
        <v>1463</v>
      </c>
      <c r="R2049" s="10">
        <f t="shared" si="10"/>
        <v>1</v>
      </c>
      <c r="S2049" s="5" t="s">
        <v>9177</v>
      </c>
      <c r="T2049" s="5"/>
      <c r="U2049" s="5" t="s">
        <v>4578</v>
      </c>
      <c r="V2049" s="5"/>
    </row>
    <row r="2050" ht="12.75" customHeight="1">
      <c r="A2050" s="5">
        <v>35360.0</v>
      </c>
      <c r="B2050" s="5" t="s">
        <v>68</v>
      </c>
      <c r="C2050" s="5" t="s">
        <v>69</v>
      </c>
      <c r="D2050" s="5" t="s">
        <v>2614</v>
      </c>
      <c r="E2050" s="7" t="s">
        <v>9178</v>
      </c>
      <c r="F2050" s="5" t="s">
        <v>8824</v>
      </c>
      <c r="G2050" s="5" t="s">
        <v>9131</v>
      </c>
      <c r="H2050" s="5">
        <v>2005.0</v>
      </c>
      <c r="I2050" s="5">
        <v>0.0</v>
      </c>
      <c r="J2050" s="5">
        <v>0.0</v>
      </c>
      <c r="K2050" s="5">
        <v>1.0</v>
      </c>
      <c r="L2050" s="54"/>
      <c r="M2050" s="5" t="s">
        <v>9179</v>
      </c>
      <c r="N2050" s="53" t="s">
        <v>5814</v>
      </c>
      <c r="O2050">
        <v>28.358744</v>
      </c>
      <c r="P2050">
        <v>-14.053676</v>
      </c>
      <c r="Q2050" s="5" t="s">
        <v>390</v>
      </c>
      <c r="R2050" s="10">
        <f t="shared" si="10"/>
        <v>488</v>
      </c>
      <c r="S2050" s="5" t="s">
        <v>9180</v>
      </c>
      <c r="T2050" s="5" t="s">
        <v>1040</v>
      </c>
      <c r="U2050" s="5" t="s">
        <v>2785</v>
      </c>
      <c r="V2050" s="5" t="s">
        <v>9181</v>
      </c>
    </row>
    <row r="2051" ht="12.75" customHeight="1">
      <c r="A2051" s="5">
        <v>35361.0</v>
      </c>
      <c r="B2051" s="5" t="s">
        <v>636</v>
      </c>
      <c r="C2051" s="52" t="s">
        <v>50</v>
      </c>
      <c r="D2051" s="5" t="s">
        <v>2852</v>
      </c>
      <c r="E2051" s="7" t="s">
        <v>9182</v>
      </c>
      <c r="F2051" s="5" t="s">
        <v>8824</v>
      </c>
      <c r="G2051" s="5" t="s">
        <v>9131</v>
      </c>
      <c r="H2051" s="5">
        <v>2005.0</v>
      </c>
      <c r="I2051" s="5">
        <v>0.0</v>
      </c>
      <c r="J2051" s="5">
        <v>0.0</v>
      </c>
      <c r="K2051" s="5">
        <v>1.0</v>
      </c>
      <c r="L2051" s="54"/>
      <c r="M2051" s="5" t="s">
        <v>9183</v>
      </c>
      <c r="N2051" s="53" t="s">
        <v>7822</v>
      </c>
      <c r="O2051">
        <v>35.010802</v>
      </c>
      <c r="P2051">
        <v>-7.514648</v>
      </c>
      <c r="Q2051" s="5" t="s">
        <v>614</v>
      </c>
      <c r="R2051" s="10">
        <f t="shared" si="10"/>
        <v>117</v>
      </c>
      <c r="S2051" s="5" t="s">
        <v>9184</v>
      </c>
      <c r="T2051" s="6" t="s">
        <v>72</v>
      </c>
      <c r="U2051" s="5" t="s">
        <v>2875</v>
      </c>
      <c r="V2051" s="5"/>
    </row>
    <row r="2052" ht="12.75" customHeight="1">
      <c r="A2052" s="5">
        <v>35363.0</v>
      </c>
      <c r="B2052" s="5" t="s">
        <v>491</v>
      </c>
      <c r="C2052" s="52" t="s">
        <v>50</v>
      </c>
      <c r="D2052" s="5" t="s">
        <v>2852</v>
      </c>
      <c r="E2052" s="7" t="s">
        <v>9185</v>
      </c>
      <c r="F2052" s="5" t="s">
        <v>8824</v>
      </c>
      <c r="G2052" s="5" t="s">
        <v>9131</v>
      </c>
      <c r="H2052" s="5">
        <v>2005.0</v>
      </c>
      <c r="I2052" s="5">
        <v>0.0</v>
      </c>
      <c r="J2052" s="5">
        <v>0.0</v>
      </c>
      <c r="K2052" s="5">
        <v>3.0</v>
      </c>
      <c r="L2052" s="54"/>
      <c r="M2052" s="5" t="s">
        <v>9186</v>
      </c>
      <c r="N2052" s="53" t="s">
        <v>6515</v>
      </c>
      <c r="O2052">
        <v>17.607789</v>
      </c>
      <c r="P2052">
        <v>8.081666</v>
      </c>
      <c r="Q2052" s="5" t="s">
        <v>284</v>
      </c>
      <c r="R2052" s="10">
        <f t="shared" si="10"/>
        <v>164</v>
      </c>
      <c r="S2052" s="5" t="s">
        <v>9187</v>
      </c>
      <c r="T2052" s="5"/>
      <c r="U2052" s="5" t="s">
        <v>9188</v>
      </c>
      <c r="V2052" s="5"/>
    </row>
    <row r="2053" ht="12.75" customHeight="1">
      <c r="A2053" s="5">
        <v>35364.0</v>
      </c>
      <c r="B2053" s="5" t="s">
        <v>68</v>
      </c>
      <c r="C2053" s="5" t="s">
        <v>69</v>
      </c>
      <c r="D2053" s="5" t="s">
        <v>2852</v>
      </c>
      <c r="E2053" s="7" t="s">
        <v>9185</v>
      </c>
      <c r="F2053" s="5" t="s">
        <v>8824</v>
      </c>
      <c r="G2053" s="5" t="s">
        <v>9131</v>
      </c>
      <c r="H2053" s="5">
        <v>2005.0</v>
      </c>
      <c r="I2053" s="5">
        <v>0.0</v>
      </c>
      <c r="J2053" s="5">
        <v>0.0</v>
      </c>
      <c r="K2053" s="5">
        <v>1.0</v>
      </c>
      <c r="L2053" s="54"/>
      <c r="M2053" s="5" t="s">
        <v>9189</v>
      </c>
      <c r="N2053" s="53" t="s">
        <v>9190</v>
      </c>
      <c r="O2053">
        <v>33.93911</v>
      </c>
      <c r="P2053">
        <v>67.709953</v>
      </c>
      <c r="Q2053" s="5" t="s">
        <v>561</v>
      </c>
      <c r="R2053" s="10">
        <f t="shared" si="10"/>
        <v>2</v>
      </c>
      <c r="S2053" s="5" t="s">
        <v>9191</v>
      </c>
      <c r="T2053" s="5"/>
      <c r="U2053" s="5" t="s">
        <v>9192</v>
      </c>
      <c r="V2053" s="5"/>
    </row>
    <row r="2054" ht="12.75" customHeight="1">
      <c r="A2054" s="5">
        <v>35362.0</v>
      </c>
      <c r="B2054" s="5" t="s">
        <v>68</v>
      </c>
      <c r="C2054" s="5" t="s">
        <v>69</v>
      </c>
      <c r="D2054" s="5" t="s">
        <v>2614</v>
      </c>
      <c r="E2054" s="7" t="s">
        <v>9185</v>
      </c>
      <c r="F2054" s="5" t="s">
        <v>8824</v>
      </c>
      <c r="G2054" s="5" t="s">
        <v>9131</v>
      </c>
      <c r="H2054" s="5">
        <v>2005.0</v>
      </c>
      <c r="I2054" s="5">
        <v>0.0</v>
      </c>
      <c r="J2054" s="5">
        <v>0.0</v>
      </c>
      <c r="K2054" s="5">
        <v>3.0</v>
      </c>
      <c r="L2054" s="54"/>
      <c r="M2054" s="5" t="s">
        <v>9193</v>
      </c>
      <c r="N2054" s="53" t="s">
        <v>9194</v>
      </c>
      <c r="O2054">
        <v>38.963745</v>
      </c>
      <c r="P2054">
        <v>35.243322</v>
      </c>
      <c r="Q2054" s="5" t="s">
        <v>1051</v>
      </c>
      <c r="R2054" s="10">
        <f t="shared" si="10"/>
        <v>23</v>
      </c>
      <c r="S2054" s="5" t="s">
        <v>9195</v>
      </c>
      <c r="T2054" s="5"/>
      <c r="U2054" s="5" t="s">
        <v>7559</v>
      </c>
      <c r="V2054" s="5" t="s">
        <v>9196</v>
      </c>
    </row>
    <row r="2055" ht="12.75" customHeight="1">
      <c r="A2055" s="5">
        <v>35365.0</v>
      </c>
      <c r="B2055" s="5" t="s">
        <v>49</v>
      </c>
      <c r="C2055" s="52" t="s">
        <v>50</v>
      </c>
      <c r="D2055" s="5" t="s">
        <v>2852</v>
      </c>
      <c r="E2055" s="7" t="s">
        <v>9197</v>
      </c>
      <c r="F2055" s="5" t="s">
        <v>8824</v>
      </c>
      <c r="G2055" s="5" t="s">
        <v>9131</v>
      </c>
      <c r="H2055" s="5">
        <v>2005.0</v>
      </c>
      <c r="I2055" s="5">
        <v>0.0</v>
      </c>
      <c r="J2055" s="5">
        <v>0.0</v>
      </c>
      <c r="K2055" s="5">
        <v>2.0</v>
      </c>
      <c r="L2055" s="54"/>
      <c r="M2055" s="5" t="s">
        <v>9198</v>
      </c>
      <c r="N2055" s="53" t="s">
        <v>6690</v>
      </c>
      <c r="O2055">
        <v>27.153611</v>
      </c>
      <c r="P2055">
        <v>-13.203333</v>
      </c>
      <c r="Q2055" s="5" t="s">
        <v>349</v>
      </c>
      <c r="R2055" s="10">
        <f t="shared" si="10"/>
        <v>348</v>
      </c>
      <c r="S2055" s="5" t="s">
        <v>9199</v>
      </c>
      <c r="T2055" s="5" t="s">
        <v>1040</v>
      </c>
      <c r="U2055" s="5" t="s">
        <v>327</v>
      </c>
      <c r="V2055" s="5"/>
    </row>
    <row r="2056" ht="12.75" customHeight="1">
      <c r="A2056" s="5">
        <v>53694.0</v>
      </c>
      <c r="B2056" s="5" t="s">
        <v>49</v>
      </c>
      <c r="C2056" s="52" t="s">
        <v>50</v>
      </c>
      <c r="D2056" s="5"/>
      <c r="E2056" s="7" t="s">
        <v>9197</v>
      </c>
      <c r="F2056" s="5" t="s">
        <v>8824</v>
      </c>
      <c r="G2056" s="5" t="s">
        <v>9131</v>
      </c>
      <c r="H2056" s="5">
        <v>2005.0</v>
      </c>
      <c r="I2056" s="5">
        <v>0.0</v>
      </c>
      <c r="J2056" s="5">
        <v>0.0</v>
      </c>
      <c r="K2056" s="5">
        <v>3.0</v>
      </c>
      <c r="L2056" s="54"/>
      <c r="M2056" s="5" t="s">
        <v>9200</v>
      </c>
      <c r="N2056" s="53" t="s">
        <v>4003</v>
      </c>
      <c r="O2056">
        <v>52.825559</v>
      </c>
      <c r="P2056">
        <v>14.197083</v>
      </c>
      <c r="Q2056" s="5" t="s">
        <v>1796</v>
      </c>
      <c r="R2056" s="10">
        <f t="shared" si="10"/>
        <v>6</v>
      </c>
      <c r="S2056" s="5" t="s">
        <v>9201</v>
      </c>
      <c r="T2056" s="5"/>
      <c r="U2056" s="5" t="s">
        <v>4005</v>
      </c>
      <c r="V2056" s="5"/>
    </row>
    <row r="2057" ht="12.75" customHeight="1">
      <c r="A2057" s="5">
        <v>35438.0</v>
      </c>
      <c r="B2057" s="5" t="s">
        <v>49</v>
      </c>
      <c r="C2057" s="52" t="s">
        <v>50</v>
      </c>
      <c r="D2057" s="5" t="s">
        <v>2852</v>
      </c>
      <c r="E2057" s="7" t="s">
        <v>9202</v>
      </c>
      <c r="F2057" s="5" t="s">
        <v>9203</v>
      </c>
      <c r="G2057" s="5" t="s">
        <v>9204</v>
      </c>
      <c r="H2057" s="5">
        <v>2004.0</v>
      </c>
      <c r="I2057" s="5">
        <v>0.0</v>
      </c>
      <c r="J2057" s="5">
        <v>0.0</v>
      </c>
      <c r="K2057" s="5">
        <v>5.0</v>
      </c>
      <c r="L2057" s="54"/>
      <c r="M2057" s="5" t="s">
        <v>9205</v>
      </c>
      <c r="N2057" s="53" t="s">
        <v>9206</v>
      </c>
      <c r="O2057">
        <v>40.471882</v>
      </c>
      <c r="P2057">
        <v>19.490219</v>
      </c>
      <c r="Q2057" s="5" t="s">
        <v>1145</v>
      </c>
      <c r="R2057" s="10">
        <f t="shared" si="10"/>
        <v>73</v>
      </c>
      <c r="S2057" s="5" t="s">
        <v>9207</v>
      </c>
      <c r="T2057" s="6" t="s">
        <v>1963</v>
      </c>
      <c r="U2057" s="5" t="s">
        <v>9208</v>
      </c>
      <c r="V2057" s="5"/>
    </row>
    <row r="2058" ht="12.75" customHeight="1">
      <c r="A2058" s="5">
        <v>35437.0</v>
      </c>
      <c r="B2058" s="5" t="s">
        <v>636</v>
      </c>
      <c r="C2058" s="52" t="s">
        <v>50</v>
      </c>
      <c r="D2058" s="5" t="s">
        <v>2852</v>
      </c>
      <c r="E2058" s="7" t="s">
        <v>9202</v>
      </c>
      <c r="F2058" s="5" t="s">
        <v>9203</v>
      </c>
      <c r="G2058" s="5" t="s">
        <v>9204</v>
      </c>
      <c r="H2058" s="5">
        <v>2004.0</v>
      </c>
      <c r="I2058" s="5">
        <v>0.0</v>
      </c>
      <c r="J2058" s="5">
        <v>0.0</v>
      </c>
      <c r="K2058" s="5">
        <v>18.0</v>
      </c>
      <c r="L2058" s="54"/>
      <c r="M2058" s="5" t="s">
        <v>9209</v>
      </c>
      <c r="N2058" s="53" t="s">
        <v>9206</v>
      </c>
      <c r="O2058">
        <v>40.471882</v>
      </c>
      <c r="P2058">
        <v>19.490219</v>
      </c>
      <c r="Q2058" s="5" t="s">
        <v>1145</v>
      </c>
      <c r="R2058" s="10">
        <f t="shared" si="10"/>
        <v>73</v>
      </c>
      <c r="S2058" s="5" t="s">
        <v>9207</v>
      </c>
      <c r="T2058" s="6" t="s">
        <v>1963</v>
      </c>
      <c r="U2058" s="5" t="s">
        <v>9210</v>
      </c>
      <c r="V2058" s="5"/>
    </row>
    <row r="2059" ht="12.75" customHeight="1">
      <c r="A2059" s="5">
        <v>35436.0</v>
      </c>
      <c r="B2059" s="5" t="s">
        <v>636</v>
      </c>
      <c r="C2059" s="52" t="s">
        <v>50</v>
      </c>
      <c r="D2059" s="5" t="s">
        <v>2852</v>
      </c>
      <c r="E2059" s="7" t="s">
        <v>9202</v>
      </c>
      <c r="F2059" s="5" t="s">
        <v>9203</v>
      </c>
      <c r="G2059" s="5" t="s">
        <v>9204</v>
      </c>
      <c r="H2059" s="5">
        <v>2004.0</v>
      </c>
      <c r="I2059" s="5">
        <v>0.0</v>
      </c>
      <c r="J2059" s="5">
        <v>0.0</v>
      </c>
      <c r="K2059" s="5">
        <v>3.0</v>
      </c>
      <c r="L2059" s="54"/>
      <c r="M2059" s="5" t="s">
        <v>9211</v>
      </c>
      <c r="N2059" s="53" t="s">
        <v>9206</v>
      </c>
      <c r="O2059">
        <v>40.471882</v>
      </c>
      <c r="P2059">
        <v>19.490219</v>
      </c>
      <c r="Q2059" s="5" t="s">
        <v>1145</v>
      </c>
      <c r="R2059" s="10">
        <f t="shared" si="10"/>
        <v>73</v>
      </c>
      <c r="S2059" s="5" t="s">
        <v>9207</v>
      </c>
      <c r="T2059" s="6" t="s">
        <v>1963</v>
      </c>
      <c r="U2059" s="5" t="s">
        <v>9210</v>
      </c>
      <c r="V2059" s="5"/>
    </row>
    <row r="2060" ht="12.75" customHeight="1">
      <c r="A2060" s="5">
        <v>35439.0</v>
      </c>
      <c r="B2060" s="5" t="s">
        <v>49</v>
      </c>
      <c r="C2060" s="52" t="s">
        <v>50</v>
      </c>
      <c r="D2060" s="5" t="s">
        <v>2852</v>
      </c>
      <c r="E2060" s="7" t="s">
        <v>9212</v>
      </c>
      <c r="F2060" s="5" t="s">
        <v>9203</v>
      </c>
      <c r="G2060" s="5" t="s">
        <v>9204</v>
      </c>
      <c r="H2060" s="5">
        <v>2004.0</v>
      </c>
      <c r="I2060" s="5">
        <v>0.0</v>
      </c>
      <c r="J2060" s="5">
        <v>0.0</v>
      </c>
      <c r="K2060" s="5">
        <v>2.0</v>
      </c>
      <c r="L2060" s="54"/>
      <c r="M2060" s="5" t="s">
        <v>9213</v>
      </c>
      <c r="N2060" s="53" t="s">
        <v>5814</v>
      </c>
      <c r="O2060">
        <v>28.358744</v>
      </c>
      <c r="P2060">
        <v>-14.053676</v>
      </c>
      <c r="Q2060" s="5" t="s">
        <v>390</v>
      </c>
      <c r="R2060" s="10">
        <f t="shared" si="10"/>
        <v>488</v>
      </c>
      <c r="S2060" s="5" t="s">
        <v>9214</v>
      </c>
      <c r="T2060" s="5" t="s">
        <v>1040</v>
      </c>
      <c r="U2060" s="5" t="s">
        <v>7512</v>
      </c>
      <c r="V2060" s="5" t="s">
        <v>9215</v>
      </c>
    </row>
    <row r="2061" ht="12.75" customHeight="1">
      <c r="A2061" s="5">
        <v>35441.0</v>
      </c>
      <c r="B2061" s="5" t="s">
        <v>3409</v>
      </c>
      <c r="C2061" s="5" t="s">
        <v>211</v>
      </c>
      <c r="D2061" s="5" t="s">
        <v>2852</v>
      </c>
      <c r="E2061" s="7" t="s">
        <v>9216</v>
      </c>
      <c r="F2061" s="5" t="s">
        <v>9203</v>
      </c>
      <c r="G2061" s="5" t="s">
        <v>9204</v>
      </c>
      <c r="H2061" s="5">
        <v>2004.0</v>
      </c>
      <c r="I2061" s="5">
        <v>0.0</v>
      </c>
      <c r="J2061" s="5">
        <v>0.0</v>
      </c>
      <c r="K2061" s="5">
        <v>1.0</v>
      </c>
      <c r="L2061" s="54"/>
      <c r="M2061" s="5" t="s">
        <v>9217</v>
      </c>
      <c r="N2061" s="53" t="s">
        <v>3328</v>
      </c>
      <c r="O2061">
        <v>48.856614</v>
      </c>
      <c r="P2061">
        <v>2.352222</v>
      </c>
      <c r="Q2061" s="5" t="s">
        <v>3329</v>
      </c>
      <c r="R2061" s="10">
        <f t="shared" si="10"/>
        <v>30</v>
      </c>
      <c r="S2061" s="5" t="s">
        <v>9218</v>
      </c>
      <c r="T2061" s="5"/>
      <c r="U2061" s="5" t="s">
        <v>9219</v>
      </c>
      <c r="V2061" s="5"/>
    </row>
    <row r="2062" ht="12.75" customHeight="1">
      <c r="A2062" s="5">
        <v>35440.0</v>
      </c>
      <c r="B2062" s="5" t="s">
        <v>49</v>
      </c>
      <c r="C2062" s="52" t="s">
        <v>50</v>
      </c>
      <c r="D2062" s="5" t="s">
        <v>2852</v>
      </c>
      <c r="E2062" s="7" t="s">
        <v>9216</v>
      </c>
      <c r="F2062" s="5" t="s">
        <v>9203</v>
      </c>
      <c r="G2062" s="5" t="s">
        <v>9204</v>
      </c>
      <c r="H2062" s="5">
        <v>2004.0</v>
      </c>
      <c r="I2062" s="5">
        <v>0.0</v>
      </c>
      <c r="J2062" s="5">
        <v>0.0</v>
      </c>
      <c r="K2062" s="5">
        <v>2.0</v>
      </c>
      <c r="L2062" s="54"/>
      <c r="M2062" s="5" t="s">
        <v>9220</v>
      </c>
      <c r="N2062" s="53" t="s">
        <v>9221</v>
      </c>
      <c r="O2062">
        <v>53.174638</v>
      </c>
      <c r="P2062">
        <v>5.425152</v>
      </c>
      <c r="Q2062" s="5" t="s">
        <v>1815</v>
      </c>
      <c r="R2062" s="10">
        <f t="shared" si="10"/>
        <v>3</v>
      </c>
      <c r="S2062" s="5" t="s">
        <v>9222</v>
      </c>
      <c r="T2062" s="5"/>
      <c r="U2062" s="5" t="s">
        <v>4492</v>
      </c>
      <c r="V2062" s="5"/>
    </row>
    <row r="2063" ht="12.75" customHeight="1">
      <c r="A2063" s="5">
        <v>35442.0</v>
      </c>
      <c r="B2063" s="5" t="s">
        <v>1995</v>
      </c>
      <c r="C2063" s="52" t="s">
        <v>50</v>
      </c>
      <c r="D2063" s="5" t="s">
        <v>2852</v>
      </c>
      <c r="E2063" s="7" t="s">
        <v>9223</v>
      </c>
      <c r="F2063" s="5" t="s">
        <v>9203</v>
      </c>
      <c r="G2063" s="5" t="s">
        <v>9204</v>
      </c>
      <c r="H2063" s="5">
        <v>2004.0</v>
      </c>
      <c r="I2063" s="5">
        <v>0.0</v>
      </c>
      <c r="J2063" s="5">
        <v>0.0</v>
      </c>
      <c r="K2063" s="5">
        <v>1.0</v>
      </c>
      <c r="L2063" s="54"/>
      <c r="M2063" s="5" t="s">
        <v>9224</v>
      </c>
      <c r="N2063" s="53" t="s">
        <v>5824</v>
      </c>
      <c r="O2063">
        <v>51.165691</v>
      </c>
      <c r="P2063">
        <v>10.451526</v>
      </c>
      <c r="Q2063" s="5" t="s">
        <v>1599</v>
      </c>
      <c r="R2063" s="10">
        <f t="shared" si="10"/>
        <v>8</v>
      </c>
      <c r="S2063" s="5" t="s">
        <v>9225</v>
      </c>
      <c r="T2063" s="5"/>
      <c r="U2063" s="5" t="s">
        <v>9226</v>
      </c>
      <c r="V2063" s="5"/>
    </row>
    <row r="2064" ht="12.75" customHeight="1">
      <c r="A2064" s="5">
        <v>35443.0</v>
      </c>
      <c r="B2064" s="5" t="s">
        <v>2962</v>
      </c>
      <c r="C2064" s="5" t="s">
        <v>211</v>
      </c>
      <c r="D2064" s="5" t="s">
        <v>2852</v>
      </c>
      <c r="E2064" s="7" t="s">
        <v>9227</v>
      </c>
      <c r="F2064" s="5" t="s">
        <v>9203</v>
      </c>
      <c r="G2064" s="5" t="s">
        <v>9204</v>
      </c>
      <c r="H2064" s="5">
        <v>2004.0</v>
      </c>
      <c r="I2064" s="5">
        <v>0.0</v>
      </c>
      <c r="J2064" s="5">
        <v>0.0</v>
      </c>
      <c r="K2064" s="5">
        <v>1.0</v>
      </c>
      <c r="L2064" s="54"/>
      <c r="M2064" s="5" t="s">
        <v>9228</v>
      </c>
      <c r="N2064" s="53" t="s">
        <v>9167</v>
      </c>
      <c r="O2064">
        <v>54.978252</v>
      </c>
      <c r="P2064">
        <v>-1.61778</v>
      </c>
      <c r="Q2064" s="5" t="s">
        <v>1875</v>
      </c>
      <c r="R2064" s="10">
        <f t="shared" si="10"/>
        <v>2</v>
      </c>
      <c r="S2064" s="5" t="s">
        <v>9229</v>
      </c>
      <c r="T2064" s="5"/>
      <c r="U2064" s="5" t="s">
        <v>8646</v>
      </c>
      <c r="V2064" s="5"/>
    </row>
    <row r="2065" ht="12.75" customHeight="1">
      <c r="A2065" s="5">
        <v>35444.0</v>
      </c>
      <c r="B2065" s="5" t="s">
        <v>68</v>
      </c>
      <c r="C2065" s="5" t="s">
        <v>69</v>
      </c>
      <c r="D2065" s="5" t="s">
        <v>2614</v>
      </c>
      <c r="E2065" s="7" t="s">
        <v>9230</v>
      </c>
      <c r="F2065" s="5" t="s">
        <v>9203</v>
      </c>
      <c r="G2065" s="5" t="s">
        <v>9204</v>
      </c>
      <c r="H2065" s="5">
        <v>2004.0</v>
      </c>
      <c r="I2065" s="5">
        <v>0.0</v>
      </c>
      <c r="J2065" s="5">
        <v>0.0</v>
      </c>
      <c r="K2065" s="5">
        <v>5.0</v>
      </c>
      <c r="L2065" s="54"/>
      <c r="M2065" s="5" t="s">
        <v>9231</v>
      </c>
      <c r="N2065" s="53" t="s">
        <v>3524</v>
      </c>
      <c r="O2065">
        <v>36.81881</v>
      </c>
      <c r="P2065">
        <v>10.16596</v>
      </c>
      <c r="Q2065" s="5" t="s">
        <v>854</v>
      </c>
      <c r="R2065" s="10">
        <f t="shared" si="10"/>
        <v>540</v>
      </c>
      <c r="S2065" s="5" t="s">
        <v>9232</v>
      </c>
      <c r="T2065" s="6" t="s">
        <v>2130</v>
      </c>
      <c r="U2065" s="5" t="s">
        <v>9233</v>
      </c>
      <c r="V2065" s="5" t="s">
        <v>9234</v>
      </c>
    </row>
    <row r="2066" ht="12.75" customHeight="1">
      <c r="A2066" s="5">
        <v>35446.0</v>
      </c>
      <c r="B2066" s="5" t="s">
        <v>49</v>
      </c>
      <c r="C2066" s="52" t="s">
        <v>50</v>
      </c>
      <c r="D2066" s="5" t="s">
        <v>2852</v>
      </c>
      <c r="E2066" s="7" t="s">
        <v>9235</v>
      </c>
      <c r="F2066" s="5" t="s">
        <v>9203</v>
      </c>
      <c r="G2066" s="5" t="s">
        <v>9204</v>
      </c>
      <c r="H2066" s="5">
        <v>2004.0</v>
      </c>
      <c r="I2066" s="5">
        <v>0.0</v>
      </c>
      <c r="J2066" s="5">
        <v>0.0</v>
      </c>
      <c r="K2066" s="5">
        <v>4.0</v>
      </c>
      <c r="L2066" s="54"/>
      <c r="M2066" s="5" t="s">
        <v>9236</v>
      </c>
      <c r="N2066" s="53" t="s">
        <v>6888</v>
      </c>
      <c r="O2066">
        <v>33.503681</v>
      </c>
      <c r="P2066">
        <v>11.11538</v>
      </c>
      <c r="Q2066" s="5" t="s">
        <v>541</v>
      </c>
      <c r="R2066" s="10">
        <f t="shared" si="10"/>
        <v>5</v>
      </c>
      <c r="S2066" s="5" t="s">
        <v>9237</v>
      </c>
      <c r="T2066" s="6" t="s">
        <v>2130</v>
      </c>
      <c r="U2066" s="5" t="s">
        <v>9238</v>
      </c>
      <c r="V2066" s="5"/>
    </row>
    <row r="2067" ht="12.75" customHeight="1">
      <c r="A2067" s="5">
        <v>35445.0</v>
      </c>
      <c r="B2067" s="5" t="s">
        <v>68</v>
      </c>
      <c r="C2067" s="5" t="s">
        <v>69</v>
      </c>
      <c r="D2067" s="5" t="s">
        <v>2614</v>
      </c>
      <c r="E2067" s="7" t="s">
        <v>9235</v>
      </c>
      <c r="F2067" s="5" t="s">
        <v>9203</v>
      </c>
      <c r="G2067" s="5" t="s">
        <v>9204</v>
      </c>
      <c r="H2067" s="5">
        <v>2004.0</v>
      </c>
      <c r="I2067" s="5">
        <v>0.0</v>
      </c>
      <c r="J2067" s="5">
        <v>0.0</v>
      </c>
      <c r="K2067" s="5">
        <v>5.0</v>
      </c>
      <c r="L2067" s="54"/>
      <c r="M2067" s="5" t="s">
        <v>9239</v>
      </c>
      <c r="N2067" s="53" t="s">
        <v>9240</v>
      </c>
      <c r="O2067">
        <v>36.85</v>
      </c>
      <c r="P2067">
        <v>11.1</v>
      </c>
      <c r="Q2067" s="5" t="s">
        <v>866</v>
      </c>
      <c r="R2067" s="10">
        <f t="shared" si="10"/>
        <v>5</v>
      </c>
      <c r="S2067" s="5" t="s">
        <v>9241</v>
      </c>
      <c r="T2067" s="6" t="s">
        <v>2130</v>
      </c>
      <c r="U2067" s="5" t="s">
        <v>9242</v>
      </c>
      <c r="V2067" s="5" t="s">
        <v>9243</v>
      </c>
    </row>
    <row r="2068" ht="12.75" customHeight="1">
      <c r="A2068" s="5">
        <v>35447.0</v>
      </c>
      <c r="B2068" s="5" t="s">
        <v>49</v>
      </c>
      <c r="C2068" s="52" t="s">
        <v>50</v>
      </c>
      <c r="D2068" s="5" t="s">
        <v>2852</v>
      </c>
      <c r="E2068" s="7" t="s">
        <v>9244</v>
      </c>
      <c r="F2068" s="5" t="s">
        <v>9203</v>
      </c>
      <c r="G2068" s="5" t="s">
        <v>9204</v>
      </c>
      <c r="H2068" s="5">
        <v>2004.0</v>
      </c>
      <c r="I2068" s="5">
        <v>0.0</v>
      </c>
      <c r="J2068" s="5">
        <v>0.0</v>
      </c>
      <c r="K2068" s="5">
        <v>5.0</v>
      </c>
      <c r="L2068" s="54"/>
      <c r="M2068" s="5" t="s">
        <v>9245</v>
      </c>
      <c r="N2068" s="53" t="s">
        <v>3340</v>
      </c>
      <c r="O2068">
        <v>37.743215</v>
      </c>
      <c r="P2068">
        <v>26.820351</v>
      </c>
      <c r="Q2068" s="5" t="s">
        <v>956</v>
      </c>
      <c r="R2068" s="10">
        <f t="shared" si="10"/>
        <v>218</v>
      </c>
      <c r="S2068" s="5" t="s">
        <v>9246</v>
      </c>
      <c r="T2068" s="6" t="s">
        <v>53</v>
      </c>
      <c r="U2068" s="5" t="s">
        <v>2875</v>
      </c>
      <c r="V2068" s="5" t="s">
        <v>9247</v>
      </c>
    </row>
    <row r="2069" ht="12.75" customHeight="1">
      <c r="A2069" s="5">
        <v>35448.0</v>
      </c>
      <c r="B2069" s="5" t="s">
        <v>68</v>
      </c>
      <c r="C2069" s="5" t="s">
        <v>69</v>
      </c>
      <c r="D2069" s="5" t="s">
        <v>2614</v>
      </c>
      <c r="E2069" s="7" t="s">
        <v>9248</v>
      </c>
      <c r="F2069" s="5" t="s">
        <v>9203</v>
      </c>
      <c r="G2069" s="5" t="s">
        <v>9204</v>
      </c>
      <c r="H2069" s="5">
        <v>2004.0</v>
      </c>
      <c r="I2069" s="5">
        <v>5.0</v>
      </c>
      <c r="J2069" s="5">
        <v>0.0</v>
      </c>
      <c r="K2069" s="5">
        <v>5.0</v>
      </c>
      <c r="L2069" s="54"/>
      <c r="M2069" s="5" t="s">
        <v>9249</v>
      </c>
      <c r="N2069" s="53" t="s">
        <v>3146</v>
      </c>
      <c r="O2069">
        <v>39.16408</v>
      </c>
      <c r="P2069">
        <v>26.372171</v>
      </c>
      <c r="Q2069" s="5" t="s">
        <v>1068</v>
      </c>
      <c r="R2069" s="10">
        <f t="shared" si="10"/>
        <v>101</v>
      </c>
      <c r="S2069" s="5" t="s">
        <v>9250</v>
      </c>
      <c r="T2069" s="6" t="s">
        <v>53</v>
      </c>
      <c r="U2069" s="5" t="s">
        <v>3318</v>
      </c>
      <c r="V2069" s="5" t="s">
        <v>9251</v>
      </c>
    </row>
    <row r="2070" ht="12.75" customHeight="1">
      <c r="A2070" s="5">
        <v>35449.0</v>
      </c>
      <c r="B2070" s="5" t="s">
        <v>49</v>
      </c>
      <c r="C2070" s="52" t="s">
        <v>50</v>
      </c>
      <c r="D2070" s="5" t="s">
        <v>2614</v>
      </c>
      <c r="E2070" s="7" t="s">
        <v>9252</v>
      </c>
      <c r="F2070" s="5" t="s">
        <v>9203</v>
      </c>
      <c r="G2070" s="5" t="s">
        <v>9204</v>
      </c>
      <c r="H2070" s="5">
        <v>2004.0</v>
      </c>
      <c r="I2070" s="5">
        <v>0.0</v>
      </c>
      <c r="J2070" s="5">
        <v>0.0</v>
      </c>
      <c r="K2070" s="5">
        <v>1.0</v>
      </c>
      <c r="L2070" s="54"/>
      <c r="M2070" s="5" t="s">
        <v>9253</v>
      </c>
      <c r="N2070" s="53" t="s">
        <v>2718</v>
      </c>
      <c r="O2070">
        <v>35.292278</v>
      </c>
      <c r="P2070">
        <v>-2.938097</v>
      </c>
      <c r="Q2070" s="5" t="s">
        <v>649</v>
      </c>
      <c r="R2070" s="10">
        <f t="shared" si="10"/>
        <v>79</v>
      </c>
      <c r="S2070" s="5" t="s">
        <v>9254</v>
      </c>
      <c r="T2070" s="6" t="s">
        <v>72</v>
      </c>
      <c r="U2070" s="5" t="s">
        <v>3360</v>
      </c>
      <c r="V2070" s="5" t="s">
        <v>9255</v>
      </c>
    </row>
    <row r="2071" ht="12.75" customHeight="1">
      <c r="A2071" s="5">
        <v>35451.0</v>
      </c>
      <c r="B2071" s="5" t="s">
        <v>49</v>
      </c>
      <c r="C2071" s="52" t="s">
        <v>50</v>
      </c>
      <c r="D2071" s="5" t="s">
        <v>2852</v>
      </c>
      <c r="E2071" s="7" t="s">
        <v>9256</v>
      </c>
      <c r="F2071" s="5" t="s">
        <v>9203</v>
      </c>
      <c r="G2071" s="5" t="s">
        <v>9204</v>
      </c>
      <c r="H2071" s="5">
        <v>2004.0</v>
      </c>
      <c r="I2071" s="5">
        <v>0.0</v>
      </c>
      <c r="J2071" s="5">
        <v>0.0</v>
      </c>
      <c r="K2071" s="5">
        <v>5.0</v>
      </c>
      <c r="L2071" s="54"/>
      <c r="M2071" s="5" t="s">
        <v>9257</v>
      </c>
      <c r="N2071" s="53" t="s">
        <v>5814</v>
      </c>
      <c r="O2071">
        <v>28.358744</v>
      </c>
      <c r="P2071">
        <v>-14.053676</v>
      </c>
      <c r="Q2071" s="5" t="s">
        <v>390</v>
      </c>
      <c r="R2071" s="10">
        <f t="shared" si="10"/>
        <v>488</v>
      </c>
      <c r="S2071" s="5" t="s">
        <v>9258</v>
      </c>
      <c r="T2071" s="5" t="s">
        <v>1040</v>
      </c>
      <c r="U2071" s="5" t="s">
        <v>9259</v>
      </c>
      <c r="V2071" s="5" t="s">
        <v>9260</v>
      </c>
    </row>
    <row r="2072" ht="12.75" customHeight="1">
      <c r="A2072" s="5">
        <v>35450.0</v>
      </c>
      <c r="B2072" s="5" t="s">
        <v>49</v>
      </c>
      <c r="C2072" s="52" t="s">
        <v>50</v>
      </c>
      <c r="D2072" s="5" t="s">
        <v>2852</v>
      </c>
      <c r="E2072" s="7" t="s">
        <v>9256</v>
      </c>
      <c r="F2072" s="5" t="s">
        <v>9203</v>
      </c>
      <c r="G2072" s="5" t="s">
        <v>9204</v>
      </c>
      <c r="H2072" s="5">
        <v>2004.0</v>
      </c>
      <c r="I2072" s="5">
        <v>0.0</v>
      </c>
      <c r="J2072" s="5">
        <v>0.0</v>
      </c>
      <c r="K2072" s="5">
        <v>8.0</v>
      </c>
      <c r="L2072" s="54"/>
      <c r="M2072" s="5" t="s">
        <v>9261</v>
      </c>
      <c r="N2072" s="53" t="s">
        <v>5814</v>
      </c>
      <c r="O2072">
        <v>28.358744</v>
      </c>
      <c r="P2072">
        <v>-14.053676</v>
      </c>
      <c r="Q2072" s="5" t="s">
        <v>390</v>
      </c>
      <c r="R2072" s="10">
        <f t="shared" si="10"/>
        <v>488</v>
      </c>
      <c r="S2072" s="5" t="s">
        <v>9258</v>
      </c>
      <c r="T2072" s="5" t="s">
        <v>1040</v>
      </c>
      <c r="U2072" s="5" t="s">
        <v>9262</v>
      </c>
      <c r="V2072" s="5"/>
    </row>
    <row r="2073" ht="12.75" customHeight="1">
      <c r="A2073" s="5">
        <v>35452.0</v>
      </c>
      <c r="B2073" s="5" t="s">
        <v>2896</v>
      </c>
      <c r="C2073" s="5" t="s">
        <v>211</v>
      </c>
      <c r="D2073" s="5" t="s">
        <v>2852</v>
      </c>
      <c r="E2073" s="7" t="s">
        <v>9256</v>
      </c>
      <c r="F2073" s="5" t="s">
        <v>9203</v>
      </c>
      <c r="G2073" s="5" t="s">
        <v>9204</v>
      </c>
      <c r="H2073" s="5">
        <v>2004.0</v>
      </c>
      <c r="I2073" s="5">
        <v>0.0</v>
      </c>
      <c r="J2073" s="5">
        <v>0.0</v>
      </c>
      <c r="K2073" s="5">
        <v>1.0</v>
      </c>
      <c r="L2073" s="54"/>
      <c r="M2073" s="5" t="s">
        <v>9263</v>
      </c>
      <c r="N2073" s="53" t="s">
        <v>2766</v>
      </c>
      <c r="O2073">
        <v>35.249299</v>
      </c>
      <c r="P2073">
        <v>-3.937112</v>
      </c>
      <c r="Q2073" s="5" t="s">
        <v>642</v>
      </c>
      <c r="R2073" s="10">
        <f t="shared" si="10"/>
        <v>149</v>
      </c>
      <c r="S2073" s="5" t="s">
        <v>9264</v>
      </c>
      <c r="T2073" s="6" t="s">
        <v>72</v>
      </c>
      <c r="U2073" s="5" t="s">
        <v>9265</v>
      </c>
      <c r="V2073" s="5"/>
    </row>
    <row r="2074" ht="12.75" customHeight="1">
      <c r="A2074" s="5">
        <v>35453.0</v>
      </c>
      <c r="B2074" s="5" t="s">
        <v>2962</v>
      </c>
      <c r="C2074" s="5" t="s">
        <v>211</v>
      </c>
      <c r="D2074" s="5" t="s">
        <v>2852</v>
      </c>
      <c r="E2074" s="7" t="s">
        <v>9266</v>
      </c>
      <c r="F2074" s="5" t="s">
        <v>9203</v>
      </c>
      <c r="G2074" s="5" t="s">
        <v>9204</v>
      </c>
      <c r="H2074" s="5">
        <v>2004.0</v>
      </c>
      <c r="I2074" s="5">
        <v>0.0</v>
      </c>
      <c r="J2074" s="5">
        <v>0.0</v>
      </c>
      <c r="K2074" s="5">
        <v>1.0</v>
      </c>
      <c r="L2074" s="54"/>
      <c r="M2074" s="5" t="s">
        <v>9267</v>
      </c>
      <c r="N2074" s="53" t="s">
        <v>9268</v>
      </c>
      <c r="O2074">
        <v>50.85034</v>
      </c>
      <c r="P2074">
        <v>4.35171</v>
      </c>
      <c r="Q2074" s="5" t="s">
        <v>1526</v>
      </c>
      <c r="R2074" s="10">
        <f t="shared" si="10"/>
        <v>5</v>
      </c>
      <c r="S2074" s="5" t="s">
        <v>9269</v>
      </c>
      <c r="T2074" s="5"/>
      <c r="U2074" s="5" t="s">
        <v>9270</v>
      </c>
      <c r="V2074" s="5"/>
    </row>
    <row r="2075" ht="12.75" customHeight="1">
      <c r="A2075" s="5">
        <v>35454.0</v>
      </c>
      <c r="B2075" s="5" t="s">
        <v>49</v>
      </c>
      <c r="C2075" s="52" t="s">
        <v>50</v>
      </c>
      <c r="D2075" s="5" t="s">
        <v>2852</v>
      </c>
      <c r="E2075" s="7" t="s">
        <v>9271</v>
      </c>
      <c r="F2075" s="5" t="s">
        <v>9203</v>
      </c>
      <c r="G2075" s="5" t="s">
        <v>9204</v>
      </c>
      <c r="H2075" s="5">
        <v>2004.0</v>
      </c>
      <c r="I2075" s="5">
        <v>0.0</v>
      </c>
      <c r="J2075" s="5">
        <v>0.0</v>
      </c>
      <c r="K2075" s="5">
        <v>1.0</v>
      </c>
      <c r="L2075" s="54"/>
      <c r="M2075" s="5" t="s">
        <v>9272</v>
      </c>
      <c r="N2075" s="53" t="s">
        <v>3151</v>
      </c>
      <c r="O2075">
        <v>29.046854</v>
      </c>
      <c r="P2075">
        <v>-13.589973</v>
      </c>
      <c r="Q2075" s="5" t="s">
        <v>400</v>
      </c>
      <c r="R2075" s="10">
        <f t="shared" si="10"/>
        <v>74</v>
      </c>
      <c r="S2075" s="5" t="s">
        <v>9273</v>
      </c>
      <c r="T2075" s="5" t="s">
        <v>1040</v>
      </c>
      <c r="U2075" s="5" t="s">
        <v>9274</v>
      </c>
      <c r="V2075" s="5"/>
    </row>
    <row r="2076" ht="12.75" customHeight="1">
      <c r="A2076" s="5">
        <v>35455.0</v>
      </c>
      <c r="B2076" s="5" t="s">
        <v>49</v>
      </c>
      <c r="C2076" s="52" t="s">
        <v>50</v>
      </c>
      <c r="D2076" s="5" t="s">
        <v>2614</v>
      </c>
      <c r="E2076" s="7" t="s">
        <v>9275</v>
      </c>
      <c r="F2076" s="5" t="s">
        <v>9203</v>
      </c>
      <c r="G2076" s="5" t="s">
        <v>9204</v>
      </c>
      <c r="H2076" s="5">
        <v>2004.0</v>
      </c>
      <c r="I2076" s="5">
        <v>0.0</v>
      </c>
      <c r="J2076" s="5">
        <v>0.0</v>
      </c>
      <c r="K2076" s="5">
        <v>1.0</v>
      </c>
      <c r="L2076" s="54"/>
      <c r="M2076" s="5" t="s">
        <v>9276</v>
      </c>
      <c r="N2076" s="53" t="s">
        <v>2638</v>
      </c>
      <c r="O2076">
        <v>35.888384</v>
      </c>
      <c r="P2076">
        <v>-5.324636</v>
      </c>
      <c r="Q2076" s="5" t="s">
        <v>717</v>
      </c>
      <c r="R2076" s="10">
        <f t="shared" si="10"/>
        <v>213</v>
      </c>
      <c r="S2076" s="5" t="s">
        <v>9277</v>
      </c>
      <c r="T2076" s="6" t="s">
        <v>72</v>
      </c>
      <c r="U2076" s="5" t="s">
        <v>2785</v>
      </c>
      <c r="V2076" s="5" t="s">
        <v>9278</v>
      </c>
    </row>
    <row r="2077" ht="12.75" customHeight="1">
      <c r="A2077" s="5">
        <v>35456.0</v>
      </c>
      <c r="B2077" s="5" t="s">
        <v>68</v>
      </c>
      <c r="C2077" s="5" t="s">
        <v>69</v>
      </c>
      <c r="D2077" s="5" t="s">
        <v>2614</v>
      </c>
      <c r="E2077" s="7" t="s">
        <v>9279</v>
      </c>
      <c r="F2077" s="5" t="s">
        <v>9203</v>
      </c>
      <c r="G2077" s="5" t="s">
        <v>9204</v>
      </c>
      <c r="H2077" s="5">
        <v>2004.0</v>
      </c>
      <c r="I2077" s="5">
        <v>0.0</v>
      </c>
      <c r="J2077" s="5">
        <v>0.0</v>
      </c>
      <c r="K2077" s="5">
        <v>1.0</v>
      </c>
      <c r="L2077" s="54"/>
      <c r="M2077" s="5" t="s">
        <v>9280</v>
      </c>
      <c r="N2077" s="53" t="s">
        <v>3201</v>
      </c>
      <c r="O2077">
        <v>35.766667</v>
      </c>
      <c r="P2077">
        <v>-5.8</v>
      </c>
      <c r="Q2077" s="5" t="s">
        <v>695</v>
      </c>
      <c r="R2077" s="10">
        <f t="shared" si="10"/>
        <v>190</v>
      </c>
      <c r="S2077" s="5" t="s">
        <v>9281</v>
      </c>
      <c r="T2077" s="6" t="s">
        <v>72</v>
      </c>
      <c r="U2077" s="5" t="s">
        <v>3360</v>
      </c>
      <c r="V2077" s="5" t="s">
        <v>9255</v>
      </c>
    </row>
    <row r="2078" ht="12.75" customHeight="1">
      <c r="A2078" s="5">
        <v>35457.0</v>
      </c>
      <c r="B2078" s="5" t="s">
        <v>49</v>
      </c>
      <c r="C2078" s="52" t="s">
        <v>50</v>
      </c>
      <c r="D2078" s="5" t="s">
        <v>2614</v>
      </c>
      <c r="E2078" s="7" t="s">
        <v>9282</v>
      </c>
      <c r="F2078" s="5" t="s">
        <v>9203</v>
      </c>
      <c r="G2078" s="5" t="s">
        <v>9283</v>
      </c>
      <c r="H2078" s="5">
        <v>2004.0</v>
      </c>
      <c r="I2078" s="5">
        <v>0.0</v>
      </c>
      <c r="J2078" s="5">
        <v>0.0</v>
      </c>
      <c r="K2078" s="5">
        <v>1.0</v>
      </c>
      <c r="L2078" s="54"/>
      <c r="M2078" s="5" t="s">
        <v>9284</v>
      </c>
      <c r="N2078" s="53" t="s">
        <v>5983</v>
      </c>
      <c r="O2078">
        <v>36.132977</v>
      </c>
      <c r="P2078">
        <v>-5.453909</v>
      </c>
      <c r="Q2078" s="5" t="s">
        <v>770</v>
      </c>
      <c r="R2078" s="10">
        <f t="shared" si="10"/>
        <v>29</v>
      </c>
      <c r="S2078" s="5" t="s">
        <v>9285</v>
      </c>
      <c r="T2078" s="6" t="s">
        <v>72</v>
      </c>
      <c r="U2078" s="5" t="s">
        <v>2785</v>
      </c>
      <c r="V2078" s="5" t="s">
        <v>9286</v>
      </c>
    </row>
    <row r="2079" ht="12.75" customHeight="1">
      <c r="A2079" s="5">
        <v>35458.0</v>
      </c>
      <c r="B2079" s="5" t="s">
        <v>3555</v>
      </c>
      <c r="C2079" s="52" t="s">
        <v>50</v>
      </c>
      <c r="D2079" s="5" t="s">
        <v>2614</v>
      </c>
      <c r="E2079" s="7" t="s">
        <v>9287</v>
      </c>
      <c r="F2079" s="5" t="s">
        <v>9203</v>
      </c>
      <c r="G2079" s="5" t="s">
        <v>9283</v>
      </c>
      <c r="H2079" s="5">
        <v>2004.0</v>
      </c>
      <c r="I2079" s="5">
        <v>0.0</v>
      </c>
      <c r="J2079" s="5">
        <v>0.0</v>
      </c>
      <c r="K2079" s="5">
        <v>2.0</v>
      </c>
      <c r="L2079" s="54"/>
      <c r="M2079" s="5" t="s">
        <v>9288</v>
      </c>
      <c r="N2079" s="53" t="s">
        <v>2628</v>
      </c>
      <c r="O2079">
        <v>26.820553</v>
      </c>
      <c r="P2079">
        <v>30.802498</v>
      </c>
      <c r="Q2079" s="5" t="s">
        <v>344</v>
      </c>
      <c r="R2079" s="10">
        <f t="shared" si="10"/>
        <v>427</v>
      </c>
      <c r="S2079" s="5" t="s">
        <v>9289</v>
      </c>
      <c r="T2079" s="5"/>
      <c r="U2079" s="5" t="s">
        <v>9290</v>
      </c>
      <c r="V2079" s="5" t="s">
        <v>9291</v>
      </c>
    </row>
    <row r="2080" ht="12.75" customHeight="1">
      <c r="A2080" s="5">
        <v>35460.0</v>
      </c>
      <c r="B2080" s="5" t="s">
        <v>49</v>
      </c>
      <c r="C2080" s="52" t="s">
        <v>50</v>
      </c>
      <c r="D2080" s="5" t="s">
        <v>2852</v>
      </c>
      <c r="E2080" s="7" t="s">
        <v>9292</v>
      </c>
      <c r="F2080" s="5" t="s">
        <v>9203</v>
      </c>
      <c r="G2080" s="5" t="s">
        <v>9283</v>
      </c>
      <c r="H2080" s="5">
        <v>2004.0</v>
      </c>
      <c r="I2080" s="5">
        <v>0.0</v>
      </c>
      <c r="J2080" s="5">
        <v>0.0</v>
      </c>
      <c r="K2080" s="5">
        <v>2.0</v>
      </c>
      <c r="L2080" s="54"/>
      <c r="M2080" s="5" t="s">
        <v>9293</v>
      </c>
      <c r="N2080" s="53" t="s">
        <v>8928</v>
      </c>
      <c r="O2080">
        <v>30.04442</v>
      </c>
      <c r="P2080">
        <v>31.235712</v>
      </c>
      <c r="Q2080" s="5" t="s">
        <v>407</v>
      </c>
      <c r="R2080" s="10">
        <f t="shared" si="10"/>
        <v>28</v>
      </c>
      <c r="S2080" s="5" t="s">
        <v>9294</v>
      </c>
      <c r="T2080" s="6" t="s">
        <v>2130</v>
      </c>
      <c r="U2080" s="5" t="s">
        <v>9295</v>
      </c>
      <c r="V2080" s="5"/>
    </row>
    <row r="2081" ht="12.75" customHeight="1">
      <c r="A2081" s="5">
        <v>35459.0</v>
      </c>
      <c r="B2081" s="5" t="s">
        <v>49</v>
      </c>
      <c r="C2081" s="52" t="s">
        <v>50</v>
      </c>
      <c r="D2081" s="5" t="s">
        <v>2852</v>
      </c>
      <c r="E2081" s="7" t="s">
        <v>9292</v>
      </c>
      <c r="F2081" s="5" t="s">
        <v>9203</v>
      </c>
      <c r="G2081" s="5" t="s">
        <v>9283</v>
      </c>
      <c r="H2081" s="5">
        <v>2004.0</v>
      </c>
      <c r="I2081" s="5">
        <v>0.0</v>
      </c>
      <c r="J2081" s="5">
        <v>0.0</v>
      </c>
      <c r="K2081" s="5">
        <v>1.0</v>
      </c>
      <c r="L2081" s="54"/>
      <c r="M2081" s="5" t="s">
        <v>9296</v>
      </c>
      <c r="N2081" s="53" t="s">
        <v>9297</v>
      </c>
      <c r="O2081">
        <v>36.105114</v>
      </c>
      <c r="P2081">
        <v>-5.488268</v>
      </c>
      <c r="Q2081" s="5" t="s">
        <v>769</v>
      </c>
      <c r="R2081" s="10">
        <f t="shared" si="10"/>
        <v>6</v>
      </c>
      <c r="S2081" s="5" t="s">
        <v>9298</v>
      </c>
      <c r="T2081" s="6" t="s">
        <v>72</v>
      </c>
      <c r="U2081" s="5" t="s">
        <v>9299</v>
      </c>
      <c r="V2081" s="5"/>
    </row>
    <row r="2082" ht="12.75" customHeight="1">
      <c r="A2082" s="5">
        <v>35461.0</v>
      </c>
      <c r="B2082" s="5" t="s">
        <v>1076</v>
      </c>
      <c r="C2082" s="52" t="s">
        <v>50</v>
      </c>
      <c r="D2082" s="5" t="s">
        <v>2852</v>
      </c>
      <c r="E2082" s="7" t="s">
        <v>9300</v>
      </c>
      <c r="F2082" s="5" t="s">
        <v>9203</v>
      </c>
      <c r="G2082" s="5" t="s">
        <v>9283</v>
      </c>
      <c r="H2082" s="5">
        <v>2004.0</v>
      </c>
      <c r="I2082" s="5">
        <v>0.0</v>
      </c>
      <c r="J2082" s="5">
        <v>0.0</v>
      </c>
      <c r="K2082" s="5">
        <v>1.0</v>
      </c>
      <c r="L2082" s="54"/>
      <c r="M2082" s="5" t="s">
        <v>9301</v>
      </c>
      <c r="N2082" s="53" t="s">
        <v>9302</v>
      </c>
      <c r="O2082">
        <v>44.40565</v>
      </c>
      <c r="P2082">
        <v>8.946256</v>
      </c>
      <c r="Q2082" s="5" t="s">
        <v>1294</v>
      </c>
      <c r="R2082" s="10">
        <f t="shared" si="10"/>
        <v>4</v>
      </c>
      <c r="S2082" s="5" t="s">
        <v>9303</v>
      </c>
      <c r="T2082" s="5"/>
      <c r="U2082" s="5" t="s">
        <v>9304</v>
      </c>
      <c r="V2082" s="5"/>
    </row>
    <row r="2083" ht="12.75" customHeight="1">
      <c r="A2083" s="5">
        <v>35462.0</v>
      </c>
      <c r="B2083" s="5" t="s">
        <v>1076</v>
      </c>
      <c r="C2083" s="52" t="s">
        <v>50</v>
      </c>
      <c r="D2083" s="5" t="s">
        <v>2852</v>
      </c>
      <c r="E2083" s="7" t="s">
        <v>9305</v>
      </c>
      <c r="F2083" s="5" t="s">
        <v>9203</v>
      </c>
      <c r="G2083" s="5" t="s">
        <v>9283</v>
      </c>
      <c r="H2083" s="5">
        <v>2004.0</v>
      </c>
      <c r="I2083" s="5">
        <v>0.0</v>
      </c>
      <c r="J2083" s="5">
        <v>0.0</v>
      </c>
      <c r="K2083" s="5">
        <v>2.0</v>
      </c>
      <c r="L2083" s="54"/>
      <c r="M2083" s="5" t="s">
        <v>9306</v>
      </c>
      <c r="N2083" s="53" t="s">
        <v>5983</v>
      </c>
      <c r="O2083">
        <v>36.132977</v>
      </c>
      <c r="P2083">
        <v>-5.453909</v>
      </c>
      <c r="Q2083" s="5" t="s">
        <v>770</v>
      </c>
      <c r="R2083" s="10">
        <f t="shared" si="10"/>
        <v>29</v>
      </c>
      <c r="S2083" s="5" t="s">
        <v>9307</v>
      </c>
      <c r="T2083" s="6" t="s">
        <v>72</v>
      </c>
      <c r="U2083" s="5" t="s">
        <v>3128</v>
      </c>
      <c r="V2083" s="5" t="s">
        <v>9308</v>
      </c>
    </row>
    <row r="2084" ht="12.75" customHeight="1">
      <c r="A2084" s="5">
        <v>35463.0</v>
      </c>
      <c r="B2084" s="5" t="s">
        <v>49</v>
      </c>
      <c r="C2084" s="52" t="s">
        <v>50</v>
      </c>
      <c r="D2084" s="5" t="s">
        <v>2852</v>
      </c>
      <c r="E2084" s="7" t="s">
        <v>9309</v>
      </c>
      <c r="F2084" s="5" t="s">
        <v>9203</v>
      </c>
      <c r="G2084" s="5" t="s">
        <v>9283</v>
      </c>
      <c r="H2084" s="5">
        <v>2004.0</v>
      </c>
      <c r="I2084" s="5">
        <v>0.0</v>
      </c>
      <c r="J2084" s="5">
        <v>0.0</v>
      </c>
      <c r="K2084" s="5">
        <v>5.0</v>
      </c>
      <c r="L2084" s="54"/>
      <c r="M2084" s="5" t="s">
        <v>9310</v>
      </c>
      <c r="N2084" s="53" t="s">
        <v>9311</v>
      </c>
      <c r="O2084">
        <v>39.16408</v>
      </c>
      <c r="P2084">
        <v>26.372171</v>
      </c>
      <c r="Q2084" s="5" t="s">
        <v>1068</v>
      </c>
      <c r="R2084" s="10">
        <f t="shared" si="10"/>
        <v>101</v>
      </c>
      <c r="S2084" s="5" t="s">
        <v>9312</v>
      </c>
      <c r="T2084" s="6" t="s">
        <v>53</v>
      </c>
      <c r="U2084" s="5" t="s">
        <v>7913</v>
      </c>
      <c r="V2084" s="5" t="s">
        <v>9313</v>
      </c>
    </row>
    <row r="2085" ht="12.75" customHeight="1">
      <c r="A2085" s="5">
        <v>35466.0</v>
      </c>
      <c r="B2085" s="5" t="s">
        <v>49</v>
      </c>
      <c r="C2085" s="52" t="s">
        <v>50</v>
      </c>
      <c r="D2085" s="5" t="s">
        <v>2852</v>
      </c>
      <c r="E2085" s="7" t="s">
        <v>9314</v>
      </c>
      <c r="F2085" s="5" t="s">
        <v>9203</v>
      </c>
      <c r="G2085" s="5" t="s">
        <v>9283</v>
      </c>
      <c r="H2085" s="5">
        <v>2004.0</v>
      </c>
      <c r="I2085" s="5">
        <v>0.0</v>
      </c>
      <c r="J2085" s="5">
        <v>0.0</v>
      </c>
      <c r="K2085" s="5">
        <v>4.0</v>
      </c>
      <c r="L2085" s="54"/>
      <c r="M2085" s="5" t="s">
        <v>9315</v>
      </c>
      <c r="N2085" s="53" t="s">
        <v>9316</v>
      </c>
      <c r="O2085">
        <v>37.075546</v>
      </c>
      <c r="P2085">
        <v>25.520736</v>
      </c>
      <c r="Q2085" s="5" t="s">
        <v>899</v>
      </c>
      <c r="R2085" s="10">
        <f t="shared" si="10"/>
        <v>70</v>
      </c>
      <c r="S2085" s="5" t="s">
        <v>9317</v>
      </c>
      <c r="T2085" s="6" t="s">
        <v>53</v>
      </c>
      <c r="U2085" s="5" t="s">
        <v>9318</v>
      </c>
      <c r="V2085" s="5"/>
    </row>
    <row r="2086" ht="12.75" customHeight="1">
      <c r="A2086" s="5">
        <v>35465.0</v>
      </c>
      <c r="B2086" s="5" t="s">
        <v>49</v>
      </c>
      <c r="C2086" s="52" t="s">
        <v>50</v>
      </c>
      <c r="D2086" s="5" t="s">
        <v>2852</v>
      </c>
      <c r="E2086" s="7" t="s">
        <v>9314</v>
      </c>
      <c r="F2086" s="5" t="s">
        <v>9203</v>
      </c>
      <c r="G2086" s="5" t="s">
        <v>9283</v>
      </c>
      <c r="H2086" s="5">
        <v>2004.0</v>
      </c>
      <c r="I2086" s="5">
        <v>0.0</v>
      </c>
      <c r="J2086" s="5">
        <v>0.0</v>
      </c>
      <c r="K2086" s="5">
        <v>1.0</v>
      </c>
      <c r="L2086" s="54"/>
      <c r="M2086" s="5" t="s">
        <v>9319</v>
      </c>
      <c r="N2086" s="53" t="s">
        <v>9316</v>
      </c>
      <c r="O2086">
        <v>37.075546</v>
      </c>
      <c r="P2086">
        <v>25.520736</v>
      </c>
      <c r="Q2086" s="5" t="s">
        <v>899</v>
      </c>
      <c r="R2086" s="10">
        <f t="shared" si="10"/>
        <v>70</v>
      </c>
      <c r="S2086" s="5" t="s">
        <v>9317</v>
      </c>
      <c r="T2086" s="6" t="s">
        <v>53</v>
      </c>
      <c r="U2086" s="5" t="s">
        <v>9318</v>
      </c>
      <c r="V2086" s="5"/>
    </row>
    <row r="2087" ht="12.75" customHeight="1">
      <c r="A2087" s="5">
        <v>35464.0</v>
      </c>
      <c r="B2087" s="5" t="s">
        <v>49</v>
      </c>
      <c r="C2087" s="52" t="s">
        <v>50</v>
      </c>
      <c r="D2087" s="5" t="s">
        <v>2614</v>
      </c>
      <c r="E2087" s="7" t="s">
        <v>9314</v>
      </c>
      <c r="F2087" s="5" t="s">
        <v>9203</v>
      </c>
      <c r="G2087" s="5" t="s">
        <v>9283</v>
      </c>
      <c r="H2087" s="5">
        <v>2004.0</v>
      </c>
      <c r="I2087" s="5">
        <v>0.0</v>
      </c>
      <c r="J2087" s="5">
        <v>0.0</v>
      </c>
      <c r="K2087" s="5">
        <v>2.0</v>
      </c>
      <c r="L2087" s="54"/>
      <c r="M2087" s="5" t="s">
        <v>9320</v>
      </c>
      <c r="N2087" s="53" t="s">
        <v>6217</v>
      </c>
      <c r="O2087">
        <v>43.351149</v>
      </c>
      <c r="P2087">
        <v>-8.185424</v>
      </c>
      <c r="Q2087" s="5" t="s">
        <v>1275</v>
      </c>
      <c r="R2087" s="10">
        <f t="shared" si="10"/>
        <v>12</v>
      </c>
      <c r="S2087" s="5" t="s">
        <v>9321</v>
      </c>
      <c r="T2087" s="5"/>
      <c r="U2087" s="5" t="s">
        <v>2785</v>
      </c>
      <c r="V2087" s="5" t="s">
        <v>9322</v>
      </c>
    </row>
    <row r="2088" ht="12.75" customHeight="1">
      <c r="A2088" s="5">
        <v>35471.0</v>
      </c>
      <c r="B2088" s="5" t="s">
        <v>49</v>
      </c>
      <c r="C2088" s="52" t="s">
        <v>50</v>
      </c>
      <c r="D2088" s="5" t="s">
        <v>2852</v>
      </c>
      <c r="E2088" s="7" t="s">
        <v>9323</v>
      </c>
      <c r="F2088" s="5" t="s">
        <v>9203</v>
      </c>
      <c r="G2088" s="5" t="s">
        <v>9283</v>
      </c>
      <c r="H2088" s="5">
        <v>2004.0</v>
      </c>
      <c r="I2088" s="5">
        <v>0.0</v>
      </c>
      <c r="J2088" s="5">
        <v>0.0</v>
      </c>
      <c r="K2088" s="5">
        <v>3.0</v>
      </c>
      <c r="L2088" s="54"/>
      <c r="M2088" s="5" t="s">
        <v>9324</v>
      </c>
      <c r="N2088" s="53" t="s">
        <v>5814</v>
      </c>
      <c r="O2088">
        <v>28.358744</v>
      </c>
      <c r="P2088">
        <v>-14.053676</v>
      </c>
      <c r="Q2088" s="5" t="s">
        <v>390</v>
      </c>
      <c r="R2088" s="10">
        <f t="shared" si="10"/>
        <v>488</v>
      </c>
      <c r="S2088" s="5" t="s">
        <v>9325</v>
      </c>
      <c r="T2088" s="5" t="s">
        <v>1040</v>
      </c>
      <c r="U2088" s="5" t="s">
        <v>9326</v>
      </c>
      <c r="V2088" s="5"/>
    </row>
    <row r="2089" ht="12.75" customHeight="1">
      <c r="A2089" s="5">
        <v>35470.0</v>
      </c>
      <c r="B2089" s="5" t="s">
        <v>49</v>
      </c>
      <c r="C2089" s="52" t="s">
        <v>50</v>
      </c>
      <c r="D2089" s="5" t="s">
        <v>2852</v>
      </c>
      <c r="E2089" s="7" t="s">
        <v>9323</v>
      </c>
      <c r="F2089" s="5" t="s">
        <v>9203</v>
      </c>
      <c r="G2089" s="5" t="s">
        <v>9283</v>
      </c>
      <c r="H2089" s="5">
        <v>2004.0</v>
      </c>
      <c r="I2089" s="5">
        <v>0.0</v>
      </c>
      <c r="J2089" s="5">
        <v>0.0</v>
      </c>
      <c r="K2089" s="5">
        <v>1.0</v>
      </c>
      <c r="L2089" s="54"/>
      <c r="M2089" s="5" t="s">
        <v>9327</v>
      </c>
      <c r="N2089" s="53" t="s">
        <v>5814</v>
      </c>
      <c r="O2089">
        <v>28.358744</v>
      </c>
      <c r="P2089">
        <v>-14.053676</v>
      </c>
      <c r="Q2089" s="5" t="s">
        <v>390</v>
      </c>
      <c r="R2089" s="10">
        <f t="shared" si="10"/>
        <v>488</v>
      </c>
      <c r="S2089" s="5" t="s">
        <v>9325</v>
      </c>
      <c r="T2089" s="5" t="s">
        <v>1040</v>
      </c>
      <c r="U2089" s="5" t="s">
        <v>9328</v>
      </c>
      <c r="V2089" s="5"/>
    </row>
    <row r="2090" ht="12.75" customHeight="1">
      <c r="A2090" s="5">
        <v>35469.0</v>
      </c>
      <c r="B2090" s="5" t="s">
        <v>49</v>
      </c>
      <c r="C2090" s="52" t="s">
        <v>50</v>
      </c>
      <c r="D2090" s="5" t="s">
        <v>2852</v>
      </c>
      <c r="E2090" s="7" t="s">
        <v>9323</v>
      </c>
      <c r="F2090" s="5" t="s">
        <v>9203</v>
      </c>
      <c r="G2090" s="5" t="s">
        <v>9283</v>
      </c>
      <c r="H2090" s="5">
        <v>2004.0</v>
      </c>
      <c r="I2090" s="5">
        <v>0.0</v>
      </c>
      <c r="J2090" s="5">
        <v>0.0</v>
      </c>
      <c r="K2090" s="5">
        <v>2.0</v>
      </c>
      <c r="L2090" s="54"/>
      <c r="M2090" s="5" t="s">
        <v>9329</v>
      </c>
      <c r="N2090" s="53" t="s">
        <v>5814</v>
      </c>
      <c r="O2090">
        <v>28.358744</v>
      </c>
      <c r="P2090">
        <v>-14.053676</v>
      </c>
      <c r="Q2090" s="5" t="s">
        <v>390</v>
      </c>
      <c r="R2090" s="10">
        <f t="shared" si="10"/>
        <v>488</v>
      </c>
      <c r="S2090" s="5" t="s">
        <v>9325</v>
      </c>
      <c r="T2090" s="5" t="s">
        <v>1040</v>
      </c>
      <c r="U2090" s="5" t="s">
        <v>7788</v>
      </c>
      <c r="V2090" s="5"/>
    </row>
    <row r="2091" ht="12.75" customHeight="1">
      <c r="A2091" s="5">
        <v>35467.0</v>
      </c>
      <c r="B2091" s="5" t="s">
        <v>49</v>
      </c>
      <c r="C2091" s="52" t="s">
        <v>50</v>
      </c>
      <c r="D2091" s="5" t="s">
        <v>2614</v>
      </c>
      <c r="E2091" s="7" t="s">
        <v>9323</v>
      </c>
      <c r="F2091" s="5" t="s">
        <v>9203</v>
      </c>
      <c r="G2091" s="5" t="s">
        <v>9283</v>
      </c>
      <c r="H2091" s="5">
        <v>2004.0</v>
      </c>
      <c r="I2091" s="5">
        <v>0.0</v>
      </c>
      <c r="J2091" s="5">
        <v>0.0</v>
      </c>
      <c r="K2091" s="5">
        <v>4.0</v>
      </c>
      <c r="L2091" s="54"/>
      <c r="M2091" s="5" t="s">
        <v>9330</v>
      </c>
      <c r="N2091" s="53" t="s">
        <v>5814</v>
      </c>
      <c r="O2091">
        <v>28.358744</v>
      </c>
      <c r="P2091">
        <v>-14.053676</v>
      </c>
      <c r="Q2091" s="5" t="s">
        <v>390</v>
      </c>
      <c r="R2091" s="10">
        <f t="shared" si="10"/>
        <v>488</v>
      </c>
      <c r="S2091" s="5" t="s">
        <v>9325</v>
      </c>
      <c r="T2091" s="5" t="s">
        <v>1040</v>
      </c>
      <c r="U2091" s="5" t="s">
        <v>2785</v>
      </c>
      <c r="V2091" s="5" t="s">
        <v>9331</v>
      </c>
    </row>
    <row r="2092" ht="12.75" customHeight="1">
      <c r="A2092" s="5">
        <v>35472.0</v>
      </c>
      <c r="B2092" s="5" t="s">
        <v>49</v>
      </c>
      <c r="C2092" s="52" t="s">
        <v>50</v>
      </c>
      <c r="D2092" s="5" t="s">
        <v>2852</v>
      </c>
      <c r="E2092" s="7" t="s">
        <v>9323</v>
      </c>
      <c r="F2092" s="5" t="s">
        <v>9203</v>
      </c>
      <c r="G2092" s="5" t="s">
        <v>9283</v>
      </c>
      <c r="H2092" s="5">
        <v>2004.0</v>
      </c>
      <c r="I2092" s="5">
        <v>0.0</v>
      </c>
      <c r="J2092" s="5">
        <v>0.0</v>
      </c>
      <c r="K2092" s="5">
        <v>2.0</v>
      </c>
      <c r="L2092" s="54"/>
      <c r="M2092" s="5" t="s">
        <v>9332</v>
      </c>
      <c r="N2092" s="53" t="s">
        <v>5185</v>
      </c>
      <c r="O2092">
        <v>36.748374</v>
      </c>
      <c r="P2092">
        <v>-3.516861</v>
      </c>
      <c r="Q2092" s="5" t="s">
        <v>832</v>
      </c>
      <c r="R2092" s="10">
        <f t="shared" si="10"/>
        <v>69</v>
      </c>
      <c r="S2092" s="5" t="s">
        <v>9333</v>
      </c>
      <c r="T2092" s="6" t="s">
        <v>72</v>
      </c>
      <c r="U2092" s="5" t="s">
        <v>9334</v>
      </c>
      <c r="V2092" s="5"/>
    </row>
    <row r="2093" ht="12.75" customHeight="1">
      <c r="A2093" s="5">
        <v>35468.0</v>
      </c>
      <c r="B2093" s="5" t="s">
        <v>49</v>
      </c>
      <c r="C2093" s="52" t="s">
        <v>50</v>
      </c>
      <c r="D2093" s="5" t="s">
        <v>2852</v>
      </c>
      <c r="E2093" s="7" t="s">
        <v>9323</v>
      </c>
      <c r="F2093" s="5" t="s">
        <v>9203</v>
      </c>
      <c r="G2093" s="5" t="s">
        <v>9283</v>
      </c>
      <c r="H2093" s="5">
        <v>2004.0</v>
      </c>
      <c r="I2093" s="5">
        <v>0.0</v>
      </c>
      <c r="J2093" s="5">
        <v>0.0</v>
      </c>
      <c r="K2093" s="5">
        <v>1.0</v>
      </c>
      <c r="L2093" s="54"/>
      <c r="M2093" s="5" t="s">
        <v>9335</v>
      </c>
      <c r="N2093" s="53" t="s">
        <v>3469</v>
      </c>
      <c r="O2093">
        <v>37.177336</v>
      </c>
      <c r="P2093">
        <v>-3.598557</v>
      </c>
      <c r="Q2093" s="5" t="s">
        <v>909</v>
      </c>
      <c r="R2093" s="10">
        <f t="shared" si="10"/>
        <v>38</v>
      </c>
      <c r="S2093" s="5" t="s">
        <v>9336</v>
      </c>
      <c r="T2093" s="6" t="s">
        <v>72</v>
      </c>
      <c r="U2093" s="5" t="s">
        <v>9337</v>
      </c>
      <c r="V2093" s="5"/>
    </row>
    <row r="2094" ht="12.75" customHeight="1">
      <c r="A2094" s="5">
        <v>35473.0</v>
      </c>
      <c r="B2094" s="5" t="s">
        <v>1076</v>
      </c>
      <c r="C2094" s="52" t="s">
        <v>50</v>
      </c>
      <c r="D2094" s="5" t="s">
        <v>2852</v>
      </c>
      <c r="E2094" s="7" t="s">
        <v>9323</v>
      </c>
      <c r="F2094" s="5" t="s">
        <v>9203</v>
      </c>
      <c r="G2094" s="5" t="s">
        <v>9283</v>
      </c>
      <c r="H2094" s="5">
        <v>2004.0</v>
      </c>
      <c r="I2094" s="5">
        <v>0.0</v>
      </c>
      <c r="J2094" s="5">
        <v>0.0</v>
      </c>
      <c r="K2094" s="5">
        <v>1.0</v>
      </c>
      <c r="L2094" s="54"/>
      <c r="M2094" s="5" t="s">
        <v>9338</v>
      </c>
      <c r="N2094" s="53" t="s">
        <v>6217</v>
      </c>
      <c r="O2094">
        <v>43.351149</v>
      </c>
      <c r="P2094">
        <v>-8.185424</v>
      </c>
      <c r="Q2094" s="5" t="s">
        <v>1275</v>
      </c>
      <c r="R2094" s="10">
        <f t="shared" si="10"/>
        <v>12</v>
      </c>
      <c r="S2094" s="5" t="s">
        <v>9339</v>
      </c>
      <c r="T2094" s="6" t="s">
        <v>72</v>
      </c>
      <c r="U2094" s="5" t="s">
        <v>9340</v>
      </c>
      <c r="V2094" s="5"/>
    </row>
    <row r="2095" ht="12.75" customHeight="1">
      <c r="A2095" s="5">
        <v>35474.0</v>
      </c>
      <c r="B2095" s="5" t="s">
        <v>2902</v>
      </c>
      <c r="C2095" s="5" t="s">
        <v>211</v>
      </c>
      <c r="D2095" s="5" t="s">
        <v>2852</v>
      </c>
      <c r="E2095" s="7" t="s">
        <v>9341</v>
      </c>
      <c r="F2095" s="5" t="s">
        <v>9203</v>
      </c>
      <c r="G2095" s="5" t="s">
        <v>9283</v>
      </c>
      <c r="H2095" s="5">
        <v>2004.0</v>
      </c>
      <c r="I2095" s="5">
        <v>0.0</v>
      </c>
      <c r="J2095" s="5">
        <v>0.0</v>
      </c>
      <c r="K2095" s="5">
        <v>1.0</v>
      </c>
      <c r="L2095" s="54"/>
      <c r="M2095" s="5" t="s">
        <v>9342</v>
      </c>
      <c r="N2095" s="53" t="s">
        <v>6397</v>
      </c>
      <c r="O2095">
        <v>51.924216</v>
      </c>
      <c r="P2095">
        <v>4.481776</v>
      </c>
      <c r="Q2095" s="5" t="s">
        <v>1697</v>
      </c>
      <c r="R2095" s="10">
        <f t="shared" si="10"/>
        <v>2</v>
      </c>
      <c r="S2095" s="5" t="s">
        <v>9343</v>
      </c>
      <c r="T2095" s="5"/>
      <c r="U2095" s="5" t="s">
        <v>6479</v>
      </c>
      <c r="V2095" s="5"/>
    </row>
    <row r="2096" ht="12.75" customHeight="1">
      <c r="A2096" s="5">
        <v>35475.0</v>
      </c>
      <c r="B2096" s="5" t="s">
        <v>49</v>
      </c>
      <c r="C2096" s="52" t="s">
        <v>50</v>
      </c>
      <c r="D2096" s="5" t="s">
        <v>2852</v>
      </c>
      <c r="E2096" s="7" t="s">
        <v>9344</v>
      </c>
      <c r="F2096" s="5" t="s">
        <v>9203</v>
      </c>
      <c r="G2096" s="5" t="s">
        <v>9283</v>
      </c>
      <c r="H2096" s="5">
        <v>2004.0</v>
      </c>
      <c r="I2096" s="5">
        <v>0.0</v>
      </c>
      <c r="J2096" s="5">
        <v>0.0</v>
      </c>
      <c r="K2096" s="5">
        <v>14.0</v>
      </c>
      <c r="L2096" s="54"/>
      <c r="M2096" s="5" t="s">
        <v>9345</v>
      </c>
      <c r="N2096" s="53" t="s">
        <v>5260</v>
      </c>
      <c r="O2096">
        <v>23.803497</v>
      </c>
      <c r="P2096">
        <v>11.291889</v>
      </c>
      <c r="Q2096" s="5" t="s">
        <v>324</v>
      </c>
      <c r="R2096" s="10">
        <f t="shared" si="10"/>
        <v>234</v>
      </c>
      <c r="S2096" s="5" t="s">
        <v>9346</v>
      </c>
      <c r="T2096" s="5" t="s">
        <v>1040</v>
      </c>
      <c r="U2096" s="5" t="s">
        <v>7512</v>
      </c>
      <c r="V2096" s="5"/>
    </row>
    <row r="2097" ht="12.75" customHeight="1">
      <c r="A2097" s="5">
        <v>35477.0</v>
      </c>
      <c r="B2097" s="5" t="s">
        <v>49</v>
      </c>
      <c r="C2097" s="52" t="s">
        <v>50</v>
      </c>
      <c r="D2097" s="5" t="s">
        <v>2852</v>
      </c>
      <c r="E2097" s="7" t="s">
        <v>9347</v>
      </c>
      <c r="F2097" s="5" t="s">
        <v>9203</v>
      </c>
      <c r="G2097" s="5" t="s">
        <v>9283</v>
      </c>
      <c r="H2097" s="5">
        <v>2004.0</v>
      </c>
      <c r="I2097" s="5">
        <v>0.0</v>
      </c>
      <c r="J2097" s="5">
        <v>0.0</v>
      </c>
      <c r="K2097" s="5">
        <v>4.0</v>
      </c>
      <c r="L2097" s="54"/>
      <c r="M2097" s="5" t="s">
        <v>9348</v>
      </c>
      <c r="N2097" s="53" t="s">
        <v>5260</v>
      </c>
      <c r="O2097">
        <v>23.803497</v>
      </c>
      <c r="P2097">
        <v>11.291889</v>
      </c>
      <c r="Q2097" s="5" t="s">
        <v>324</v>
      </c>
      <c r="R2097" s="10">
        <f t="shared" si="10"/>
        <v>234</v>
      </c>
      <c r="S2097" s="5" t="s">
        <v>9349</v>
      </c>
      <c r="T2097" s="6" t="s">
        <v>72</v>
      </c>
      <c r="U2097" s="5" t="s">
        <v>7512</v>
      </c>
      <c r="V2097" s="5"/>
    </row>
    <row r="2098" ht="12.75" customHeight="1">
      <c r="A2098" s="5">
        <v>35476.0</v>
      </c>
      <c r="B2098" s="5" t="s">
        <v>49</v>
      </c>
      <c r="C2098" s="52" t="s">
        <v>50</v>
      </c>
      <c r="D2098" s="5" t="s">
        <v>2852</v>
      </c>
      <c r="E2098" s="7" t="s">
        <v>9347</v>
      </c>
      <c r="F2098" s="5" t="s">
        <v>9203</v>
      </c>
      <c r="G2098" s="5" t="s">
        <v>9283</v>
      </c>
      <c r="H2098" s="5">
        <v>2004.0</v>
      </c>
      <c r="I2098" s="5">
        <v>0.0</v>
      </c>
      <c r="J2098" s="5">
        <v>0.0</v>
      </c>
      <c r="K2098" s="5">
        <v>16.0</v>
      </c>
      <c r="L2098" s="54"/>
      <c r="M2098" s="5" t="s">
        <v>9350</v>
      </c>
      <c r="N2098" s="53" t="s">
        <v>7071</v>
      </c>
      <c r="O2098">
        <v>27.153611</v>
      </c>
      <c r="P2098">
        <v>-13.203333</v>
      </c>
      <c r="Q2098" s="5" t="s">
        <v>349</v>
      </c>
      <c r="R2098" s="10">
        <f t="shared" si="10"/>
        <v>348</v>
      </c>
      <c r="S2098" s="5" t="s">
        <v>9351</v>
      </c>
      <c r="T2098" s="5" t="s">
        <v>1040</v>
      </c>
      <c r="U2098" s="5" t="s">
        <v>7512</v>
      </c>
      <c r="V2098" s="5" t="s">
        <v>9255</v>
      </c>
    </row>
    <row r="2099" ht="12.75" customHeight="1">
      <c r="A2099" s="5">
        <v>35478.0</v>
      </c>
      <c r="B2099" s="5" t="s">
        <v>68</v>
      </c>
      <c r="C2099" s="5" t="s">
        <v>69</v>
      </c>
      <c r="D2099" s="5" t="s">
        <v>2852</v>
      </c>
      <c r="E2099" s="7" t="s">
        <v>9352</v>
      </c>
      <c r="F2099" s="5" t="s">
        <v>9203</v>
      </c>
      <c r="G2099" s="5" t="s">
        <v>9283</v>
      </c>
      <c r="H2099" s="5">
        <v>2004.0</v>
      </c>
      <c r="I2099" s="5">
        <v>0.0</v>
      </c>
      <c r="J2099" s="5">
        <v>0.0</v>
      </c>
      <c r="K2099" s="5">
        <v>1.0</v>
      </c>
      <c r="L2099" s="54"/>
      <c r="M2099" s="5" t="s">
        <v>9353</v>
      </c>
      <c r="N2099" s="53" t="s">
        <v>9354</v>
      </c>
      <c r="O2099">
        <v>47.225671</v>
      </c>
      <c r="P2099">
        <v>8.982832</v>
      </c>
      <c r="Q2099" s="5" t="s">
        <v>1374</v>
      </c>
      <c r="R2099" s="10">
        <f t="shared" si="10"/>
        <v>1</v>
      </c>
      <c r="S2099" s="5" t="s">
        <v>9355</v>
      </c>
      <c r="T2099" s="5"/>
      <c r="U2099" s="5" t="s">
        <v>9144</v>
      </c>
      <c r="V2099" s="5"/>
    </row>
    <row r="2100" ht="12.75" customHeight="1">
      <c r="A2100" s="5">
        <v>35480.0</v>
      </c>
      <c r="B2100" s="5" t="s">
        <v>49</v>
      </c>
      <c r="C2100" s="52" t="s">
        <v>50</v>
      </c>
      <c r="D2100" s="5" t="s">
        <v>2852</v>
      </c>
      <c r="E2100" s="7" t="s">
        <v>9356</v>
      </c>
      <c r="F2100" s="5" t="s">
        <v>9203</v>
      </c>
      <c r="G2100" s="5" t="s">
        <v>9283</v>
      </c>
      <c r="H2100" s="5">
        <v>2004.0</v>
      </c>
      <c r="I2100" s="5">
        <v>0.0</v>
      </c>
      <c r="J2100" s="5">
        <v>0.0</v>
      </c>
      <c r="K2100" s="5">
        <v>32.0</v>
      </c>
      <c r="L2100" s="54"/>
      <c r="M2100" s="5" t="s">
        <v>9357</v>
      </c>
      <c r="N2100" s="53" t="s">
        <v>5814</v>
      </c>
      <c r="O2100">
        <v>28.358744</v>
      </c>
      <c r="P2100">
        <v>-14.053676</v>
      </c>
      <c r="Q2100" s="5" t="s">
        <v>390</v>
      </c>
      <c r="R2100" s="10">
        <f t="shared" si="10"/>
        <v>488</v>
      </c>
      <c r="S2100" s="5" t="s">
        <v>9358</v>
      </c>
      <c r="T2100" s="5" t="s">
        <v>1040</v>
      </c>
      <c r="U2100" s="5" t="s">
        <v>9359</v>
      </c>
      <c r="V2100" s="5" t="s">
        <v>9360</v>
      </c>
    </row>
    <row r="2101" ht="12.75" customHeight="1">
      <c r="A2101" s="5">
        <v>35479.0</v>
      </c>
      <c r="B2101" s="5" t="s">
        <v>49</v>
      </c>
      <c r="C2101" s="52" t="s">
        <v>50</v>
      </c>
      <c r="D2101" s="5" t="s">
        <v>2852</v>
      </c>
      <c r="E2101" s="7" t="s">
        <v>9356</v>
      </c>
      <c r="F2101" s="5" t="s">
        <v>9203</v>
      </c>
      <c r="G2101" s="5" t="s">
        <v>9283</v>
      </c>
      <c r="H2101" s="5">
        <v>2004.0</v>
      </c>
      <c r="I2101" s="5">
        <v>0.0</v>
      </c>
      <c r="J2101" s="5">
        <v>0.0</v>
      </c>
      <c r="K2101" s="5">
        <v>1.0</v>
      </c>
      <c r="L2101" s="54"/>
      <c r="M2101" s="5" t="s">
        <v>9361</v>
      </c>
      <c r="N2101" s="53" t="s">
        <v>5814</v>
      </c>
      <c r="O2101">
        <v>28.358744</v>
      </c>
      <c r="P2101">
        <v>-14.053676</v>
      </c>
      <c r="Q2101" s="5" t="s">
        <v>390</v>
      </c>
      <c r="R2101" s="10">
        <f t="shared" si="10"/>
        <v>488</v>
      </c>
      <c r="S2101" s="5" t="s">
        <v>9358</v>
      </c>
      <c r="T2101" s="5" t="s">
        <v>1040</v>
      </c>
      <c r="U2101" s="5" t="s">
        <v>9362</v>
      </c>
      <c r="V2101" s="5"/>
    </row>
    <row r="2102" ht="12.75" customHeight="1">
      <c r="A2102" s="5">
        <v>35482.0</v>
      </c>
      <c r="B2102" s="5" t="s">
        <v>49</v>
      </c>
      <c r="C2102" s="52" t="s">
        <v>50</v>
      </c>
      <c r="D2102" s="5" t="s">
        <v>2614</v>
      </c>
      <c r="E2102" s="7" t="s">
        <v>9363</v>
      </c>
      <c r="F2102" s="5" t="s">
        <v>9203</v>
      </c>
      <c r="G2102" s="5" t="s">
        <v>9283</v>
      </c>
      <c r="H2102" s="5">
        <v>2004.0</v>
      </c>
      <c r="I2102" s="5">
        <v>0.0</v>
      </c>
      <c r="J2102" s="5">
        <v>0.0</v>
      </c>
      <c r="K2102" s="5">
        <v>1.0</v>
      </c>
      <c r="L2102" s="54"/>
      <c r="M2102" s="5" t="s">
        <v>9364</v>
      </c>
      <c r="N2102" s="53" t="s">
        <v>5983</v>
      </c>
      <c r="O2102">
        <v>36.132977</v>
      </c>
      <c r="P2102">
        <v>-5.453909</v>
      </c>
      <c r="Q2102" s="5" t="s">
        <v>770</v>
      </c>
      <c r="R2102" s="10">
        <f t="shared" si="10"/>
        <v>29</v>
      </c>
      <c r="S2102" s="5" t="s">
        <v>9365</v>
      </c>
      <c r="T2102" s="6" t="s">
        <v>72</v>
      </c>
      <c r="U2102" s="5" t="s">
        <v>2785</v>
      </c>
      <c r="V2102" s="5" t="s">
        <v>9366</v>
      </c>
    </row>
    <row r="2103" ht="12.75" customHeight="1">
      <c r="A2103" s="5">
        <v>35481.0</v>
      </c>
      <c r="B2103" s="5" t="s">
        <v>68</v>
      </c>
      <c r="C2103" s="5" t="s">
        <v>69</v>
      </c>
      <c r="D2103" s="5" t="s">
        <v>2614</v>
      </c>
      <c r="E2103" s="7" t="s">
        <v>9363</v>
      </c>
      <c r="F2103" s="5" t="s">
        <v>9203</v>
      </c>
      <c r="G2103" s="5" t="s">
        <v>9283</v>
      </c>
      <c r="H2103" s="5">
        <v>2004.0</v>
      </c>
      <c r="I2103" s="5">
        <v>0.0</v>
      </c>
      <c r="J2103" s="5">
        <v>0.0</v>
      </c>
      <c r="K2103" s="5">
        <v>41.0</v>
      </c>
      <c r="L2103" s="54"/>
      <c r="M2103" s="5" t="s">
        <v>9367</v>
      </c>
      <c r="N2103" s="53" t="s">
        <v>3314</v>
      </c>
      <c r="O2103">
        <v>37.599994</v>
      </c>
      <c r="P2103">
        <v>14.015356</v>
      </c>
      <c r="Q2103" s="5" t="s">
        <v>949</v>
      </c>
      <c r="R2103" s="10">
        <f t="shared" si="10"/>
        <v>363</v>
      </c>
      <c r="S2103" s="5" t="s">
        <v>9368</v>
      </c>
      <c r="T2103" s="6" t="s">
        <v>2130</v>
      </c>
      <c r="U2103" s="5" t="s">
        <v>8502</v>
      </c>
      <c r="V2103" s="5" t="s">
        <v>9369</v>
      </c>
    </row>
    <row r="2104" ht="12.75" customHeight="1">
      <c r="A2104" s="5">
        <v>35483.0</v>
      </c>
      <c r="B2104" s="5" t="s">
        <v>2902</v>
      </c>
      <c r="C2104" s="5" t="s">
        <v>211</v>
      </c>
      <c r="D2104" s="5" t="s">
        <v>2852</v>
      </c>
      <c r="E2104" s="7" t="s">
        <v>9370</v>
      </c>
      <c r="F2104" s="5" t="s">
        <v>9203</v>
      </c>
      <c r="G2104" s="5" t="s">
        <v>9283</v>
      </c>
      <c r="H2104" s="5">
        <v>2004.0</v>
      </c>
      <c r="I2104" s="5">
        <v>0.0</v>
      </c>
      <c r="J2104" s="5">
        <v>0.0</v>
      </c>
      <c r="K2104" s="5">
        <v>1.0</v>
      </c>
      <c r="L2104" s="54"/>
      <c r="M2104" s="5" t="s">
        <v>9371</v>
      </c>
      <c r="N2104" s="53" t="s">
        <v>5774</v>
      </c>
      <c r="O2104">
        <v>51.35819</v>
      </c>
      <c r="P2104">
        <v>4.863547</v>
      </c>
      <c r="Q2104" s="5" t="s">
        <v>1617</v>
      </c>
      <c r="R2104" s="10">
        <f t="shared" si="10"/>
        <v>4</v>
      </c>
      <c r="S2104" s="5" t="s">
        <v>9372</v>
      </c>
      <c r="T2104" s="5"/>
      <c r="U2104" s="5" t="s">
        <v>9373</v>
      </c>
      <c r="V2104" s="5"/>
    </row>
    <row r="2105" ht="12.75" customHeight="1">
      <c r="A2105" s="5">
        <v>35486.0</v>
      </c>
      <c r="B2105" s="5" t="s">
        <v>491</v>
      </c>
      <c r="C2105" s="52" t="s">
        <v>50</v>
      </c>
      <c r="D2105" s="5" t="s">
        <v>2852</v>
      </c>
      <c r="E2105" s="7" t="s">
        <v>9374</v>
      </c>
      <c r="F2105" s="5" t="s">
        <v>9203</v>
      </c>
      <c r="G2105" s="5" t="s">
        <v>9283</v>
      </c>
      <c r="H2105" s="5">
        <v>2004.0</v>
      </c>
      <c r="I2105" s="5">
        <v>0.0</v>
      </c>
      <c r="J2105" s="5">
        <v>0.0</v>
      </c>
      <c r="K2105" s="5">
        <v>1.0</v>
      </c>
      <c r="L2105" s="54"/>
      <c r="M2105" s="5" t="s">
        <v>9375</v>
      </c>
      <c r="N2105" s="53" t="s">
        <v>2928</v>
      </c>
      <c r="O2105">
        <v>26.3351</v>
      </c>
      <c r="P2105">
        <v>17.228331</v>
      </c>
      <c r="Q2105" s="5" t="s">
        <v>337</v>
      </c>
      <c r="R2105" s="10">
        <f t="shared" si="10"/>
        <v>1371</v>
      </c>
      <c r="S2105" s="5" t="s">
        <v>9376</v>
      </c>
      <c r="T2105" s="6" t="s">
        <v>2130</v>
      </c>
      <c r="U2105" s="5" t="s">
        <v>9377</v>
      </c>
      <c r="V2105" s="5"/>
    </row>
    <row r="2106" ht="12.75" customHeight="1">
      <c r="A2106" s="5">
        <v>35484.0</v>
      </c>
      <c r="B2106" s="5" t="s">
        <v>636</v>
      </c>
      <c r="C2106" s="52" t="s">
        <v>50</v>
      </c>
      <c r="D2106" s="5" t="s">
        <v>2852</v>
      </c>
      <c r="E2106" s="7" t="s">
        <v>9374</v>
      </c>
      <c r="F2106" s="5" t="s">
        <v>9203</v>
      </c>
      <c r="G2106" s="5" t="s">
        <v>9283</v>
      </c>
      <c r="H2106" s="5">
        <v>2004.0</v>
      </c>
      <c r="I2106" s="5">
        <v>0.0</v>
      </c>
      <c r="J2106" s="5">
        <v>0.0</v>
      </c>
      <c r="K2106" s="5">
        <v>1.0</v>
      </c>
      <c r="L2106" s="54"/>
      <c r="M2106" s="5" t="s">
        <v>9378</v>
      </c>
      <c r="N2106" s="53" t="s">
        <v>2928</v>
      </c>
      <c r="O2106">
        <v>26.3351</v>
      </c>
      <c r="P2106">
        <v>17.228331</v>
      </c>
      <c r="Q2106" s="5" t="s">
        <v>337</v>
      </c>
      <c r="R2106" s="10">
        <f t="shared" si="10"/>
        <v>1371</v>
      </c>
      <c r="S2106" s="5" t="s">
        <v>9376</v>
      </c>
      <c r="T2106" s="6" t="s">
        <v>2130</v>
      </c>
      <c r="U2106" s="5" t="s">
        <v>9379</v>
      </c>
      <c r="V2106" s="5"/>
    </row>
    <row r="2107" ht="12.75" customHeight="1">
      <c r="A2107" s="5">
        <v>35487.0</v>
      </c>
      <c r="B2107" s="5" t="s">
        <v>49</v>
      </c>
      <c r="C2107" s="52" t="s">
        <v>50</v>
      </c>
      <c r="D2107" s="5" t="s">
        <v>2852</v>
      </c>
      <c r="E2107" s="7" t="s">
        <v>9374</v>
      </c>
      <c r="F2107" s="5" t="s">
        <v>9203</v>
      </c>
      <c r="G2107" s="5" t="s">
        <v>9283</v>
      </c>
      <c r="H2107" s="5">
        <v>2004.0</v>
      </c>
      <c r="I2107" s="5">
        <v>0.0</v>
      </c>
      <c r="J2107" s="5">
        <v>0.0</v>
      </c>
      <c r="K2107" s="5">
        <v>1.0</v>
      </c>
      <c r="L2107" s="54"/>
      <c r="M2107" s="5" t="s">
        <v>9380</v>
      </c>
      <c r="N2107" s="53" t="s">
        <v>2633</v>
      </c>
      <c r="O2107">
        <v>28.569022</v>
      </c>
      <c r="P2107">
        <v>-16.324539</v>
      </c>
      <c r="Q2107" s="5" t="s">
        <v>396</v>
      </c>
      <c r="R2107" s="10">
        <f t="shared" si="10"/>
        <v>53</v>
      </c>
      <c r="S2107" s="5" t="s">
        <v>9381</v>
      </c>
      <c r="T2107" s="5" t="s">
        <v>1040</v>
      </c>
      <c r="U2107" s="5" t="s">
        <v>7512</v>
      </c>
      <c r="V2107" s="5"/>
    </row>
    <row r="2108" ht="12.75" customHeight="1">
      <c r="A2108" s="5">
        <v>35485.0</v>
      </c>
      <c r="B2108" s="5" t="s">
        <v>491</v>
      </c>
      <c r="C2108" s="52" t="s">
        <v>50</v>
      </c>
      <c r="D2108" s="5" t="s">
        <v>2852</v>
      </c>
      <c r="E2108" s="7" t="s">
        <v>9374</v>
      </c>
      <c r="F2108" s="5" t="s">
        <v>9203</v>
      </c>
      <c r="G2108" s="5" t="s">
        <v>9283</v>
      </c>
      <c r="H2108" s="5">
        <v>2004.0</v>
      </c>
      <c r="I2108" s="5">
        <v>0.0</v>
      </c>
      <c r="J2108" s="5">
        <v>0.0</v>
      </c>
      <c r="K2108" s="5">
        <v>26.0</v>
      </c>
      <c r="L2108" s="54"/>
      <c r="M2108" s="5" t="s">
        <v>9382</v>
      </c>
      <c r="N2108" s="53" t="s">
        <v>3314</v>
      </c>
      <c r="O2108">
        <v>37.599994</v>
      </c>
      <c r="P2108">
        <v>14.015356</v>
      </c>
      <c r="Q2108" s="5" t="s">
        <v>949</v>
      </c>
      <c r="R2108" s="10">
        <f t="shared" si="10"/>
        <v>363</v>
      </c>
      <c r="S2108" s="5" t="s">
        <v>9383</v>
      </c>
      <c r="T2108" s="6" t="s">
        <v>2130</v>
      </c>
      <c r="U2108" s="5" t="s">
        <v>9384</v>
      </c>
      <c r="V2108" s="5" t="s">
        <v>9385</v>
      </c>
    </row>
    <row r="2109" ht="12.75" customHeight="1">
      <c r="A2109" s="5">
        <v>35488.0</v>
      </c>
      <c r="B2109" s="5" t="s">
        <v>5200</v>
      </c>
      <c r="C2109" s="5" t="s">
        <v>124</v>
      </c>
      <c r="D2109" s="5" t="s">
        <v>2614</v>
      </c>
      <c r="E2109" s="7" t="s">
        <v>9386</v>
      </c>
      <c r="F2109" s="5" t="s">
        <v>9203</v>
      </c>
      <c r="G2109" s="5" t="s">
        <v>9283</v>
      </c>
      <c r="H2109" s="5">
        <v>2004.0</v>
      </c>
      <c r="I2109" s="5">
        <v>0.0</v>
      </c>
      <c r="J2109" s="5">
        <v>0.0</v>
      </c>
      <c r="K2109" s="5">
        <v>4.0</v>
      </c>
      <c r="L2109" s="54"/>
      <c r="M2109" s="5" t="s">
        <v>9387</v>
      </c>
      <c r="N2109" s="53" t="s">
        <v>2834</v>
      </c>
      <c r="O2109">
        <v>41.244376</v>
      </c>
      <c r="P2109">
        <v>26.135943</v>
      </c>
      <c r="Q2109" s="5" t="s">
        <v>1214</v>
      </c>
      <c r="R2109" s="10">
        <f t="shared" si="10"/>
        <v>188</v>
      </c>
      <c r="S2109" s="5" t="s">
        <v>9388</v>
      </c>
      <c r="T2109" s="6" t="s">
        <v>53</v>
      </c>
      <c r="U2109" s="5" t="s">
        <v>2326</v>
      </c>
      <c r="V2109" s="5" t="s">
        <v>7579</v>
      </c>
    </row>
    <row r="2110" ht="12.75" customHeight="1">
      <c r="A2110" s="5">
        <v>35489.0</v>
      </c>
      <c r="B2110" s="5" t="s">
        <v>2962</v>
      </c>
      <c r="C2110" s="5" t="s">
        <v>211</v>
      </c>
      <c r="D2110" s="5" t="s">
        <v>2852</v>
      </c>
      <c r="E2110" s="7" t="s">
        <v>9386</v>
      </c>
      <c r="F2110" s="5" t="s">
        <v>9203</v>
      </c>
      <c r="G2110" s="5" t="s">
        <v>9283</v>
      </c>
      <c r="H2110" s="5">
        <v>2004.0</v>
      </c>
      <c r="I2110" s="5">
        <v>0.0</v>
      </c>
      <c r="J2110" s="5">
        <v>0.0</v>
      </c>
      <c r="K2110" s="5">
        <v>1.0</v>
      </c>
      <c r="L2110" s="54"/>
      <c r="M2110" s="5" t="s">
        <v>9389</v>
      </c>
      <c r="N2110" s="53" t="s">
        <v>4095</v>
      </c>
      <c r="O2110">
        <v>55.378051</v>
      </c>
      <c r="P2110">
        <v>-3.435973</v>
      </c>
      <c r="Q2110" s="5" t="s">
        <v>1882</v>
      </c>
      <c r="R2110" s="10">
        <f t="shared" si="10"/>
        <v>23</v>
      </c>
      <c r="S2110" s="5" t="s">
        <v>9390</v>
      </c>
      <c r="T2110" s="5"/>
      <c r="U2110" s="5" t="s">
        <v>9391</v>
      </c>
      <c r="V2110" s="5"/>
    </row>
    <row r="2111" ht="12.75" customHeight="1">
      <c r="A2111" s="5">
        <v>35490.0</v>
      </c>
      <c r="B2111" s="5" t="s">
        <v>49</v>
      </c>
      <c r="C2111" s="52" t="s">
        <v>50</v>
      </c>
      <c r="D2111" s="5" t="s">
        <v>2852</v>
      </c>
      <c r="E2111" s="7" t="s">
        <v>9392</v>
      </c>
      <c r="F2111" s="5" t="s">
        <v>9203</v>
      </c>
      <c r="G2111" s="5" t="s">
        <v>9283</v>
      </c>
      <c r="H2111" s="5">
        <v>2004.0</v>
      </c>
      <c r="I2111" s="5">
        <v>0.0</v>
      </c>
      <c r="J2111" s="5">
        <v>0.0</v>
      </c>
      <c r="K2111" s="5">
        <v>1.0</v>
      </c>
      <c r="L2111" s="54"/>
      <c r="M2111" s="5" t="s">
        <v>9393</v>
      </c>
      <c r="N2111" s="53" t="s">
        <v>2638</v>
      </c>
      <c r="O2111">
        <v>35.888384</v>
      </c>
      <c r="P2111">
        <v>-5.324636</v>
      </c>
      <c r="Q2111" s="5" t="s">
        <v>717</v>
      </c>
      <c r="R2111" s="10">
        <f t="shared" si="10"/>
        <v>213</v>
      </c>
      <c r="S2111" s="5" t="s">
        <v>9394</v>
      </c>
      <c r="T2111" s="6" t="s">
        <v>72</v>
      </c>
      <c r="U2111" s="5" t="s">
        <v>9395</v>
      </c>
      <c r="V2111" s="5"/>
    </row>
    <row r="2112" ht="12.75" customHeight="1">
      <c r="A2112" s="5">
        <v>35491.0</v>
      </c>
      <c r="B2112" s="5" t="s">
        <v>68</v>
      </c>
      <c r="C2112" s="5" t="s">
        <v>69</v>
      </c>
      <c r="D2112" s="5" t="s">
        <v>2614</v>
      </c>
      <c r="E2112" s="7" t="s">
        <v>9396</v>
      </c>
      <c r="F2112" s="5" t="s">
        <v>9203</v>
      </c>
      <c r="G2112" s="5" t="s">
        <v>9397</v>
      </c>
      <c r="H2112" s="5">
        <v>2004.0</v>
      </c>
      <c r="I2112" s="5">
        <v>0.0</v>
      </c>
      <c r="J2112" s="5">
        <v>0.0</v>
      </c>
      <c r="K2112" s="5">
        <v>30.0</v>
      </c>
      <c r="L2112" s="54"/>
      <c r="M2112" s="5" t="s">
        <v>9398</v>
      </c>
      <c r="N2112" s="53" t="s">
        <v>2857</v>
      </c>
      <c r="O2112">
        <v>36.527061</v>
      </c>
      <c r="P2112">
        <v>-6.288596</v>
      </c>
      <c r="Q2112" s="5" t="s">
        <v>802</v>
      </c>
      <c r="R2112" s="10">
        <f t="shared" si="10"/>
        <v>185</v>
      </c>
      <c r="S2112" s="5" t="s">
        <v>9399</v>
      </c>
      <c r="T2112" s="6" t="s">
        <v>72</v>
      </c>
      <c r="U2112" s="5" t="s">
        <v>8803</v>
      </c>
      <c r="V2112" s="5" t="s">
        <v>9400</v>
      </c>
    </row>
    <row r="2113" ht="12.75" customHeight="1">
      <c r="A2113" s="5">
        <v>35494.0</v>
      </c>
      <c r="B2113" s="5" t="s">
        <v>49</v>
      </c>
      <c r="C2113" s="52" t="s">
        <v>50</v>
      </c>
      <c r="D2113" s="5" t="s">
        <v>2852</v>
      </c>
      <c r="E2113" s="7" t="s">
        <v>9401</v>
      </c>
      <c r="F2113" s="5" t="s">
        <v>9203</v>
      </c>
      <c r="G2113" s="5" t="s">
        <v>9397</v>
      </c>
      <c r="H2113" s="5">
        <v>2004.0</v>
      </c>
      <c r="I2113" s="5">
        <v>0.0</v>
      </c>
      <c r="J2113" s="5">
        <v>0.0</v>
      </c>
      <c r="K2113" s="5">
        <v>3.0</v>
      </c>
      <c r="L2113" s="54"/>
      <c r="M2113" s="5" t="s">
        <v>9402</v>
      </c>
      <c r="N2113" s="53" t="s">
        <v>2680</v>
      </c>
      <c r="O2113">
        <v>36.018776</v>
      </c>
      <c r="P2113">
        <v>-5.600819</v>
      </c>
      <c r="Q2113" s="5" t="s">
        <v>761</v>
      </c>
      <c r="R2113" s="10">
        <f t="shared" si="10"/>
        <v>492</v>
      </c>
      <c r="S2113" s="5" t="s">
        <v>9403</v>
      </c>
      <c r="T2113" s="6" t="s">
        <v>72</v>
      </c>
      <c r="U2113" s="5" t="s">
        <v>9404</v>
      </c>
      <c r="V2113" s="5"/>
    </row>
    <row r="2114" ht="12.75" customHeight="1">
      <c r="A2114" s="5">
        <v>35493.0</v>
      </c>
      <c r="B2114" s="5" t="s">
        <v>49</v>
      </c>
      <c r="C2114" s="52" t="s">
        <v>50</v>
      </c>
      <c r="D2114" s="5" t="s">
        <v>2852</v>
      </c>
      <c r="E2114" s="7" t="s">
        <v>9401</v>
      </c>
      <c r="F2114" s="5" t="s">
        <v>9203</v>
      </c>
      <c r="G2114" s="5" t="s">
        <v>9397</v>
      </c>
      <c r="H2114" s="5">
        <v>2004.0</v>
      </c>
      <c r="I2114" s="5">
        <v>0.0</v>
      </c>
      <c r="J2114" s="5">
        <v>0.0</v>
      </c>
      <c r="K2114" s="5">
        <v>1.0</v>
      </c>
      <c r="L2114" s="54"/>
      <c r="M2114" s="5" t="s">
        <v>9405</v>
      </c>
      <c r="N2114" s="53" t="s">
        <v>2680</v>
      </c>
      <c r="O2114">
        <v>36.018776</v>
      </c>
      <c r="P2114">
        <v>-5.600819</v>
      </c>
      <c r="Q2114" s="5" t="s">
        <v>761</v>
      </c>
      <c r="R2114" s="10">
        <f t="shared" si="10"/>
        <v>492</v>
      </c>
      <c r="S2114" s="5" t="s">
        <v>9403</v>
      </c>
      <c r="T2114" s="6" t="s">
        <v>72</v>
      </c>
      <c r="U2114" s="5" t="s">
        <v>9404</v>
      </c>
      <c r="V2114" s="5"/>
    </row>
    <row r="2115" ht="12.75" customHeight="1">
      <c r="A2115" s="5">
        <v>35492.0</v>
      </c>
      <c r="B2115" s="5" t="s">
        <v>49</v>
      </c>
      <c r="C2115" s="52" t="s">
        <v>50</v>
      </c>
      <c r="D2115" s="5" t="s">
        <v>2852</v>
      </c>
      <c r="E2115" s="7" t="s">
        <v>9401</v>
      </c>
      <c r="F2115" s="5" t="s">
        <v>9203</v>
      </c>
      <c r="G2115" s="5" t="s">
        <v>9397</v>
      </c>
      <c r="H2115" s="5">
        <v>2004.0</v>
      </c>
      <c r="I2115" s="5">
        <v>0.0</v>
      </c>
      <c r="J2115" s="5">
        <v>0.0</v>
      </c>
      <c r="K2115" s="5">
        <v>1.0</v>
      </c>
      <c r="L2115" s="54"/>
      <c r="M2115" s="5" t="s">
        <v>9406</v>
      </c>
      <c r="N2115" s="53" t="s">
        <v>2680</v>
      </c>
      <c r="O2115">
        <v>36.018776</v>
      </c>
      <c r="P2115">
        <v>-5.600819</v>
      </c>
      <c r="Q2115" s="5" t="s">
        <v>761</v>
      </c>
      <c r="R2115" s="10">
        <f t="shared" si="10"/>
        <v>492</v>
      </c>
      <c r="S2115" s="5" t="s">
        <v>9403</v>
      </c>
      <c r="T2115" s="6" t="s">
        <v>72</v>
      </c>
      <c r="U2115" s="5" t="s">
        <v>9407</v>
      </c>
      <c r="V2115" s="5"/>
    </row>
    <row r="2116" ht="12.75" customHeight="1">
      <c r="A2116" s="5">
        <v>35495.0</v>
      </c>
      <c r="B2116" s="5" t="s">
        <v>49</v>
      </c>
      <c r="C2116" s="52" t="s">
        <v>50</v>
      </c>
      <c r="D2116" s="5" t="s">
        <v>2852</v>
      </c>
      <c r="E2116" s="7" t="s">
        <v>9408</v>
      </c>
      <c r="F2116" s="5" t="s">
        <v>9203</v>
      </c>
      <c r="G2116" s="5" t="s">
        <v>9397</v>
      </c>
      <c r="H2116" s="5">
        <v>2004.0</v>
      </c>
      <c r="I2116" s="5">
        <v>0.0</v>
      </c>
      <c r="J2116" s="5">
        <v>0.0</v>
      </c>
      <c r="K2116" s="5">
        <v>10.0</v>
      </c>
      <c r="L2116" s="54"/>
      <c r="M2116" s="5" t="s">
        <v>9409</v>
      </c>
      <c r="N2116" s="53" t="s">
        <v>2633</v>
      </c>
      <c r="O2116">
        <v>28.569022</v>
      </c>
      <c r="P2116">
        <v>-16.324539</v>
      </c>
      <c r="Q2116" s="5" t="s">
        <v>396</v>
      </c>
      <c r="R2116" s="10">
        <f t="shared" si="10"/>
        <v>53</v>
      </c>
      <c r="S2116" s="5" t="s">
        <v>9410</v>
      </c>
      <c r="T2116" s="5" t="s">
        <v>1040</v>
      </c>
      <c r="U2116" s="5" t="s">
        <v>7512</v>
      </c>
      <c r="V2116" s="5"/>
    </row>
    <row r="2117" ht="12.75" customHeight="1">
      <c r="A2117" s="5">
        <v>35496.0</v>
      </c>
      <c r="B2117" s="5" t="s">
        <v>2962</v>
      </c>
      <c r="C2117" s="5" t="s">
        <v>211</v>
      </c>
      <c r="D2117" s="5" t="s">
        <v>2852</v>
      </c>
      <c r="E2117" s="7" t="s">
        <v>9408</v>
      </c>
      <c r="F2117" s="5" t="s">
        <v>9203</v>
      </c>
      <c r="G2117" s="5" t="s">
        <v>9397</v>
      </c>
      <c r="H2117" s="5">
        <v>2004.0</v>
      </c>
      <c r="I2117" s="5">
        <v>0.0</v>
      </c>
      <c r="J2117" s="5">
        <v>0.0</v>
      </c>
      <c r="K2117" s="5">
        <v>1.0</v>
      </c>
      <c r="L2117" s="54"/>
      <c r="M2117" s="5" t="s">
        <v>9411</v>
      </c>
      <c r="N2117" s="53" t="s">
        <v>9412</v>
      </c>
      <c r="O2117">
        <v>43.548473</v>
      </c>
      <c r="P2117">
        <v>10.310567</v>
      </c>
      <c r="Q2117" s="5" t="s">
        <v>1281</v>
      </c>
      <c r="R2117" s="10">
        <f t="shared" si="10"/>
        <v>15</v>
      </c>
      <c r="S2117" s="5" t="s">
        <v>9413</v>
      </c>
      <c r="T2117" s="5"/>
      <c r="U2117" s="5" t="s">
        <v>9414</v>
      </c>
      <c r="V2117" s="5"/>
    </row>
    <row r="2118" ht="12.75" customHeight="1">
      <c r="A2118" s="5">
        <v>35497.0</v>
      </c>
      <c r="B2118" s="5" t="s">
        <v>2962</v>
      </c>
      <c r="C2118" s="5" t="s">
        <v>211</v>
      </c>
      <c r="D2118" s="5" t="s">
        <v>2852</v>
      </c>
      <c r="E2118" s="7" t="s">
        <v>9415</v>
      </c>
      <c r="F2118" s="5" t="s">
        <v>9203</v>
      </c>
      <c r="G2118" s="5" t="s">
        <v>9397</v>
      </c>
      <c r="H2118" s="5">
        <v>2004.0</v>
      </c>
      <c r="I2118" s="5">
        <v>0.0</v>
      </c>
      <c r="J2118" s="5">
        <v>0.0</v>
      </c>
      <c r="K2118" s="5">
        <v>1.0</v>
      </c>
      <c r="L2118" s="54"/>
      <c r="M2118" s="5" t="s">
        <v>9416</v>
      </c>
      <c r="N2118" s="53" t="s">
        <v>9417</v>
      </c>
      <c r="O2118">
        <v>45.611892</v>
      </c>
      <c r="P2118">
        <v>8.853127</v>
      </c>
      <c r="Q2118" s="5" t="s">
        <v>1332</v>
      </c>
      <c r="R2118" s="10">
        <f t="shared" si="10"/>
        <v>1</v>
      </c>
      <c r="S2118" s="5" t="s">
        <v>9418</v>
      </c>
      <c r="T2118" s="5"/>
      <c r="U2118" s="5" t="s">
        <v>9414</v>
      </c>
      <c r="V2118" s="5"/>
    </row>
    <row r="2119" ht="12.75" customHeight="1">
      <c r="A2119" s="5">
        <v>35498.0</v>
      </c>
      <c r="B2119" s="5" t="s">
        <v>49</v>
      </c>
      <c r="C2119" s="52" t="s">
        <v>50</v>
      </c>
      <c r="D2119" s="5" t="s">
        <v>2852</v>
      </c>
      <c r="E2119" s="7" t="s">
        <v>9419</v>
      </c>
      <c r="F2119" s="5" t="s">
        <v>9203</v>
      </c>
      <c r="G2119" s="5" t="s">
        <v>9397</v>
      </c>
      <c r="H2119" s="5">
        <v>2004.0</v>
      </c>
      <c r="I2119" s="5">
        <v>0.0</v>
      </c>
      <c r="J2119" s="5">
        <v>0.0</v>
      </c>
      <c r="K2119" s="5">
        <v>1.0</v>
      </c>
      <c r="L2119" s="54"/>
      <c r="M2119" s="5" t="s">
        <v>9420</v>
      </c>
      <c r="N2119" s="53" t="s">
        <v>2718</v>
      </c>
      <c r="O2119">
        <v>35.292278</v>
      </c>
      <c r="P2119">
        <v>-2.938097</v>
      </c>
      <c r="Q2119" s="5" t="s">
        <v>649</v>
      </c>
      <c r="R2119" s="10">
        <f t="shared" si="10"/>
        <v>79</v>
      </c>
      <c r="S2119" s="5" t="s">
        <v>9421</v>
      </c>
      <c r="T2119" s="6" t="s">
        <v>72</v>
      </c>
      <c r="U2119" s="5" t="s">
        <v>9422</v>
      </c>
      <c r="V2119" s="5" t="s">
        <v>9423</v>
      </c>
    </row>
    <row r="2120" ht="12.75" customHeight="1">
      <c r="A2120" s="5">
        <v>35499.0</v>
      </c>
      <c r="B2120" s="5" t="s">
        <v>2962</v>
      </c>
      <c r="C2120" s="5" t="s">
        <v>211</v>
      </c>
      <c r="D2120" s="5" t="s">
        <v>2852</v>
      </c>
      <c r="E2120" s="7" t="s">
        <v>9424</v>
      </c>
      <c r="F2120" s="5" t="s">
        <v>9203</v>
      </c>
      <c r="G2120" s="5" t="s">
        <v>9397</v>
      </c>
      <c r="H2120" s="5">
        <v>2004.0</v>
      </c>
      <c r="I2120" s="5">
        <v>0.0</v>
      </c>
      <c r="J2120" s="5">
        <v>0.0</v>
      </c>
      <c r="K2120" s="5">
        <v>1.0</v>
      </c>
      <c r="L2120" s="54"/>
      <c r="M2120" s="5" t="s">
        <v>9425</v>
      </c>
      <c r="N2120" s="53" t="s">
        <v>9426</v>
      </c>
      <c r="O2120">
        <v>56.490671</v>
      </c>
      <c r="P2120">
        <v>-4.202646</v>
      </c>
      <c r="Q2120" s="5" t="s">
        <v>1903</v>
      </c>
      <c r="R2120" s="10">
        <f t="shared" si="10"/>
        <v>2</v>
      </c>
      <c r="S2120" s="5" t="s">
        <v>9427</v>
      </c>
      <c r="T2120" s="5"/>
      <c r="U2120" s="5" t="s">
        <v>9428</v>
      </c>
      <c r="V2120" s="5"/>
    </row>
    <row r="2121" ht="12.75" customHeight="1">
      <c r="A2121" s="5">
        <v>35500.0</v>
      </c>
      <c r="B2121" s="5" t="s">
        <v>2921</v>
      </c>
      <c r="C2121" s="5" t="s">
        <v>124</v>
      </c>
      <c r="D2121" s="5" t="s">
        <v>2852</v>
      </c>
      <c r="E2121" s="7" t="s">
        <v>9429</v>
      </c>
      <c r="F2121" s="5" t="s">
        <v>9203</v>
      </c>
      <c r="G2121" s="5" t="s">
        <v>9397</v>
      </c>
      <c r="H2121" s="5">
        <v>2004.0</v>
      </c>
      <c r="I2121" s="5">
        <v>0.0</v>
      </c>
      <c r="J2121" s="5">
        <v>0.0</v>
      </c>
      <c r="K2121" s="5">
        <v>1.0</v>
      </c>
      <c r="L2121" s="54"/>
      <c r="M2121" s="5" t="s">
        <v>9430</v>
      </c>
      <c r="N2121" s="53" t="s">
        <v>9431</v>
      </c>
      <c r="O2121">
        <v>51.227741</v>
      </c>
      <c r="P2121">
        <v>6.773456</v>
      </c>
      <c r="Q2121" s="5" t="s">
        <v>1614</v>
      </c>
      <c r="R2121" s="10">
        <f t="shared" si="10"/>
        <v>1</v>
      </c>
      <c r="S2121" s="5" t="s">
        <v>9432</v>
      </c>
      <c r="T2121" s="5"/>
      <c r="U2121" s="5" t="s">
        <v>4956</v>
      </c>
      <c r="V2121" s="5"/>
    </row>
    <row r="2122" ht="12.75" customHeight="1">
      <c r="A2122" s="5">
        <v>35501.0</v>
      </c>
      <c r="B2122" s="5" t="s">
        <v>2962</v>
      </c>
      <c r="C2122" s="5" t="s">
        <v>211</v>
      </c>
      <c r="D2122" s="5" t="s">
        <v>2852</v>
      </c>
      <c r="E2122" s="7" t="s">
        <v>9433</v>
      </c>
      <c r="F2122" s="5" t="s">
        <v>9203</v>
      </c>
      <c r="G2122" s="5" t="s">
        <v>9397</v>
      </c>
      <c r="H2122" s="5">
        <v>2004.0</v>
      </c>
      <c r="I2122" s="5">
        <v>0.0</v>
      </c>
      <c r="J2122" s="5">
        <v>0.0</v>
      </c>
      <c r="K2122" s="5">
        <v>1.0</v>
      </c>
      <c r="L2122" s="54"/>
      <c r="M2122" s="5" t="s">
        <v>9434</v>
      </c>
      <c r="N2122" s="53" t="s">
        <v>8384</v>
      </c>
      <c r="O2122">
        <v>51.487453</v>
      </c>
      <c r="P2122">
        <v>-0.475554</v>
      </c>
      <c r="Q2122" s="5" t="s">
        <v>1655</v>
      </c>
      <c r="R2122" s="10">
        <f t="shared" si="10"/>
        <v>4</v>
      </c>
      <c r="S2122" s="5" t="s">
        <v>9435</v>
      </c>
      <c r="T2122" s="5"/>
      <c r="U2122" s="5" t="s">
        <v>9436</v>
      </c>
      <c r="V2122" s="5"/>
    </row>
    <row r="2123" ht="12.75" customHeight="1">
      <c r="A2123" s="5">
        <v>35502.0</v>
      </c>
      <c r="B2123" s="5" t="s">
        <v>2902</v>
      </c>
      <c r="C2123" s="5" t="s">
        <v>211</v>
      </c>
      <c r="D2123" s="5" t="s">
        <v>2852</v>
      </c>
      <c r="E2123" s="7" t="s">
        <v>9437</v>
      </c>
      <c r="F2123" s="5" t="s">
        <v>9203</v>
      </c>
      <c r="G2123" s="5" t="s">
        <v>9397</v>
      </c>
      <c r="H2123" s="5">
        <v>2004.0</v>
      </c>
      <c r="I2123" s="5">
        <v>0.0</v>
      </c>
      <c r="J2123" s="5">
        <v>0.0</v>
      </c>
      <c r="K2123" s="5">
        <v>1.0</v>
      </c>
      <c r="L2123" s="54"/>
      <c r="M2123" s="5" t="s">
        <v>9438</v>
      </c>
      <c r="N2123" s="53" t="s">
        <v>3763</v>
      </c>
      <c r="O2123">
        <v>51.481969</v>
      </c>
      <c r="P2123">
        <v>-0.526243</v>
      </c>
      <c r="Q2123" s="5" t="s">
        <v>1645</v>
      </c>
      <c r="R2123" s="10">
        <f t="shared" si="10"/>
        <v>3</v>
      </c>
      <c r="S2123" s="5" t="s">
        <v>9439</v>
      </c>
      <c r="T2123" s="5"/>
      <c r="U2123" s="5" t="s">
        <v>9440</v>
      </c>
      <c r="V2123" s="5"/>
    </row>
    <row r="2124" ht="12.75" customHeight="1">
      <c r="A2124" s="5">
        <v>35503.0</v>
      </c>
      <c r="B2124" s="5" t="s">
        <v>68</v>
      </c>
      <c r="C2124" s="5" t="s">
        <v>69</v>
      </c>
      <c r="D2124" s="5" t="s">
        <v>2852</v>
      </c>
      <c r="E2124" s="7" t="s">
        <v>9441</v>
      </c>
      <c r="F2124" s="5" t="s">
        <v>9203</v>
      </c>
      <c r="G2124" s="5" t="s">
        <v>9397</v>
      </c>
      <c r="H2124" s="5">
        <v>2004.0</v>
      </c>
      <c r="I2124" s="5">
        <v>0.0</v>
      </c>
      <c r="J2124" s="5">
        <v>0.0</v>
      </c>
      <c r="K2124" s="5">
        <v>1.0</v>
      </c>
      <c r="L2124" s="54"/>
      <c r="M2124" s="5" t="s">
        <v>9442</v>
      </c>
      <c r="N2124" s="53" t="s">
        <v>9443</v>
      </c>
      <c r="O2124">
        <v>37.075474</v>
      </c>
      <c r="P2124">
        <v>15.286586</v>
      </c>
      <c r="Q2124" s="5" t="s">
        <v>895</v>
      </c>
      <c r="R2124" s="10">
        <f t="shared" si="10"/>
        <v>14</v>
      </c>
      <c r="S2124" s="5" t="s">
        <v>9444</v>
      </c>
      <c r="T2124" s="6" t="s">
        <v>2130</v>
      </c>
      <c r="U2124" s="5" t="s">
        <v>9445</v>
      </c>
      <c r="V2124" s="5"/>
    </row>
    <row r="2125" ht="12.75" customHeight="1">
      <c r="A2125" s="5">
        <v>35504.0</v>
      </c>
      <c r="B2125" s="5" t="s">
        <v>49</v>
      </c>
      <c r="C2125" s="52" t="s">
        <v>50</v>
      </c>
      <c r="D2125" s="5" t="s">
        <v>2852</v>
      </c>
      <c r="E2125" s="7" t="s">
        <v>9446</v>
      </c>
      <c r="F2125" s="5" t="s">
        <v>9203</v>
      </c>
      <c r="G2125" s="5" t="s">
        <v>9397</v>
      </c>
      <c r="H2125" s="5">
        <v>2004.0</v>
      </c>
      <c r="I2125" s="5">
        <v>0.0</v>
      </c>
      <c r="J2125" s="5">
        <v>0.0</v>
      </c>
      <c r="K2125" s="5">
        <v>9.0</v>
      </c>
      <c r="L2125" s="54"/>
      <c r="M2125" s="5" t="s">
        <v>9447</v>
      </c>
      <c r="N2125" s="53" t="s">
        <v>3503</v>
      </c>
      <c r="O2125">
        <v>35.240117</v>
      </c>
      <c r="P2125">
        <v>24.809269</v>
      </c>
      <c r="Q2125" s="5" t="s">
        <v>641</v>
      </c>
      <c r="R2125" s="10">
        <f t="shared" si="10"/>
        <v>84</v>
      </c>
      <c r="S2125" s="5" t="s">
        <v>9448</v>
      </c>
      <c r="T2125" s="6" t="s">
        <v>53</v>
      </c>
      <c r="U2125" s="5" t="s">
        <v>2459</v>
      </c>
      <c r="V2125" s="5"/>
    </row>
    <row r="2126" ht="12.75" customHeight="1">
      <c r="A2126" s="5">
        <v>35506.0</v>
      </c>
      <c r="B2126" s="5" t="s">
        <v>763</v>
      </c>
      <c r="C2126" s="5" t="s">
        <v>124</v>
      </c>
      <c r="D2126" s="5" t="s">
        <v>2852</v>
      </c>
      <c r="E2126" s="7" t="s">
        <v>9449</v>
      </c>
      <c r="F2126" s="5" t="s">
        <v>9203</v>
      </c>
      <c r="G2126" s="5" t="s">
        <v>9397</v>
      </c>
      <c r="H2126" s="5">
        <v>2004.0</v>
      </c>
      <c r="I2126" s="5">
        <v>0.0</v>
      </c>
      <c r="J2126" s="5">
        <v>0.0</v>
      </c>
      <c r="K2126" s="5">
        <v>1.0</v>
      </c>
      <c r="L2126" s="54"/>
      <c r="M2126" s="5" t="s">
        <v>9450</v>
      </c>
      <c r="N2126" s="53" t="s">
        <v>9451</v>
      </c>
      <c r="O2126">
        <v>38.50957</v>
      </c>
      <c r="P2126">
        <v>-1.698922</v>
      </c>
      <c r="Q2126" s="5" t="s">
        <v>1026</v>
      </c>
      <c r="R2126" s="10">
        <f t="shared" si="10"/>
        <v>5</v>
      </c>
      <c r="S2126" s="5" t="s">
        <v>9452</v>
      </c>
      <c r="T2126" s="6" t="s">
        <v>72</v>
      </c>
      <c r="U2126" s="5" t="s">
        <v>3128</v>
      </c>
      <c r="V2126" s="5"/>
    </row>
    <row r="2127" ht="12.75" customHeight="1">
      <c r="A2127" s="5">
        <v>35505.0</v>
      </c>
      <c r="B2127" s="5" t="s">
        <v>763</v>
      </c>
      <c r="C2127" s="5" t="s">
        <v>124</v>
      </c>
      <c r="D2127" s="5" t="s">
        <v>2852</v>
      </c>
      <c r="E2127" s="7" t="s">
        <v>9449</v>
      </c>
      <c r="F2127" s="5" t="s">
        <v>9203</v>
      </c>
      <c r="G2127" s="5" t="s">
        <v>9397</v>
      </c>
      <c r="H2127" s="5">
        <v>2004.0</v>
      </c>
      <c r="I2127" s="5">
        <v>0.0</v>
      </c>
      <c r="J2127" s="5">
        <v>0.0</v>
      </c>
      <c r="K2127" s="5">
        <v>4.0</v>
      </c>
      <c r="L2127" s="54"/>
      <c r="M2127" s="5" t="s">
        <v>9453</v>
      </c>
      <c r="N2127" s="53" t="s">
        <v>9451</v>
      </c>
      <c r="O2127">
        <v>38.50957</v>
      </c>
      <c r="P2127">
        <v>-1.698922</v>
      </c>
      <c r="Q2127" s="5" t="s">
        <v>1026</v>
      </c>
      <c r="R2127" s="10">
        <f t="shared" si="10"/>
        <v>5</v>
      </c>
      <c r="S2127" s="5" t="s">
        <v>9452</v>
      </c>
      <c r="T2127" s="6" t="s">
        <v>72</v>
      </c>
      <c r="U2127" s="5" t="s">
        <v>3128</v>
      </c>
      <c r="V2127" s="5"/>
    </row>
    <row r="2128" ht="12.75" customHeight="1">
      <c r="A2128" s="5">
        <v>35507.0</v>
      </c>
      <c r="B2128" s="5" t="s">
        <v>68</v>
      </c>
      <c r="C2128" s="5" t="s">
        <v>69</v>
      </c>
      <c r="D2128" s="5" t="s">
        <v>2614</v>
      </c>
      <c r="E2128" s="7" t="s">
        <v>9454</v>
      </c>
      <c r="F2128" s="5" t="s">
        <v>9203</v>
      </c>
      <c r="G2128" s="5" t="s">
        <v>9397</v>
      </c>
      <c r="H2128" s="5">
        <v>2004.0</v>
      </c>
      <c r="I2128" s="5">
        <v>0.0</v>
      </c>
      <c r="J2128" s="5">
        <v>0.0</v>
      </c>
      <c r="K2128" s="5">
        <v>30.0</v>
      </c>
      <c r="L2128" s="54"/>
      <c r="M2128" s="5" t="s">
        <v>9455</v>
      </c>
      <c r="N2128" s="53" t="s">
        <v>3314</v>
      </c>
      <c r="O2128">
        <v>37.599994</v>
      </c>
      <c r="P2128">
        <v>14.015356</v>
      </c>
      <c r="Q2128" s="5" t="s">
        <v>949</v>
      </c>
      <c r="R2128" s="10">
        <f t="shared" si="10"/>
        <v>363</v>
      </c>
      <c r="S2128" s="5" t="s">
        <v>9456</v>
      </c>
      <c r="T2128" s="6" t="s">
        <v>2130</v>
      </c>
      <c r="U2128" s="5" t="s">
        <v>8502</v>
      </c>
      <c r="V2128" s="5" t="s">
        <v>9369</v>
      </c>
    </row>
    <row r="2129" ht="12.75" customHeight="1">
      <c r="A2129" s="5">
        <v>35509.0</v>
      </c>
      <c r="B2129" s="5" t="s">
        <v>49</v>
      </c>
      <c r="C2129" s="52" t="s">
        <v>50</v>
      </c>
      <c r="D2129" s="5" t="s">
        <v>2852</v>
      </c>
      <c r="E2129" s="7" t="s">
        <v>9457</v>
      </c>
      <c r="F2129" s="5" t="s">
        <v>9458</v>
      </c>
      <c r="G2129" s="5" t="s">
        <v>9459</v>
      </c>
      <c r="H2129" s="5">
        <v>2004.0</v>
      </c>
      <c r="I2129" s="5">
        <v>0.0</v>
      </c>
      <c r="J2129" s="5">
        <v>0.0</v>
      </c>
      <c r="K2129" s="5">
        <v>6.0</v>
      </c>
      <c r="L2129" s="54"/>
      <c r="M2129" s="5" t="s">
        <v>9460</v>
      </c>
      <c r="N2129" s="53" t="s">
        <v>4290</v>
      </c>
      <c r="O2129">
        <v>38.158524</v>
      </c>
      <c r="P2129">
        <v>14.742693</v>
      </c>
      <c r="Q2129" s="5" t="s">
        <v>1001</v>
      </c>
      <c r="R2129" s="10">
        <f t="shared" si="10"/>
        <v>75</v>
      </c>
      <c r="S2129" s="5" t="s">
        <v>9461</v>
      </c>
      <c r="T2129" s="6" t="s">
        <v>2130</v>
      </c>
      <c r="U2129" s="5" t="s">
        <v>3490</v>
      </c>
      <c r="V2129" s="5"/>
    </row>
    <row r="2130" ht="12.75" customHeight="1">
      <c r="A2130" s="5">
        <v>35508.0</v>
      </c>
      <c r="B2130" s="5" t="s">
        <v>49</v>
      </c>
      <c r="C2130" s="52" t="s">
        <v>50</v>
      </c>
      <c r="D2130" s="5" t="s">
        <v>2852</v>
      </c>
      <c r="E2130" s="7" t="s">
        <v>9457</v>
      </c>
      <c r="F2130" s="5" t="s">
        <v>9458</v>
      </c>
      <c r="G2130" s="5" t="s">
        <v>9459</v>
      </c>
      <c r="H2130" s="5">
        <v>2004.0</v>
      </c>
      <c r="I2130" s="5">
        <v>0.0</v>
      </c>
      <c r="J2130" s="5">
        <v>0.0</v>
      </c>
      <c r="K2130" s="5">
        <v>9.0</v>
      </c>
      <c r="L2130" s="54"/>
      <c r="M2130" s="5" t="s">
        <v>9462</v>
      </c>
      <c r="N2130" s="53" t="s">
        <v>4290</v>
      </c>
      <c r="O2130">
        <v>38.158524</v>
      </c>
      <c r="P2130">
        <v>14.742693</v>
      </c>
      <c r="Q2130" s="5" t="s">
        <v>1001</v>
      </c>
      <c r="R2130" s="10">
        <f t="shared" si="10"/>
        <v>75</v>
      </c>
      <c r="S2130" s="5" t="s">
        <v>9461</v>
      </c>
      <c r="T2130" s="6" t="s">
        <v>2130</v>
      </c>
      <c r="U2130" s="5" t="s">
        <v>3490</v>
      </c>
      <c r="V2130" s="5"/>
    </row>
    <row r="2131" ht="12.75" customHeight="1">
      <c r="A2131" s="5">
        <v>35510.0</v>
      </c>
      <c r="B2131" s="5" t="s">
        <v>2902</v>
      </c>
      <c r="C2131" s="5" t="s">
        <v>211</v>
      </c>
      <c r="D2131" s="5" t="s">
        <v>2852</v>
      </c>
      <c r="E2131" s="7" t="s">
        <v>9463</v>
      </c>
      <c r="F2131" s="5" t="s">
        <v>9458</v>
      </c>
      <c r="G2131" s="5" t="s">
        <v>9459</v>
      </c>
      <c r="H2131" s="5">
        <v>2004.0</v>
      </c>
      <c r="I2131" s="5">
        <v>0.0</v>
      </c>
      <c r="J2131" s="5">
        <v>0.0</v>
      </c>
      <c r="K2131" s="5">
        <v>1.0</v>
      </c>
      <c r="L2131" s="54"/>
      <c r="M2131" s="5" t="s">
        <v>9464</v>
      </c>
      <c r="N2131" s="53" t="s">
        <v>4095</v>
      </c>
      <c r="O2131">
        <v>55.378051</v>
      </c>
      <c r="P2131">
        <v>-3.435973</v>
      </c>
      <c r="Q2131" s="5" t="s">
        <v>1882</v>
      </c>
      <c r="R2131" s="10">
        <f t="shared" si="10"/>
        <v>23</v>
      </c>
      <c r="S2131" s="5" t="s">
        <v>9465</v>
      </c>
      <c r="T2131" s="5"/>
      <c r="U2131" s="5" t="s">
        <v>9466</v>
      </c>
      <c r="V2131" s="5"/>
    </row>
    <row r="2132" ht="12.75" customHeight="1">
      <c r="A2132" s="5">
        <v>35511.0</v>
      </c>
      <c r="B2132" s="5" t="s">
        <v>49</v>
      </c>
      <c r="C2132" s="52" t="s">
        <v>50</v>
      </c>
      <c r="D2132" s="5" t="s">
        <v>2852</v>
      </c>
      <c r="E2132" s="7" t="s">
        <v>9467</v>
      </c>
      <c r="F2132" s="5" t="s">
        <v>9458</v>
      </c>
      <c r="G2132" s="5" t="s">
        <v>9459</v>
      </c>
      <c r="H2132" s="5">
        <v>2004.0</v>
      </c>
      <c r="I2132" s="5">
        <v>0.0</v>
      </c>
      <c r="J2132" s="5">
        <v>0.0</v>
      </c>
      <c r="K2132" s="5">
        <v>1.0</v>
      </c>
      <c r="L2132" s="54"/>
      <c r="M2132" s="5" t="s">
        <v>9468</v>
      </c>
      <c r="N2132" s="53" t="s">
        <v>2700</v>
      </c>
      <c r="O2132">
        <v>35.508622</v>
      </c>
      <c r="P2132">
        <v>12.59292</v>
      </c>
      <c r="Q2132" s="5" t="s">
        <v>669</v>
      </c>
      <c r="R2132" s="10">
        <f t="shared" si="10"/>
        <v>3843</v>
      </c>
      <c r="S2132" s="5" t="s">
        <v>9469</v>
      </c>
      <c r="T2132" s="6" t="s">
        <v>2130</v>
      </c>
      <c r="U2132" s="5" t="s">
        <v>9470</v>
      </c>
      <c r="V2132" s="5" t="s">
        <v>9471</v>
      </c>
    </row>
    <row r="2133" ht="12.75" customHeight="1">
      <c r="A2133" s="5">
        <v>35512.0</v>
      </c>
      <c r="B2133" s="5" t="s">
        <v>49</v>
      </c>
      <c r="C2133" s="52" t="s">
        <v>50</v>
      </c>
      <c r="D2133" s="5" t="s">
        <v>2852</v>
      </c>
      <c r="E2133" s="7" t="s">
        <v>9472</v>
      </c>
      <c r="F2133" s="5" t="s">
        <v>9458</v>
      </c>
      <c r="G2133" s="5" t="s">
        <v>9459</v>
      </c>
      <c r="H2133" s="5">
        <v>2004.0</v>
      </c>
      <c r="I2133" s="5">
        <v>0.0</v>
      </c>
      <c r="J2133" s="5">
        <v>0.0</v>
      </c>
      <c r="K2133" s="5">
        <v>1.0</v>
      </c>
      <c r="L2133" s="54"/>
      <c r="M2133" s="5" t="s">
        <v>9473</v>
      </c>
      <c r="N2133" s="53" t="s">
        <v>9474</v>
      </c>
      <c r="O2133">
        <v>36.779923</v>
      </c>
      <c r="P2133">
        <v>-4.100559</v>
      </c>
      <c r="Q2133" s="5" t="s">
        <v>846</v>
      </c>
      <c r="R2133" s="10">
        <f t="shared" si="10"/>
        <v>1</v>
      </c>
      <c r="S2133" s="5" t="s">
        <v>9475</v>
      </c>
      <c r="T2133" s="6" t="s">
        <v>72</v>
      </c>
      <c r="U2133" s="5" t="s">
        <v>9422</v>
      </c>
      <c r="V2133" s="5"/>
    </row>
    <row r="2134" ht="12.75" customHeight="1">
      <c r="A2134" s="5">
        <v>35513.0</v>
      </c>
      <c r="B2134" s="5" t="s">
        <v>1995</v>
      </c>
      <c r="C2134" s="52" t="s">
        <v>50</v>
      </c>
      <c r="D2134" s="5" t="s">
        <v>2852</v>
      </c>
      <c r="E2134" s="7" t="s">
        <v>9472</v>
      </c>
      <c r="F2134" s="5" t="s">
        <v>9458</v>
      </c>
      <c r="G2134" s="5" t="s">
        <v>9459</v>
      </c>
      <c r="H2134" s="5">
        <v>2004.0</v>
      </c>
      <c r="I2134" s="5">
        <v>0.0</v>
      </c>
      <c r="J2134" s="5">
        <v>0.0</v>
      </c>
      <c r="K2134" s="5">
        <v>1.0</v>
      </c>
      <c r="L2134" s="54"/>
      <c r="M2134" s="5" t="s">
        <v>9476</v>
      </c>
      <c r="N2134" s="53" t="s">
        <v>9477</v>
      </c>
      <c r="O2134">
        <v>51.441642</v>
      </c>
      <c r="P2134">
        <v>5.469722</v>
      </c>
      <c r="Q2134" s="5" t="s">
        <v>1623</v>
      </c>
      <c r="R2134" s="10">
        <f t="shared" si="10"/>
        <v>1</v>
      </c>
      <c r="S2134" s="5" t="s">
        <v>9478</v>
      </c>
      <c r="T2134" s="5"/>
      <c r="U2134" s="5" t="s">
        <v>9479</v>
      </c>
      <c r="V2134" s="5"/>
    </row>
    <row r="2135" ht="12.75" customHeight="1">
      <c r="A2135" s="5">
        <v>35514.0</v>
      </c>
      <c r="B2135" s="5" t="s">
        <v>49</v>
      </c>
      <c r="C2135" s="52" t="s">
        <v>50</v>
      </c>
      <c r="D2135" s="5" t="s">
        <v>2614</v>
      </c>
      <c r="E2135" s="7" t="s">
        <v>9480</v>
      </c>
      <c r="F2135" s="5" t="s">
        <v>9458</v>
      </c>
      <c r="G2135" s="5" t="s">
        <v>9459</v>
      </c>
      <c r="H2135" s="5">
        <v>2004.0</v>
      </c>
      <c r="I2135" s="5">
        <v>0.0</v>
      </c>
      <c r="J2135" s="5">
        <v>0.0</v>
      </c>
      <c r="K2135" s="5">
        <v>13.0</v>
      </c>
      <c r="L2135" s="54"/>
      <c r="M2135" s="5" t="s">
        <v>9481</v>
      </c>
      <c r="N2135" s="53" t="s">
        <v>3503</v>
      </c>
      <c r="O2135">
        <v>35.240117</v>
      </c>
      <c r="P2135">
        <v>24.809269</v>
      </c>
      <c r="Q2135" s="5" t="s">
        <v>641</v>
      </c>
      <c r="R2135" s="10">
        <f t="shared" si="10"/>
        <v>84</v>
      </c>
      <c r="S2135" s="5" t="s">
        <v>9482</v>
      </c>
      <c r="T2135" s="6" t="s">
        <v>53</v>
      </c>
      <c r="U2135" s="5" t="s">
        <v>3318</v>
      </c>
      <c r="V2135" s="5" t="s">
        <v>9483</v>
      </c>
    </row>
    <row r="2136" ht="12.75" customHeight="1">
      <c r="A2136" s="5">
        <v>35515.0</v>
      </c>
      <c r="B2136" s="5" t="s">
        <v>49</v>
      </c>
      <c r="C2136" s="52" t="s">
        <v>50</v>
      </c>
      <c r="D2136" s="5" t="s">
        <v>2852</v>
      </c>
      <c r="E2136" s="7" t="s">
        <v>9484</v>
      </c>
      <c r="F2136" s="5" t="s">
        <v>9458</v>
      </c>
      <c r="G2136" s="5" t="s">
        <v>9459</v>
      </c>
      <c r="H2136" s="5">
        <v>2004.0</v>
      </c>
      <c r="I2136" s="5">
        <v>0.0</v>
      </c>
      <c r="J2136" s="5">
        <v>0.0</v>
      </c>
      <c r="K2136" s="5">
        <v>6.0</v>
      </c>
      <c r="L2136" s="54"/>
      <c r="M2136" s="5" t="s">
        <v>9485</v>
      </c>
      <c r="N2136" s="53" t="s">
        <v>5670</v>
      </c>
      <c r="O2136">
        <v>34.745159</v>
      </c>
      <c r="P2136">
        <v>10.7613</v>
      </c>
      <c r="Q2136" s="5" t="s">
        <v>594</v>
      </c>
      <c r="R2136" s="10">
        <f t="shared" si="10"/>
        <v>239</v>
      </c>
      <c r="S2136" s="5" t="s">
        <v>9486</v>
      </c>
      <c r="T2136" s="6" t="s">
        <v>2130</v>
      </c>
      <c r="U2136" s="5" t="s">
        <v>9487</v>
      </c>
      <c r="V2136" s="5" t="s">
        <v>9488</v>
      </c>
    </row>
    <row r="2137" ht="12.75" customHeight="1">
      <c r="A2137" s="5">
        <v>35516.0</v>
      </c>
      <c r="B2137" s="5" t="s">
        <v>49</v>
      </c>
      <c r="C2137" s="52" t="s">
        <v>50</v>
      </c>
      <c r="D2137" s="5" t="s">
        <v>2852</v>
      </c>
      <c r="E2137" s="7" t="s">
        <v>9484</v>
      </c>
      <c r="F2137" s="5" t="s">
        <v>9458</v>
      </c>
      <c r="G2137" s="5" t="s">
        <v>9459</v>
      </c>
      <c r="H2137" s="5">
        <v>2004.0</v>
      </c>
      <c r="I2137" s="5">
        <v>0.0</v>
      </c>
      <c r="J2137" s="5">
        <v>0.0</v>
      </c>
      <c r="K2137" s="5">
        <v>4.0</v>
      </c>
      <c r="L2137" s="54"/>
      <c r="M2137" s="5" t="s">
        <v>9489</v>
      </c>
      <c r="N2137" s="53" t="s">
        <v>3524</v>
      </c>
      <c r="O2137">
        <v>36.81881</v>
      </c>
      <c r="P2137">
        <v>10.16596</v>
      </c>
      <c r="Q2137" s="5" t="s">
        <v>854</v>
      </c>
      <c r="R2137" s="10">
        <f t="shared" si="10"/>
        <v>540</v>
      </c>
      <c r="S2137" s="5" t="s">
        <v>9490</v>
      </c>
      <c r="T2137" s="6" t="s">
        <v>2130</v>
      </c>
      <c r="U2137" s="5" t="s">
        <v>9487</v>
      </c>
      <c r="V2137" s="5"/>
    </row>
    <row r="2138" ht="12.75" customHeight="1">
      <c r="A2138" s="5">
        <v>35517.0</v>
      </c>
      <c r="B2138" s="5" t="s">
        <v>763</v>
      </c>
      <c r="C2138" s="5" t="s">
        <v>124</v>
      </c>
      <c r="D2138" s="5" t="s">
        <v>2614</v>
      </c>
      <c r="E2138" s="7" t="s">
        <v>9491</v>
      </c>
      <c r="F2138" s="5" t="s">
        <v>9458</v>
      </c>
      <c r="G2138" s="5" t="s">
        <v>9459</v>
      </c>
      <c r="H2138" s="5">
        <v>2004.0</v>
      </c>
      <c r="I2138" s="5">
        <v>0.0</v>
      </c>
      <c r="J2138" s="5">
        <v>0.0</v>
      </c>
      <c r="K2138" s="5">
        <v>1.0</v>
      </c>
      <c r="L2138" s="54"/>
      <c r="M2138" s="5" t="s">
        <v>9492</v>
      </c>
      <c r="N2138" s="53" t="s">
        <v>9493</v>
      </c>
      <c r="O2138">
        <v>38.177296</v>
      </c>
      <c r="P2138">
        <v>41.493993</v>
      </c>
      <c r="Q2138" s="5" t="s">
        <v>1002</v>
      </c>
      <c r="R2138" s="10">
        <f t="shared" si="10"/>
        <v>1</v>
      </c>
      <c r="S2138" s="5" t="s">
        <v>9494</v>
      </c>
      <c r="T2138" s="5"/>
      <c r="U2138" s="5" t="s">
        <v>5662</v>
      </c>
      <c r="V2138" s="5" t="s">
        <v>9495</v>
      </c>
    </row>
    <row r="2139" ht="12.75" customHeight="1">
      <c r="A2139" s="5">
        <v>35518.0</v>
      </c>
      <c r="B2139" s="5" t="s">
        <v>1995</v>
      </c>
      <c r="C2139" s="52" t="s">
        <v>50</v>
      </c>
      <c r="D2139" s="5" t="s">
        <v>2852</v>
      </c>
      <c r="E2139" s="7" t="s">
        <v>9496</v>
      </c>
      <c r="F2139" s="5" t="s">
        <v>9458</v>
      </c>
      <c r="G2139" s="5" t="s">
        <v>9497</v>
      </c>
      <c r="H2139" s="5">
        <v>2004.0</v>
      </c>
      <c r="I2139" s="5">
        <v>0.0</v>
      </c>
      <c r="J2139" s="5">
        <v>0.0</v>
      </c>
      <c r="K2139" s="5">
        <v>1.0</v>
      </c>
      <c r="L2139" s="54"/>
      <c r="M2139" s="5" t="s">
        <v>9498</v>
      </c>
      <c r="N2139" s="53" t="s">
        <v>9499</v>
      </c>
      <c r="O2139">
        <v>53.527039</v>
      </c>
      <c r="P2139">
        <v>-2.28064</v>
      </c>
      <c r="Q2139" s="5" t="s">
        <v>1839</v>
      </c>
      <c r="R2139" s="10">
        <f t="shared" si="10"/>
        <v>1</v>
      </c>
      <c r="S2139" s="5" t="s">
        <v>9500</v>
      </c>
      <c r="T2139" s="5"/>
      <c r="U2139" s="5" t="s">
        <v>3219</v>
      </c>
      <c r="V2139" s="5"/>
    </row>
    <row r="2140" ht="12.75" customHeight="1">
      <c r="A2140" s="5">
        <v>35520.0</v>
      </c>
      <c r="B2140" s="5" t="s">
        <v>1076</v>
      </c>
      <c r="C2140" s="52" t="s">
        <v>50</v>
      </c>
      <c r="D2140" s="5" t="s">
        <v>2852</v>
      </c>
      <c r="E2140" s="7" t="s">
        <v>9501</v>
      </c>
      <c r="F2140" s="5" t="s">
        <v>9458</v>
      </c>
      <c r="G2140" s="5" t="s">
        <v>9497</v>
      </c>
      <c r="H2140" s="5">
        <v>2004.0</v>
      </c>
      <c r="I2140" s="5">
        <v>0.0</v>
      </c>
      <c r="J2140" s="5">
        <v>0.0</v>
      </c>
      <c r="K2140" s="5">
        <v>3.0</v>
      </c>
      <c r="L2140" s="54"/>
      <c r="M2140" s="5" t="s">
        <v>9502</v>
      </c>
      <c r="N2140" s="53" t="s">
        <v>2857</v>
      </c>
      <c r="O2140">
        <v>36.527061</v>
      </c>
      <c r="P2140">
        <v>-6.288596</v>
      </c>
      <c r="Q2140" s="5" t="s">
        <v>802</v>
      </c>
      <c r="R2140" s="10">
        <f t="shared" si="10"/>
        <v>185</v>
      </c>
      <c r="S2140" s="5" t="s">
        <v>9503</v>
      </c>
      <c r="T2140" s="6" t="s">
        <v>72</v>
      </c>
      <c r="U2140" s="5" t="s">
        <v>9504</v>
      </c>
      <c r="V2140" s="5" t="s">
        <v>7579</v>
      </c>
    </row>
    <row r="2141" ht="12.75" customHeight="1">
      <c r="A2141" s="5">
        <v>35519.0</v>
      </c>
      <c r="B2141" s="5" t="s">
        <v>8127</v>
      </c>
      <c r="C2141" s="52" t="s">
        <v>50</v>
      </c>
      <c r="D2141" s="5" t="s">
        <v>2852</v>
      </c>
      <c r="E2141" s="7" t="s">
        <v>9501</v>
      </c>
      <c r="F2141" s="5" t="s">
        <v>9458</v>
      </c>
      <c r="G2141" s="5" t="s">
        <v>9497</v>
      </c>
      <c r="H2141" s="5">
        <v>2004.0</v>
      </c>
      <c r="I2141" s="5">
        <v>0.0</v>
      </c>
      <c r="J2141" s="5">
        <v>0.0</v>
      </c>
      <c r="K2141" s="5">
        <v>1.0</v>
      </c>
      <c r="L2141" s="54"/>
      <c r="M2141" s="5" t="s">
        <v>9505</v>
      </c>
      <c r="N2141" s="53" t="s">
        <v>9506</v>
      </c>
      <c r="O2141">
        <v>48.379433</v>
      </c>
      <c r="P2141">
        <v>31.16558</v>
      </c>
      <c r="Q2141" s="5" t="s">
        <v>1420</v>
      </c>
      <c r="R2141" s="10">
        <f t="shared" si="10"/>
        <v>1</v>
      </c>
      <c r="S2141" s="5" t="s">
        <v>9507</v>
      </c>
      <c r="T2141" s="6" t="s">
        <v>1964</v>
      </c>
      <c r="U2141" s="5" t="s">
        <v>9508</v>
      </c>
      <c r="V2141" s="5"/>
    </row>
    <row r="2142" ht="12.75" customHeight="1">
      <c r="A2142" s="5">
        <v>35521.0</v>
      </c>
      <c r="B2142" s="5" t="s">
        <v>2902</v>
      </c>
      <c r="C2142" s="5" t="s">
        <v>211</v>
      </c>
      <c r="D2142" s="5" t="s">
        <v>2852</v>
      </c>
      <c r="E2142" s="7" t="s">
        <v>9509</v>
      </c>
      <c r="F2142" s="5" t="s">
        <v>9458</v>
      </c>
      <c r="G2142" s="5" t="s">
        <v>9497</v>
      </c>
      <c r="H2142" s="5">
        <v>2004.0</v>
      </c>
      <c r="I2142" s="5">
        <v>0.0</v>
      </c>
      <c r="J2142" s="5">
        <v>0.0</v>
      </c>
      <c r="K2142" s="5">
        <v>1.0</v>
      </c>
      <c r="L2142" s="54"/>
      <c r="M2142" s="5" t="s">
        <v>9510</v>
      </c>
      <c r="N2142" s="53" t="s">
        <v>9511</v>
      </c>
      <c r="O2142">
        <v>59.32893</v>
      </c>
      <c r="P2142">
        <v>18.06491</v>
      </c>
      <c r="Q2142" s="5" t="s">
        <v>1908</v>
      </c>
      <c r="R2142" s="10">
        <f t="shared" si="10"/>
        <v>5</v>
      </c>
      <c r="S2142" s="5" t="s">
        <v>9512</v>
      </c>
      <c r="T2142" s="5"/>
      <c r="U2142" s="5" t="s">
        <v>9513</v>
      </c>
      <c r="V2142" s="5"/>
    </row>
    <row r="2143" ht="12.75" customHeight="1">
      <c r="A2143" s="5">
        <v>35522.0</v>
      </c>
      <c r="B2143" s="5" t="s">
        <v>49</v>
      </c>
      <c r="C2143" s="52" t="s">
        <v>50</v>
      </c>
      <c r="D2143" s="5" t="s">
        <v>2852</v>
      </c>
      <c r="E2143" s="7" t="s">
        <v>9514</v>
      </c>
      <c r="F2143" s="5" t="s">
        <v>9458</v>
      </c>
      <c r="G2143" s="5" t="s">
        <v>9497</v>
      </c>
      <c r="H2143" s="5">
        <v>2004.0</v>
      </c>
      <c r="I2143" s="5">
        <v>0.0</v>
      </c>
      <c r="J2143" s="5">
        <v>0.0</v>
      </c>
      <c r="K2143" s="5">
        <v>4.0</v>
      </c>
      <c r="L2143" s="54"/>
      <c r="M2143" s="5" t="s">
        <v>9515</v>
      </c>
      <c r="N2143" s="53" t="s">
        <v>4941</v>
      </c>
      <c r="O2143">
        <v>28.291564</v>
      </c>
      <c r="P2143">
        <v>-16.62913</v>
      </c>
      <c r="Q2143" s="5" t="s">
        <v>382</v>
      </c>
      <c r="R2143" s="10">
        <f t="shared" si="10"/>
        <v>1120</v>
      </c>
      <c r="S2143" s="5" t="s">
        <v>9516</v>
      </c>
      <c r="T2143" s="5" t="s">
        <v>1040</v>
      </c>
      <c r="U2143" s="5" t="s">
        <v>9517</v>
      </c>
      <c r="V2143" s="5" t="s">
        <v>9518</v>
      </c>
    </row>
    <row r="2144" ht="12.75" customHeight="1">
      <c r="A2144" s="5">
        <v>35523.0</v>
      </c>
      <c r="B2144" s="5" t="s">
        <v>68</v>
      </c>
      <c r="C2144" s="5" t="s">
        <v>69</v>
      </c>
      <c r="D2144" s="5" t="s">
        <v>2614</v>
      </c>
      <c r="E2144" s="7" t="s">
        <v>9519</v>
      </c>
      <c r="F2144" s="5" t="s">
        <v>9458</v>
      </c>
      <c r="G2144" s="5" t="s">
        <v>9497</v>
      </c>
      <c r="H2144" s="5">
        <v>2004.0</v>
      </c>
      <c r="I2144" s="5">
        <v>0.0</v>
      </c>
      <c r="J2144" s="5">
        <v>0.0</v>
      </c>
      <c r="K2144" s="5">
        <v>5.0</v>
      </c>
      <c r="L2144" s="54"/>
      <c r="M2144" s="5" t="s">
        <v>9520</v>
      </c>
      <c r="N2144" s="53" t="s">
        <v>4941</v>
      </c>
      <c r="O2144">
        <v>28.291564</v>
      </c>
      <c r="P2144">
        <v>-16.62913</v>
      </c>
      <c r="Q2144" s="5" t="s">
        <v>382</v>
      </c>
      <c r="R2144" s="10">
        <f t="shared" si="10"/>
        <v>1120</v>
      </c>
      <c r="S2144" s="5" t="s">
        <v>9521</v>
      </c>
      <c r="T2144" s="5" t="s">
        <v>1040</v>
      </c>
      <c r="U2144" s="5" t="s">
        <v>2785</v>
      </c>
      <c r="V2144" s="5" t="s">
        <v>9522</v>
      </c>
    </row>
    <row r="2145" ht="12.75" customHeight="1">
      <c r="A2145" s="5">
        <v>35524.0</v>
      </c>
      <c r="B2145" s="5" t="s">
        <v>98</v>
      </c>
      <c r="C2145" s="5" t="s">
        <v>62</v>
      </c>
      <c r="D2145" s="5" t="s">
        <v>2852</v>
      </c>
      <c r="E2145" s="7" t="s">
        <v>9523</v>
      </c>
      <c r="F2145" s="5" t="s">
        <v>9458</v>
      </c>
      <c r="G2145" s="5" t="s">
        <v>9497</v>
      </c>
      <c r="H2145" s="5">
        <v>2004.0</v>
      </c>
      <c r="I2145" s="5">
        <v>0.0</v>
      </c>
      <c r="J2145" s="5">
        <v>0.0</v>
      </c>
      <c r="K2145" s="5">
        <v>1.0</v>
      </c>
      <c r="L2145" s="54"/>
      <c r="M2145" s="5" t="s">
        <v>9524</v>
      </c>
      <c r="N2145" s="53" t="s">
        <v>9525</v>
      </c>
      <c r="O2145">
        <v>43.707408</v>
      </c>
      <c r="P2145">
        <v>7.258543</v>
      </c>
      <c r="Q2145" s="5" t="s">
        <v>1287</v>
      </c>
      <c r="R2145" s="10">
        <f t="shared" si="10"/>
        <v>1</v>
      </c>
      <c r="S2145" s="5" t="s">
        <v>9526</v>
      </c>
      <c r="T2145" s="5"/>
      <c r="U2145" s="5" t="s">
        <v>9527</v>
      </c>
      <c r="V2145" s="5"/>
    </row>
    <row r="2146" ht="12.75" customHeight="1">
      <c r="A2146" s="5">
        <v>35525.0</v>
      </c>
      <c r="B2146" s="5" t="s">
        <v>1773</v>
      </c>
      <c r="C2146" s="5" t="s">
        <v>124</v>
      </c>
      <c r="D2146" s="5" t="s">
        <v>2852</v>
      </c>
      <c r="E2146" s="7" t="s">
        <v>9528</v>
      </c>
      <c r="F2146" s="5" t="s">
        <v>9458</v>
      </c>
      <c r="G2146" s="5" t="s">
        <v>9497</v>
      </c>
      <c r="H2146" s="5">
        <v>2004.0</v>
      </c>
      <c r="I2146" s="5">
        <v>0.0</v>
      </c>
      <c r="J2146" s="5">
        <v>0.0</v>
      </c>
      <c r="K2146" s="5">
        <v>1.0</v>
      </c>
      <c r="L2146" s="54"/>
      <c r="M2146" s="5" t="s">
        <v>9529</v>
      </c>
      <c r="N2146" s="53" t="s">
        <v>9530</v>
      </c>
      <c r="O2146">
        <v>38.725275</v>
      </c>
      <c r="P2146">
        <v>-9.150049</v>
      </c>
      <c r="Q2146" s="5" t="s">
        <v>1034</v>
      </c>
      <c r="R2146" s="10">
        <f t="shared" si="10"/>
        <v>1</v>
      </c>
      <c r="S2146" s="5" t="s">
        <v>9531</v>
      </c>
      <c r="T2146" s="6" t="s">
        <v>72</v>
      </c>
      <c r="U2146" s="5" t="s">
        <v>9532</v>
      </c>
      <c r="V2146" s="5" t="s">
        <v>9533</v>
      </c>
    </row>
    <row r="2147" ht="12.75" customHeight="1">
      <c r="A2147" s="5">
        <v>35526.0</v>
      </c>
      <c r="B2147" s="5" t="s">
        <v>2962</v>
      </c>
      <c r="C2147" s="5" t="s">
        <v>211</v>
      </c>
      <c r="D2147" s="5" t="s">
        <v>2852</v>
      </c>
      <c r="E2147" s="7" t="s">
        <v>9528</v>
      </c>
      <c r="F2147" s="5" t="s">
        <v>9458</v>
      </c>
      <c r="G2147" s="5" t="s">
        <v>9497</v>
      </c>
      <c r="H2147" s="5">
        <v>2004.0</v>
      </c>
      <c r="I2147" s="5">
        <v>0.0</v>
      </c>
      <c r="J2147" s="5">
        <v>0.0</v>
      </c>
      <c r="K2147" s="5">
        <v>1.0</v>
      </c>
      <c r="L2147" s="54"/>
      <c r="M2147" s="5" t="s">
        <v>9534</v>
      </c>
      <c r="N2147" s="53" t="s">
        <v>4151</v>
      </c>
      <c r="O2147">
        <v>55.864237</v>
      </c>
      <c r="P2147">
        <v>-4.251806</v>
      </c>
      <c r="Q2147" s="5" t="s">
        <v>1895</v>
      </c>
      <c r="R2147" s="10">
        <f t="shared" si="10"/>
        <v>6</v>
      </c>
      <c r="S2147" s="5" t="s">
        <v>9535</v>
      </c>
      <c r="T2147" s="5"/>
      <c r="U2147" s="5" t="s">
        <v>9536</v>
      </c>
      <c r="V2147" s="5"/>
    </row>
    <row r="2148" ht="12.75" customHeight="1">
      <c r="A2148" s="5">
        <v>35527.0</v>
      </c>
      <c r="B2148" s="5" t="s">
        <v>1076</v>
      </c>
      <c r="C2148" s="52" t="s">
        <v>50</v>
      </c>
      <c r="D2148" s="5" t="s">
        <v>2852</v>
      </c>
      <c r="E2148" s="7" t="s">
        <v>9537</v>
      </c>
      <c r="F2148" s="5" t="s">
        <v>9458</v>
      </c>
      <c r="G2148" s="5" t="s">
        <v>9497</v>
      </c>
      <c r="H2148" s="5">
        <v>2004.0</v>
      </c>
      <c r="I2148" s="5">
        <v>0.0</v>
      </c>
      <c r="J2148" s="5">
        <v>0.0</v>
      </c>
      <c r="K2148" s="5">
        <v>5.0</v>
      </c>
      <c r="L2148" s="54"/>
      <c r="M2148" s="5" t="s">
        <v>9538</v>
      </c>
      <c r="N2148" s="53" t="s">
        <v>9539</v>
      </c>
      <c r="O2148">
        <v>28.113155</v>
      </c>
      <c r="P2148">
        <v>-15.440883</v>
      </c>
      <c r="Q2148" s="5" t="s">
        <v>379</v>
      </c>
      <c r="R2148" s="10">
        <f t="shared" si="10"/>
        <v>5</v>
      </c>
      <c r="S2148" s="5" t="s">
        <v>9540</v>
      </c>
      <c r="T2148" s="5" t="s">
        <v>1040</v>
      </c>
      <c r="U2148" s="5" t="s">
        <v>3128</v>
      </c>
      <c r="V2148" s="5"/>
    </row>
    <row r="2149" ht="12.75" customHeight="1">
      <c r="A2149" s="5">
        <v>35528.0</v>
      </c>
      <c r="B2149" s="5" t="s">
        <v>1076</v>
      </c>
      <c r="C2149" s="52" t="s">
        <v>50</v>
      </c>
      <c r="D2149" s="5" t="s">
        <v>2852</v>
      </c>
      <c r="E2149" s="7" t="s">
        <v>9537</v>
      </c>
      <c r="F2149" s="5" t="s">
        <v>9458</v>
      </c>
      <c r="G2149" s="5" t="s">
        <v>9497</v>
      </c>
      <c r="H2149" s="5">
        <v>2004.0</v>
      </c>
      <c r="I2149" s="5">
        <v>0.0</v>
      </c>
      <c r="J2149" s="5">
        <v>0.0</v>
      </c>
      <c r="K2149" s="5">
        <v>1.0</v>
      </c>
      <c r="L2149" s="54"/>
      <c r="M2149" s="5" t="s">
        <v>9541</v>
      </c>
      <c r="N2149" s="53" t="s">
        <v>3328</v>
      </c>
      <c r="O2149">
        <v>48.856614</v>
      </c>
      <c r="P2149">
        <v>2.352222</v>
      </c>
      <c r="Q2149" s="5" t="s">
        <v>3329</v>
      </c>
      <c r="R2149" s="10">
        <f t="shared" si="10"/>
        <v>30</v>
      </c>
      <c r="S2149" s="5" t="s">
        <v>9542</v>
      </c>
      <c r="T2149" s="5"/>
      <c r="U2149" s="5" t="s">
        <v>3128</v>
      </c>
      <c r="V2149" s="5" t="s">
        <v>8704</v>
      </c>
    </row>
    <row r="2150" ht="12.75" customHeight="1">
      <c r="A2150" s="5">
        <v>35529.0</v>
      </c>
      <c r="B2150" s="5" t="s">
        <v>68</v>
      </c>
      <c r="C2150" s="5" t="s">
        <v>69</v>
      </c>
      <c r="D2150" s="5" t="s">
        <v>2852</v>
      </c>
      <c r="E2150" s="7" t="s">
        <v>9543</v>
      </c>
      <c r="F2150" s="5" t="s">
        <v>9458</v>
      </c>
      <c r="G2150" s="5" t="s">
        <v>9497</v>
      </c>
      <c r="H2150" s="5">
        <v>2004.0</v>
      </c>
      <c r="I2150" s="5">
        <v>0.0</v>
      </c>
      <c r="J2150" s="5">
        <v>0.0</v>
      </c>
      <c r="K2150" s="5">
        <v>1.0</v>
      </c>
      <c r="L2150" s="54"/>
      <c r="M2150" s="5" t="s">
        <v>9544</v>
      </c>
      <c r="N2150" s="53" t="s">
        <v>5086</v>
      </c>
      <c r="O2150">
        <v>51.511214</v>
      </c>
      <c r="P2150">
        <v>-0.119824</v>
      </c>
      <c r="Q2150" s="5" t="s">
        <v>1662</v>
      </c>
      <c r="R2150" s="10">
        <f t="shared" si="10"/>
        <v>9</v>
      </c>
      <c r="S2150" s="5" t="s">
        <v>9545</v>
      </c>
      <c r="T2150" s="5"/>
      <c r="U2150" s="5" t="s">
        <v>3219</v>
      </c>
      <c r="V2150" s="5"/>
    </row>
    <row r="2151" ht="12.75" customHeight="1">
      <c r="A2151" s="5">
        <v>35530.0</v>
      </c>
      <c r="B2151" s="5" t="s">
        <v>49</v>
      </c>
      <c r="C2151" s="52" t="s">
        <v>50</v>
      </c>
      <c r="D2151" s="5" t="s">
        <v>2852</v>
      </c>
      <c r="E2151" s="7" t="s">
        <v>9543</v>
      </c>
      <c r="F2151" s="5" t="s">
        <v>9458</v>
      </c>
      <c r="G2151" s="5" t="s">
        <v>9497</v>
      </c>
      <c r="H2151" s="5">
        <v>2004.0</v>
      </c>
      <c r="I2151" s="5">
        <v>0.0</v>
      </c>
      <c r="J2151" s="5">
        <v>0.0</v>
      </c>
      <c r="K2151" s="5">
        <v>1.0</v>
      </c>
      <c r="L2151" s="54"/>
      <c r="M2151" s="5" t="s">
        <v>9546</v>
      </c>
      <c r="N2151" s="53" t="s">
        <v>9547</v>
      </c>
      <c r="O2151">
        <v>52.745242</v>
      </c>
      <c r="P2151">
        <v>5.85333</v>
      </c>
      <c r="Q2151" s="5" t="s">
        <v>1790</v>
      </c>
      <c r="R2151" s="10">
        <f t="shared" si="10"/>
        <v>1</v>
      </c>
      <c r="S2151" s="5" t="s">
        <v>9548</v>
      </c>
      <c r="T2151" s="5"/>
      <c r="U2151" s="5" t="s">
        <v>4492</v>
      </c>
      <c r="V2151" s="5"/>
    </row>
    <row r="2152" ht="12.75" customHeight="1">
      <c r="A2152" s="5">
        <v>35532.0</v>
      </c>
      <c r="B2152" s="5" t="s">
        <v>98</v>
      </c>
      <c r="C2152" s="5" t="s">
        <v>62</v>
      </c>
      <c r="D2152" s="5" t="s">
        <v>2852</v>
      </c>
      <c r="E2152" s="7" t="s">
        <v>9549</v>
      </c>
      <c r="F2152" s="5" t="s">
        <v>9458</v>
      </c>
      <c r="G2152" s="5" t="s">
        <v>9497</v>
      </c>
      <c r="H2152" s="5">
        <v>2004.0</v>
      </c>
      <c r="I2152" s="5">
        <v>0.0</v>
      </c>
      <c r="J2152" s="5">
        <v>0.0</v>
      </c>
      <c r="K2152" s="5">
        <v>2.0</v>
      </c>
      <c r="L2152" s="54"/>
      <c r="M2152" s="5" t="s">
        <v>9550</v>
      </c>
      <c r="N2152" s="53" t="s">
        <v>5192</v>
      </c>
      <c r="O2152">
        <v>36.239546</v>
      </c>
      <c r="P2152">
        <v>13.007813</v>
      </c>
      <c r="Q2152" s="5" t="s">
        <v>785</v>
      </c>
      <c r="R2152" s="10">
        <f t="shared" si="10"/>
        <v>48</v>
      </c>
      <c r="S2152" s="5" t="s">
        <v>9551</v>
      </c>
      <c r="T2152" s="6" t="s">
        <v>2130</v>
      </c>
      <c r="U2152" s="5" t="s">
        <v>9552</v>
      </c>
      <c r="V2152" s="5"/>
    </row>
    <row r="2153" ht="12.75" customHeight="1">
      <c r="A2153" s="5">
        <v>35531.0</v>
      </c>
      <c r="B2153" s="5" t="s">
        <v>5200</v>
      </c>
      <c r="C2153" s="5" t="s">
        <v>124</v>
      </c>
      <c r="D2153" s="5" t="s">
        <v>2852</v>
      </c>
      <c r="E2153" s="7" t="s">
        <v>9549</v>
      </c>
      <c r="F2153" s="5" t="s">
        <v>9458</v>
      </c>
      <c r="G2153" s="5" t="s">
        <v>9497</v>
      </c>
      <c r="H2153" s="5">
        <v>2004.0</v>
      </c>
      <c r="I2153" s="5">
        <v>0.0</v>
      </c>
      <c r="J2153" s="5">
        <v>0.0</v>
      </c>
      <c r="K2153" s="5">
        <v>1.0</v>
      </c>
      <c r="L2153" s="54"/>
      <c r="M2153" s="5" t="s">
        <v>9553</v>
      </c>
      <c r="N2153" s="53" t="s">
        <v>2834</v>
      </c>
      <c r="O2153">
        <v>41.244376</v>
      </c>
      <c r="P2153">
        <v>26.135943</v>
      </c>
      <c r="Q2153" s="5" t="s">
        <v>1214</v>
      </c>
      <c r="R2153" s="10">
        <f t="shared" si="10"/>
        <v>188</v>
      </c>
      <c r="S2153" s="5" t="s">
        <v>9554</v>
      </c>
      <c r="T2153" s="6" t="s">
        <v>53</v>
      </c>
      <c r="U2153" s="5" t="s">
        <v>9555</v>
      </c>
      <c r="V2153" s="5"/>
    </row>
    <row r="2154" ht="12.75" customHeight="1">
      <c r="A2154" s="5">
        <v>35533.0</v>
      </c>
      <c r="B2154" s="5" t="s">
        <v>49</v>
      </c>
      <c r="C2154" s="52" t="s">
        <v>50</v>
      </c>
      <c r="D2154" s="5" t="s">
        <v>2852</v>
      </c>
      <c r="E2154" s="7" t="s">
        <v>9556</v>
      </c>
      <c r="F2154" s="5" t="s">
        <v>9458</v>
      </c>
      <c r="G2154" s="5" t="s">
        <v>9497</v>
      </c>
      <c r="H2154" s="5">
        <v>2004.0</v>
      </c>
      <c r="I2154" s="5">
        <v>0.0</v>
      </c>
      <c r="J2154" s="5">
        <v>0.0</v>
      </c>
      <c r="K2154" s="5">
        <v>5.0</v>
      </c>
      <c r="L2154" s="54"/>
      <c r="M2154" s="5" t="s">
        <v>9557</v>
      </c>
      <c r="N2154" s="53" t="s">
        <v>2917</v>
      </c>
      <c r="O2154">
        <v>32.876174</v>
      </c>
      <c r="P2154">
        <v>13.187507</v>
      </c>
      <c r="Q2154" s="5" t="s">
        <v>481</v>
      </c>
      <c r="R2154" s="10">
        <f t="shared" si="10"/>
        <v>1281</v>
      </c>
      <c r="S2154" s="5" t="s">
        <v>9558</v>
      </c>
      <c r="T2154" s="6" t="s">
        <v>2130</v>
      </c>
      <c r="U2154" s="5" t="s">
        <v>8226</v>
      </c>
      <c r="V2154" s="5"/>
    </row>
    <row r="2155" ht="12.75" customHeight="1">
      <c r="A2155" s="5">
        <v>35534.0</v>
      </c>
      <c r="B2155" s="5" t="s">
        <v>49</v>
      </c>
      <c r="C2155" s="52" t="s">
        <v>50</v>
      </c>
      <c r="D2155" s="5" t="s">
        <v>2852</v>
      </c>
      <c r="E2155" s="7" t="s">
        <v>9559</v>
      </c>
      <c r="F2155" s="5" t="s">
        <v>9458</v>
      </c>
      <c r="G2155" s="5" t="s">
        <v>9497</v>
      </c>
      <c r="H2155" s="5">
        <v>2004.0</v>
      </c>
      <c r="I2155" s="5">
        <v>0.0</v>
      </c>
      <c r="J2155" s="5">
        <v>0.0</v>
      </c>
      <c r="K2155" s="5">
        <v>4.0</v>
      </c>
      <c r="L2155" s="54"/>
      <c r="M2155" s="5" t="s">
        <v>9560</v>
      </c>
      <c r="N2155" s="53" t="s">
        <v>3503</v>
      </c>
      <c r="O2155">
        <v>35.240117</v>
      </c>
      <c r="P2155">
        <v>24.809269</v>
      </c>
      <c r="Q2155" s="5" t="s">
        <v>641</v>
      </c>
      <c r="R2155" s="10">
        <f t="shared" si="10"/>
        <v>84</v>
      </c>
      <c r="S2155" s="5" t="s">
        <v>9561</v>
      </c>
      <c r="T2155" s="6" t="s">
        <v>53</v>
      </c>
      <c r="U2155" s="5" t="s">
        <v>3128</v>
      </c>
      <c r="V2155" s="5"/>
    </row>
    <row r="2156" ht="12.75" customHeight="1">
      <c r="A2156" s="5">
        <v>35535.0</v>
      </c>
      <c r="B2156" s="5" t="s">
        <v>49</v>
      </c>
      <c r="C2156" s="52" t="s">
        <v>50</v>
      </c>
      <c r="D2156" s="5" t="s">
        <v>2852</v>
      </c>
      <c r="E2156" s="7" t="s">
        <v>9562</v>
      </c>
      <c r="F2156" s="5" t="s">
        <v>9458</v>
      </c>
      <c r="G2156" s="5" t="s">
        <v>9497</v>
      </c>
      <c r="H2156" s="5">
        <v>2004.0</v>
      </c>
      <c r="I2156" s="5">
        <v>0.0</v>
      </c>
      <c r="J2156" s="5">
        <v>0.0</v>
      </c>
      <c r="K2156" s="5">
        <v>1.0</v>
      </c>
      <c r="L2156" s="54"/>
      <c r="M2156" s="5" t="s">
        <v>9563</v>
      </c>
      <c r="N2156" s="53" t="s">
        <v>9564</v>
      </c>
      <c r="O2156">
        <v>34.658056</v>
      </c>
      <c r="P2156">
        <v>11.068611</v>
      </c>
      <c r="Q2156" s="5" t="s">
        <v>585</v>
      </c>
      <c r="R2156" s="10">
        <f t="shared" si="10"/>
        <v>55</v>
      </c>
      <c r="S2156" s="5" t="s">
        <v>9565</v>
      </c>
      <c r="T2156" s="6" t="s">
        <v>2130</v>
      </c>
      <c r="U2156" s="5" t="s">
        <v>8226</v>
      </c>
      <c r="V2156" s="5" t="s">
        <v>9566</v>
      </c>
    </row>
    <row r="2157" ht="12.75" customHeight="1">
      <c r="A2157" s="5">
        <v>35536.0</v>
      </c>
      <c r="B2157" s="5" t="s">
        <v>68</v>
      </c>
      <c r="C2157" s="5" t="s">
        <v>69</v>
      </c>
      <c r="D2157" s="5" t="s">
        <v>2852</v>
      </c>
      <c r="E2157" s="7" t="s">
        <v>9567</v>
      </c>
      <c r="F2157" s="5" t="s">
        <v>9458</v>
      </c>
      <c r="G2157" s="5" t="s">
        <v>9497</v>
      </c>
      <c r="H2157" s="5">
        <v>2004.0</v>
      </c>
      <c r="I2157" s="5">
        <v>0.0</v>
      </c>
      <c r="J2157" s="5">
        <v>0.0</v>
      </c>
      <c r="K2157" s="5">
        <v>2.0</v>
      </c>
      <c r="L2157" s="54"/>
      <c r="M2157" s="5" t="s">
        <v>9568</v>
      </c>
      <c r="N2157" s="53" t="s">
        <v>5897</v>
      </c>
      <c r="O2157">
        <v>7.946527</v>
      </c>
      <c r="P2157">
        <v>-1.023194</v>
      </c>
      <c r="Q2157" s="5" t="s">
        <v>1931</v>
      </c>
      <c r="R2157" s="10">
        <f t="shared" si="10"/>
        <v>5</v>
      </c>
      <c r="S2157" s="5" t="s">
        <v>9569</v>
      </c>
      <c r="T2157" s="5"/>
      <c r="U2157" s="5" t="s">
        <v>9570</v>
      </c>
      <c r="V2157" s="5"/>
    </row>
    <row r="2158" ht="12.75" customHeight="1">
      <c r="A2158" s="5">
        <v>35537.0</v>
      </c>
      <c r="B2158" s="5" t="s">
        <v>1076</v>
      </c>
      <c r="C2158" s="52" t="s">
        <v>50</v>
      </c>
      <c r="D2158" s="5" t="s">
        <v>2852</v>
      </c>
      <c r="E2158" s="7" t="s">
        <v>9571</v>
      </c>
      <c r="F2158" s="5" t="s">
        <v>9458</v>
      </c>
      <c r="G2158" s="5" t="s">
        <v>9572</v>
      </c>
      <c r="H2158" s="5">
        <v>2004.0</v>
      </c>
      <c r="I2158" s="5">
        <v>0.0</v>
      </c>
      <c r="J2158" s="5">
        <v>0.0</v>
      </c>
      <c r="K2158" s="5">
        <v>2.0</v>
      </c>
      <c r="L2158" s="54"/>
      <c r="M2158" s="5" t="s">
        <v>9573</v>
      </c>
      <c r="N2158" s="53" t="s">
        <v>4605</v>
      </c>
      <c r="O2158">
        <v>37.625683</v>
      </c>
      <c r="P2158">
        <v>-0.996584</v>
      </c>
      <c r="Q2158" s="5" t="s">
        <v>953</v>
      </c>
      <c r="R2158" s="10">
        <f t="shared" si="10"/>
        <v>8</v>
      </c>
      <c r="S2158" s="5" t="s">
        <v>9574</v>
      </c>
      <c r="T2158" s="6" t="s">
        <v>72</v>
      </c>
      <c r="U2158" s="5" t="s">
        <v>9058</v>
      </c>
      <c r="V2158" s="5" t="s">
        <v>9575</v>
      </c>
    </row>
    <row r="2159" ht="12.75" customHeight="1">
      <c r="A2159" s="5">
        <v>35539.0</v>
      </c>
      <c r="B2159" s="5" t="s">
        <v>636</v>
      </c>
      <c r="C2159" s="52" t="s">
        <v>50</v>
      </c>
      <c r="D2159" s="5" t="s">
        <v>2852</v>
      </c>
      <c r="E2159" s="7" t="s">
        <v>9576</v>
      </c>
      <c r="F2159" s="5" t="s">
        <v>9458</v>
      </c>
      <c r="G2159" s="5" t="s">
        <v>9572</v>
      </c>
      <c r="H2159" s="5">
        <v>2004.0</v>
      </c>
      <c r="I2159" s="5">
        <v>0.0</v>
      </c>
      <c r="J2159" s="5">
        <v>0.0</v>
      </c>
      <c r="K2159" s="5">
        <v>1.0</v>
      </c>
      <c r="L2159" s="54"/>
      <c r="M2159" s="5" t="s">
        <v>9577</v>
      </c>
      <c r="N2159" s="53" t="s">
        <v>5814</v>
      </c>
      <c r="O2159">
        <v>28.358744</v>
      </c>
      <c r="P2159">
        <v>-14.053676</v>
      </c>
      <c r="Q2159" s="5" t="s">
        <v>390</v>
      </c>
      <c r="R2159" s="10">
        <f t="shared" si="10"/>
        <v>488</v>
      </c>
      <c r="S2159" s="5" t="s">
        <v>9578</v>
      </c>
      <c r="T2159" s="5" t="s">
        <v>1040</v>
      </c>
      <c r="U2159" s="5" t="s">
        <v>9395</v>
      </c>
      <c r="V2159" s="5" t="s">
        <v>9579</v>
      </c>
    </row>
    <row r="2160" ht="12.75" customHeight="1">
      <c r="A2160" s="5">
        <v>35538.0</v>
      </c>
      <c r="B2160" s="5" t="s">
        <v>68</v>
      </c>
      <c r="C2160" s="5" t="s">
        <v>69</v>
      </c>
      <c r="D2160" s="5" t="s">
        <v>2614</v>
      </c>
      <c r="E2160" s="7" t="s">
        <v>9576</v>
      </c>
      <c r="F2160" s="5" t="s">
        <v>9458</v>
      </c>
      <c r="G2160" s="5" t="s">
        <v>9572</v>
      </c>
      <c r="H2160" s="5">
        <v>2004.0</v>
      </c>
      <c r="I2160" s="5">
        <v>0.0</v>
      </c>
      <c r="J2160" s="5">
        <v>0.0</v>
      </c>
      <c r="K2160" s="5">
        <v>1.0</v>
      </c>
      <c r="L2160" s="54"/>
      <c r="M2160" s="5" t="s">
        <v>9580</v>
      </c>
      <c r="N2160" s="53" t="s">
        <v>3469</v>
      </c>
      <c r="O2160">
        <v>37.177336</v>
      </c>
      <c r="P2160">
        <v>-3.598557</v>
      </c>
      <c r="Q2160" s="5" t="s">
        <v>909</v>
      </c>
      <c r="R2160" s="10">
        <f t="shared" si="10"/>
        <v>38</v>
      </c>
      <c r="S2160" s="5" t="s">
        <v>9581</v>
      </c>
      <c r="T2160" s="6" t="s">
        <v>72</v>
      </c>
      <c r="U2160" s="5" t="s">
        <v>2785</v>
      </c>
      <c r="V2160" s="5" t="s">
        <v>9582</v>
      </c>
    </row>
    <row r="2161" ht="12.75" customHeight="1">
      <c r="A2161" s="5">
        <v>35540.0</v>
      </c>
      <c r="B2161" s="5" t="s">
        <v>49</v>
      </c>
      <c r="C2161" s="52" t="s">
        <v>50</v>
      </c>
      <c r="D2161" s="5" t="s">
        <v>2852</v>
      </c>
      <c r="E2161" s="7" t="s">
        <v>9583</v>
      </c>
      <c r="F2161" s="5" t="s">
        <v>9458</v>
      </c>
      <c r="G2161" s="5" t="s">
        <v>9572</v>
      </c>
      <c r="H2161" s="5">
        <v>2004.0</v>
      </c>
      <c r="I2161" s="5">
        <v>0.0</v>
      </c>
      <c r="J2161" s="5">
        <v>0.0</v>
      </c>
      <c r="K2161" s="5">
        <v>1.0</v>
      </c>
      <c r="L2161" s="54"/>
      <c r="M2161" s="5" t="s">
        <v>9584</v>
      </c>
      <c r="N2161" s="53" t="s">
        <v>3469</v>
      </c>
      <c r="O2161">
        <v>37.177336</v>
      </c>
      <c r="P2161">
        <v>-3.598557</v>
      </c>
      <c r="Q2161" s="5" t="s">
        <v>909</v>
      </c>
      <c r="R2161" s="10">
        <f t="shared" si="10"/>
        <v>38</v>
      </c>
      <c r="S2161" s="5" t="s">
        <v>9585</v>
      </c>
      <c r="T2161" s="6" t="s">
        <v>72</v>
      </c>
      <c r="U2161" s="5" t="s">
        <v>3128</v>
      </c>
      <c r="V2161" s="5"/>
    </row>
    <row r="2162" ht="12.75" customHeight="1">
      <c r="A2162" s="5">
        <v>35541.0</v>
      </c>
      <c r="B2162" s="5" t="s">
        <v>2896</v>
      </c>
      <c r="C2162" s="5" t="s">
        <v>211</v>
      </c>
      <c r="D2162" s="5" t="s">
        <v>2852</v>
      </c>
      <c r="E2162" s="7" t="s">
        <v>9586</v>
      </c>
      <c r="F2162" s="5" t="s">
        <v>9458</v>
      </c>
      <c r="G2162" s="5" t="s">
        <v>9572</v>
      </c>
      <c r="H2162" s="5">
        <v>2004.0</v>
      </c>
      <c r="I2162" s="5">
        <v>0.0</v>
      </c>
      <c r="J2162" s="5">
        <v>0.0</v>
      </c>
      <c r="K2162" s="5">
        <v>1.0</v>
      </c>
      <c r="L2162" s="54"/>
      <c r="M2162" s="5" t="s">
        <v>9587</v>
      </c>
      <c r="N2162" s="53" t="s">
        <v>7822</v>
      </c>
      <c r="O2162">
        <v>35.010802</v>
      </c>
      <c r="P2162">
        <v>-7.514648</v>
      </c>
      <c r="Q2162" s="5" t="s">
        <v>614</v>
      </c>
      <c r="R2162" s="10">
        <f t="shared" si="10"/>
        <v>117</v>
      </c>
      <c r="S2162" s="5" t="s">
        <v>9588</v>
      </c>
      <c r="T2162" s="6" t="s">
        <v>72</v>
      </c>
      <c r="U2162" s="5" t="s">
        <v>9395</v>
      </c>
      <c r="V2162" s="5"/>
    </row>
    <row r="2163" ht="12.75" customHeight="1">
      <c r="A2163" s="5">
        <v>35542.0</v>
      </c>
      <c r="B2163" s="5" t="s">
        <v>2962</v>
      </c>
      <c r="C2163" s="5" t="s">
        <v>211</v>
      </c>
      <c r="D2163" s="5" t="s">
        <v>2852</v>
      </c>
      <c r="E2163" s="7" t="s">
        <v>9586</v>
      </c>
      <c r="F2163" s="5" t="s">
        <v>9458</v>
      </c>
      <c r="G2163" s="5" t="s">
        <v>9572</v>
      </c>
      <c r="H2163" s="5">
        <v>2004.0</v>
      </c>
      <c r="I2163" s="5">
        <v>0.0</v>
      </c>
      <c r="J2163" s="5">
        <v>0.0</v>
      </c>
      <c r="K2163" s="5">
        <v>1.0</v>
      </c>
      <c r="L2163" s="54"/>
      <c r="M2163" s="5" t="s">
        <v>9589</v>
      </c>
      <c r="N2163" s="53" t="s">
        <v>4147</v>
      </c>
      <c r="O2163">
        <v>53.551085</v>
      </c>
      <c r="P2163">
        <v>9.993682</v>
      </c>
      <c r="Q2163" s="5" t="s">
        <v>1846</v>
      </c>
      <c r="R2163" s="10">
        <f t="shared" si="10"/>
        <v>7</v>
      </c>
      <c r="S2163" s="5" t="s">
        <v>9590</v>
      </c>
      <c r="T2163" s="5"/>
      <c r="U2163" s="5" t="s">
        <v>9591</v>
      </c>
      <c r="V2163" s="5"/>
    </row>
    <row r="2164" ht="12.75" customHeight="1">
      <c r="A2164" s="5">
        <v>35546.0</v>
      </c>
      <c r="B2164" s="5" t="s">
        <v>49</v>
      </c>
      <c r="C2164" s="52" t="s">
        <v>50</v>
      </c>
      <c r="D2164" s="5" t="s">
        <v>2852</v>
      </c>
      <c r="E2164" s="7" t="s">
        <v>9592</v>
      </c>
      <c r="F2164" s="5" t="s">
        <v>9458</v>
      </c>
      <c r="G2164" s="5" t="s">
        <v>9572</v>
      </c>
      <c r="H2164" s="5">
        <v>2004.0</v>
      </c>
      <c r="I2164" s="5">
        <v>0.0</v>
      </c>
      <c r="J2164" s="5">
        <v>0.0</v>
      </c>
      <c r="K2164" s="5">
        <v>15.0</v>
      </c>
      <c r="L2164" s="54"/>
      <c r="M2164" s="5" t="s">
        <v>9593</v>
      </c>
      <c r="N2164" s="53" t="s">
        <v>5814</v>
      </c>
      <c r="O2164">
        <v>28.358744</v>
      </c>
      <c r="P2164">
        <v>-14.053676</v>
      </c>
      <c r="Q2164" s="5" t="s">
        <v>390</v>
      </c>
      <c r="R2164" s="10">
        <f t="shared" si="10"/>
        <v>488</v>
      </c>
      <c r="S2164" s="5" t="s">
        <v>9594</v>
      </c>
      <c r="T2164" s="5" t="s">
        <v>1040</v>
      </c>
      <c r="U2164" s="5" t="s">
        <v>9595</v>
      </c>
      <c r="V2164" s="5" t="s">
        <v>9596</v>
      </c>
    </row>
    <row r="2165" ht="12.75" customHeight="1">
      <c r="A2165" s="5">
        <v>35545.0</v>
      </c>
      <c r="B2165" s="5" t="s">
        <v>49</v>
      </c>
      <c r="C2165" s="52" t="s">
        <v>50</v>
      </c>
      <c r="D2165" s="5" t="s">
        <v>2852</v>
      </c>
      <c r="E2165" s="7" t="s">
        <v>9592</v>
      </c>
      <c r="F2165" s="5" t="s">
        <v>9458</v>
      </c>
      <c r="G2165" s="5" t="s">
        <v>9572</v>
      </c>
      <c r="H2165" s="5">
        <v>2004.0</v>
      </c>
      <c r="I2165" s="5">
        <v>0.0</v>
      </c>
      <c r="J2165" s="5">
        <v>0.0</v>
      </c>
      <c r="K2165" s="5">
        <v>14.0</v>
      </c>
      <c r="L2165" s="54"/>
      <c r="M2165" s="5" t="s">
        <v>9597</v>
      </c>
      <c r="N2165" s="53" t="s">
        <v>9598</v>
      </c>
      <c r="O2165">
        <v>28.358744</v>
      </c>
      <c r="P2165">
        <v>-14.053676</v>
      </c>
      <c r="Q2165" s="5" t="s">
        <v>390</v>
      </c>
      <c r="R2165" s="10">
        <f t="shared" si="10"/>
        <v>488</v>
      </c>
      <c r="S2165" s="5" t="s">
        <v>9599</v>
      </c>
      <c r="T2165" s="5" t="s">
        <v>1040</v>
      </c>
      <c r="U2165" s="5" t="s">
        <v>4492</v>
      </c>
      <c r="V2165" s="5"/>
    </row>
    <row r="2166" ht="12.75" customHeight="1">
      <c r="A2166" s="5">
        <v>35544.0</v>
      </c>
      <c r="B2166" s="5" t="s">
        <v>49</v>
      </c>
      <c r="C2166" s="52" t="s">
        <v>50</v>
      </c>
      <c r="D2166" s="5" t="s">
        <v>2852</v>
      </c>
      <c r="E2166" s="7" t="s">
        <v>9592</v>
      </c>
      <c r="F2166" s="5" t="s">
        <v>9458</v>
      </c>
      <c r="G2166" s="5" t="s">
        <v>9572</v>
      </c>
      <c r="H2166" s="5">
        <v>2004.0</v>
      </c>
      <c r="I2166" s="5">
        <v>0.0</v>
      </c>
      <c r="J2166" s="5">
        <v>0.0</v>
      </c>
      <c r="K2166" s="5">
        <v>1.0</v>
      </c>
      <c r="L2166" s="54"/>
      <c r="M2166" s="5" t="s">
        <v>9600</v>
      </c>
      <c r="N2166" s="53" t="s">
        <v>9598</v>
      </c>
      <c r="O2166">
        <v>28.358744</v>
      </c>
      <c r="P2166">
        <v>-14.053676</v>
      </c>
      <c r="Q2166" s="5" t="s">
        <v>390</v>
      </c>
      <c r="R2166" s="10">
        <f t="shared" si="10"/>
        <v>488</v>
      </c>
      <c r="S2166" s="5" t="s">
        <v>9599</v>
      </c>
      <c r="T2166" s="5" t="s">
        <v>1040</v>
      </c>
      <c r="U2166" s="5" t="s">
        <v>9601</v>
      </c>
      <c r="V2166" s="5"/>
    </row>
    <row r="2167" ht="12.75" customHeight="1">
      <c r="A2167" s="5">
        <v>35543.0</v>
      </c>
      <c r="B2167" s="5" t="s">
        <v>49</v>
      </c>
      <c r="C2167" s="52" t="s">
        <v>50</v>
      </c>
      <c r="D2167" s="5" t="s">
        <v>2852</v>
      </c>
      <c r="E2167" s="7" t="s">
        <v>9592</v>
      </c>
      <c r="F2167" s="5" t="s">
        <v>9458</v>
      </c>
      <c r="G2167" s="5" t="s">
        <v>9572</v>
      </c>
      <c r="H2167" s="5">
        <v>2004.0</v>
      </c>
      <c r="I2167" s="5">
        <v>0.0</v>
      </c>
      <c r="J2167" s="5">
        <v>0.0</v>
      </c>
      <c r="K2167" s="5">
        <v>1.0</v>
      </c>
      <c r="L2167" s="54"/>
      <c r="M2167" s="5" t="s">
        <v>9602</v>
      </c>
      <c r="N2167" s="53" t="s">
        <v>9598</v>
      </c>
      <c r="O2167">
        <v>28.358744</v>
      </c>
      <c r="P2167">
        <v>-14.053676</v>
      </c>
      <c r="Q2167" s="5" t="s">
        <v>390</v>
      </c>
      <c r="R2167" s="10">
        <f t="shared" si="10"/>
        <v>488</v>
      </c>
      <c r="S2167" s="5" t="s">
        <v>9599</v>
      </c>
      <c r="T2167" s="5" t="s">
        <v>1040</v>
      </c>
      <c r="U2167" s="5" t="s">
        <v>9601</v>
      </c>
      <c r="V2167" s="5"/>
    </row>
    <row r="2168" ht="12.75" customHeight="1">
      <c r="A2168" s="5">
        <v>35547.0</v>
      </c>
      <c r="B2168" s="5" t="s">
        <v>41</v>
      </c>
      <c r="C2168" s="5" t="s">
        <v>42</v>
      </c>
      <c r="D2168" s="5" t="s">
        <v>2852</v>
      </c>
      <c r="E2168" s="7" t="s">
        <v>9592</v>
      </c>
      <c r="F2168" s="5" t="s">
        <v>9458</v>
      </c>
      <c r="G2168" s="5" t="s">
        <v>9572</v>
      </c>
      <c r="H2168" s="5">
        <v>2004.0</v>
      </c>
      <c r="I2168" s="5">
        <v>0.0</v>
      </c>
      <c r="J2168" s="5">
        <v>0.0</v>
      </c>
      <c r="K2168" s="5">
        <v>2.0</v>
      </c>
      <c r="L2168" s="54"/>
      <c r="M2168" s="5" t="s">
        <v>9603</v>
      </c>
      <c r="N2168" s="53" t="s">
        <v>9604</v>
      </c>
      <c r="O2168">
        <v>48.066823</v>
      </c>
      <c r="P2168">
        <v>19.193115</v>
      </c>
      <c r="Q2168" s="5" t="s">
        <v>1402</v>
      </c>
      <c r="R2168" s="10">
        <f t="shared" si="10"/>
        <v>2</v>
      </c>
      <c r="S2168" s="5" t="s">
        <v>9605</v>
      </c>
      <c r="T2168" s="5"/>
      <c r="U2168" s="5" t="s">
        <v>3128</v>
      </c>
      <c r="V2168" s="5"/>
    </row>
    <row r="2169" ht="12.75" customHeight="1">
      <c r="A2169" s="5">
        <v>35548.0</v>
      </c>
      <c r="B2169" s="5" t="s">
        <v>49</v>
      </c>
      <c r="C2169" s="52" t="s">
        <v>50</v>
      </c>
      <c r="D2169" s="5" t="s">
        <v>2614</v>
      </c>
      <c r="E2169" s="7" t="s">
        <v>9606</v>
      </c>
      <c r="F2169" s="5" t="s">
        <v>9458</v>
      </c>
      <c r="G2169" s="5" t="s">
        <v>9572</v>
      </c>
      <c r="H2169" s="5">
        <v>2004.0</v>
      </c>
      <c r="I2169" s="5">
        <v>0.0</v>
      </c>
      <c r="J2169" s="5">
        <v>0.0</v>
      </c>
      <c r="K2169" s="5">
        <v>12.0</v>
      </c>
      <c r="L2169" s="54"/>
      <c r="M2169" s="5" t="s">
        <v>9607</v>
      </c>
      <c r="N2169" s="53" t="s">
        <v>5291</v>
      </c>
      <c r="O2169">
        <v>23.69751</v>
      </c>
      <c r="P2169">
        <v>-15.93698</v>
      </c>
      <c r="Q2169" s="5" t="s">
        <v>323</v>
      </c>
      <c r="R2169" s="10">
        <f t="shared" si="10"/>
        <v>177</v>
      </c>
      <c r="S2169" s="5" t="s">
        <v>9608</v>
      </c>
      <c r="T2169" s="5" t="s">
        <v>1040</v>
      </c>
      <c r="U2169" s="5" t="s">
        <v>3360</v>
      </c>
      <c r="V2169" s="5" t="s">
        <v>9215</v>
      </c>
    </row>
    <row r="2170" ht="12.75" customHeight="1">
      <c r="A2170" s="5">
        <v>35550.0</v>
      </c>
      <c r="B2170" s="5" t="s">
        <v>49</v>
      </c>
      <c r="C2170" s="52" t="s">
        <v>50</v>
      </c>
      <c r="D2170" s="5" t="s">
        <v>2852</v>
      </c>
      <c r="E2170" s="7" t="s">
        <v>9606</v>
      </c>
      <c r="F2170" s="5" t="s">
        <v>9458</v>
      </c>
      <c r="G2170" s="5" t="s">
        <v>9572</v>
      </c>
      <c r="H2170" s="5">
        <v>2004.0</v>
      </c>
      <c r="I2170" s="5">
        <v>0.0</v>
      </c>
      <c r="J2170" s="5">
        <v>0.0</v>
      </c>
      <c r="K2170" s="5">
        <v>2.0</v>
      </c>
      <c r="L2170" s="54"/>
      <c r="M2170" s="5" t="s">
        <v>9609</v>
      </c>
      <c r="N2170" s="53" t="s">
        <v>5814</v>
      </c>
      <c r="O2170">
        <v>28.358744</v>
      </c>
      <c r="P2170">
        <v>-14.053676</v>
      </c>
      <c r="Q2170" s="5" t="s">
        <v>390</v>
      </c>
      <c r="R2170" s="10">
        <f t="shared" si="10"/>
        <v>488</v>
      </c>
      <c r="S2170" s="5" t="s">
        <v>9610</v>
      </c>
      <c r="T2170" s="5" t="s">
        <v>1040</v>
      </c>
      <c r="U2170" s="5" t="s">
        <v>9611</v>
      </c>
      <c r="V2170" s="5"/>
    </row>
    <row r="2171" ht="12.75" customHeight="1">
      <c r="A2171" s="5">
        <v>35549.0</v>
      </c>
      <c r="B2171" s="5" t="s">
        <v>5200</v>
      </c>
      <c r="C2171" s="5" t="s">
        <v>124</v>
      </c>
      <c r="D2171" s="5" t="s">
        <v>2852</v>
      </c>
      <c r="E2171" s="7" t="s">
        <v>9606</v>
      </c>
      <c r="F2171" s="5" t="s">
        <v>9458</v>
      </c>
      <c r="G2171" s="5" t="s">
        <v>9572</v>
      </c>
      <c r="H2171" s="5">
        <v>2004.0</v>
      </c>
      <c r="I2171" s="5">
        <v>0.0</v>
      </c>
      <c r="J2171" s="5">
        <v>0.0</v>
      </c>
      <c r="K2171" s="5">
        <v>2.0</v>
      </c>
      <c r="L2171" s="54"/>
      <c r="M2171" s="5" t="s">
        <v>9612</v>
      </c>
      <c r="N2171" s="53" t="s">
        <v>2834</v>
      </c>
      <c r="O2171">
        <v>41.244376</v>
      </c>
      <c r="P2171">
        <v>26.135943</v>
      </c>
      <c r="Q2171" s="5" t="s">
        <v>1214</v>
      </c>
      <c r="R2171" s="10">
        <f t="shared" si="10"/>
        <v>188</v>
      </c>
      <c r="S2171" s="5" t="s">
        <v>9613</v>
      </c>
      <c r="T2171" s="6" t="s">
        <v>53</v>
      </c>
      <c r="U2171" s="5" t="s">
        <v>7769</v>
      </c>
      <c r="V2171" s="5"/>
    </row>
    <row r="2172" ht="12.75" customHeight="1">
      <c r="A2172" s="5">
        <v>35552.0</v>
      </c>
      <c r="B2172" s="5" t="s">
        <v>49</v>
      </c>
      <c r="C2172" s="52" t="s">
        <v>50</v>
      </c>
      <c r="D2172" s="5" t="s">
        <v>2852</v>
      </c>
      <c r="E2172" s="7" t="s">
        <v>9614</v>
      </c>
      <c r="F2172" s="5" t="s">
        <v>9458</v>
      </c>
      <c r="G2172" s="5" t="s">
        <v>9572</v>
      </c>
      <c r="H2172" s="5">
        <v>2004.0</v>
      </c>
      <c r="I2172" s="5">
        <v>0.0</v>
      </c>
      <c r="J2172" s="5">
        <v>0.0</v>
      </c>
      <c r="K2172" s="5">
        <v>4.0</v>
      </c>
      <c r="L2172" s="54"/>
      <c r="M2172" s="5" t="s">
        <v>9615</v>
      </c>
      <c r="N2172" s="53" t="s">
        <v>5670</v>
      </c>
      <c r="O2172">
        <v>34.745159</v>
      </c>
      <c r="P2172">
        <v>10.7613</v>
      </c>
      <c r="Q2172" s="5" t="s">
        <v>594</v>
      </c>
      <c r="R2172" s="10">
        <f t="shared" si="10"/>
        <v>239</v>
      </c>
      <c r="S2172" s="5" t="s">
        <v>9616</v>
      </c>
      <c r="T2172" s="6" t="s">
        <v>2130</v>
      </c>
      <c r="U2172" s="5" t="s">
        <v>3128</v>
      </c>
      <c r="V2172" s="5"/>
    </row>
    <row r="2173" ht="12.75" customHeight="1">
      <c r="A2173" s="5">
        <v>35551.0</v>
      </c>
      <c r="B2173" s="5" t="s">
        <v>49</v>
      </c>
      <c r="C2173" s="52" t="s">
        <v>50</v>
      </c>
      <c r="D2173" s="5" t="s">
        <v>2852</v>
      </c>
      <c r="E2173" s="7" t="s">
        <v>9614</v>
      </c>
      <c r="F2173" s="5" t="s">
        <v>9458</v>
      </c>
      <c r="G2173" s="5" t="s">
        <v>9572</v>
      </c>
      <c r="H2173" s="5">
        <v>2004.0</v>
      </c>
      <c r="I2173" s="5">
        <v>0.0</v>
      </c>
      <c r="J2173" s="5">
        <v>0.0</v>
      </c>
      <c r="K2173" s="5">
        <v>6.0</v>
      </c>
      <c r="L2173" s="54"/>
      <c r="M2173" s="5" t="s">
        <v>9617</v>
      </c>
      <c r="N2173" s="53" t="s">
        <v>5670</v>
      </c>
      <c r="O2173">
        <v>34.745159</v>
      </c>
      <c r="P2173">
        <v>10.7613</v>
      </c>
      <c r="Q2173" s="5" t="s">
        <v>594</v>
      </c>
      <c r="R2173" s="10">
        <f t="shared" si="10"/>
        <v>239</v>
      </c>
      <c r="S2173" s="5" t="s">
        <v>9616</v>
      </c>
      <c r="T2173" s="6" t="s">
        <v>2130</v>
      </c>
      <c r="U2173" s="5" t="s">
        <v>3128</v>
      </c>
      <c r="V2173" s="5"/>
    </row>
    <row r="2174" ht="12.75" customHeight="1">
      <c r="A2174" s="5">
        <v>35554.0</v>
      </c>
      <c r="B2174" s="5" t="s">
        <v>49</v>
      </c>
      <c r="C2174" s="52" t="s">
        <v>50</v>
      </c>
      <c r="D2174" s="5" t="s">
        <v>2852</v>
      </c>
      <c r="E2174" s="7" t="s">
        <v>9618</v>
      </c>
      <c r="F2174" s="5" t="s">
        <v>9458</v>
      </c>
      <c r="G2174" s="5" t="s">
        <v>9572</v>
      </c>
      <c r="H2174" s="5">
        <v>2004.0</v>
      </c>
      <c r="I2174" s="5">
        <v>0.0</v>
      </c>
      <c r="J2174" s="5">
        <v>0.0</v>
      </c>
      <c r="K2174" s="5">
        <v>1.0</v>
      </c>
      <c r="L2174" s="54"/>
      <c r="M2174" s="5" t="s">
        <v>9619</v>
      </c>
      <c r="N2174" s="53" t="s">
        <v>2638</v>
      </c>
      <c r="O2174">
        <v>35.888384</v>
      </c>
      <c r="P2174">
        <v>-5.324636</v>
      </c>
      <c r="Q2174" s="5" t="s">
        <v>717</v>
      </c>
      <c r="R2174" s="10">
        <f t="shared" si="10"/>
        <v>213</v>
      </c>
      <c r="S2174" s="5" t="s">
        <v>9620</v>
      </c>
      <c r="T2174" s="6" t="s">
        <v>72</v>
      </c>
      <c r="U2174" s="5" t="s">
        <v>9621</v>
      </c>
      <c r="V2174" s="5" t="s">
        <v>9622</v>
      </c>
    </row>
    <row r="2175" ht="12.75" customHeight="1">
      <c r="A2175" s="5">
        <v>35553.0</v>
      </c>
      <c r="B2175" s="5" t="s">
        <v>1995</v>
      </c>
      <c r="C2175" s="52" t="s">
        <v>50</v>
      </c>
      <c r="D2175" s="5" t="s">
        <v>2852</v>
      </c>
      <c r="E2175" s="7" t="s">
        <v>9618</v>
      </c>
      <c r="F2175" s="5" t="s">
        <v>9458</v>
      </c>
      <c r="G2175" s="5" t="s">
        <v>9572</v>
      </c>
      <c r="H2175" s="5">
        <v>2004.0</v>
      </c>
      <c r="I2175" s="5">
        <v>0.0</v>
      </c>
      <c r="J2175" s="5">
        <v>0.0</v>
      </c>
      <c r="K2175" s="5">
        <v>1.0</v>
      </c>
      <c r="L2175" s="54"/>
      <c r="M2175" s="5" t="s">
        <v>9623</v>
      </c>
      <c r="N2175" s="53" t="s">
        <v>9624</v>
      </c>
      <c r="O2175">
        <v>51.89439</v>
      </c>
      <c r="P2175">
        <v>11.053734</v>
      </c>
      <c r="Q2175" s="5" t="s">
        <v>1690</v>
      </c>
      <c r="R2175" s="10">
        <f t="shared" si="10"/>
        <v>1</v>
      </c>
      <c r="S2175" s="5" t="s">
        <v>9625</v>
      </c>
      <c r="T2175" s="5"/>
      <c r="U2175" s="5" t="s">
        <v>9626</v>
      </c>
      <c r="V2175" s="5"/>
    </row>
    <row r="2176" ht="12.75" customHeight="1">
      <c r="A2176" s="5">
        <v>35555.0</v>
      </c>
      <c r="B2176" s="5" t="s">
        <v>41</v>
      </c>
      <c r="C2176" s="5" t="s">
        <v>42</v>
      </c>
      <c r="D2176" s="5" t="s">
        <v>2614</v>
      </c>
      <c r="E2176" s="7" t="s">
        <v>9627</v>
      </c>
      <c r="F2176" s="5" t="s">
        <v>9628</v>
      </c>
      <c r="G2176" s="5" t="s">
        <v>9629</v>
      </c>
      <c r="H2176" s="5">
        <v>2004.0</v>
      </c>
      <c r="I2176" s="5">
        <v>0.0</v>
      </c>
      <c r="J2176" s="5">
        <v>0.0</v>
      </c>
      <c r="K2176" s="5">
        <v>2.0</v>
      </c>
      <c r="L2176" s="54"/>
      <c r="M2176" s="5" t="s">
        <v>9630</v>
      </c>
      <c r="N2176" s="53" t="s">
        <v>2718</v>
      </c>
      <c r="O2176">
        <v>35.292278</v>
      </c>
      <c r="P2176">
        <v>-2.938097</v>
      </c>
      <c r="Q2176" s="5" t="s">
        <v>649</v>
      </c>
      <c r="R2176" s="10">
        <f t="shared" si="10"/>
        <v>79</v>
      </c>
      <c r="S2176" s="5" t="s">
        <v>9631</v>
      </c>
      <c r="T2176" s="6" t="s">
        <v>72</v>
      </c>
      <c r="U2176" s="5" t="s">
        <v>2521</v>
      </c>
      <c r="V2176" s="5" t="s">
        <v>9632</v>
      </c>
    </row>
    <row r="2177" ht="12.75" customHeight="1">
      <c r="A2177" s="5">
        <v>35556.0</v>
      </c>
      <c r="B2177" s="5" t="s">
        <v>68</v>
      </c>
      <c r="C2177" s="5" t="s">
        <v>69</v>
      </c>
      <c r="D2177" s="5" t="s">
        <v>2614</v>
      </c>
      <c r="E2177" s="7" t="s">
        <v>9633</v>
      </c>
      <c r="F2177" s="5" t="s">
        <v>9628</v>
      </c>
      <c r="G2177" s="5" t="s">
        <v>9629</v>
      </c>
      <c r="H2177" s="5">
        <v>2004.0</v>
      </c>
      <c r="I2177" s="5">
        <v>0.0</v>
      </c>
      <c r="J2177" s="5">
        <v>0.0</v>
      </c>
      <c r="K2177" s="5">
        <v>13.0</v>
      </c>
      <c r="L2177" s="54"/>
      <c r="M2177" s="5" t="s">
        <v>9634</v>
      </c>
      <c r="N2177" s="53" t="s">
        <v>2944</v>
      </c>
      <c r="O2177">
        <v>-12.8275</v>
      </c>
      <c r="P2177">
        <v>45.166244</v>
      </c>
      <c r="Q2177" s="5" t="s">
        <v>228</v>
      </c>
      <c r="R2177" s="10">
        <f t="shared" si="10"/>
        <v>757</v>
      </c>
      <c r="S2177" s="5" t="s">
        <v>9635</v>
      </c>
      <c r="T2177" s="5"/>
      <c r="U2177" s="5" t="s">
        <v>8097</v>
      </c>
      <c r="V2177" s="5" t="s">
        <v>8585</v>
      </c>
    </row>
    <row r="2178" ht="12.75" customHeight="1">
      <c r="A2178" s="5">
        <v>35557.0</v>
      </c>
      <c r="B2178" s="5" t="s">
        <v>2962</v>
      </c>
      <c r="C2178" s="5" t="s">
        <v>211</v>
      </c>
      <c r="D2178" s="5" t="s">
        <v>2852</v>
      </c>
      <c r="E2178" s="7" t="s">
        <v>9636</v>
      </c>
      <c r="F2178" s="5" t="s">
        <v>9628</v>
      </c>
      <c r="G2178" s="5" t="s">
        <v>9629</v>
      </c>
      <c r="H2178" s="5">
        <v>2004.0</v>
      </c>
      <c r="I2178" s="5">
        <v>0.0</v>
      </c>
      <c r="J2178" s="5">
        <v>0.0</v>
      </c>
      <c r="K2178" s="5">
        <v>1.0</v>
      </c>
      <c r="L2178" s="54"/>
      <c r="M2178" s="5" t="s">
        <v>9637</v>
      </c>
      <c r="N2178" s="53" t="s">
        <v>9638</v>
      </c>
      <c r="O2178">
        <v>52.630886</v>
      </c>
      <c r="P2178">
        <v>1.297355</v>
      </c>
      <c r="Q2178" s="5" t="s">
        <v>1786</v>
      </c>
      <c r="R2178" s="10">
        <f t="shared" si="10"/>
        <v>1</v>
      </c>
      <c r="S2178" s="5" t="s">
        <v>9639</v>
      </c>
      <c r="T2178" s="5"/>
      <c r="U2178" s="5" t="s">
        <v>3219</v>
      </c>
      <c r="V2178" s="5"/>
    </row>
    <row r="2179" ht="12.75" customHeight="1">
      <c r="A2179" s="5">
        <v>35559.0</v>
      </c>
      <c r="B2179" s="5" t="s">
        <v>49</v>
      </c>
      <c r="C2179" s="52" t="s">
        <v>50</v>
      </c>
      <c r="D2179" s="5" t="s">
        <v>2852</v>
      </c>
      <c r="E2179" s="7" t="s">
        <v>9640</v>
      </c>
      <c r="F2179" s="5" t="s">
        <v>9628</v>
      </c>
      <c r="G2179" s="5" t="s">
        <v>9629</v>
      </c>
      <c r="H2179" s="5">
        <v>2004.0</v>
      </c>
      <c r="I2179" s="5">
        <v>0.0</v>
      </c>
      <c r="J2179" s="5">
        <v>0.0</v>
      </c>
      <c r="K2179" s="5">
        <v>42.0</v>
      </c>
      <c r="L2179" s="54"/>
      <c r="M2179" s="5" t="s">
        <v>9641</v>
      </c>
      <c r="N2179" s="53" t="s">
        <v>3524</v>
      </c>
      <c r="O2179">
        <v>36.81881</v>
      </c>
      <c r="P2179">
        <v>10.16596</v>
      </c>
      <c r="Q2179" s="5" t="s">
        <v>854</v>
      </c>
      <c r="R2179" s="10">
        <f t="shared" si="10"/>
        <v>540</v>
      </c>
      <c r="S2179" s="5" t="s">
        <v>9642</v>
      </c>
      <c r="T2179" s="6" t="s">
        <v>2130</v>
      </c>
      <c r="U2179" s="5" t="s">
        <v>9643</v>
      </c>
      <c r="V2179" s="5"/>
    </row>
    <row r="2180" ht="12.75" customHeight="1">
      <c r="A2180" s="5">
        <v>35558.0</v>
      </c>
      <c r="B2180" s="5" t="s">
        <v>49</v>
      </c>
      <c r="C2180" s="52" t="s">
        <v>50</v>
      </c>
      <c r="D2180" s="5" t="s">
        <v>2852</v>
      </c>
      <c r="E2180" s="7" t="s">
        <v>9640</v>
      </c>
      <c r="F2180" s="5" t="s">
        <v>9628</v>
      </c>
      <c r="G2180" s="5" t="s">
        <v>9629</v>
      </c>
      <c r="H2180" s="5">
        <v>2004.0</v>
      </c>
      <c r="I2180" s="5">
        <v>0.0</v>
      </c>
      <c r="J2180" s="5">
        <v>0.0</v>
      </c>
      <c r="K2180" s="5">
        <v>22.0</v>
      </c>
      <c r="L2180" s="54"/>
      <c r="M2180" s="5" t="s">
        <v>9644</v>
      </c>
      <c r="N2180" s="53" t="s">
        <v>3524</v>
      </c>
      <c r="O2180">
        <v>36.81881</v>
      </c>
      <c r="P2180">
        <v>10.16596</v>
      </c>
      <c r="Q2180" s="5" t="s">
        <v>854</v>
      </c>
      <c r="R2180" s="10">
        <f t="shared" si="10"/>
        <v>540</v>
      </c>
      <c r="S2180" s="5" t="s">
        <v>9642</v>
      </c>
      <c r="T2180" s="6" t="s">
        <v>2130</v>
      </c>
      <c r="U2180" s="5" t="s">
        <v>9645</v>
      </c>
      <c r="V2180" s="5"/>
    </row>
    <row r="2181" ht="12.75" customHeight="1">
      <c r="A2181" s="5">
        <v>35560.0</v>
      </c>
      <c r="B2181" s="5" t="s">
        <v>49</v>
      </c>
      <c r="C2181" s="52" t="s">
        <v>50</v>
      </c>
      <c r="D2181" s="5" t="s">
        <v>2852</v>
      </c>
      <c r="E2181" s="7" t="s">
        <v>9646</v>
      </c>
      <c r="F2181" s="5" t="s">
        <v>9628</v>
      </c>
      <c r="G2181" s="5" t="s">
        <v>9629</v>
      </c>
      <c r="H2181" s="5">
        <v>2004.0</v>
      </c>
      <c r="I2181" s="5">
        <v>0.0</v>
      </c>
      <c r="J2181" s="5">
        <v>0.0</v>
      </c>
      <c r="K2181" s="5">
        <v>2.0</v>
      </c>
      <c r="L2181" s="54"/>
      <c r="M2181" s="5" t="s">
        <v>9647</v>
      </c>
      <c r="N2181" s="53" t="s">
        <v>9648</v>
      </c>
      <c r="O2181">
        <v>35.766667</v>
      </c>
      <c r="P2181">
        <v>-5.8</v>
      </c>
      <c r="Q2181" s="5" t="s">
        <v>695</v>
      </c>
      <c r="R2181" s="10">
        <f t="shared" si="10"/>
        <v>190</v>
      </c>
      <c r="S2181" s="5" t="s">
        <v>9649</v>
      </c>
      <c r="T2181" s="6" t="s">
        <v>72</v>
      </c>
      <c r="U2181" s="5" t="s">
        <v>9650</v>
      </c>
      <c r="V2181" s="5"/>
    </row>
    <row r="2182" ht="12.75" customHeight="1">
      <c r="A2182" s="5">
        <v>35561.0</v>
      </c>
      <c r="B2182" s="5" t="s">
        <v>1076</v>
      </c>
      <c r="C2182" s="52" t="s">
        <v>50</v>
      </c>
      <c r="D2182" s="5" t="s">
        <v>2852</v>
      </c>
      <c r="E2182" s="7" t="s">
        <v>9651</v>
      </c>
      <c r="F2182" s="5" t="s">
        <v>9628</v>
      </c>
      <c r="G2182" s="5" t="s">
        <v>9652</v>
      </c>
      <c r="H2182" s="5">
        <v>2004.0</v>
      </c>
      <c r="I2182" s="5">
        <v>0.0</v>
      </c>
      <c r="J2182" s="5">
        <v>0.0</v>
      </c>
      <c r="K2182" s="5">
        <v>1.0</v>
      </c>
      <c r="L2182" s="54"/>
      <c r="M2182" s="5" t="s">
        <v>9653</v>
      </c>
      <c r="N2182" s="53" t="s">
        <v>9654</v>
      </c>
      <c r="O2182">
        <v>43.32547</v>
      </c>
      <c r="P2182">
        <v>-1.93014</v>
      </c>
      <c r="Q2182" s="5" t="s">
        <v>1269</v>
      </c>
      <c r="R2182" s="10">
        <f t="shared" si="10"/>
        <v>3</v>
      </c>
      <c r="S2182" s="5" t="s">
        <v>9655</v>
      </c>
      <c r="T2182" s="6" t="s">
        <v>72</v>
      </c>
      <c r="U2182" s="5" t="s">
        <v>8126</v>
      </c>
      <c r="V2182" s="5"/>
    </row>
    <row r="2183" ht="12.75" customHeight="1">
      <c r="A2183" s="5">
        <v>35562.0</v>
      </c>
      <c r="B2183" s="5" t="s">
        <v>3409</v>
      </c>
      <c r="C2183" s="5" t="s">
        <v>211</v>
      </c>
      <c r="D2183" s="5" t="s">
        <v>2852</v>
      </c>
      <c r="E2183" s="7" t="s">
        <v>9656</v>
      </c>
      <c r="F2183" s="5" t="s">
        <v>9628</v>
      </c>
      <c r="G2183" s="5" t="s">
        <v>9652</v>
      </c>
      <c r="H2183" s="5">
        <v>2004.0</v>
      </c>
      <c r="I2183" s="5">
        <v>0.0</v>
      </c>
      <c r="J2183" s="5">
        <v>0.0</v>
      </c>
      <c r="K2183" s="5">
        <v>1.0</v>
      </c>
      <c r="L2183" s="54"/>
      <c r="M2183" s="5" t="s">
        <v>9657</v>
      </c>
      <c r="N2183" s="53" t="s">
        <v>9658</v>
      </c>
      <c r="O2183">
        <v>50.937531</v>
      </c>
      <c r="P2183">
        <v>6.960279</v>
      </c>
      <c r="Q2183" s="5" t="s">
        <v>1546</v>
      </c>
      <c r="R2183" s="10">
        <f t="shared" si="10"/>
        <v>1</v>
      </c>
      <c r="S2183" s="5" t="s">
        <v>9659</v>
      </c>
      <c r="T2183" s="5"/>
      <c r="U2183" s="5" t="s">
        <v>9660</v>
      </c>
      <c r="V2183" s="5"/>
    </row>
    <row r="2184" ht="12.75" customHeight="1">
      <c r="A2184" s="5">
        <v>35563.0</v>
      </c>
      <c r="B2184" s="5" t="s">
        <v>49</v>
      </c>
      <c r="C2184" s="52" t="s">
        <v>50</v>
      </c>
      <c r="D2184" s="5" t="s">
        <v>2852</v>
      </c>
      <c r="E2184" s="7" t="s">
        <v>9661</v>
      </c>
      <c r="F2184" s="5" t="s">
        <v>9628</v>
      </c>
      <c r="G2184" s="5" t="s">
        <v>9652</v>
      </c>
      <c r="H2184" s="5">
        <v>2004.0</v>
      </c>
      <c r="I2184" s="5">
        <v>0.0</v>
      </c>
      <c r="J2184" s="5">
        <v>0.0</v>
      </c>
      <c r="K2184" s="5">
        <v>1.0</v>
      </c>
      <c r="L2184" s="54"/>
      <c r="M2184" s="5" t="s">
        <v>9662</v>
      </c>
      <c r="N2184" s="53" t="s">
        <v>9663</v>
      </c>
      <c r="O2184">
        <v>36.418702</v>
      </c>
      <c r="P2184">
        <v>-6.148541</v>
      </c>
      <c r="Q2184" s="5" t="s">
        <v>798</v>
      </c>
      <c r="R2184" s="10">
        <f t="shared" si="10"/>
        <v>1</v>
      </c>
      <c r="S2184" s="5" t="s">
        <v>9664</v>
      </c>
      <c r="T2184" s="6" t="s">
        <v>72</v>
      </c>
      <c r="U2184" s="5" t="s">
        <v>9395</v>
      </c>
      <c r="V2184" s="5" t="s">
        <v>9665</v>
      </c>
    </row>
    <row r="2185" ht="12.75" customHeight="1">
      <c r="A2185" s="5">
        <v>35565.0</v>
      </c>
      <c r="B2185" s="5" t="s">
        <v>49</v>
      </c>
      <c r="C2185" s="52" t="s">
        <v>50</v>
      </c>
      <c r="D2185" s="5" t="s">
        <v>2852</v>
      </c>
      <c r="E2185" s="7" t="s">
        <v>9666</v>
      </c>
      <c r="F2185" s="5" t="s">
        <v>9628</v>
      </c>
      <c r="G2185" s="5" t="s">
        <v>9652</v>
      </c>
      <c r="H2185" s="5">
        <v>2004.0</v>
      </c>
      <c r="I2185" s="5">
        <v>0.0</v>
      </c>
      <c r="J2185" s="5">
        <v>0.0</v>
      </c>
      <c r="K2185" s="5">
        <v>13.0</v>
      </c>
      <c r="L2185" s="54"/>
      <c r="M2185" s="5" t="s">
        <v>9667</v>
      </c>
      <c r="N2185" s="53" t="s">
        <v>7911</v>
      </c>
      <c r="O2185">
        <v>38.652771</v>
      </c>
      <c r="P2185">
        <v>26.613007</v>
      </c>
      <c r="Q2185" s="5" t="s">
        <v>1032</v>
      </c>
      <c r="R2185" s="10">
        <f t="shared" si="10"/>
        <v>69</v>
      </c>
      <c r="S2185" s="5" t="s">
        <v>9668</v>
      </c>
      <c r="T2185" s="6" t="s">
        <v>53</v>
      </c>
      <c r="U2185" s="5" t="s">
        <v>9669</v>
      </c>
      <c r="V2185" s="5" t="s">
        <v>9670</v>
      </c>
    </row>
    <row r="2186" ht="12.75" customHeight="1">
      <c r="A2186" s="5">
        <v>35564.0</v>
      </c>
      <c r="B2186" s="5" t="s">
        <v>49</v>
      </c>
      <c r="C2186" s="52" t="s">
        <v>50</v>
      </c>
      <c r="D2186" s="5" t="s">
        <v>2852</v>
      </c>
      <c r="E2186" s="7" t="s">
        <v>9666</v>
      </c>
      <c r="F2186" s="5" t="s">
        <v>9628</v>
      </c>
      <c r="G2186" s="5" t="s">
        <v>9652</v>
      </c>
      <c r="H2186" s="5">
        <v>2004.0</v>
      </c>
      <c r="I2186" s="5">
        <v>0.0</v>
      </c>
      <c r="J2186" s="5">
        <v>0.0</v>
      </c>
      <c r="K2186" s="5">
        <v>15.0</v>
      </c>
      <c r="L2186" s="54"/>
      <c r="M2186" s="5" t="s">
        <v>9671</v>
      </c>
      <c r="N2186" s="53" t="s">
        <v>5585</v>
      </c>
      <c r="O2186">
        <v>39.33589</v>
      </c>
      <c r="P2186">
        <v>26.71281</v>
      </c>
      <c r="Q2186" s="5" t="s">
        <v>1082</v>
      </c>
      <c r="R2186" s="10">
        <f t="shared" si="10"/>
        <v>24</v>
      </c>
      <c r="S2186" s="5" t="s">
        <v>9672</v>
      </c>
      <c r="T2186" s="6" t="s">
        <v>53</v>
      </c>
      <c r="U2186" s="5" t="s">
        <v>9669</v>
      </c>
      <c r="V2186" s="5"/>
    </row>
    <row r="2187" ht="12.75" customHeight="1">
      <c r="A2187" s="5">
        <v>35566.0</v>
      </c>
      <c r="B2187" s="5" t="s">
        <v>41</v>
      </c>
      <c r="C2187" s="5" t="s">
        <v>42</v>
      </c>
      <c r="D2187" s="5" t="s">
        <v>2614</v>
      </c>
      <c r="E2187" s="7" t="s">
        <v>9673</v>
      </c>
      <c r="F2187" s="5" t="s">
        <v>9628</v>
      </c>
      <c r="G2187" s="5" t="s">
        <v>9652</v>
      </c>
      <c r="H2187" s="5">
        <v>2004.0</v>
      </c>
      <c r="I2187" s="5">
        <v>0.0</v>
      </c>
      <c r="J2187" s="5">
        <v>0.0</v>
      </c>
      <c r="K2187" s="5">
        <v>1.0</v>
      </c>
      <c r="L2187" s="54"/>
      <c r="M2187" s="5" t="s">
        <v>9674</v>
      </c>
      <c r="N2187" s="53" t="s">
        <v>2718</v>
      </c>
      <c r="O2187">
        <v>35.292278</v>
      </c>
      <c r="P2187">
        <v>-2.938097</v>
      </c>
      <c r="Q2187" s="5" t="s">
        <v>649</v>
      </c>
      <c r="R2187" s="10">
        <f t="shared" si="10"/>
        <v>79</v>
      </c>
      <c r="S2187" s="5" t="s">
        <v>9675</v>
      </c>
      <c r="T2187" s="6" t="s">
        <v>72</v>
      </c>
      <c r="U2187" s="5" t="s">
        <v>9676</v>
      </c>
      <c r="V2187" s="5" t="s">
        <v>9677</v>
      </c>
    </row>
    <row r="2188" ht="12.75" customHeight="1">
      <c r="A2188" s="5">
        <v>35567.0</v>
      </c>
      <c r="B2188" s="5" t="s">
        <v>68</v>
      </c>
      <c r="C2188" s="5" t="s">
        <v>69</v>
      </c>
      <c r="D2188" s="5" t="s">
        <v>2614</v>
      </c>
      <c r="E2188" s="7" t="s">
        <v>9678</v>
      </c>
      <c r="F2188" s="5" t="s">
        <v>9628</v>
      </c>
      <c r="G2188" s="5" t="s">
        <v>9652</v>
      </c>
      <c r="H2188" s="5">
        <v>2004.0</v>
      </c>
      <c r="I2188" s="5">
        <v>0.0</v>
      </c>
      <c r="J2188" s="5">
        <v>0.0</v>
      </c>
      <c r="K2188" s="5">
        <v>18.0</v>
      </c>
      <c r="L2188" s="54"/>
      <c r="M2188" s="5" t="s">
        <v>9679</v>
      </c>
      <c r="N2188" s="53" t="s">
        <v>7071</v>
      </c>
      <c r="O2188">
        <v>27.153611</v>
      </c>
      <c r="P2188">
        <v>-13.203333</v>
      </c>
      <c r="Q2188" s="5" t="s">
        <v>349</v>
      </c>
      <c r="R2188" s="10">
        <f t="shared" si="10"/>
        <v>348</v>
      </c>
      <c r="S2188" s="5" t="s">
        <v>9680</v>
      </c>
      <c r="T2188" s="5" t="s">
        <v>1040</v>
      </c>
      <c r="U2188" s="5" t="s">
        <v>6735</v>
      </c>
      <c r="V2188" s="5" t="s">
        <v>9215</v>
      </c>
    </row>
    <row r="2189" ht="12.75" customHeight="1">
      <c r="A2189" s="5">
        <v>35568.0</v>
      </c>
      <c r="B2189" s="5" t="s">
        <v>49</v>
      </c>
      <c r="C2189" s="52" t="s">
        <v>50</v>
      </c>
      <c r="D2189" s="5" t="s">
        <v>2852</v>
      </c>
      <c r="E2189" s="7" t="s">
        <v>9681</v>
      </c>
      <c r="F2189" s="5" t="s">
        <v>9628</v>
      </c>
      <c r="G2189" s="5" t="s">
        <v>9652</v>
      </c>
      <c r="H2189" s="5">
        <v>2004.0</v>
      </c>
      <c r="I2189" s="5">
        <v>0.0</v>
      </c>
      <c r="J2189" s="5">
        <v>0.0</v>
      </c>
      <c r="K2189" s="5">
        <v>75.0</v>
      </c>
      <c r="L2189" s="54"/>
      <c r="M2189" s="5" t="s">
        <v>9682</v>
      </c>
      <c r="N2189" s="53" t="s">
        <v>3524</v>
      </c>
      <c r="O2189">
        <v>36.81881</v>
      </c>
      <c r="P2189">
        <v>10.16596</v>
      </c>
      <c r="Q2189" s="5" t="s">
        <v>854</v>
      </c>
      <c r="R2189" s="10">
        <f t="shared" si="10"/>
        <v>540</v>
      </c>
      <c r="S2189" s="5" t="s">
        <v>9683</v>
      </c>
      <c r="T2189" s="6" t="s">
        <v>2130</v>
      </c>
      <c r="U2189" s="5" t="s">
        <v>9684</v>
      </c>
      <c r="V2189" s="5"/>
    </row>
    <row r="2190" ht="12.75" customHeight="1">
      <c r="A2190" s="5">
        <v>35570.0</v>
      </c>
      <c r="B2190" s="5" t="s">
        <v>49</v>
      </c>
      <c r="C2190" s="52" t="s">
        <v>50</v>
      </c>
      <c r="D2190" s="5" t="s">
        <v>2852</v>
      </c>
      <c r="E2190" s="7" t="s">
        <v>9685</v>
      </c>
      <c r="F2190" s="5" t="s">
        <v>9628</v>
      </c>
      <c r="G2190" s="5" t="s">
        <v>9652</v>
      </c>
      <c r="H2190" s="5">
        <v>2004.0</v>
      </c>
      <c r="I2190" s="5">
        <v>0.0</v>
      </c>
      <c r="J2190" s="5">
        <v>0.0</v>
      </c>
      <c r="K2190" s="5">
        <v>1.0</v>
      </c>
      <c r="L2190" s="54"/>
      <c r="M2190" s="5" t="s">
        <v>9686</v>
      </c>
      <c r="N2190" s="53" t="s">
        <v>2638</v>
      </c>
      <c r="O2190">
        <v>35.888384</v>
      </c>
      <c r="P2190">
        <v>-5.324636</v>
      </c>
      <c r="Q2190" s="5" t="s">
        <v>717</v>
      </c>
      <c r="R2190" s="10">
        <f t="shared" si="10"/>
        <v>213</v>
      </c>
      <c r="S2190" s="5" t="s">
        <v>9687</v>
      </c>
      <c r="T2190" s="6" t="s">
        <v>72</v>
      </c>
      <c r="U2190" s="5" t="s">
        <v>9299</v>
      </c>
      <c r="V2190" s="5"/>
    </row>
    <row r="2191" ht="12.75" customHeight="1">
      <c r="A2191" s="5">
        <v>35569.0</v>
      </c>
      <c r="B2191" s="5" t="s">
        <v>68</v>
      </c>
      <c r="C2191" s="5" t="s">
        <v>69</v>
      </c>
      <c r="D2191" s="5" t="s">
        <v>2852</v>
      </c>
      <c r="E2191" s="7" t="s">
        <v>9685</v>
      </c>
      <c r="F2191" s="5" t="s">
        <v>9628</v>
      </c>
      <c r="G2191" s="5" t="s">
        <v>9652</v>
      </c>
      <c r="H2191" s="5">
        <v>2004.0</v>
      </c>
      <c r="I2191" s="5">
        <v>0.0</v>
      </c>
      <c r="J2191" s="5">
        <v>0.0</v>
      </c>
      <c r="K2191" s="5">
        <v>1.0</v>
      </c>
      <c r="L2191" s="54"/>
      <c r="M2191" s="5" t="s">
        <v>9688</v>
      </c>
      <c r="N2191" s="53" t="s">
        <v>3966</v>
      </c>
      <c r="O2191">
        <v>60.128161</v>
      </c>
      <c r="P2191">
        <v>18.643501</v>
      </c>
      <c r="Q2191" s="5" t="s">
        <v>1915</v>
      </c>
      <c r="R2191" s="10">
        <f t="shared" si="10"/>
        <v>5</v>
      </c>
      <c r="S2191" s="5" t="s">
        <v>9689</v>
      </c>
      <c r="T2191" s="5"/>
      <c r="U2191" s="5" t="s">
        <v>3128</v>
      </c>
      <c r="V2191" s="5"/>
    </row>
    <row r="2192" ht="12.75" customHeight="1">
      <c r="A2192" s="5">
        <v>35571.0</v>
      </c>
      <c r="B2192" s="5" t="s">
        <v>49</v>
      </c>
      <c r="C2192" s="52" t="s">
        <v>50</v>
      </c>
      <c r="D2192" s="5" t="s">
        <v>2852</v>
      </c>
      <c r="E2192" s="7" t="s">
        <v>9690</v>
      </c>
      <c r="F2192" s="5" t="s">
        <v>9628</v>
      </c>
      <c r="G2192" s="5" t="s">
        <v>9652</v>
      </c>
      <c r="H2192" s="5">
        <v>2004.0</v>
      </c>
      <c r="I2192" s="5">
        <v>0.0</v>
      </c>
      <c r="J2192" s="5">
        <v>0.0</v>
      </c>
      <c r="K2192" s="5">
        <v>5.0</v>
      </c>
      <c r="L2192" s="54"/>
      <c r="M2192" s="5" t="s">
        <v>9691</v>
      </c>
      <c r="N2192" s="53" t="s">
        <v>2857</v>
      </c>
      <c r="O2192">
        <v>36.527061</v>
      </c>
      <c r="P2192">
        <v>-6.288596</v>
      </c>
      <c r="Q2192" s="5" t="s">
        <v>802</v>
      </c>
      <c r="R2192" s="10">
        <f t="shared" si="10"/>
        <v>185</v>
      </c>
      <c r="S2192" s="5" t="s">
        <v>9692</v>
      </c>
      <c r="T2192" s="6" t="s">
        <v>72</v>
      </c>
      <c r="U2192" s="5" t="s">
        <v>9295</v>
      </c>
      <c r="V2192" s="5"/>
    </row>
    <row r="2193" ht="12.75" customHeight="1">
      <c r="A2193" s="5">
        <v>35572.0</v>
      </c>
      <c r="B2193" s="5" t="s">
        <v>2962</v>
      </c>
      <c r="C2193" s="5" t="s">
        <v>211</v>
      </c>
      <c r="D2193" s="5" t="s">
        <v>2852</v>
      </c>
      <c r="E2193" s="7" t="s">
        <v>9693</v>
      </c>
      <c r="F2193" s="5" t="s">
        <v>9628</v>
      </c>
      <c r="G2193" s="5" t="s">
        <v>9652</v>
      </c>
      <c r="H2193" s="5">
        <v>2004.0</v>
      </c>
      <c r="I2193" s="5">
        <v>0.0</v>
      </c>
      <c r="J2193" s="5">
        <v>0.0</v>
      </c>
      <c r="K2193" s="5">
        <v>1.0</v>
      </c>
      <c r="L2193" s="54"/>
      <c r="M2193" s="5" t="s">
        <v>9694</v>
      </c>
      <c r="N2193" s="53" t="s">
        <v>9695</v>
      </c>
      <c r="O2193">
        <v>41.639601</v>
      </c>
      <c r="P2193">
        <v>13.342634</v>
      </c>
      <c r="Q2193" s="5" t="s">
        <v>1231</v>
      </c>
      <c r="R2193" s="10">
        <f t="shared" si="10"/>
        <v>1</v>
      </c>
      <c r="S2193" s="5" t="s">
        <v>9696</v>
      </c>
      <c r="T2193" s="5"/>
      <c r="U2193" s="5" t="s">
        <v>9414</v>
      </c>
      <c r="V2193" s="5"/>
    </row>
    <row r="2194" ht="12.75" customHeight="1">
      <c r="A2194" s="5">
        <v>35573.0</v>
      </c>
      <c r="B2194" s="5" t="s">
        <v>68</v>
      </c>
      <c r="C2194" s="5" t="s">
        <v>69</v>
      </c>
      <c r="D2194" s="5" t="s">
        <v>2614</v>
      </c>
      <c r="E2194" s="7" t="s">
        <v>9697</v>
      </c>
      <c r="F2194" s="5" t="s">
        <v>9628</v>
      </c>
      <c r="G2194" s="5" t="s">
        <v>9652</v>
      </c>
      <c r="H2194" s="5">
        <v>2004.0</v>
      </c>
      <c r="I2194" s="5">
        <v>0.0</v>
      </c>
      <c r="J2194" s="5">
        <v>0.0</v>
      </c>
      <c r="K2194" s="5">
        <v>2.0</v>
      </c>
      <c r="L2194" s="54"/>
      <c r="M2194" s="5" t="s">
        <v>9698</v>
      </c>
      <c r="N2194" s="53" t="s">
        <v>5897</v>
      </c>
      <c r="O2194">
        <v>7.946527</v>
      </c>
      <c r="P2194">
        <v>-1.023194</v>
      </c>
      <c r="Q2194" s="5" t="s">
        <v>1931</v>
      </c>
      <c r="R2194" s="10">
        <f t="shared" si="10"/>
        <v>5</v>
      </c>
      <c r="S2194" s="5" t="s">
        <v>9699</v>
      </c>
      <c r="T2194" s="5"/>
      <c r="U2194" s="5" t="s">
        <v>6524</v>
      </c>
      <c r="V2194" s="5" t="s">
        <v>9700</v>
      </c>
    </row>
    <row r="2195" ht="12.75" customHeight="1">
      <c r="A2195" s="5">
        <v>35574.0</v>
      </c>
      <c r="B2195" s="5" t="s">
        <v>98</v>
      </c>
      <c r="C2195" s="5" t="s">
        <v>62</v>
      </c>
      <c r="D2195" s="5" t="s">
        <v>2852</v>
      </c>
      <c r="E2195" s="7" t="s">
        <v>9701</v>
      </c>
      <c r="F2195" s="5" t="s">
        <v>9628</v>
      </c>
      <c r="G2195" s="5" t="s">
        <v>9652</v>
      </c>
      <c r="H2195" s="5">
        <v>2004.0</v>
      </c>
      <c r="I2195" s="5">
        <v>0.0</v>
      </c>
      <c r="J2195" s="5">
        <v>0.0</v>
      </c>
      <c r="K2195" s="5">
        <v>1.0</v>
      </c>
      <c r="L2195" s="54"/>
      <c r="M2195" s="5" t="s">
        <v>9702</v>
      </c>
      <c r="N2195" s="53" t="s">
        <v>4095</v>
      </c>
      <c r="O2195">
        <v>55.378051</v>
      </c>
      <c r="P2195">
        <v>-3.435973</v>
      </c>
      <c r="Q2195" s="5" t="s">
        <v>1882</v>
      </c>
      <c r="R2195" s="10">
        <f t="shared" si="10"/>
        <v>23</v>
      </c>
      <c r="S2195" s="5" t="s">
        <v>9703</v>
      </c>
      <c r="T2195" s="5"/>
      <c r="U2195" s="5" t="s">
        <v>9704</v>
      </c>
      <c r="V2195" s="5"/>
    </row>
    <row r="2196" ht="12.75" customHeight="1">
      <c r="A2196" s="5">
        <v>35369.0</v>
      </c>
      <c r="B2196" s="5" t="s">
        <v>68</v>
      </c>
      <c r="C2196" s="5" t="s">
        <v>69</v>
      </c>
      <c r="D2196" s="5" t="s">
        <v>2852</v>
      </c>
      <c r="E2196" s="7" t="s">
        <v>9705</v>
      </c>
      <c r="F2196" s="5" t="s">
        <v>9706</v>
      </c>
      <c r="G2196" s="5" t="s">
        <v>9707</v>
      </c>
      <c r="H2196" s="5">
        <v>2004.0</v>
      </c>
      <c r="I2196" s="5">
        <v>0.0</v>
      </c>
      <c r="J2196" s="5">
        <v>0.0</v>
      </c>
      <c r="K2196" s="5">
        <v>106.0</v>
      </c>
      <c r="L2196" s="54"/>
      <c r="M2196" s="5" t="s">
        <v>9708</v>
      </c>
      <c r="N2196" s="53" t="s">
        <v>6515</v>
      </c>
      <c r="O2196">
        <v>17.607789</v>
      </c>
      <c r="P2196">
        <v>8.081666</v>
      </c>
      <c r="Q2196" s="5" t="s">
        <v>284</v>
      </c>
      <c r="R2196" s="10">
        <f t="shared" si="10"/>
        <v>164</v>
      </c>
      <c r="S2196" s="5" t="s">
        <v>9709</v>
      </c>
      <c r="T2196" s="5"/>
      <c r="U2196" s="5" t="s">
        <v>9710</v>
      </c>
      <c r="V2196" s="5"/>
    </row>
    <row r="2197" ht="12.75" customHeight="1">
      <c r="A2197" s="5">
        <v>35366.0</v>
      </c>
      <c r="B2197" s="5" t="s">
        <v>68</v>
      </c>
      <c r="C2197" s="5" t="s">
        <v>69</v>
      </c>
      <c r="D2197" s="5" t="s">
        <v>2614</v>
      </c>
      <c r="E2197" s="7" t="s">
        <v>9705</v>
      </c>
      <c r="F2197" s="5" t="s">
        <v>9706</v>
      </c>
      <c r="G2197" s="5" t="s">
        <v>9707</v>
      </c>
      <c r="H2197" s="5">
        <v>2004.0</v>
      </c>
      <c r="I2197" s="5">
        <v>0.0</v>
      </c>
      <c r="J2197" s="5">
        <v>0.0</v>
      </c>
      <c r="K2197" s="5">
        <v>1.0</v>
      </c>
      <c r="L2197" s="54"/>
      <c r="M2197" s="5" t="s">
        <v>9711</v>
      </c>
      <c r="N2197" s="53" t="s">
        <v>3151</v>
      </c>
      <c r="O2197">
        <v>29.046854</v>
      </c>
      <c r="P2197">
        <v>-13.589973</v>
      </c>
      <c r="Q2197" s="5" t="s">
        <v>400</v>
      </c>
      <c r="R2197" s="10">
        <f t="shared" si="10"/>
        <v>74</v>
      </c>
      <c r="S2197" s="5" t="s">
        <v>9712</v>
      </c>
      <c r="T2197" s="5" t="s">
        <v>1040</v>
      </c>
      <c r="U2197" s="5" t="s">
        <v>2165</v>
      </c>
      <c r="V2197" s="5" t="s">
        <v>9713</v>
      </c>
    </row>
    <row r="2198" ht="12.75" customHeight="1">
      <c r="A2198" s="5">
        <v>35367.0</v>
      </c>
      <c r="B2198" s="5" t="s">
        <v>9714</v>
      </c>
      <c r="C2198" s="5" t="s">
        <v>75</v>
      </c>
      <c r="D2198" s="5" t="s">
        <v>2852</v>
      </c>
      <c r="E2198" s="7" t="s">
        <v>9705</v>
      </c>
      <c r="F2198" s="5" t="s">
        <v>9706</v>
      </c>
      <c r="G2198" s="5" t="s">
        <v>9707</v>
      </c>
      <c r="H2198" s="5">
        <v>2004.0</v>
      </c>
      <c r="I2198" s="5">
        <v>0.0</v>
      </c>
      <c r="J2198" s="5">
        <v>0.0</v>
      </c>
      <c r="K2198" s="5">
        <v>1.0</v>
      </c>
      <c r="L2198" s="54"/>
      <c r="M2198" s="5" t="s">
        <v>9715</v>
      </c>
      <c r="N2198" s="53" t="s">
        <v>5228</v>
      </c>
      <c r="O2198">
        <v>32.183929</v>
      </c>
      <c r="P2198">
        <v>35.233453</v>
      </c>
      <c r="Q2198" s="5" t="s">
        <v>453</v>
      </c>
      <c r="R2198" s="10">
        <f t="shared" si="10"/>
        <v>5</v>
      </c>
      <c r="S2198" s="5" t="s">
        <v>9716</v>
      </c>
      <c r="T2198" s="5"/>
      <c r="U2198" s="5" t="s">
        <v>9188</v>
      </c>
      <c r="V2198" s="5"/>
    </row>
    <row r="2199" ht="12.75" customHeight="1">
      <c r="A2199" s="5">
        <v>35368.0</v>
      </c>
      <c r="B2199" s="5" t="s">
        <v>98</v>
      </c>
      <c r="C2199" s="5" t="s">
        <v>62</v>
      </c>
      <c r="D2199" s="5" t="s">
        <v>2852</v>
      </c>
      <c r="E2199" s="7" t="s">
        <v>9705</v>
      </c>
      <c r="F2199" s="5" t="s">
        <v>9706</v>
      </c>
      <c r="G2199" s="5" t="s">
        <v>9707</v>
      </c>
      <c r="H2199" s="5">
        <v>2004.0</v>
      </c>
      <c r="I2199" s="5">
        <v>0.0</v>
      </c>
      <c r="J2199" s="5">
        <v>0.0</v>
      </c>
      <c r="K2199" s="5">
        <v>1.0</v>
      </c>
      <c r="L2199" s="54"/>
      <c r="M2199" s="5" t="s">
        <v>9717</v>
      </c>
      <c r="N2199" s="53" t="s">
        <v>9190</v>
      </c>
      <c r="O2199">
        <v>33.93911</v>
      </c>
      <c r="P2199">
        <v>67.709953</v>
      </c>
      <c r="Q2199" s="5" t="s">
        <v>561</v>
      </c>
      <c r="R2199" s="10">
        <f t="shared" si="10"/>
        <v>2</v>
      </c>
      <c r="S2199" s="5" t="s">
        <v>9718</v>
      </c>
      <c r="T2199" s="5"/>
      <c r="U2199" s="5" t="s">
        <v>662</v>
      </c>
      <c r="V2199" s="5"/>
    </row>
    <row r="2200" ht="12.75" customHeight="1">
      <c r="A2200" s="5">
        <v>35370.0</v>
      </c>
      <c r="B2200" s="5" t="s">
        <v>2902</v>
      </c>
      <c r="C2200" s="5" t="s">
        <v>211</v>
      </c>
      <c r="D2200" s="5" t="s">
        <v>2852</v>
      </c>
      <c r="E2200" s="7" t="s">
        <v>9705</v>
      </c>
      <c r="F2200" s="5" t="s">
        <v>9706</v>
      </c>
      <c r="G2200" s="5" t="s">
        <v>9707</v>
      </c>
      <c r="H2200" s="5">
        <v>2004.0</v>
      </c>
      <c r="I2200" s="5">
        <v>0.0</v>
      </c>
      <c r="J2200" s="5">
        <v>0.0</v>
      </c>
      <c r="K2200" s="5">
        <v>2.0</v>
      </c>
      <c r="L2200" s="54"/>
      <c r="M2200" s="5" t="s">
        <v>9719</v>
      </c>
      <c r="N2200" s="53" t="s">
        <v>9066</v>
      </c>
      <c r="O2200">
        <v>52.313025</v>
      </c>
      <c r="P2200">
        <v>4.772477</v>
      </c>
      <c r="Q2200" s="5" t="s">
        <v>1741</v>
      </c>
      <c r="R2200" s="10">
        <f t="shared" si="10"/>
        <v>4</v>
      </c>
      <c r="S2200" s="5" t="s">
        <v>9720</v>
      </c>
      <c r="T2200" s="5"/>
      <c r="U2200" s="5" t="s">
        <v>9721</v>
      </c>
      <c r="V2200" s="5"/>
    </row>
    <row r="2201" ht="12.75" customHeight="1">
      <c r="A2201" s="5">
        <v>35371.0</v>
      </c>
      <c r="B2201" s="5" t="s">
        <v>49</v>
      </c>
      <c r="C2201" s="52" t="s">
        <v>50</v>
      </c>
      <c r="D2201" s="5" t="s">
        <v>2852</v>
      </c>
      <c r="E2201" s="7" t="s">
        <v>9722</v>
      </c>
      <c r="F2201" s="5" t="s">
        <v>9706</v>
      </c>
      <c r="G2201" s="5" t="s">
        <v>9707</v>
      </c>
      <c r="H2201" s="5">
        <v>2004.0</v>
      </c>
      <c r="I2201" s="5">
        <v>0.0</v>
      </c>
      <c r="J2201" s="5">
        <v>0.0</v>
      </c>
      <c r="K2201" s="5">
        <v>1.0</v>
      </c>
      <c r="L2201" s="54"/>
      <c r="M2201" s="5" t="s">
        <v>9723</v>
      </c>
      <c r="N2201" s="53" t="s">
        <v>9724</v>
      </c>
      <c r="O2201">
        <v>28.100259</v>
      </c>
      <c r="P2201">
        <v>-15.699674</v>
      </c>
      <c r="Q2201" s="5" t="s">
        <v>375</v>
      </c>
      <c r="R2201" s="10">
        <f t="shared" si="10"/>
        <v>1</v>
      </c>
      <c r="S2201" s="5" t="s">
        <v>9725</v>
      </c>
      <c r="T2201" s="5" t="s">
        <v>1040</v>
      </c>
      <c r="U2201" s="5" t="s">
        <v>9611</v>
      </c>
      <c r="V2201" s="5" t="s">
        <v>9726</v>
      </c>
    </row>
    <row r="2202" ht="12.75" customHeight="1">
      <c r="A2202" s="5">
        <v>35373.0</v>
      </c>
      <c r="B2202" s="5" t="s">
        <v>49</v>
      </c>
      <c r="C2202" s="52" t="s">
        <v>50</v>
      </c>
      <c r="D2202" s="5" t="s">
        <v>2852</v>
      </c>
      <c r="E2202" s="7" t="s">
        <v>9722</v>
      </c>
      <c r="F2202" s="5" t="s">
        <v>9706</v>
      </c>
      <c r="G2202" s="5" t="s">
        <v>9707</v>
      </c>
      <c r="H2202" s="5">
        <v>2004.0</v>
      </c>
      <c r="I2202" s="5">
        <v>0.0</v>
      </c>
      <c r="J2202" s="5">
        <v>0.0</v>
      </c>
      <c r="K2202" s="5">
        <v>4.0</v>
      </c>
      <c r="L2202" s="54"/>
      <c r="M2202" s="5" t="s">
        <v>9727</v>
      </c>
      <c r="N2202" s="53" t="s">
        <v>9728</v>
      </c>
      <c r="O2202">
        <v>35.394932</v>
      </c>
      <c r="P2202">
        <v>-5.014345</v>
      </c>
      <c r="Q2202" s="5" t="s">
        <v>657</v>
      </c>
      <c r="R2202" s="10">
        <f t="shared" si="10"/>
        <v>10</v>
      </c>
      <c r="S2202" s="5" t="s">
        <v>9729</v>
      </c>
      <c r="T2202" s="6" t="s">
        <v>72</v>
      </c>
      <c r="U2202" s="5" t="s">
        <v>8093</v>
      </c>
      <c r="V2202" s="5"/>
    </row>
    <row r="2203" ht="12.75" customHeight="1">
      <c r="A2203" s="5">
        <v>35372.0</v>
      </c>
      <c r="B2203" s="5" t="s">
        <v>49</v>
      </c>
      <c r="C2203" s="52" t="s">
        <v>50</v>
      </c>
      <c r="D2203" s="5" t="s">
        <v>2852</v>
      </c>
      <c r="E2203" s="7" t="s">
        <v>9722</v>
      </c>
      <c r="F2203" s="5" t="s">
        <v>9706</v>
      </c>
      <c r="G2203" s="5" t="s">
        <v>9707</v>
      </c>
      <c r="H2203" s="5">
        <v>2004.0</v>
      </c>
      <c r="I2203" s="5">
        <v>0.0</v>
      </c>
      <c r="J2203" s="5">
        <v>0.0</v>
      </c>
      <c r="K2203" s="5">
        <v>6.0</v>
      </c>
      <c r="L2203" s="54"/>
      <c r="M2203" s="5" t="s">
        <v>9730</v>
      </c>
      <c r="N2203" s="53" t="s">
        <v>9728</v>
      </c>
      <c r="O2203">
        <v>35.394932</v>
      </c>
      <c r="P2203">
        <v>-5.014345</v>
      </c>
      <c r="Q2203" s="5" t="s">
        <v>657</v>
      </c>
      <c r="R2203" s="10">
        <f t="shared" si="10"/>
        <v>10</v>
      </c>
      <c r="S2203" s="5" t="s">
        <v>9729</v>
      </c>
      <c r="T2203" s="6" t="s">
        <v>72</v>
      </c>
      <c r="U2203" s="5" t="s">
        <v>8093</v>
      </c>
      <c r="V2203" s="5"/>
    </row>
    <row r="2204" ht="12.75" customHeight="1">
      <c r="A2204" s="5">
        <v>35375.0</v>
      </c>
      <c r="B2204" s="5" t="s">
        <v>49</v>
      </c>
      <c r="C2204" s="52" t="s">
        <v>50</v>
      </c>
      <c r="D2204" s="5" t="s">
        <v>2852</v>
      </c>
      <c r="E2204" s="7" t="s">
        <v>9731</v>
      </c>
      <c r="F2204" s="5" t="s">
        <v>9706</v>
      </c>
      <c r="G2204" s="5" t="s">
        <v>9707</v>
      </c>
      <c r="H2204" s="5">
        <v>2004.0</v>
      </c>
      <c r="I2204" s="5">
        <v>0.0</v>
      </c>
      <c r="J2204" s="5">
        <v>0.0</v>
      </c>
      <c r="K2204" s="5">
        <v>1.0</v>
      </c>
      <c r="L2204" s="54"/>
      <c r="M2204" s="5" t="s">
        <v>9732</v>
      </c>
      <c r="N2204" s="53" t="s">
        <v>5367</v>
      </c>
      <c r="O2204">
        <v>28.291564</v>
      </c>
      <c r="P2204">
        <v>-16.62913</v>
      </c>
      <c r="Q2204" s="5" t="s">
        <v>382</v>
      </c>
      <c r="R2204" s="10">
        <f t="shared" si="10"/>
        <v>1120</v>
      </c>
      <c r="S2204" s="5" t="s">
        <v>9733</v>
      </c>
      <c r="T2204" s="5" t="s">
        <v>1040</v>
      </c>
      <c r="U2204" s="5" t="s">
        <v>9734</v>
      </c>
      <c r="V2204" s="5"/>
    </row>
    <row r="2205" ht="12.75" customHeight="1">
      <c r="A2205" s="5">
        <v>35374.0</v>
      </c>
      <c r="B2205" s="5" t="s">
        <v>68</v>
      </c>
      <c r="C2205" s="5" t="s">
        <v>69</v>
      </c>
      <c r="D2205" s="5" t="s">
        <v>2614</v>
      </c>
      <c r="E2205" s="7" t="s">
        <v>9731</v>
      </c>
      <c r="F2205" s="5" t="s">
        <v>9706</v>
      </c>
      <c r="G2205" s="5" t="s">
        <v>9707</v>
      </c>
      <c r="H2205" s="5">
        <v>2004.0</v>
      </c>
      <c r="I2205" s="5">
        <v>0.0</v>
      </c>
      <c r="J2205" s="5">
        <v>0.0</v>
      </c>
      <c r="K2205" s="5">
        <v>30.0</v>
      </c>
      <c r="L2205" s="54"/>
      <c r="M2205" s="5" t="s">
        <v>9735</v>
      </c>
      <c r="N2205" s="53" t="s">
        <v>4941</v>
      </c>
      <c r="O2205">
        <v>28.291564</v>
      </c>
      <c r="P2205">
        <v>-16.62913</v>
      </c>
      <c r="Q2205" s="5" t="s">
        <v>382</v>
      </c>
      <c r="R2205" s="10">
        <f t="shared" si="10"/>
        <v>1120</v>
      </c>
      <c r="S2205" s="5" t="s">
        <v>9736</v>
      </c>
      <c r="T2205" s="5" t="s">
        <v>1040</v>
      </c>
      <c r="U2205" s="5" t="s">
        <v>2785</v>
      </c>
      <c r="V2205" s="5" t="s">
        <v>9737</v>
      </c>
    </row>
    <row r="2206" ht="12.75" customHeight="1">
      <c r="A2206" s="5">
        <v>35376.0</v>
      </c>
      <c r="B2206" s="5" t="s">
        <v>49</v>
      </c>
      <c r="C2206" s="52" t="s">
        <v>50</v>
      </c>
      <c r="D2206" s="5" t="s">
        <v>2852</v>
      </c>
      <c r="E2206" s="7" t="s">
        <v>9738</v>
      </c>
      <c r="F2206" s="5" t="s">
        <v>9706</v>
      </c>
      <c r="G2206" s="5" t="s">
        <v>9707</v>
      </c>
      <c r="H2206" s="5">
        <v>2004.0</v>
      </c>
      <c r="I2206" s="5">
        <v>0.0</v>
      </c>
      <c r="J2206" s="5">
        <v>0.0</v>
      </c>
      <c r="K2206" s="5">
        <v>1.0</v>
      </c>
      <c r="L2206" s="54"/>
      <c r="M2206" s="5" t="s">
        <v>9739</v>
      </c>
      <c r="N2206" s="53" t="s">
        <v>5367</v>
      </c>
      <c r="O2206">
        <v>28.291564</v>
      </c>
      <c r="P2206">
        <v>-16.62913</v>
      </c>
      <c r="Q2206" s="5" t="s">
        <v>382</v>
      </c>
      <c r="R2206" s="10">
        <f t="shared" si="10"/>
        <v>1120</v>
      </c>
      <c r="S2206" s="5" t="s">
        <v>9740</v>
      </c>
      <c r="T2206" s="5" t="s">
        <v>1040</v>
      </c>
      <c r="U2206" s="5" t="s">
        <v>9741</v>
      </c>
      <c r="V2206" s="5"/>
    </row>
    <row r="2207" ht="12.75" customHeight="1">
      <c r="A2207" s="5">
        <v>35379.0</v>
      </c>
      <c r="B2207" s="5" t="s">
        <v>636</v>
      </c>
      <c r="C2207" s="52" t="s">
        <v>50</v>
      </c>
      <c r="D2207" s="5" t="s">
        <v>2852</v>
      </c>
      <c r="E2207" s="7" t="s">
        <v>9742</v>
      </c>
      <c r="F2207" s="5" t="s">
        <v>9706</v>
      </c>
      <c r="G2207" s="5" t="s">
        <v>9707</v>
      </c>
      <c r="H2207" s="5">
        <v>2004.0</v>
      </c>
      <c r="I2207" s="5">
        <v>0.0</v>
      </c>
      <c r="J2207" s="5">
        <v>0.0</v>
      </c>
      <c r="K2207" s="5">
        <v>13.0</v>
      </c>
      <c r="L2207" s="54"/>
      <c r="M2207" s="5" t="s">
        <v>9743</v>
      </c>
      <c r="N2207" s="53" t="s">
        <v>5814</v>
      </c>
      <c r="O2207">
        <v>28.358744</v>
      </c>
      <c r="P2207">
        <v>-14.053676</v>
      </c>
      <c r="Q2207" s="5" t="s">
        <v>390</v>
      </c>
      <c r="R2207" s="10">
        <f t="shared" si="10"/>
        <v>488</v>
      </c>
      <c r="S2207" s="5" t="s">
        <v>9744</v>
      </c>
      <c r="T2207" s="5" t="s">
        <v>1040</v>
      </c>
      <c r="U2207" s="5" t="s">
        <v>9745</v>
      </c>
      <c r="V2207" s="5" t="s">
        <v>9746</v>
      </c>
    </row>
    <row r="2208" ht="12.75" customHeight="1">
      <c r="A2208" s="5">
        <v>35378.0</v>
      </c>
      <c r="B2208" s="5" t="s">
        <v>49</v>
      </c>
      <c r="C2208" s="52" t="s">
        <v>50</v>
      </c>
      <c r="D2208" s="5" t="s">
        <v>2852</v>
      </c>
      <c r="E2208" s="7" t="s">
        <v>9742</v>
      </c>
      <c r="F2208" s="5" t="s">
        <v>9706</v>
      </c>
      <c r="G2208" s="5" t="s">
        <v>9707</v>
      </c>
      <c r="H2208" s="5">
        <v>2004.0</v>
      </c>
      <c r="I2208" s="5">
        <v>0.0</v>
      </c>
      <c r="J2208" s="5">
        <v>0.0</v>
      </c>
      <c r="K2208" s="5">
        <v>2.0</v>
      </c>
      <c r="L2208" s="54"/>
      <c r="M2208" s="5" t="s">
        <v>9747</v>
      </c>
      <c r="N2208" s="53" t="s">
        <v>5814</v>
      </c>
      <c r="O2208">
        <v>28.358744</v>
      </c>
      <c r="P2208">
        <v>-14.053676</v>
      </c>
      <c r="Q2208" s="5" t="s">
        <v>390</v>
      </c>
      <c r="R2208" s="10">
        <f t="shared" si="10"/>
        <v>488</v>
      </c>
      <c r="S2208" s="5" t="s">
        <v>9744</v>
      </c>
      <c r="T2208" s="5" t="s">
        <v>1040</v>
      </c>
      <c r="U2208" s="5" t="s">
        <v>9054</v>
      </c>
      <c r="V2208" s="5"/>
    </row>
    <row r="2209" ht="12.75" customHeight="1">
      <c r="A2209" s="5">
        <v>35377.0</v>
      </c>
      <c r="B2209" s="5" t="s">
        <v>68</v>
      </c>
      <c r="C2209" s="5" t="s">
        <v>69</v>
      </c>
      <c r="D2209" s="5" t="s">
        <v>2614</v>
      </c>
      <c r="E2209" s="7" t="s">
        <v>9742</v>
      </c>
      <c r="F2209" s="5" t="s">
        <v>9706</v>
      </c>
      <c r="G2209" s="5" t="s">
        <v>9707</v>
      </c>
      <c r="H2209" s="5">
        <v>2004.0</v>
      </c>
      <c r="I2209" s="5">
        <v>0.0</v>
      </c>
      <c r="J2209" s="5">
        <v>0.0</v>
      </c>
      <c r="K2209" s="5">
        <v>2.0</v>
      </c>
      <c r="L2209" s="54"/>
      <c r="M2209" s="5" t="s">
        <v>9748</v>
      </c>
      <c r="N2209" s="53" t="s">
        <v>5814</v>
      </c>
      <c r="O2209">
        <v>28.358744</v>
      </c>
      <c r="P2209">
        <v>-14.053676</v>
      </c>
      <c r="Q2209" s="5" t="s">
        <v>390</v>
      </c>
      <c r="R2209" s="10">
        <f t="shared" si="10"/>
        <v>488</v>
      </c>
      <c r="S2209" s="5" t="s">
        <v>9744</v>
      </c>
      <c r="T2209" s="5" t="s">
        <v>1040</v>
      </c>
      <c r="U2209" s="5" t="s">
        <v>2785</v>
      </c>
      <c r="V2209" s="5" t="s">
        <v>9749</v>
      </c>
    </row>
    <row r="2210" ht="12.75" customHeight="1">
      <c r="A2210" s="5">
        <v>35382.0</v>
      </c>
      <c r="B2210" s="5" t="s">
        <v>636</v>
      </c>
      <c r="C2210" s="52" t="s">
        <v>50</v>
      </c>
      <c r="D2210" s="5" t="s">
        <v>2852</v>
      </c>
      <c r="E2210" s="7" t="s">
        <v>9750</v>
      </c>
      <c r="F2210" s="5" t="s">
        <v>9706</v>
      </c>
      <c r="G2210" s="5" t="s">
        <v>9707</v>
      </c>
      <c r="H2210" s="5">
        <v>2004.0</v>
      </c>
      <c r="I2210" s="5">
        <v>0.0</v>
      </c>
      <c r="J2210" s="5">
        <v>0.0</v>
      </c>
      <c r="K2210" s="5">
        <v>2.0</v>
      </c>
      <c r="L2210" s="54"/>
      <c r="M2210" s="5" t="s">
        <v>9751</v>
      </c>
      <c r="N2210" s="53" t="s">
        <v>5814</v>
      </c>
      <c r="O2210">
        <v>28.358744</v>
      </c>
      <c r="P2210">
        <v>-14.053676</v>
      </c>
      <c r="Q2210" s="5" t="s">
        <v>390</v>
      </c>
      <c r="R2210" s="10">
        <f t="shared" si="10"/>
        <v>488</v>
      </c>
      <c r="S2210" s="5" t="s">
        <v>9752</v>
      </c>
      <c r="T2210" s="5" t="s">
        <v>1040</v>
      </c>
      <c r="U2210" s="5" t="s">
        <v>9753</v>
      </c>
      <c r="V2210" s="5" t="s">
        <v>9746</v>
      </c>
    </row>
    <row r="2211" ht="12.75" customHeight="1">
      <c r="A2211" s="5">
        <v>35380.0</v>
      </c>
      <c r="B2211" s="5" t="s">
        <v>68</v>
      </c>
      <c r="C2211" s="5" t="s">
        <v>69</v>
      </c>
      <c r="D2211" s="5" t="s">
        <v>2614</v>
      </c>
      <c r="E2211" s="7" t="s">
        <v>9750</v>
      </c>
      <c r="F2211" s="5" t="s">
        <v>9706</v>
      </c>
      <c r="G2211" s="5" t="s">
        <v>9707</v>
      </c>
      <c r="H2211" s="5">
        <v>2004.0</v>
      </c>
      <c r="I2211" s="5">
        <v>0.0</v>
      </c>
      <c r="J2211" s="5">
        <v>0.0</v>
      </c>
      <c r="K2211" s="5">
        <v>20.0</v>
      </c>
      <c r="L2211" s="54"/>
      <c r="M2211" s="5" t="s">
        <v>9754</v>
      </c>
      <c r="N2211" s="53" t="s">
        <v>9755</v>
      </c>
      <c r="O2211">
        <v>35.57621</v>
      </c>
      <c r="P2211">
        <v>-5.368435</v>
      </c>
      <c r="Q2211" s="5" t="s">
        <v>680</v>
      </c>
      <c r="R2211" s="10">
        <f t="shared" si="10"/>
        <v>20</v>
      </c>
      <c r="S2211" s="5" t="s">
        <v>9756</v>
      </c>
      <c r="T2211" s="6" t="s">
        <v>72</v>
      </c>
      <c r="U2211" s="5" t="s">
        <v>9757</v>
      </c>
      <c r="V2211" s="5" t="s">
        <v>9215</v>
      </c>
    </row>
    <row r="2212" ht="12.75" customHeight="1">
      <c r="A2212" s="5">
        <v>35381.0</v>
      </c>
      <c r="B2212" s="5" t="s">
        <v>636</v>
      </c>
      <c r="C2212" s="52" t="s">
        <v>50</v>
      </c>
      <c r="D2212" s="5" t="s">
        <v>2614</v>
      </c>
      <c r="E2212" s="7" t="s">
        <v>9750</v>
      </c>
      <c r="F2212" s="5" t="s">
        <v>9706</v>
      </c>
      <c r="G2212" s="5" t="s">
        <v>9707</v>
      </c>
      <c r="H2212" s="5">
        <v>2004.0</v>
      </c>
      <c r="I2212" s="5">
        <v>0.0</v>
      </c>
      <c r="J2212" s="5">
        <v>0.0</v>
      </c>
      <c r="K2212" s="5">
        <v>1.0</v>
      </c>
      <c r="L2212" s="54"/>
      <c r="M2212" s="5" t="s">
        <v>9758</v>
      </c>
      <c r="N2212" s="53" t="s">
        <v>9759</v>
      </c>
      <c r="O2212">
        <v>38.321027</v>
      </c>
      <c r="P2212">
        <v>43.389597</v>
      </c>
      <c r="Q2212" s="5" t="s">
        <v>1012</v>
      </c>
      <c r="R2212" s="10">
        <f t="shared" si="10"/>
        <v>1</v>
      </c>
      <c r="S2212" s="5" t="s">
        <v>9760</v>
      </c>
      <c r="T2212" s="5"/>
      <c r="U2212" s="5" t="s">
        <v>7559</v>
      </c>
      <c r="V2212" s="5" t="s">
        <v>9761</v>
      </c>
    </row>
    <row r="2213" ht="12.75" customHeight="1">
      <c r="A2213" s="5">
        <v>35384.0</v>
      </c>
      <c r="B2213" s="5" t="s">
        <v>49</v>
      </c>
      <c r="C2213" s="52" t="s">
        <v>50</v>
      </c>
      <c r="D2213" s="5" t="s">
        <v>2852</v>
      </c>
      <c r="E2213" s="7" t="s">
        <v>9762</v>
      </c>
      <c r="F2213" s="5" t="s">
        <v>9706</v>
      </c>
      <c r="G2213" s="5" t="s">
        <v>9707</v>
      </c>
      <c r="H2213" s="5">
        <v>2004.0</v>
      </c>
      <c r="I2213" s="5">
        <v>0.0</v>
      </c>
      <c r="J2213" s="5">
        <v>0.0</v>
      </c>
      <c r="K2213" s="5">
        <v>1.0</v>
      </c>
      <c r="L2213" s="54"/>
      <c r="M2213" s="5" t="s">
        <v>9763</v>
      </c>
      <c r="N2213" s="53" t="s">
        <v>5814</v>
      </c>
      <c r="O2213">
        <v>28.358744</v>
      </c>
      <c r="P2213">
        <v>-14.053676</v>
      </c>
      <c r="Q2213" s="5" t="s">
        <v>390</v>
      </c>
      <c r="R2213" s="10">
        <f t="shared" si="10"/>
        <v>488</v>
      </c>
      <c r="S2213" s="5" t="s">
        <v>9764</v>
      </c>
      <c r="T2213" s="5" t="s">
        <v>1040</v>
      </c>
      <c r="U2213" s="5" t="s">
        <v>9765</v>
      </c>
      <c r="V2213" s="5"/>
    </row>
    <row r="2214" ht="12.75" customHeight="1">
      <c r="A2214" s="5">
        <v>35383.0</v>
      </c>
      <c r="B2214" s="5" t="s">
        <v>68</v>
      </c>
      <c r="C2214" s="5" t="s">
        <v>69</v>
      </c>
      <c r="D2214" s="5" t="s">
        <v>2852</v>
      </c>
      <c r="E2214" s="7" t="s">
        <v>9762</v>
      </c>
      <c r="F2214" s="5" t="s">
        <v>9706</v>
      </c>
      <c r="G2214" s="5" t="s">
        <v>9707</v>
      </c>
      <c r="H2214" s="5">
        <v>2004.0</v>
      </c>
      <c r="I2214" s="5">
        <v>0.0</v>
      </c>
      <c r="J2214" s="5">
        <v>0.0</v>
      </c>
      <c r="K2214" s="5">
        <v>2.0</v>
      </c>
      <c r="L2214" s="54"/>
      <c r="M2214" s="5" t="s">
        <v>9766</v>
      </c>
      <c r="N2214" s="53" t="s">
        <v>5814</v>
      </c>
      <c r="O2214">
        <v>28.358744</v>
      </c>
      <c r="P2214">
        <v>-14.053676</v>
      </c>
      <c r="Q2214" s="5" t="s">
        <v>390</v>
      </c>
      <c r="R2214" s="10">
        <f t="shared" si="10"/>
        <v>488</v>
      </c>
      <c r="S2214" s="5" t="s">
        <v>9764</v>
      </c>
      <c r="T2214" s="5" t="s">
        <v>1040</v>
      </c>
      <c r="U2214" s="5" t="s">
        <v>9765</v>
      </c>
      <c r="V2214" s="5"/>
    </row>
    <row r="2215" ht="12.75" customHeight="1">
      <c r="A2215" s="5">
        <v>35385.0</v>
      </c>
      <c r="B2215" s="5" t="s">
        <v>636</v>
      </c>
      <c r="C2215" s="52" t="s">
        <v>50</v>
      </c>
      <c r="D2215" s="5" t="s">
        <v>2852</v>
      </c>
      <c r="E2215" s="7" t="s">
        <v>9767</v>
      </c>
      <c r="F2215" s="5" t="s">
        <v>9706</v>
      </c>
      <c r="G2215" s="5" t="s">
        <v>9707</v>
      </c>
      <c r="H2215" s="5">
        <v>2004.0</v>
      </c>
      <c r="I2215" s="5">
        <v>0.0</v>
      </c>
      <c r="J2215" s="5">
        <v>0.0</v>
      </c>
      <c r="K2215" s="5">
        <v>1.0</v>
      </c>
      <c r="L2215" s="54"/>
      <c r="M2215" s="5" t="s">
        <v>9768</v>
      </c>
      <c r="N2215" s="53" t="s">
        <v>9769</v>
      </c>
      <c r="O2215">
        <v>52.517664</v>
      </c>
      <c r="P2215">
        <v>-1.995159</v>
      </c>
      <c r="Q2215" s="5" t="s">
        <v>1772</v>
      </c>
      <c r="R2215" s="10">
        <f t="shared" si="10"/>
        <v>1</v>
      </c>
      <c r="S2215" s="5" t="s">
        <v>9770</v>
      </c>
      <c r="T2215" s="5"/>
      <c r="U2215" s="5" t="s">
        <v>6905</v>
      </c>
      <c r="V2215" s="5"/>
    </row>
    <row r="2216" ht="12.75" customHeight="1">
      <c r="A2216" s="5">
        <v>35386.0</v>
      </c>
      <c r="B2216" s="5" t="s">
        <v>49</v>
      </c>
      <c r="C2216" s="52" t="s">
        <v>50</v>
      </c>
      <c r="D2216" s="5" t="s">
        <v>2852</v>
      </c>
      <c r="E2216" s="7" t="s">
        <v>9771</v>
      </c>
      <c r="F2216" s="5" t="s">
        <v>9706</v>
      </c>
      <c r="G2216" s="5" t="s">
        <v>9707</v>
      </c>
      <c r="H2216" s="5">
        <v>2004.0</v>
      </c>
      <c r="I2216" s="5">
        <v>0.0</v>
      </c>
      <c r="J2216" s="5">
        <v>0.0</v>
      </c>
      <c r="K2216" s="5">
        <v>1.0</v>
      </c>
      <c r="L2216" s="54"/>
      <c r="M2216" s="5" t="s">
        <v>9772</v>
      </c>
      <c r="N2216" s="53" t="s">
        <v>5814</v>
      </c>
      <c r="O2216">
        <v>28.358744</v>
      </c>
      <c r="P2216">
        <v>-14.053676</v>
      </c>
      <c r="Q2216" s="5" t="s">
        <v>390</v>
      </c>
      <c r="R2216" s="10">
        <f t="shared" si="10"/>
        <v>488</v>
      </c>
      <c r="S2216" s="5" t="s">
        <v>9773</v>
      </c>
      <c r="T2216" s="5" t="s">
        <v>1040</v>
      </c>
      <c r="U2216" s="5" t="s">
        <v>9611</v>
      </c>
      <c r="V2216" s="5"/>
    </row>
    <row r="2217" ht="12.75" customHeight="1">
      <c r="A2217" s="5">
        <v>35388.0</v>
      </c>
      <c r="B2217" s="5" t="s">
        <v>49</v>
      </c>
      <c r="C2217" s="52" t="s">
        <v>50</v>
      </c>
      <c r="D2217" s="5" t="s">
        <v>2852</v>
      </c>
      <c r="E2217" s="7" t="s">
        <v>9774</v>
      </c>
      <c r="F2217" s="5" t="s">
        <v>9706</v>
      </c>
      <c r="G2217" s="5" t="s">
        <v>9707</v>
      </c>
      <c r="H2217" s="5">
        <v>2004.0</v>
      </c>
      <c r="I2217" s="5">
        <v>0.0</v>
      </c>
      <c r="J2217" s="5">
        <v>0.0</v>
      </c>
      <c r="K2217" s="5">
        <v>1.0</v>
      </c>
      <c r="L2217" s="54"/>
      <c r="M2217" s="5" t="s">
        <v>9775</v>
      </c>
      <c r="N2217" s="53" t="s">
        <v>5814</v>
      </c>
      <c r="O2217">
        <v>28.358744</v>
      </c>
      <c r="P2217">
        <v>-14.053676</v>
      </c>
      <c r="Q2217" s="5" t="s">
        <v>390</v>
      </c>
      <c r="R2217" s="10">
        <f t="shared" si="10"/>
        <v>488</v>
      </c>
      <c r="S2217" s="5" t="s">
        <v>9776</v>
      </c>
      <c r="T2217" s="5" t="s">
        <v>1040</v>
      </c>
      <c r="U2217" s="5" t="s">
        <v>9777</v>
      </c>
      <c r="V2217" s="5"/>
    </row>
    <row r="2218" ht="12.75" customHeight="1">
      <c r="A2218" s="5">
        <v>35387.0</v>
      </c>
      <c r="B2218" s="5" t="s">
        <v>68</v>
      </c>
      <c r="C2218" s="5" t="s">
        <v>69</v>
      </c>
      <c r="D2218" s="5" t="s">
        <v>2852</v>
      </c>
      <c r="E2218" s="7" t="s">
        <v>9774</v>
      </c>
      <c r="F2218" s="5" t="s">
        <v>9706</v>
      </c>
      <c r="G2218" s="5" t="s">
        <v>9707</v>
      </c>
      <c r="H2218" s="5">
        <v>2004.0</v>
      </c>
      <c r="I2218" s="5">
        <v>0.0</v>
      </c>
      <c r="J2218" s="5">
        <v>0.0</v>
      </c>
      <c r="K2218" s="5">
        <v>2.0</v>
      </c>
      <c r="L2218" s="54"/>
      <c r="M2218" s="5" t="s">
        <v>9778</v>
      </c>
      <c r="N2218" s="53" t="s">
        <v>2718</v>
      </c>
      <c r="O2218">
        <v>35.292278</v>
      </c>
      <c r="P2218">
        <v>-2.938097</v>
      </c>
      <c r="Q2218" s="5" t="s">
        <v>649</v>
      </c>
      <c r="R2218" s="10">
        <f t="shared" si="10"/>
        <v>79</v>
      </c>
      <c r="S2218" s="5" t="s">
        <v>9779</v>
      </c>
      <c r="T2218" s="6" t="s">
        <v>72</v>
      </c>
      <c r="U2218" s="5" t="s">
        <v>9274</v>
      </c>
      <c r="V2218" s="5"/>
    </row>
    <row r="2219" ht="12.75" customHeight="1">
      <c r="A2219" s="5">
        <v>35390.0</v>
      </c>
      <c r="B2219" s="5" t="s">
        <v>49</v>
      </c>
      <c r="C2219" s="52" t="s">
        <v>50</v>
      </c>
      <c r="D2219" s="5" t="s">
        <v>2852</v>
      </c>
      <c r="E2219" s="7" t="s">
        <v>9780</v>
      </c>
      <c r="F2219" s="5" t="s">
        <v>9706</v>
      </c>
      <c r="G2219" s="5" t="s">
        <v>9707</v>
      </c>
      <c r="H2219" s="5">
        <v>2004.0</v>
      </c>
      <c r="I2219" s="5">
        <v>0.0</v>
      </c>
      <c r="J2219" s="5">
        <v>0.0</v>
      </c>
      <c r="K2219" s="5">
        <v>1.0</v>
      </c>
      <c r="L2219" s="54"/>
      <c r="M2219" s="5" t="s">
        <v>9781</v>
      </c>
      <c r="N2219" s="53" t="s">
        <v>9782</v>
      </c>
      <c r="O2219">
        <v>35.827006</v>
      </c>
      <c r="P2219">
        <v>14.423533</v>
      </c>
      <c r="Q2219" s="5" t="s">
        <v>702</v>
      </c>
      <c r="R2219" s="10">
        <f t="shared" si="10"/>
        <v>1</v>
      </c>
      <c r="S2219" s="5" t="s">
        <v>9783</v>
      </c>
      <c r="T2219" s="6" t="s">
        <v>2130</v>
      </c>
      <c r="U2219" s="5" t="s">
        <v>9784</v>
      </c>
      <c r="V2219" s="5"/>
    </row>
    <row r="2220" ht="12.75" customHeight="1">
      <c r="A2220" s="5">
        <v>35389.0</v>
      </c>
      <c r="B2220" s="5" t="s">
        <v>68</v>
      </c>
      <c r="C2220" s="5" t="s">
        <v>69</v>
      </c>
      <c r="D2220" s="5" t="s">
        <v>2614</v>
      </c>
      <c r="E2220" s="7" t="s">
        <v>9780</v>
      </c>
      <c r="F2220" s="5" t="s">
        <v>9706</v>
      </c>
      <c r="G2220" s="5" t="s">
        <v>9707</v>
      </c>
      <c r="H2220" s="5">
        <v>2004.0</v>
      </c>
      <c r="I2220" s="5">
        <v>0.0</v>
      </c>
      <c r="J2220" s="5">
        <v>0.0</v>
      </c>
      <c r="K2220" s="5">
        <v>1.0</v>
      </c>
      <c r="L2220" s="54"/>
      <c r="M2220" s="5" t="s">
        <v>9785</v>
      </c>
      <c r="N2220" s="53" t="s">
        <v>2938</v>
      </c>
      <c r="O2220">
        <v>35.937496</v>
      </c>
      <c r="P2220">
        <v>14.375416</v>
      </c>
      <c r="Q2220" s="5" t="s">
        <v>740</v>
      </c>
      <c r="R2220" s="10">
        <f t="shared" si="10"/>
        <v>655</v>
      </c>
      <c r="S2220" s="5" t="s">
        <v>9786</v>
      </c>
      <c r="T2220" s="6" t="s">
        <v>2130</v>
      </c>
      <c r="U2220" s="5" t="s">
        <v>8502</v>
      </c>
      <c r="V2220" s="5" t="s">
        <v>9787</v>
      </c>
    </row>
    <row r="2221" ht="12.75" customHeight="1">
      <c r="A2221" s="5">
        <v>35391.0</v>
      </c>
      <c r="B2221" s="5" t="s">
        <v>68</v>
      </c>
      <c r="C2221" s="5" t="s">
        <v>69</v>
      </c>
      <c r="D2221" s="5" t="s">
        <v>2614</v>
      </c>
      <c r="E2221" s="7" t="s">
        <v>9788</v>
      </c>
      <c r="F2221" s="5" t="s">
        <v>9706</v>
      </c>
      <c r="G2221" s="5" t="s">
        <v>9707</v>
      </c>
      <c r="H2221" s="5">
        <v>2004.0</v>
      </c>
      <c r="I2221" s="5">
        <v>0.0</v>
      </c>
      <c r="J2221" s="5">
        <v>0.0</v>
      </c>
      <c r="K2221" s="5">
        <v>1.0</v>
      </c>
      <c r="L2221" s="54"/>
      <c r="M2221" s="5" t="s">
        <v>9789</v>
      </c>
      <c r="N2221" s="53" t="s">
        <v>9790</v>
      </c>
      <c r="O2221">
        <v>39.309142</v>
      </c>
      <c r="P2221">
        <v>26.437219</v>
      </c>
      <c r="Q2221" s="5" t="s">
        <v>1077</v>
      </c>
      <c r="R2221" s="10">
        <f t="shared" si="10"/>
        <v>1</v>
      </c>
      <c r="S2221" s="5" t="s">
        <v>9791</v>
      </c>
      <c r="T2221" s="6" t="s">
        <v>53</v>
      </c>
      <c r="U2221" s="5" t="s">
        <v>3318</v>
      </c>
      <c r="V2221" s="5" t="s">
        <v>9792</v>
      </c>
    </row>
    <row r="2222" ht="12.75" customHeight="1">
      <c r="A2222" s="5">
        <v>35392.0</v>
      </c>
      <c r="B2222" s="5" t="s">
        <v>49</v>
      </c>
      <c r="C2222" s="52" t="s">
        <v>50</v>
      </c>
      <c r="D2222" s="5" t="s">
        <v>2852</v>
      </c>
      <c r="E2222" s="7" t="s">
        <v>9793</v>
      </c>
      <c r="F2222" s="5" t="s">
        <v>9706</v>
      </c>
      <c r="G2222" s="5" t="s">
        <v>9707</v>
      </c>
      <c r="H2222" s="5">
        <v>2004.0</v>
      </c>
      <c r="I2222" s="5">
        <v>0.0</v>
      </c>
      <c r="J2222" s="5">
        <v>0.0</v>
      </c>
      <c r="K2222" s="5">
        <v>1.0</v>
      </c>
      <c r="L2222" s="54"/>
      <c r="M2222" s="5" t="s">
        <v>9794</v>
      </c>
      <c r="N2222" s="53" t="s">
        <v>3340</v>
      </c>
      <c r="O2222">
        <v>37.743215</v>
      </c>
      <c r="P2222">
        <v>26.820351</v>
      </c>
      <c r="Q2222" s="5" t="s">
        <v>956</v>
      </c>
      <c r="R2222" s="10">
        <f t="shared" si="10"/>
        <v>218</v>
      </c>
      <c r="S2222" s="5" t="s">
        <v>9795</v>
      </c>
      <c r="T2222" s="6" t="s">
        <v>53</v>
      </c>
      <c r="U2222" s="5" t="s">
        <v>5475</v>
      </c>
      <c r="V2222" s="5"/>
    </row>
    <row r="2223" ht="12.75" customHeight="1">
      <c r="A2223" s="5">
        <v>35395.0</v>
      </c>
      <c r="B2223" s="5" t="s">
        <v>49</v>
      </c>
      <c r="C2223" s="52" t="s">
        <v>50</v>
      </c>
      <c r="D2223" s="5" t="s">
        <v>2852</v>
      </c>
      <c r="E2223" s="7" t="s">
        <v>9796</v>
      </c>
      <c r="F2223" s="5" t="s">
        <v>9706</v>
      </c>
      <c r="G2223" s="5" t="s">
        <v>9707</v>
      </c>
      <c r="H2223" s="5">
        <v>2004.0</v>
      </c>
      <c r="I2223" s="5">
        <v>0.0</v>
      </c>
      <c r="J2223" s="5">
        <v>0.0</v>
      </c>
      <c r="K2223" s="5">
        <v>5.0</v>
      </c>
      <c r="L2223" s="54"/>
      <c r="M2223" s="5" t="s">
        <v>9797</v>
      </c>
      <c r="N2223" s="53" t="s">
        <v>5814</v>
      </c>
      <c r="O2223">
        <v>28.358744</v>
      </c>
      <c r="P2223">
        <v>-14.053676</v>
      </c>
      <c r="Q2223" s="5" t="s">
        <v>390</v>
      </c>
      <c r="R2223" s="10">
        <f t="shared" si="10"/>
        <v>488</v>
      </c>
      <c r="S2223" s="5" t="s">
        <v>9798</v>
      </c>
      <c r="T2223" s="5" t="s">
        <v>1040</v>
      </c>
      <c r="U2223" s="5" t="s">
        <v>9799</v>
      </c>
      <c r="V2223" s="5"/>
    </row>
    <row r="2224" ht="12.75" customHeight="1">
      <c r="A2224" s="5">
        <v>35394.0</v>
      </c>
      <c r="B2224" s="5" t="s">
        <v>49</v>
      </c>
      <c r="C2224" s="52" t="s">
        <v>50</v>
      </c>
      <c r="D2224" s="5" t="s">
        <v>2852</v>
      </c>
      <c r="E2224" s="7" t="s">
        <v>9796</v>
      </c>
      <c r="F2224" s="5" t="s">
        <v>9706</v>
      </c>
      <c r="G2224" s="5" t="s">
        <v>9707</v>
      </c>
      <c r="H2224" s="5">
        <v>2004.0</v>
      </c>
      <c r="I2224" s="5">
        <v>0.0</v>
      </c>
      <c r="J2224" s="5">
        <v>0.0</v>
      </c>
      <c r="K2224" s="5">
        <v>2.0</v>
      </c>
      <c r="L2224" s="54"/>
      <c r="M2224" s="5" t="s">
        <v>9800</v>
      </c>
      <c r="N2224" s="53" t="s">
        <v>5814</v>
      </c>
      <c r="O2224">
        <v>28.358744</v>
      </c>
      <c r="P2224">
        <v>-14.053676</v>
      </c>
      <c r="Q2224" s="5" t="s">
        <v>390</v>
      </c>
      <c r="R2224" s="10">
        <f t="shared" si="10"/>
        <v>488</v>
      </c>
      <c r="S2224" s="5" t="s">
        <v>9798</v>
      </c>
      <c r="T2224" s="5" t="s">
        <v>1040</v>
      </c>
      <c r="U2224" s="5" t="s">
        <v>9799</v>
      </c>
      <c r="V2224" s="5"/>
    </row>
    <row r="2225" ht="12.75" customHeight="1">
      <c r="A2225" s="5">
        <v>35393.0</v>
      </c>
      <c r="B2225" s="5" t="s">
        <v>68</v>
      </c>
      <c r="C2225" s="5" t="s">
        <v>69</v>
      </c>
      <c r="D2225" s="5" t="s">
        <v>2614</v>
      </c>
      <c r="E2225" s="7" t="s">
        <v>9796</v>
      </c>
      <c r="F2225" s="5" t="s">
        <v>9706</v>
      </c>
      <c r="G2225" s="5" t="s">
        <v>9707</v>
      </c>
      <c r="H2225" s="5">
        <v>2004.0</v>
      </c>
      <c r="I2225" s="5">
        <v>0.0</v>
      </c>
      <c r="J2225" s="5">
        <v>0.0</v>
      </c>
      <c r="K2225" s="5">
        <v>3.0</v>
      </c>
      <c r="L2225" s="54"/>
      <c r="M2225" s="5" t="s">
        <v>9801</v>
      </c>
      <c r="N2225" s="53" t="s">
        <v>3340</v>
      </c>
      <c r="O2225">
        <v>37.743215</v>
      </c>
      <c r="P2225">
        <v>26.820351</v>
      </c>
      <c r="Q2225" s="5" t="s">
        <v>956</v>
      </c>
      <c r="R2225" s="10">
        <f t="shared" si="10"/>
        <v>218</v>
      </c>
      <c r="S2225" s="5" t="s">
        <v>9802</v>
      </c>
      <c r="T2225" s="6" t="s">
        <v>53</v>
      </c>
      <c r="U2225" s="5" t="s">
        <v>9159</v>
      </c>
      <c r="V2225" s="5" t="s">
        <v>9160</v>
      </c>
    </row>
    <row r="2226" ht="12.75" customHeight="1">
      <c r="A2226" s="5">
        <v>35396.0</v>
      </c>
      <c r="B2226" s="5" t="s">
        <v>5200</v>
      </c>
      <c r="C2226" s="5" t="s">
        <v>124</v>
      </c>
      <c r="D2226" s="5" t="s">
        <v>2614</v>
      </c>
      <c r="E2226" s="7" t="s">
        <v>9803</v>
      </c>
      <c r="F2226" s="5" t="s">
        <v>9706</v>
      </c>
      <c r="G2226" s="5" t="s">
        <v>9707</v>
      </c>
      <c r="H2226" s="5">
        <v>2004.0</v>
      </c>
      <c r="I2226" s="5">
        <v>0.0</v>
      </c>
      <c r="J2226" s="5">
        <v>0.0</v>
      </c>
      <c r="K2226" s="5">
        <v>2.0</v>
      </c>
      <c r="L2226" s="54"/>
      <c r="M2226" s="5" t="s">
        <v>9804</v>
      </c>
      <c r="N2226" s="53" t="s">
        <v>2834</v>
      </c>
      <c r="O2226">
        <v>41.244376</v>
      </c>
      <c r="P2226">
        <v>26.135943</v>
      </c>
      <c r="Q2226" s="5" t="s">
        <v>1214</v>
      </c>
      <c r="R2226" s="10">
        <f t="shared" si="10"/>
        <v>188</v>
      </c>
      <c r="S2226" s="5" t="s">
        <v>9805</v>
      </c>
      <c r="T2226" s="6" t="s">
        <v>53</v>
      </c>
      <c r="U2226" s="5" t="s">
        <v>3318</v>
      </c>
      <c r="V2226" s="5" t="s">
        <v>9806</v>
      </c>
    </row>
    <row r="2227" ht="12.75" customHeight="1">
      <c r="A2227" s="5">
        <v>35397.0</v>
      </c>
      <c r="B2227" s="5" t="s">
        <v>49</v>
      </c>
      <c r="C2227" s="52" t="s">
        <v>50</v>
      </c>
      <c r="D2227" s="5" t="s">
        <v>2614</v>
      </c>
      <c r="E2227" s="7" t="s">
        <v>9807</v>
      </c>
      <c r="F2227" s="5" t="s">
        <v>9706</v>
      </c>
      <c r="G2227" s="5" t="s">
        <v>9707</v>
      </c>
      <c r="H2227" s="5">
        <v>2004.0</v>
      </c>
      <c r="I2227" s="5">
        <v>0.0</v>
      </c>
      <c r="J2227" s="5">
        <v>0.0</v>
      </c>
      <c r="K2227" s="5">
        <v>4.0</v>
      </c>
      <c r="L2227" s="54"/>
      <c r="M2227" s="5" t="s">
        <v>9808</v>
      </c>
      <c r="N2227" s="53" t="s">
        <v>5814</v>
      </c>
      <c r="O2227">
        <v>28.358744</v>
      </c>
      <c r="P2227">
        <v>-14.053676</v>
      </c>
      <c r="Q2227" s="5" t="s">
        <v>390</v>
      </c>
      <c r="R2227" s="10">
        <f t="shared" si="10"/>
        <v>488</v>
      </c>
      <c r="S2227" s="5" t="s">
        <v>9809</v>
      </c>
      <c r="T2227" s="5" t="s">
        <v>1040</v>
      </c>
      <c r="U2227" s="5" t="s">
        <v>2785</v>
      </c>
      <c r="V2227" s="5" t="s">
        <v>9810</v>
      </c>
    </row>
    <row r="2228" ht="12.75" customHeight="1">
      <c r="A2228" s="5">
        <v>35398.0</v>
      </c>
      <c r="B2228" s="5" t="s">
        <v>1773</v>
      </c>
      <c r="C2228" s="5" t="s">
        <v>124</v>
      </c>
      <c r="D2228" s="5" t="s">
        <v>2852</v>
      </c>
      <c r="E2228" s="7" t="s">
        <v>9811</v>
      </c>
      <c r="F2228" s="5" t="s">
        <v>9706</v>
      </c>
      <c r="G2228" s="5" t="s">
        <v>9812</v>
      </c>
      <c r="H2228" s="5">
        <v>2004.0</v>
      </c>
      <c r="I2228" s="5">
        <v>0.0</v>
      </c>
      <c r="J2228" s="5">
        <v>0.0</v>
      </c>
      <c r="K2228" s="5">
        <v>1.0</v>
      </c>
      <c r="L2228" s="54"/>
      <c r="M2228" s="5" t="s">
        <v>9813</v>
      </c>
      <c r="N2228" s="53" t="s">
        <v>7418</v>
      </c>
      <c r="O2228">
        <v>50.85034</v>
      </c>
      <c r="P2228">
        <v>4.35171</v>
      </c>
      <c r="Q2228" s="5" t="s">
        <v>1526</v>
      </c>
      <c r="R2228" s="10">
        <f t="shared" si="10"/>
        <v>5</v>
      </c>
      <c r="S2228" s="5" t="s">
        <v>9814</v>
      </c>
      <c r="T2228" s="5"/>
      <c r="U2228" s="5" t="s">
        <v>3128</v>
      </c>
      <c r="V2228" s="5" t="s">
        <v>8704</v>
      </c>
    </row>
    <row r="2229" ht="12.75" customHeight="1">
      <c r="A2229" s="5">
        <v>35400.0</v>
      </c>
      <c r="B2229" s="5" t="s">
        <v>49</v>
      </c>
      <c r="C2229" s="52" t="s">
        <v>50</v>
      </c>
      <c r="D2229" s="5" t="s">
        <v>2852</v>
      </c>
      <c r="E2229" s="7" t="s">
        <v>9815</v>
      </c>
      <c r="F2229" s="5" t="s">
        <v>9706</v>
      </c>
      <c r="G2229" s="5" t="s">
        <v>9812</v>
      </c>
      <c r="H2229" s="5">
        <v>2004.0</v>
      </c>
      <c r="I2229" s="5">
        <v>0.0</v>
      </c>
      <c r="J2229" s="5">
        <v>0.0</v>
      </c>
      <c r="K2229" s="5">
        <v>14.0</v>
      </c>
      <c r="L2229" s="54"/>
      <c r="M2229" s="5" t="s">
        <v>9816</v>
      </c>
      <c r="N2229" s="53" t="s">
        <v>5814</v>
      </c>
      <c r="O2229">
        <v>28.358744</v>
      </c>
      <c r="P2229">
        <v>-14.053676</v>
      </c>
      <c r="Q2229" s="5" t="s">
        <v>390</v>
      </c>
      <c r="R2229" s="10">
        <f t="shared" si="10"/>
        <v>488</v>
      </c>
      <c r="S2229" s="5" t="s">
        <v>9817</v>
      </c>
      <c r="T2229" s="5" t="s">
        <v>1040</v>
      </c>
      <c r="U2229" s="5" t="s">
        <v>9818</v>
      </c>
      <c r="V2229" s="5" t="s">
        <v>9819</v>
      </c>
    </row>
    <row r="2230" ht="12.75" customHeight="1">
      <c r="A2230" s="5">
        <v>35399.0</v>
      </c>
      <c r="B2230" s="5" t="s">
        <v>49</v>
      </c>
      <c r="C2230" s="52" t="s">
        <v>50</v>
      </c>
      <c r="D2230" s="5" t="s">
        <v>2852</v>
      </c>
      <c r="E2230" s="7" t="s">
        <v>9815</v>
      </c>
      <c r="F2230" s="5" t="s">
        <v>9706</v>
      </c>
      <c r="G2230" s="5" t="s">
        <v>9812</v>
      </c>
      <c r="H2230" s="5">
        <v>2004.0</v>
      </c>
      <c r="I2230" s="5">
        <v>0.0</v>
      </c>
      <c r="J2230" s="5">
        <v>0.0</v>
      </c>
      <c r="K2230" s="5">
        <v>2.0</v>
      </c>
      <c r="L2230" s="54"/>
      <c r="M2230" s="5" t="s">
        <v>9820</v>
      </c>
      <c r="N2230" s="53" t="s">
        <v>9821</v>
      </c>
      <c r="O2230">
        <v>28.415292</v>
      </c>
      <c r="P2230">
        <v>-14.01106</v>
      </c>
      <c r="Q2230" s="5" t="s">
        <v>395</v>
      </c>
      <c r="R2230" s="10">
        <f t="shared" si="10"/>
        <v>2</v>
      </c>
      <c r="S2230" s="5" t="s">
        <v>9822</v>
      </c>
      <c r="T2230" s="5" t="s">
        <v>1040</v>
      </c>
      <c r="U2230" s="5" t="s">
        <v>9823</v>
      </c>
      <c r="V2230" s="5"/>
    </row>
    <row r="2231" ht="12.75" customHeight="1">
      <c r="A2231" s="5">
        <v>35401.0</v>
      </c>
      <c r="B2231" s="5" t="s">
        <v>49</v>
      </c>
      <c r="C2231" s="52" t="s">
        <v>50</v>
      </c>
      <c r="D2231" s="5" t="s">
        <v>2852</v>
      </c>
      <c r="E2231" s="7" t="s">
        <v>9824</v>
      </c>
      <c r="F2231" s="5" t="s">
        <v>9706</v>
      </c>
      <c r="G2231" s="5" t="s">
        <v>9812</v>
      </c>
      <c r="H2231" s="5">
        <v>2004.0</v>
      </c>
      <c r="I2231" s="5">
        <v>0.0</v>
      </c>
      <c r="J2231" s="5">
        <v>0.0</v>
      </c>
      <c r="K2231" s="5">
        <v>1.0</v>
      </c>
      <c r="L2231" s="54"/>
      <c r="M2231" s="5" t="s">
        <v>9825</v>
      </c>
      <c r="N2231" s="53" t="s">
        <v>9826</v>
      </c>
      <c r="O2231">
        <v>54.986843</v>
      </c>
      <c r="P2231">
        <v>-1.461896</v>
      </c>
      <c r="Q2231" s="5" t="s">
        <v>1876</v>
      </c>
      <c r="R2231" s="10">
        <f t="shared" si="10"/>
        <v>1</v>
      </c>
      <c r="S2231" s="5" t="s">
        <v>9827</v>
      </c>
      <c r="T2231" s="5"/>
      <c r="U2231" s="5" t="s">
        <v>3219</v>
      </c>
      <c r="V2231" s="5"/>
    </row>
    <row r="2232" ht="12.75" customHeight="1">
      <c r="A2232" s="5">
        <v>35402.0</v>
      </c>
      <c r="B2232" s="5" t="s">
        <v>1076</v>
      </c>
      <c r="C2232" s="52" t="s">
        <v>50</v>
      </c>
      <c r="D2232" s="5" t="s">
        <v>2852</v>
      </c>
      <c r="E2232" s="7" t="s">
        <v>9828</v>
      </c>
      <c r="F2232" s="5" t="s">
        <v>9706</v>
      </c>
      <c r="G2232" s="5" t="s">
        <v>9812</v>
      </c>
      <c r="H2232" s="5">
        <v>2004.0</v>
      </c>
      <c r="I2232" s="5">
        <v>0.0</v>
      </c>
      <c r="J2232" s="5">
        <v>0.0</v>
      </c>
      <c r="K2232" s="5">
        <v>1.0</v>
      </c>
      <c r="L2232" s="54"/>
      <c r="M2232" s="5" t="s">
        <v>9829</v>
      </c>
      <c r="N2232" s="53" t="s">
        <v>3328</v>
      </c>
      <c r="O2232">
        <v>48.856614</v>
      </c>
      <c r="P2232">
        <v>2.352222</v>
      </c>
      <c r="Q2232" s="5" t="s">
        <v>3329</v>
      </c>
      <c r="R2232" s="10">
        <f t="shared" si="10"/>
        <v>30</v>
      </c>
      <c r="S2232" s="5" t="s">
        <v>9830</v>
      </c>
      <c r="T2232" s="5"/>
      <c r="U2232" s="5" t="s">
        <v>3128</v>
      </c>
      <c r="V2232" s="5" t="s">
        <v>8704</v>
      </c>
    </row>
    <row r="2233" ht="12.75" customHeight="1">
      <c r="A2233" s="5">
        <v>35403.0</v>
      </c>
      <c r="B2233" s="5" t="s">
        <v>68</v>
      </c>
      <c r="C2233" s="5" t="s">
        <v>69</v>
      </c>
      <c r="D2233" s="5" t="s">
        <v>2614</v>
      </c>
      <c r="E2233" s="7" t="s">
        <v>9831</v>
      </c>
      <c r="F2233" s="5" t="s">
        <v>9706</v>
      </c>
      <c r="G2233" s="5" t="s">
        <v>9812</v>
      </c>
      <c r="H2233" s="5">
        <v>2004.0</v>
      </c>
      <c r="I2233" s="5">
        <v>5.0</v>
      </c>
      <c r="J2233" s="5">
        <v>0.0</v>
      </c>
      <c r="K2233" s="5">
        <v>5.0</v>
      </c>
      <c r="L2233" s="54"/>
      <c r="M2233" s="5" t="s">
        <v>9832</v>
      </c>
      <c r="N2233" s="53" t="s">
        <v>2917</v>
      </c>
      <c r="O2233">
        <v>32.876174</v>
      </c>
      <c r="P2233">
        <v>13.187507</v>
      </c>
      <c r="Q2233" s="5" t="s">
        <v>481</v>
      </c>
      <c r="R2233" s="10">
        <f t="shared" si="10"/>
        <v>1281</v>
      </c>
      <c r="S2233" s="5" t="s">
        <v>9833</v>
      </c>
      <c r="T2233" s="6" t="s">
        <v>2130</v>
      </c>
      <c r="U2233" s="5" t="s">
        <v>475</v>
      </c>
      <c r="V2233" s="5" t="s">
        <v>7135</v>
      </c>
    </row>
    <row r="2234" ht="12.75" customHeight="1">
      <c r="A2234" s="5">
        <v>35405.0</v>
      </c>
      <c r="B2234" s="5" t="s">
        <v>49</v>
      </c>
      <c r="C2234" s="52" t="s">
        <v>50</v>
      </c>
      <c r="D2234" s="5" t="s">
        <v>2852</v>
      </c>
      <c r="E2234" s="7" t="s">
        <v>9831</v>
      </c>
      <c r="F2234" s="5" t="s">
        <v>9706</v>
      </c>
      <c r="G2234" s="5" t="s">
        <v>9812</v>
      </c>
      <c r="H2234" s="5">
        <v>2004.0</v>
      </c>
      <c r="I2234" s="5">
        <v>0.0</v>
      </c>
      <c r="J2234" s="5">
        <v>0.0</v>
      </c>
      <c r="K2234" s="5">
        <v>12.0</v>
      </c>
      <c r="L2234" s="54"/>
      <c r="M2234" s="5" t="s">
        <v>9834</v>
      </c>
      <c r="N2234" s="53" t="s">
        <v>2938</v>
      </c>
      <c r="O2234">
        <v>35.937496</v>
      </c>
      <c r="P2234">
        <v>14.375416</v>
      </c>
      <c r="Q2234" s="5" t="s">
        <v>740</v>
      </c>
      <c r="R2234" s="10">
        <f t="shared" si="10"/>
        <v>655</v>
      </c>
      <c r="S2234" s="5" t="s">
        <v>9835</v>
      </c>
      <c r="T2234" s="6" t="s">
        <v>2130</v>
      </c>
      <c r="U2234" s="5" t="s">
        <v>9836</v>
      </c>
      <c r="V2234" s="5" t="s">
        <v>9837</v>
      </c>
    </row>
    <row r="2235" ht="12.75" customHeight="1">
      <c r="A2235" s="5">
        <v>35404.0</v>
      </c>
      <c r="B2235" s="5" t="s">
        <v>5200</v>
      </c>
      <c r="C2235" s="5" t="s">
        <v>124</v>
      </c>
      <c r="D2235" s="5" t="s">
        <v>2852</v>
      </c>
      <c r="E2235" s="7" t="s">
        <v>9831</v>
      </c>
      <c r="F2235" s="5" t="s">
        <v>9706</v>
      </c>
      <c r="G2235" s="5" t="s">
        <v>9812</v>
      </c>
      <c r="H2235" s="5">
        <v>2004.0</v>
      </c>
      <c r="I2235" s="5">
        <v>0.0</v>
      </c>
      <c r="J2235" s="5">
        <v>0.0</v>
      </c>
      <c r="K2235" s="5">
        <v>3.0</v>
      </c>
      <c r="L2235" s="54"/>
      <c r="M2235" s="5" t="s">
        <v>9838</v>
      </c>
      <c r="N2235" s="53" t="s">
        <v>2834</v>
      </c>
      <c r="O2235">
        <v>41.244376</v>
      </c>
      <c r="P2235">
        <v>26.135943</v>
      </c>
      <c r="Q2235" s="5" t="s">
        <v>1214</v>
      </c>
      <c r="R2235" s="10">
        <f t="shared" si="10"/>
        <v>188</v>
      </c>
      <c r="S2235" s="5" t="s">
        <v>9839</v>
      </c>
      <c r="T2235" s="6" t="s">
        <v>53</v>
      </c>
      <c r="U2235" s="5" t="s">
        <v>9840</v>
      </c>
      <c r="V2235" s="5" t="s">
        <v>9841</v>
      </c>
    </row>
    <row r="2236" ht="12.75" customHeight="1">
      <c r="A2236" s="5">
        <v>35406.0</v>
      </c>
      <c r="B2236" s="5" t="s">
        <v>49</v>
      </c>
      <c r="C2236" s="52" t="s">
        <v>50</v>
      </c>
      <c r="D2236" s="5" t="s">
        <v>2852</v>
      </c>
      <c r="E2236" s="7" t="s">
        <v>9842</v>
      </c>
      <c r="F2236" s="5" t="s">
        <v>9706</v>
      </c>
      <c r="G2236" s="5" t="s">
        <v>9812</v>
      </c>
      <c r="H2236" s="5">
        <v>2004.0</v>
      </c>
      <c r="I2236" s="5">
        <v>0.0</v>
      </c>
      <c r="J2236" s="5">
        <v>0.0</v>
      </c>
      <c r="K2236" s="5">
        <v>10.0</v>
      </c>
      <c r="L2236" s="54"/>
      <c r="M2236" s="5" t="s">
        <v>9843</v>
      </c>
      <c r="N2236" s="53" t="s">
        <v>2938</v>
      </c>
      <c r="O2236">
        <v>35.937496</v>
      </c>
      <c r="P2236">
        <v>14.375416</v>
      </c>
      <c r="Q2236" s="5" t="s">
        <v>740</v>
      </c>
      <c r="R2236" s="10">
        <f t="shared" si="10"/>
        <v>655</v>
      </c>
      <c r="S2236" s="5" t="s">
        <v>9844</v>
      </c>
      <c r="T2236" s="6" t="s">
        <v>2130</v>
      </c>
      <c r="U2236" s="5" t="s">
        <v>5475</v>
      </c>
      <c r="V2236" s="5"/>
    </row>
    <row r="2237" ht="12.75" customHeight="1">
      <c r="A2237" s="5">
        <v>35407.0</v>
      </c>
      <c r="B2237" s="5" t="s">
        <v>68</v>
      </c>
      <c r="C2237" s="5" t="s">
        <v>69</v>
      </c>
      <c r="D2237" s="5" t="s">
        <v>2614</v>
      </c>
      <c r="E2237" s="7" t="s">
        <v>9845</v>
      </c>
      <c r="F2237" s="5" t="s">
        <v>9706</v>
      </c>
      <c r="G2237" s="5" t="s">
        <v>9812</v>
      </c>
      <c r="H2237" s="5">
        <v>2004.0</v>
      </c>
      <c r="I2237" s="5">
        <v>0.0</v>
      </c>
      <c r="J2237" s="5">
        <v>0.0</v>
      </c>
      <c r="K2237" s="5">
        <v>7.0</v>
      </c>
      <c r="L2237" s="54"/>
      <c r="M2237" s="5" t="s">
        <v>9846</v>
      </c>
      <c r="N2237" s="53" t="s">
        <v>4941</v>
      </c>
      <c r="O2237">
        <v>28.291564</v>
      </c>
      <c r="P2237">
        <v>-16.62913</v>
      </c>
      <c r="Q2237" s="5" t="s">
        <v>382</v>
      </c>
      <c r="R2237" s="10">
        <f t="shared" si="10"/>
        <v>1120</v>
      </c>
      <c r="S2237" s="5" t="s">
        <v>9847</v>
      </c>
      <c r="T2237" s="5" t="s">
        <v>1040</v>
      </c>
      <c r="U2237" s="5" t="s">
        <v>2785</v>
      </c>
      <c r="V2237" s="5" t="s">
        <v>9848</v>
      </c>
    </row>
    <row r="2238" ht="12.75" customHeight="1">
      <c r="A2238" s="5">
        <v>35408.0</v>
      </c>
      <c r="B2238" s="5" t="s">
        <v>68</v>
      </c>
      <c r="C2238" s="5" t="s">
        <v>69</v>
      </c>
      <c r="D2238" s="5" t="s">
        <v>2614</v>
      </c>
      <c r="E2238" s="7" t="s">
        <v>9849</v>
      </c>
      <c r="F2238" s="5" t="s">
        <v>9706</v>
      </c>
      <c r="G2238" s="5" t="s">
        <v>9812</v>
      </c>
      <c r="H2238" s="5">
        <v>2004.0</v>
      </c>
      <c r="I2238" s="5">
        <v>0.0</v>
      </c>
      <c r="J2238" s="5">
        <v>0.0</v>
      </c>
      <c r="K2238" s="5">
        <v>17.0</v>
      </c>
      <c r="L2238" s="54"/>
      <c r="M2238" s="5" t="s">
        <v>9850</v>
      </c>
      <c r="N2238" s="53" t="s">
        <v>9194</v>
      </c>
      <c r="O2238">
        <v>38.963745</v>
      </c>
      <c r="P2238">
        <v>35.243322</v>
      </c>
      <c r="Q2238" s="5" t="s">
        <v>1051</v>
      </c>
      <c r="R2238" s="10">
        <f t="shared" si="10"/>
        <v>23</v>
      </c>
      <c r="S2238" s="5" t="s">
        <v>9851</v>
      </c>
      <c r="T2238" s="5"/>
      <c r="U2238" s="5" t="s">
        <v>9852</v>
      </c>
      <c r="V2238" s="5" t="s">
        <v>9853</v>
      </c>
    </row>
    <row r="2239" ht="12.75" customHeight="1">
      <c r="A2239" s="5">
        <v>35409.0</v>
      </c>
      <c r="B2239" s="5" t="s">
        <v>2902</v>
      </c>
      <c r="C2239" s="5" t="s">
        <v>211</v>
      </c>
      <c r="D2239" s="5" t="s">
        <v>2852</v>
      </c>
      <c r="E2239" s="7" t="s">
        <v>9854</v>
      </c>
      <c r="F2239" s="5" t="s">
        <v>9706</v>
      </c>
      <c r="G2239" s="5" t="s">
        <v>9812</v>
      </c>
      <c r="H2239" s="5">
        <v>2004.0</v>
      </c>
      <c r="I2239" s="5">
        <v>0.0</v>
      </c>
      <c r="J2239" s="5">
        <v>0.0</v>
      </c>
      <c r="K2239" s="5">
        <v>1.0</v>
      </c>
      <c r="L2239" s="54"/>
      <c r="M2239" s="5" t="s">
        <v>9855</v>
      </c>
      <c r="N2239" s="53" t="s">
        <v>4095</v>
      </c>
      <c r="O2239">
        <v>55.378051</v>
      </c>
      <c r="P2239">
        <v>-3.435973</v>
      </c>
      <c r="Q2239" s="5" t="s">
        <v>1882</v>
      </c>
      <c r="R2239" s="10">
        <f t="shared" si="10"/>
        <v>23</v>
      </c>
      <c r="S2239" s="5" t="s">
        <v>9856</v>
      </c>
      <c r="T2239" s="5"/>
      <c r="U2239" s="5" t="s">
        <v>9857</v>
      </c>
      <c r="V2239" s="5"/>
    </row>
    <row r="2240" ht="12.75" customHeight="1">
      <c r="A2240" s="5">
        <v>35410.0</v>
      </c>
      <c r="B2240" s="5" t="s">
        <v>41</v>
      </c>
      <c r="C2240" s="5" t="s">
        <v>42</v>
      </c>
      <c r="D2240" s="5" t="s">
        <v>2852</v>
      </c>
      <c r="E2240" s="7" t="s">
        <v>9858</v>
      </c>
      <c r="F2240" s="5" t="s">
        <v>9706</v>
      </c>
      <c r="G2240" s="5" t="s">
        <v>9812</v>
      </c>
      <c r="H2240" s="5">
        <v>2004.0</v>
      </c>
      <c r="I2240" s="5">
        <v>0.0</v>
      </c>
      <c r="J2240" s="5">
        <v>0.0</v>
      </c>
      <c r="K2240" s="5">
        <v>1.0</v>
      </c>
      <c r="L2240" s="54"/>
      <c r="M2240" s="5" t="s">
        <v>9859</v>
      </c>
      <c r="N2240" s="53" t="s">
        <v>2638</v>
      </c>
      <c r="O2240">
        <v>35.888384</v>
      </c>
      <c r="P2240">
        <v>-5.324636</v>
      </c>
      <c r="Q2240" s="5" t="s">
        <v>717</v>
      </c>
      <c r="R2240" s="10">
        <f t="shared" si="10"/>
        <v>213</v>
      </c>
      <c r="S2240" s="5" t="s">
        <v>9860</v>
      </c>
      <c r="T2240" s="6" t="s">
        <v>72</v>
      </c>
      <c r="U2240" s="5" t="s">
        <v>3219</v>
      </c>
      <c r="V2240" s="5"/>
    </row>
    <row r="2241" ht="12.75" customHeight="1">
      <c r="A2241" s="5">
        <v>35411.0</v>
      </c>
      <c r="B2241" s="5" t="s">
        <v>2962</v>
      </c>
      <c r="C2241" s="5" t="s">
        <v>211</v>
      </c>
      <c r="D2241" s="5" t="s">
        <v>2852</v>
      </c>
      <c r="E2241" s="7" t="s">
        <v>9858</v>
      </c>
      <c r="F2241" s="5" t="s">
        <v>9706</v>
      </c>
      <c r="G2241" s="5" t="s">
        <v>9812</v>
      </c>
      <c r="H2241" s="5">
        <v>2004.0</v>
      </c>
      <c r="I2241" s="5">
        <v>0.0</v>
      </c>
      <c r="J2241" s="5">
        <v>0.0</v>
      </c>
      <c r="K2241" s="5">
        <v>1.0</v>
      </c>
      <c r="L2241" s="54"/>
      <c r="M2241" s="5" t="s">
        <v>9861</v>
      </c>
      <c r="N2241" s="53" t="s">
        <v>9862</v>
      </c>
      <c r="O2241">
        <v>53.63459</v>
      </c>
      <c r="P2241">
        <v>10.01608</v>
      </c>
      <c r="Q2241" s="5" t="s">
        <v>1852</v>
      </c>
      <c r="R2241" s="10">
        <f t="shared" si="10"/>
        <v>1</v>
      </c>
      <c r="S2241" s="5" t="s">
        <v>9863</v>
      </c>
      <c r="T2241" s="5"/>
      <c r="U2241" s="5" t="s">
        <v>9864</v>
      </c>
      <c r="V2241" s="5"/>
    </row>
    <row r="2242" ht="12.75" customHeight="1">
      <c r="A2242" s="5">
        <v>35414.0</v>
      </c>
      <c r="B2242" s="5" t="s">
        <v>49</v>
      </c>
      <c r="C2242" s="52" t="s">
        <v>50</v>
      </c>
      <c r="D2242" s="5" t="s">
        <v>2852</v>
      </c>
      <c r="E2242" s="7" t="s">
        <v>9865</v>
      </c>
      <c r="F2242" s="5" t="s">
        <v>9706</v>
      </c>
      <c r="G2242" s="5" t="s">
        <v>9812</v>
      </c>
      <c r="H2242" s="5">
        <v>2004.0</v>
      </c>
      <c r="I2242" s="5">
        <v>0.0</v>
      </c>
      <c r="J2242" s="5">
        <v>0.0</v>
      </c>
      <c r="K2242" s="5">
        <v>20.0</v>
      </c>
      <c r="L2242" s="54"/>
      <c r="M2242" s="5" t="s">
        <v>9866</v>
      </c>
      <c r="N2242" s="53" t="s">
        <v>5192</v>
      </c>
      <c r="O2242">
        <v>36.239546</v>
      </c>
      <c r="P2242">
        <v>13.007813</v>
      </c>
      <c r="Q2242" s="5" t="s">
        <v>785</v>
      </c>
      <c r="R2242" s="10">
        <f t="shared" si="10"/>
        <v>48</v>
      </c>
      <c r="S2242" s="5" t="s">
        <v>9867</v>
      </c>
      <c r="T2242" s="6" t="s">
        <v>2130</v>
      </c>
      <c r="U2242" s="5" t="s">
        <v>9868</v>
      </c>
      <c r="V2242" s="5"/>
    </row>
    <row r="2243" ht="12.75" customHeight="1">
      <c r="A2243" s="5">
        <v>35413.0</v>
      </c>
      <c r="B2243" s="5" t="s">
        <v>49</v>
      </c>
      <c r="C2243" s="52" t="s">
        <v>50</v>
      </c>
      <c r="D2243" s="5" t="s">
        <v>2852</v>
      </c>
      <c r="E2243" s="7" t="s">
        <v>9865</v>
      </c>
      <c r="F2243" s="5" t="s">
        <v>9706</v>
      </c>
      <c r="G2243" s="5" t="s">
        <v>9812</v>
      </c>
      <c r="H2243" s="5">
        <v>2004.0</v>
      </c>
      <c r="I2243" s="5">
        <v>0.0</v>
      </c>
      <c r="J2243" s="5">
        <v>0.0</v>
      </c>
      <c r="K2243" s="5">
        <v>16.0</v>
      </c>
      <c r="L2243" s="54"/>
      <c r="M2243" s="5" t="s">
        <v>9869</v>
      </c>
      <c r="N2243" s="53" t="s">
        <v>5192</v>
      </c>
      <c r="O2243">
        <v>36.239546</v>
      </c>
      <c r="P2243">
        <v>13.007813</v>
      </c>
      <c r="Q2243" s="5" t="s">
        <v>785</v>
      </c>
      <c r="R2243" s="10">
        <f t="shared" si="10"/>
        <v>48</v>
      </c>
      <c r="S2243" s="5" t="s">
        <v>9867</v>
      </c>
      <c r="T2243" s="6" t="s">
        <v>2130</v>
      </c>
      <c r="U2243" s="5" t="s">
        <v>9868</v>
      </c>
      <c r="V2243" s="5"/>
    </row>
    <row r="2244" ht="12.75" customHeight="1">
      <c r="A2244" s="5">
        <v>35412.0</v>
      </c>
      <c r="B2244" s="5" t="s">
        <v>1076</v>
      </c>
      <c r="C2244" s="52" t="s">
        <v>50</v>
      </c>
      <c r="D2244" s="5" t="s">
        <v>2614</v>
      </c>
      <c r="E2244" s="7" t="s">
        <v>9865</v>
      </c>
      <c r="F2244" s="5" t="s">
        <v>9706</v>
      </c>
      <c r="G2244" s="5" t="s">
        <v>9812</v>
      </c>
      <c r="H2244" s="5">
        <v>2004.0</v>
      </c>
      <c r="I2244" s="5">
        <v>0.0</v>
      </c>
      <c r="J2244" s="5">
        <v>0.0</v>
      </c>
      <c r="K2244" s="5">
        <v>1.0</v>
      </c>
      <c r="L2244" s="54"/>
      <c r="M2244" s="5" t="s">
        <v>9870</v>
      </c>
      <c r="N2244" s="53" t="s">
        <v>2996</v>
      </c>
      <c r="O2244">
        <v>43.61583</v>
      </c>
      <c r="P2244">
        <v>13.518915</v>
      </c>
      <c r="Q2244" s="5" t="s">
        <v>1284</v>
      </c>
      <c r="R2244" s="10">
        <f t="shared" si="10"/>
        <v>16</v>
      </c>
      <c r="S2244" s="5" t="s">
        <v>9871</v>
      </c>
      <c r="T2244" s="5"/>
      <c r="U2244" s="5" t="s">
        <v>3318</v>
      </c>
      <c r="V2244" s="5" t="s">
        <v>9872</v>
      </c>
    </row>
    <row r="2245" ht="12.75" customHeight="1">
      <c r="A2245" s="5">
        <v>35415.0</v>
      </c>
      <c r="B2245" s="5" t="s">
        <v>49</v>
      </c>
      <c r="C2245" s="52" t="s">
        <v>50</v>
      </c>
      <c r="D2245" s="5" t="s">
        <v>2852</v>
      </c>
      <c r="E2245" s="7" t="s">
        <v>9873</v>
      </c>
      <c r="F2245" s="5" t="s">
        <v>9706</v>
      </c>
      <c r="G2245" s="5" t="s">
        <v>9874</v>
      </c>
      <c r="H2245" s="5">
        <v>2004.0</v>
      </c>
      <c r="I2245" s="5">
        <v>0.0</v>
      </c>
      <c r="J2245" s="5">
        <v>0.0</v>
      </c>
      <c r="K2245" s="5">
        <v>1.0</v>
      </c>
      <c r="L2245" s="54"/>
      <c r="M2245" s="5" t="s">
        <v>9875</v>
      </c>
      <c r="N2245" s="53" t="s">
        <v>9876</v>
      </c>
      <c r="O2245">
        <v>37.101709</v>
      </c>
      <c r="P2245">
        <v>13.937331</v>
      </c>
      <c r="Q2245" s="5" t="s">
        <v>900</v>
      </c>
      <c r="R2245" s="10">
        <f t="shared" si="10"/>
        <v>1</v>
      </c>
      <c r="S2245" s="5" t="s">
        <v>9877</v>
      </c>
      <c r="T2245" s="6" t="s">
        <v>2130</v>
      </c>
      <c r="U2245" s="5" t="s">
        <v>9878</v>
      </c>
      <c r="V2245" s="5"/>
    </row>
    <row r="2246" ht="12.75" customHeight="1">
      <c r="A2246" s="5">
        <v>35416.0</v>
      </c>
      <c r="B2246" s="5" t="s">
        <v>1995</v>
      </c>
      <c r="C2246" s="52" t="s">
        <v>50</v>
      </c>
      <c r="D2246" s="5" t="s">
        <v>2852</v>
      </c>
      <c r="E2246" s="7" t="s">
        <v>9879</v>
      </c>
      <c r="F2246" s="5" t="s">
        <v>9706</v>
      </c>
      <c r="G2246" s="5" t="s">
        <v>9874</v>
      </c>
      <c r="H2246" s="5">
        <v>2004.0</v>
      </c>
      <c r="I2246" s="5">
        <v>0.0</v>
      </c>
      <c r="J2246" s="5">
        <v>0.0</v>
      </c>
      <c r="K2246" s="5">
        <v>1.0</v>
      </c>
      <c r="L2246" s="54"/>
      <c r="M2246" s="5" t="s">
        <v>9880</v>
      </c>
      <c r="N2246" s="53" t="s">
        <v>5192</v>
      </c>
      <c r="O2246">
        <v>36.239546</v>
      </c>
      <c r="P2246">
        <v>13.007813</v>
      </c>
      <c r="Q2246" s="5" t="s">
        <v>785</v>
      </c>
      <c r="R2246" s="10">
        <f t="shared" si="10"/>
        <v>48</v>
      </c>
      <c r="S2246" s="5" t="s">
        <v>9881</v>
      </c>
      <c r="T2246" s="6" t="s">
        <v>2130</v>
      </c>
      <c r="U2246" s="5" t="s">
        <v>9295</v>
      </c>
      <c r="V2246" s="5"/>
    </row>
    <row r="2247" ht="12.75" customHeight="1">
      <c r="A2247" s="5">
        <v>35417.0</v>
      </c>
      <c r="B2247" s="5" t="s">
        <v>49</v>
      </c>
      <c r="C2247" s="52" t="s">
        <v>50</v>
      </c>
      <c r="D2247" s="5" t="s">
        <v>2614</v>
      </c>
      <c r="E2247" s="7" t="s">
        <v>9882</v>
      </c>
      <c r="F2247" s="5" t="s">
        <v>9706</v>
      </c>
      <c r="G2247" s="5" t="s">
        <v>9874</v>
      </c>
      <c r="H2247" s="5">
        <v>2004.0</v>
      </c>
      <c r="I2247" s="5">
        <v>0.0</v>
      </c>
      <c r="J2247" s="5">
        <v>0.0</v>
      </c>
      <c r="K2247" s="5">
        <v>1.0</v>
      </c>
      <c r="L2247" s="54"/>
      <c r="M2247" s="5" t="s">
        <v>9883</v>
      </c>
      <c r="N2247" s="53" t="s">
        <v>5954</v>
      </c>
      <c r="O2247">
        <v>27.93556</v>
      </c>
      <c r="P2247">
        <v>-12.91871</v>
      </c>
      <c r="Q2247" s="5" t="s">
        <v>365</v>
      </c>
      <c r="R2247" s="10">
        <f t="shared" si="10"/>
        <v>85</v>
      </c>
      <c r="S2247" s="5" t="s">
        <v>9884</v>
      </c>
      <c r="T2247" s="5" t="s">
        <v>1040</v>
      </c>
      <c r="U2247" s="5" t="s">
        <v>2635</v>
      </c>
      <c r="V2247" s="5" t="s">
        <v>9885</v>
      </c>
    </row>
    <row r="2248" ht="12.75" customHeight="1">
      <c r="A2248" s="5">
        <v>35419.0</v>
      </c>
      <c r="B2248" s="5" t="s">
        <v>68</v>
      </c>
      <c r="C2248" s="5" t="s">
        <v>69</v>
      </c>
      <c r="D2248" s="5" t="s">
        <v>2852</v>
      </c>
      <c r="E2248" s="7" t="s">
        <v>9886</v>
      </c>
      <c r="F2248" s="5" t="s">
        <v>9706</v>
      </c>
      <c r="G2248" s="5" t="s">
        <v>9874</v>
      </c>
      <c r="H2248" s="5">
        <v>2004.0</v>
      </c>
      <c r="I2248" s="5">
        <v>0.0</v>
      </c>
      <c r="J2248" s="5">
        <v>0.0</v>
      </c>
      <c r="K2248" s="5">
        <v>28.0</v>
      </c>
      <c r="L2248" s="54"/>
      <c r="M2248" s="5" t="s">
        <v>9887</v>
      </c>
      <c r="N2248" s="53" t="s">
        <v>5954</v>
      </c>
      <c r="O2248">
        <v>27.93556</v>
      </c>
      <c r="P2248">
        <v>-12.91871</v>
      </c>
      <c r="Q2248" s="5" t="s">
        <v>365</v>
      </c>
      <c r="R2248" s="10">
        <f t="shared" si="10"/>
        <v>85</v>
      </c>
      <c r="S2248" s="5" t="s">
        <v>9888</v>
      </c>
      <c r="T2248" s="5" t="s">
        <v>1040</v>
      </c>
      <c r="U2248" s="5" t="s">
        <v>9889</v>
      </c>
      <c r="V2248" s="5"/>
    </row>
    <row r="2249" ht="12.75" customHeight="1">
      <c r="A2249" s="5">
        <v>35418.0</v>
      </c>
      <c r="B2249" s="5" t="s">
        <v>68</v>
      </c>
      <c r="C2249" s="5" t="s">
        <v>69</v>
      </c>
      <c r="D2249" s="5" t="s">
        <v>2614</v>
      </c>
      <c r="E2249" s="7" t="s">
        <v>9886</v>
      </c>
      <c r="F2249" s="5" t="s">
        <v>9706</v>
      </c>
      <c r="G2249" s="5" t="s">
        <v>9874</v>
      </c>
      <c r="H2249" s="5">
        <v>2004.0</v>
      </c>
      <c r="I2249" s="5">
        <v>0.0</v>
      </c>
      <c r="J2249" s="5">
        <v>0.0</v>
      </c>
      <c r="K2249" s="5">
        <v>2.0</v>
      </c>
      <c r="L2249" s="54"/>
      <c r="M2249" s="5" t="s">
        <v>9890</v>
      </c>
      <c r="N2249" s="53" t="s">
        <v>2700</v>
      </c>
      <c r="O2249">
        <v>35.508622</v>
      </c>
      <c r="P2249">
        <v>12.59292</v>
      </c>
      <c r="Q2249" s="5" t="s">
        <v>669</v>
      </c>
      <c r="R2249" s="10">
        <f t="shared" si="10"/>
        <v>3843</v>
      </c>
      <c r="S2249" s="5" t="s">
        <v>9891</v>
      </c>
      <c r="T2249" s="6" t="s">
        <v>2130</v>
      </c>
      <c r="U2249" s="5" t="s">
        <v>9892</v>
      </c>
      <c r="V2249" s="5" t="s">
        <v>9893</v>
      </c>
    </row>
    <row r="2250" ht="12.75" customHeight="1">
      <c r="A2250" s="5">
        <v>35420.0</v>
      </c>
      <c r="B2250" s="5" t="s">
        <v>2962</v>
      </c>
      <c r="C2250" s="5" t="s">
        <v>211</v>
      </c>
      <c r="D2250" s="5" t="s">
        <v>2852</v>
      </c>
      <c r="E2250" s="7" t="s">
        <v>9886</v>
      </c>
      <c r="F2250" s="5" t="s">
        <v>9706</v>
      </c>
      <c r="G2250" s="5" t="s">
        <v>9874</v>
      </c>
      <c r="H2250" s="5">
        <v>2004.0</v>
      </c>
      <c r="I2250" s="5">
        <v>0.0</v>
      </c>
      <c r="J2250" s="5">
        <v>0.0</v>
      </c>
      <c r="K2250" s="5">
        <v>1.0</v>
      </c>
      <c r="L2250" s="54"/>
      <c r="M2250" s="5" t="s">
        <v>9894</v>
      </c>
      <c r="N2250" s="53" t="s">
        <v>9895</v>
      </c>
      <c r="O2250">
        <v>52.636878</v>
      </c>
      <c r="P2250">
        <v>-1.139759</v>
      </c>
      <c r="Q2250" s="5" t="s">
        <v>1788</v>
      </c>
      <c r="R2250" s="10">
        <f t="shared" si="10"/>
        <v>2</v>
      </c>
      <c r="S2250" s="5" t="s">
        <v>9896</v>
      </c>
      <c r="T2250" s="5"/>
      <c r="U2250" s="5" t="s">
        <v>8646</v>
      </c>
      <c r="V2250" s="5"/>
    </row>
    <row r="2251" ht="12.75" customHeight="1">
      <c r="A2251" s="5">
        <v>35422.0</v>
      </c>
      <c r="B2251" s="5" t="s">
        <v>49</v>
      </c>
      <c r="C2251" s="52" t="s">
        <v>50</v>
      </c>
      <c r="D2251" s="5" t="s">
        <v>2852</v>
      </c>
      <c r="E2251" s="7" t="s">
        <v>9897</v>
      </c>
      <c r="F2251" s="5" t="s">
        <v>9706</v>
      </c>
      <c r="G2251" s="5" t="s">
        <v>9874</v>
      </c>
      <c r="H2251" s="5">
        <v>2004.0</v>
      </c>
      <c r="I2251" s="5">
        <v>0.0</v>
      </c>
      <c r="J2251" s="5">
        <v>0.0</v>
      </c>
      <c r="K2251" s="5">
        <v>1.0</v>
      </c>
      <c r="L2251" s="54"/>
      <c r="M2251" s="5" t="s">
        <v>9898</v>
      </c>
      <c r="N2251" s="53" t="s">
        <v>2938</v>
      </c>
      <c r="O2251">
        <v>35.937496</v>
      </c>
      <c r="P2251">
        <v>14.375416</v>
      </c>
      <c r="Q2251" s="5" t="s">
        <v>740</v>
      </c>
      <c r="R2251" s="10">
        <f t="shared" si="10"/>
        <v>655</v>
      </c>
      <c r="S2251" s="5" t="s">
        <v>9899</v>
      </c>
      <c r="T2251" s="6" t="s">
        <v>2130</v>
      </c>
      <c r="U2251" s="5" t="s">
        <v>9900</v>
      </c>
      <c r="V2251" s="5"/>
    </row>
    <row r="2252" ht="12.75" customHeight="1">
      <c r="A2252" s="5">
        <v>35421.0</v>
      </c>
      <c r="B2252" s="5" t="s">
        <v>49</v>
      </c>
      <c r="C2252" s="52" t="s">
        <v>50</v>
      </c>
      <c r="D2252" s="5" t="s">
        <v>2852</v>
      </c>
      <c r="E2252" s="7" t="s">
        <v>9897</v>
      </c>
      <c r="F2252" s="5" t="s">
        <v>9706</v>
      </c>
      <c r="G2252" s="5" t="s">
        <v>9874</v>
      </c>
      <c r="H2252" s="5">
        <v>2004.0</v>
      </c>
      <c r="I2252" s="5">
        <v>0.0</v>
      </c>
      <c r="J2252" s="5">
        <v>0.0</v>
      </c>
      <c r="K2252" s="5">
        <v>1.0</v>
      </c>
      <c r="L2252" s="54"/>
      <c r="M2252" s="5" t="s">
        <v>9901</v>
      </c>
      <c r="N2252" s="53" t="s">
        <v>2938</v>
      </c>
      <c r="O2252">
        <v>35.937496</v>
      </c>
      <c r="P2252">
        <v>14.375416</v>
      </c>
      <c r="Q2252" s="5" t="s">
        <v>740</v>
      </c>
      <c r="R2252" s="10">
        <f t="shared" si="10"/>
        <v>655</v>
      </c>
      <c r="S2252" s="5" t="s">
        <v>9899</v>
      </c>
      <c r="T2252" s="6" t="s">
        <v>2130</v>
      </c>
      <c r="U2252" s="5" t="s">
        <v>9902</v>
      </c>
      <c r="V2252" s="5"/>
    </row>
    <row r="2253" ht="12.75" customHeight="1">
      <c r="A2253" s="5">
        <v>35423.0</v>
      </c>
      <c r="B2253" s="5" t="s">
        <v>2962</v>
      </c>
      <c r="C2253" s="5" t="s">
        <v>211</v>
      </c>
      <c r="D2253" s="5" t="s">
        <v>2852</v>
      </c>
      <c r="E2253" s="7" t="s">
        <v>9897</v>
      </c>
      <c r="F2253" s="5" t="s">
        <v>9706</v>
      </c>
      <c r="G2253" s="5" t="s">
        <v>9874</v>
      </c>
      <c r="H2253" s="5">
        <v>2004.0</v>
      </c>
      <c r="I2253" s="5">
        <v>0.0</v>
      </c>
      <c r="J2253" s="5">
        <v>0.0</v>
      </c>
      <c r="K2253" s="5">
        <v>1.0</v>
      </c>
      <c r="L2253" s="54"/>
      <c r="M2253" s="5" t="s">
        <v>9903</v>
      </c>
      <c r="N2253" s="53" t="s">
        <v>9904</v>
      </c>
      <c r="O2253">
        <v>53.381129</v>
      </c>
      <c r="P2253">
        <v>-1.470085</v>
      </c>
      <c r="Q2253" s="5" t="s">
        <v>1826</v>
      </c>
      <c r="R2253" s="10">
        <f t="shared" si="10"/>
        <v>1</v>
      </c>
      <c r="S2253" s="5" t="s">
        <v>9905</v>
      </c>
      <c r="T2253" s="5"/>
      <c r="U2253" s="5" t="s">
        <v>9906</v>
      </c>
      <c r="V2253" s="5"/>
    </row>
    <row r="2254" ht="12.75" customHeight="1">
      <c r="A2254" s="5">
        <v>35425.0</v>
      </c>
      <c r="B2254" s="5" t="s">
        <v>49</v>
      </c>
      <c r="C2254" s="52" t="s">
        <v>50</v>
      </c>
      <c r="D2254" s="5" t="s">
        <v>2852</v>
      </c>
      <c r="E2254" s="7" t="s">
        <v>9907</v>
      </c>
      <c r="F2254" s="5" t="s">
        <v>9706</v>
      </c>
      <c r="G2254" s="5" t="s">
        <v>9874</v>
      </c>
      <c r="H2254" s="5">
        <v>2004.0</v>
      </c>
      <c r="I2254" s="5">
        <v>0.0</v>
      </c>
      <c r="J2254" s="5">
        <v>0.0</v>
      </c>
      <c r="K2254" s="5">
        <v>3.0</v>
      </c>
      <c r="L2254" s="54"/>
      <c r="M2254" s="5" t="s">
        <v>9908</v>
      </c>
      <c r="N2254" s="53" t="s">
        <v>3340</v>
      </c>
      <c r="O2254">
        <v>37.743215</v>
      </c>
      <c r="P2254">
        <v>26.820351</v>
      </c>
      <c r="Q2254" s="5" t="s">
        <v>956</v>
      </c>
      <c r="R2254" s="10">
        <f t="shared" si="10"/>
        <v>218</v>
      </c>
      <c r="S2254" s="5" t="s">
        <v>9909</v>
      </c>
      <c r="T2254" s="6" t="s">
        <v>53</v>
      </c>
      <c r="U2254" s="5" t="s">
        <v>5475</v>
      </c>
      <c r="V2254" s="5"/>
    </row>
    <row r="2255" ht="12.75" customHeight="1">
      <c r="A2255" s="5">
        <v>35424.0</v>
      </c>
      <c r="B2255" s="5" t="s">
        <v>153</v>
      </c>
      <c r="C2255" s="52" t="s">
        <v>50</v>
      </c>
      <c r="D2255" s="5" t="s">
        <v>2852</v>
      </c>
      <c r="E2255" s="7" t="s">
        <v>9907</v>
      </c>
      <c r="F2255" s="5" t="s">
        <v>9706</v>
      </c>
      <c r="G2255" s="5" t="s">
        <v>9874</v>
      </c>
      <c r="H2255" s="5">
        <v>2004.0</v>
      </c>
      <c r="I2255" s="5">
        <v>0.0</v>
      </c>
      <c r="J2255" s="5">
        <v>0.0</v>
      </c>
      <c r="K2255" s="5">
        <v>1.0</v>
      </c>
      <c r="L2255" s="54"/>
      <c r="M2255" s="5" t="s">
        <v>9910</v>
      </c>
      <c r="N2255" s="53" t="s">
        <v>5086</v>
      </c>
      <c r="O2255">
        <v>51.511214</v>
      </c>
      <c r="P2255">
        <v>-0.119824</v>
      </c>
      <c r="Q2255" s="5" t="s">
        <v>1662</v>
      </c>
      <c r="R2255" s="10">
        <f t="shared" si="10"/>
        <v>9</v>
      </c>
      <c r="S2255" s="5" t="s">
        <v>9911</v>
      </c>
      <c r="T2255" s="5"/>
      <c r="U2255" s="5" t="s">
        <v>3219</v>
      </c>
      <c r="V2255" s="5"/>
    </row>
    <row r="2256" ht="12.75" customHeight="1">
      <c r="A2256" s="5">
        <v>35427.0</v>
      </c>
      <c r="B2256" s="5" t="s">
        <v>49</v>
      </c>
      <c r="C2256" s="52" t="s">
        <v>50</v>
      </c>
      <c r="D2256" s="5" t="s">
        <v>2852</v>
      </c>
      <c r="E2256" s="7" t="s">
        <v>9912</v>
      </c>
      <c r="F2256" s="5" t="s">
        <v>9706</v>
      </c>
      <c r="G2256" s="5" t="s">
        <v>9874</v>
      </c>
      <c r="H2256" s="5">
        <v>2004.0</v>
      </c>
      <c r="I2256" s="5">
        <v>0.0</v>
      </c>
      <c r="J2256" s="5">
        <v>0.0</v>
      </c>
      <c r="K2256" s="5">
        <v>7.0</v>
      </c>
      <c r="L2256" s="54"/>
      <c r="M2256" s="5" t="s">
        <v>9913</v>
      </c>
      <c r="N2256" s="53" t="s">
        <v>6113</v>
      </c>
      <c r="O2256">
        <v>37.075546</v>
      </c>
      <c r="P2256">
        <v>25.520736</v>
      </c>
      <c r="Q2256" s="5" t="s">
        <v>899</v>
      </c>
      <c r="R2256" s="10">
        <f t="shared" si="10"/>
        <v>70</v>
      </c>
      <c r="S2256" s="5" t="s">
        <v>9914</v>
      </c>
      <c r="T2256" s="6" t="s">
        <v>53</v>
      </c>
      <c r="U2256" s="5" t="s">
        <v>3128</v>
      </c>
      <c r="V2256" s="5"/>
    </row>
    <row r="2257" ht="12.75" customHeight="1">
      <c r="A2257" s="5">
        <v>35426.0</v>
      </c>
      <c r="B2257" s="5" t="s">
        <v>49</v>
      </c>
      <c r="C2257" s="52" t="s">
        <v>50</v>
      </c>
      <c r="D2257" s="5" t="s">
        <v>2852</v>
      </c>
      <c r="E2257" s="7" t="s">
        <v>9912</v>
      </c>
      <c r="F2257" s="5" t="s">
        <v>9706</v>
      </c>
      <c r="G2257" s="5" t="s">
        <v>9874</v>
      </c>
      <c r="H2257" s="5">
        <v>2004.0</v>
      </c>
      <c r="I2257" s="5">
        <v>0.0</v>
      </c>
      <c r="J2257" s="5">
        <v>0.0</v>
      </c>
      <c r="K2257" s="5">
        <v>9.0</v>
      </c>
      <c r="L2257" s="54"/>
      <c r="M2257" s="5" t="s">
        <v>9915</v>
      </c>
      <c r="N2257" s="53" t="s">
        <v>6113</v>
      </c>
      <c r="O2257">
        <v>37.075546</v>
      </c>
      <c r="P2257">
        <v>25.520736</v>
      </c>
      <c r="Q2257" s="5" t="s">
        <v>899</v>
      </c>
      <c r="R2257" s="10">
        <f t="shared" si="10"/>
        <v>70</v>
      </c>
      <c r="S2257" s="5" t="s">
        <v>9914</v>
      </c>
      <c r="T2257" s="6" t="s">
        <v>53</v>
      </c>
      <c r="U2257" s="5" t="s">
        <v>5475</v>
      </c>
      <c r="V2257" s="5"/>
    </row>
    <row r="2258" ht="12.75" customHeight="1">
      <c r="A2258" s="5">
        <v>35428.0</v>
      </c>
      <c r="B2258" s="5" t="s">
        <v>49</v>
      </c>
      <c r="C2258" s="52" t="s">
        <v>50</v>
      </c>
      <c r="D2258" s="5" t="s">
        <v>2852</v>
      </c>
      <c r="E2258" s="7" t="s">
        <v>9916</v>
      </c>
      <c r="F2258" s="5" t="s">
        <v>9706</v>
      </c>
      <c r="G2258" s="5" t="s">
        <v>9874</v>
      </c>
      <c r="H2258" s="5">
        <v>2004.0</v>
      </c>
      <c r="I2258" s="5">
        <v>0.0</v>
      </c>
      <c r="J2258" s="5">
        <v>0.0</v>
      </c>
      <c r="K2258" s="5">
        <v>1.0</v>
      </c>
      <c r="L2258" s="54"/>
      <c r="M2258" s="5" t="s">
        <v>9917</v>
      </c>
      <c r="N2258" s="53" t="s">
        <v>9918</v>
      </c>
      <c r="O2258">
        <v>35.256944</v>
      </c>
      <c r="P2258">
        <v>-2.934167</v>
      </c>
      <c r="Q2258" s="5" t="s">
        <v>644</v>
      </c>
      <c r="R2258" s="10">
        <f t="shared" si="10"/>
        <v>1</v>
      </c>
      <c r="S2258" s="5" t="s">
        <v>9919</v>
      </c>
      <c r="T2258" s="6" t="s">
        <v>72</v>
      </c>
      <c r="U2258" s="5" t="s">
        <v>7512</v>
      </c>
      <c r="V2258" s="5"/>
    </row>
    <row r="2259" ht="12.75" customHeight="1">
      <c r="A2259" s="5">
        <v>35429.0</v>
      </c>
      <c r="B2259" s="5" t="s">
        <v>763</v>
      </c>
      <c r="C2259" s="5" t="s">
        <v>124</v>
      </c>
      <c r="D2259" s="5" t="s">
        <v>2614</v>
      </c>
      <c r="E2259" s="7" t="s">
        <v>9920</v>
      </c>
      <c r="F2259" s="5" t="s">
        <v>9706</v>
      </c>
      <c r="G2259" s="5" t="s">
        <v>9874</v>
      </c>
      <c r="H2259" s="5">
        <v>2004.0</v>
      </c>
      <c r="I2259" s="5">
        <v>0.0</v>
      </c>
      <c r="J2259" s="5">
        <v>0.0</v>
      </c>
      <c r="K2259" s="5">
        <v>12.0</v>
      </c>
      <c r="L2259" s="54"/>
      <c r="M2259" s="5" t="s">
        <v>9921</v>
      </c>
      <c r="N2259" s="53" t="s">
        <v>8693</v>
      </c>
      <c r="O2259">
        <v>16.966667</v>
      </c>
      <c r="P2259">
        <v>7.983333</v>
      </c>
      <c r="Q2259" s="5" t="s">
        <v>277</v>
      </c>
      <c r="R2259" s="10">
        <f t="shared" si="10"/>
        <v>38</v>
      </c>
      <c r="S2259" s="5" t="s">
        <v>9922</v>
      </c>
      <c r="T2259" s="5"/>
      <c r="U2259" s="5" t="s">
        <v>2326</v>
      </c>
      <c r="V2259" s="5" t="s">
        <v>7579</v>
      </c>
    </row>
    <row r="2260" ht="12.75" customHeight="1">
      <c r="A2260" s="5">
        <v>35430.0</v>
      </c>
      <c r="B2260" s="5" t="s">
        <v>68</v>
      </c>
      <c r="C2260" s="5" t="s">
        <v>69</v>
      </c>
      <c r="D2260" s="5" t="s">
        <v>2614</v>
      </c>
      <c r="E2260" s="7" t="s">
        <v>9923</v>
      </c>
      <c r="F2260" s="5" t="s">
        <v>9706</v>
      </c>
      <c r="G2260" s="5" t="s">
        <v>9874</v>
      </c>
      <c r="H2260" s="5">
        <v>2004.0</v>
      </c>
      <c r="I2260" s="5">
        <v>0.0</v>
      </c>
      <c r="J2260" s="5">
        <v>0.0</v>
      </c>
      <c r="K2260" s="5">
        <v>2.0</v>
      </c>
      <c r="L2260" s="54"/>
      <c r="M2260" s="5" t="s">
        <v>9924</v>
      </c>
      <c r="N2260" s="53" t="s">
        <v>9925</v>
      </c>
      <c r="O2260">
        <v>37.27626</v>
      </c>
      <c r="P2260">
        <v>9.873071</v>
      </c>
      <c r="Q2260" s="5" t="s">
        <v>919</v>
      </c>
      <c r="R2260" s="10">
        <f t="shared" si="10"/>
        <v>3</v>
      </c>
      <c r="S2260" s="5" t="s">
        <v>9926</v>
      </c>
      <c r="T2260" s="6" t="s">
        <v>2130</v>
      </c>
      <c r="U2260" s="5" t="s">
        <v>9233</v>
      </c>
      <c r="V2260" s="5" t="s">
        <v>9927</v>
      </c>
    </row>
    <row r="2261" ht="12.75" customHeight="1">
      <c r="A2261" s="5">
        <v>35432.0</v>
      </c>
      <c r="B2261" s="5" t="s">
        <v>98</v>
      </c>
      <c r="C2261" s="5" t="s">
        <v>62</v>
      </c>
      <c r="D2261" s="5" t="s">
        <v>2852</v>
      </c>
      <c r="E2261" s="7" t="s">
        <v>9928</v>
      </c>
      <c r="F2261" s="5" t="s">
        <v>9706</v>
      </c>
      <c r="G2261" s="5" t="s">
        <v>9874</v>
      </c>
      <c r="H2261" s="5">
        <v>2004.0</v>
      </c>
      <c r="I2261" s="5">
        <v>0.0</v>
      </c>
      <c r="J2261" s="5">
        <v>0.0</v>
      </c>
      <c r="K2261" s="5">
        <v>1.0</v>
      </c>
      <c r="L2261" s="54"/>
      <c r="M2261" s="5" t="s">
        <v>9929</v>
      </c>
      <c r="N2261" s="53" t="s">
        <v>9930</v>
      </c>
      <c r="O2261">
        <v>2.033333</v>
      </c>
      <c r="P2261">
        <v>45.35</v>
      </c>
      <c r="Q2261" s="5" t="s">
        <v>304</v>
      </c>
      <c r="R2261" s="10">
        <f t="shared" si="10"/>
        <v>2</v>
      </c>
      <c r="S2261" s="5" t="s">
        <v>9931</v>
      </c>
      <c r="T2261" s="5"/>
      <c r="U2261" s="5" t="s">
        <v>9932</v>
      </c>
      <c r="V2261" s="5"/>
    </row>
    <row r="2262" ht="12.75" customHeight="1">
      <c r="A2262" s="5">
        <v>35431.0</v>
      </c>
      <c r="B2262" s="5" t="s">
        <v>5200</v>
      </c>
      <c r="C2262" s="5" t="s">
        <v>124</v>
      </c>
      <c r="D2262" s="5" t="s">
        <v>2614</v>
      </c>
      <c r="E2262" s="7" t="s">
        <v>9928</v>
      </c>
      <c r="F2262" s="5" t="s">
        <v>9706</v>
      </c>
      <c r="G2262" s="5" t="s">
        <v>9874</v>
      </c>
      <c r="H2262" s="5">
        <v>2004.0</v>
      </c>
      <c r="I2262" s="5">
        <v>0.0</v>
      </c>
      <c r="J2262" s="5">
        <v>0.0</v>
      </c>
      <c r="K2262" s="5">
        <v>1.0</v>
      </c>
      <c r="L2262" s="54"/>
      <c r="M2262" s="5" t="s">
        <v>9933</v>
      </c>
      <c r="N2262" s="53" t="s">
        <v>2834</v>
      </c>
      <c r="O2262">
        <v>41.244376</v>
      </c>
      <c r="P2262">
        <v>26.135943</v>
      </c>
      <c r="Q2262" s="5" t="s">
        <v>1214</v>
      </c>
      <c r="R2262" s="10">
        <f t="shared" si="10"/>
        <v>188</v>
      </c>
      <c r="S2262" s="5" t="s">
        <v>9934</v>
      </c>
      <c r="T2262" s="6" t="s">
        <v>53</v>
      </c>
      <c r="U2262" s="5" t="s">
        <v>9318</v>
      </c>
      <c r="V2262" s="5" t="s">
        <v>9935</v>
      </c>
    </row>
    <row r="2263" ht="12.75" customHeight="1">
      <c r="A2263" s="5">
        <v>35433.0</v>
      </c>
      <c r="B2263" s="5" t="s">
        <v>2902</v>
      </c>
      <c r="C2263" s="5" t="s">
        <v>211</v>
      </c>
      <c r="D2263" s="5" t="s">
        <v>2852</v>
      </c>
      <c r="E2263" s="7" t="s">
        <v>9936</v>
      </c>
      <c r="F2263" s="5" t="s">
        <v>9706</v>
      </c>
      <c r="G2263" s="5" t="s">
        <v>9874</v>
      </c>
      <c r="H2263" s="5">
        <v>2004.0</v>
      </c>
      <c r="I2263" s="5">
        <v>0.0</v>
      </c>
      <c r="J2263" s="5">
        <v>0.0</v>
      </c>
      <c r="K2263" s="5">
        <v>1.0</v>
      </c>
      <c r="L2263" s="54"/>
      <c r="M2263" s="5" t="s">
        <v>9937</v>
      </c>
      <c r="N2263" s="53" t="s">
        <v>5824</v>
      </c>
      <c r="O2263">
        <v>51.165691</v>
      </c>
      <c r="P2263">
        <v>10.451526</v>
      </c>
      <c r="Q2263" s="5" t="s">
        <v>1599</v>
      </c>
      <c r="R2263" s="10">
        <f t="shared" si="10"/>
        <v>8</v>
      </c>
      <c r="S2263" s="5" t="s">
        <v>9938</v>
      </c>
      <c r="T2263" s="5"/>
      <c r="U2263" s="5" t="s">
        <v>9939</v>
      </c>
      <c r="V2263" s="5"/>
    </row>
    <row r="2264" ht="12.75" customHeight="1">
      <c r="A2264" s="5">
        <v>35434.0</v>
      </c>
      <c r="B2264" s="5" t="s">
        <v>49</v>
      </c>
      <c r="C2264" s="52" t="s">
        <v>50</v>
      </c>
      <c r="D2264" s="5" t="s">
        <v>2852</v>
      </c>
      <c r="E2264" s="7" t="s">
        <v>9940</v>
      </c>
      <c r="F2264" s="5" t="s">
        <v>9706</v>
      </c>
      <c r="G2264" s="5" t="s">
        <v>9874</v>
      </c>
      <c r="H2264" s="5">
        <v>2004.0</v>
      </c>
      <c r="I2264" s="5">
        <v>0.0</v>
      </c>
      <c r="J2264" s="5">
        <v>0.0</v>
      </c>
      <c r="K2264" s="5">
        <v>30.0</v>
      </c>
      <c r="L2264" s="54"/>
      <c r="M2264" s="5" t="s">
        <v>9941</v>
      </c>
      <c r="N2264" s="53" t="s">
        <v>2928</v>
      </c>
      <c r="O2264">
        <v>26.3351</v>
      </c>
      <c r="P2264">
        <v>17.228331</v>
      </c>
      <c r="Q2264" s="5" t="s">
        <v>337</v>
      </c>
      <c r="R2264" s="10">
        <f t="shared" si="10"/>
        <v>1371</v>
      </c>
      <c r="S2264" s="5" t="s">
        <v>9942</v>
      </c>
      <c r="T2264" s="6" t="s">
        <v>2130</v>
      </c>
      <c r="U2264" s="5" t="s">
        <v>9943</v>
      </c>
      <c r="V2264" s="5"/>
    </row>
    <row r="2265" ht="12.75" customHeight="1">
      <c r="A2265" s="5">
        <v>35435.0</v>
      </c>
      <c r="B2265" s="5" t="s">
        <v>68</v>
      </c>
      <c r="C2265" s="5" t="s">
        <v>69</v>
      </c>
      <c r="D2265" s="5" t="s">
        <v>2614</v>
      </c>
      <c r="E2265" s="7" t="s">
        <v>9944</v>
      </c>
      <c r="F2265" s="5" t="s">
        <v>9706</v>
      </c>
      <c r="G2265" s="5" t="s">
        <v>9874</v>
      </c>
      <c r="H2265" s="5">
        <v>2004.0</v>
      </c>
      <c r="I2265" s="5">
        <v>0.0</v>
      </c>
      <c r="J2265" s="5">
        <v>0.0</v>
      </c>
      <c r="K2265" s="5">
        <v>64.0</v>
      </c>
      <c r="L2265" s="54"/>
      <c r="M2265" s="5" t="s">
        <v>9945</v>
      </c>
      <c r="N2265" s="53" t="s">
        <v>9946</v>
      </c>
      <c r="O2265">
        <v>35.91507</v>
      </c>
      <c r="P2265">
        <v>10.560222</v>
      </c>
      <c r="Q2265" s="5" t="s">
        <v>733</v>
      </c>
      <c r="R2265" s="10">
        <f t="shared" si="10"/>
        <v>64</v>
      </c>
      <c r="S2265" s="5" t="s">
        <v>9947</v>
      </c>
      <c r="T2265" s="6" t="s">
        <v>2130</v>
      </c>
      <c r="U2265" s="5" t="s">
        <v>9233</v>
      </c>
      <c r="V2265" s="5" t="s">
        <v>9948</v>
      </c>
    </row>
    <row r="2266" ht="12.75" customHeight="1">
      <c r="A2266" s="5">
        <v>35578.0</v>
      </c>
      <c r="B2266" s="5" t="s">
        <v>49</v>
      </c>
      <c r="C2266" s="52" t="s">
        <v>50</v>
      </c>
      <c r="D2266" s="5" t="s">
        <v>2852</v>
      </c>
      <c r="E2266" s="7" t="s">
        <v>9949</v>
      </c>
      <c r="F2266" s="5" t="s">
        <v>9628</v>
      </c>
      <c r="G2266" s="5" t="s">
        <v>9950</v>
      </c>
      <c r="H2266" s="5">
        <v>2004.0</v>
      </c>
      <c r="I2266" s="5">
        <v>0.0</v>
      </c>
      <c r="J2266" s="5">
        <v>0.0</v>
      </c>
      <c r="K2266" s="5">
        <v>14.0</v>
      </c>
      <c r="L2266" s="54"/>
      <c r="M2266" s="5" t="s">
        <v>9951</v>
      </c>
      <c r="N2266" s="53" t="s">
        <v>9952</v>
      </c>
      <c r="O2266">
        <v>38.023446</v>
      </c>
      <c r="P2266">
        <v>24.005924</v>
      </c>
      <c r="Q2266" s="5" t="s">
        <v>993</v>
      </c>
      <c r="R2266" s="10">
        <f t="shared" si="10"/>
        <v>19</v>
      </c>
      <c r="S2266" s="5" t="s">
        <v>9953</v>
      </c>
      <c r="T2266" s="6" t="s">
        <v>53</v>
      </c>
      <c r="U2266" s="5" t="s">
        <v>3128</v>
      </c>
      <c r="V2266" s="5"/>
    </row>
    <row r="2267" ht="12.75" customHeight="1">
      <c r="A2267" s="5">
        <v>35575.0</v>
      </c>
      <c r="B2267" s="5" t="s">
        <v>49</v>
      </c>
      <c r="C2267" s="52" t="s">
        <v>50</v>
      </c>
      <c r="D2267" s="5" t="s">
        <v>2852</v>
      </c>
      <c r="E2267" s="7" t="s">
        <v>9949</v>
      </c>
      <c r="F2267" s="5" t="s">
        <v>9628</v>
      </c>
      <c r="G2267" s="5" t="s">
        <v>9950</v>
      </c>
      <c r="H2267" s="5">
        <v>2004.0</v>
      </c>
      <c r="I2267" s="5">
        <v>0.0</v>
      </c>
      <c r="J2267" s="5">
        <v>0.0</v>
      </c>
      <c r="K2267" s="5">
        <v>5.0</v>
      </c>
      <c r="L2267" s="54"/>
      <c r="M2267" s="5" t="s">
        <v>9954</v>
      </c>
      <c r="N2267" s="53" t="s">
        <v>9952</v>
      </c>
      <c r="O2267">
        <v>38.023446</v>
      </c>
      <c r="P2267">
        <v>24.005924</v>
      </c>
      <c r="Q2267" s="5" t="s">
        <v>993</v>
      </c>
      <c r="R2267" s="10">
        <f t="shared" si="10"/>
        <v>19</v>
      </c>
      <c r="S2267" s="5" t="s">
        <v>9953</v>
      </c>
      <c r="T2267" s="6" t="s">
        <v>53</v>
      </c>
      <c r="U2267" s="5" t="s">
        <v>3128</v>
      </c>
      <c r="V2267" s="5"/>
    </row>
    <row r="2268" ht="12.75" customHeight="1">
      <c r="A2268" s="5">
        <v>35576.0</v>
      </c>
      <c r="B2268" s="5" t="s">
        <v>49</v>
      </c>
      <c r="C2268" s="52" t="s">
        <v>50</v>
      </c>
      <c r="D2268" s="5" t="s">
        <v>2852</v>
      </c>
      <c r="E2268" s="7" t="s">
        <v>9949</v>
      </c>
      <c r="F2268" s="5" t="s">
        <v>9628</v>
      </c>
      <c r="G2268" s="5" t="s">
        <v>9950</v>
      </c>
      <c r="H2268" s="5">
        <v>2004.0</v>
      </c>
      <c r="I2268" s="5">
        <v>0.0</v>
      </c>
      <c r="J2268" s="5">
        <v>0.0</v>
      </c>
      <c r="K2268" s="5">
        <v>5.0</v>
      </c>
      <c r="L2268" s="54"/>
      <c r="M2268" s="5" t="s">
        <v>9955</v>
      </c>
      <c r="N2268" s="53" t="s">
        <v>2834</v>
      </c>
      <c r="O2268">
        <v>41.244376</v>
      </c>
      <c r="P2268">
        <v>26.135943</v>
      </c>
      <c r="Q2268" s="5" t="s">
        <v>1214</v>
      </c>
      <c r="R2268" s="10">
        <f t="shared" si="10"/>
        <v>188</v>
      </c>
      <c r="S2268" s="5" t="s">
        <v>9956</v>
      </c>
      <c r="T2268" s="6" t="s">
        <v>53</v>
      </c>
      <c r="U2268" s="5" t="s">
        <v>3128</v>
      </c>
      <c r="V2268" s="5"/>
    </row>
    <row r="2269" ht="12.75" customHeight="1">
      <c r="A2269" s="5">
        <v>35577.0</v>
      </c>
      <c r="B2269" s="5" t="s">
        <v>636</v>
      </c>
      <c r="C2269" s="52" t="s">
        <v>50</v>
      </c>
      <c r="D2269" s="5" t="s">
        <v>2852</v>
      </c>
      <c r="E2269" s="7" t="s">
        <v>9949</v>
      </c>
      <c r="F2269" s="5" t="s">
        <v>9628</v>
      </c>
      <c r="G2269" s="5" t="s">
        <v>9950</v>
      </c>
      <c r="H2269" s="5">
        <v>2004.0</v>
      </c>
      <c r="I2269" s="5">
        <v>0.0</v>
      </c>
      <c r="J2269" s="5">
        <v>0.0</v>
      </c>
      <c r="K2269" s="5">
        <v>5.0</v>
      </c>
      <c r="L2269" s="54"/>
      <c r="M2269" s="5" t="s">
        <v>9957</v>
      </c>
      <c r="N2269" s="53" t="s">
        <v>9958</v>
      </c>
      <c r="O2269">
        <v>42.0</v>
      </c>
      <c r="P2269">
        <v>26.0</v>
      </c>
      <c r="Q2269" s="5" t="s">
        <v>1248</v>
      </c>
      <c r="R2269" s="10">
        <f t="shared" si="10"/>
        <v>9</v>
      </c>
      <c r="S2269" s="5" t="s">
        <v>9959</v>
      </c>
      <c r="T2269" s="6" t="s">
        <v>53</v>
      </c>
      <c r="U2269" s="5" t="s">
        <v>9960</v>
      </c>
      <c r="V2269" s="5" t="s">
        <v>9961</v>
      </c>
    </row>
    <row r="2270" ht="12.75" customHeight="1">
      <c r="A2270" s="5">
        <v>35579.0</v>
      </c>
      <c r="B2270" s="5" t="s">
        <v>49</v>
      </c>
      <c r="C2270" s="52" t="s">
        <v>50</v>
      </c>
      <c r="D2270" s="5" t="s">
        <v>2852</v>
      </c>
      <c r="E2270" s="7" t="s">
        <v>9962</v>
      </c>
      <c r="F2270" s="5" t="s">
        <v>9628</v>
      </c>
      <c r="G2270" s="5" t="s">
        <v>9950</v>
      </c>
      <c r="H2270" s="5">
        <v>2004.0</v>
      </c>
      <c r="I2270" s="5">
        <v>0.0</v>
      </c>
      <c r="J2270" s="5">
        <v>0.0</v>
      </c>
      <c r="K2270" s="5">
        <v>5.0</v>
      </c>
      <c r="L2270" s="54"/>
      <c r="M2270" s="5" t="s">
        <v>9963</v>
      </c>
      <c r="N2270" s="53" t="s">
        <v>9964</v>
      </c>
      <c r="O2270">
        <v>38.013999</v>
      </c>
      <c r="P2270">
        <v>24.419899</v>
      </c>
      <c r="Q2270" s="5" t="s">
        <v>989</v>
      </c>
      <c r="R2270" s="10">
        <f t="shared" si="10"/>
        <v>5</v>
      </c>
      <c r="S2270" s="5" t="s">
        <v>9965</v>
      </c>
      <c r="T2270" s="6" t="s">
        <v>53</v>
      </c>
      <c r="U2270" s="5" t="s">
        <v>5296</v>
      </c>
      <c r="V2270" s="5"/>
    </row>
    <row r="2271" ht="12.75" customHeight="1">
      <c r="A2271" s="5">
        <v>35580.0</v>
      </c>
      <c r="B2271" s="5" t="s">
        <v>49</v>
      </c>
      <c r="C2271" s="52" t="s">
        <v>50</v>
      </c>
      <c r="D2271" s="5" t="s">
        <v>2852</v>
      </c>
      <c r="E2271" s="7" t="s">
        <v>9962</v>
      </c>
      <c r="F2271" s="5" t="s">
        <v>9628</v>
      </c>
      <c r="G2271" s="5" t="s">
        <v>9950</v>
      </c>
      <c r="H2271" s="5">
        <v>2004.0</v>
      </c>
      <c r="I2271" s="5">
        <v>0.0</v>
      </c>
      <c r="J2271" s="5">
        <v>0.0</v>
      </c>
      <c r="K2271" s="5">
        <v>14.0</v>
      </c>
      <c r="L2271" s="54"/>
      <c r="M2271" s="5" t="s">
        <v>9966</v>
      </c>
      <c r="N2271" s="53" t="s">
        <v>8378</v>
      </c>
      <c r="O2271">
        <v>38.523604</v>
      </c>
      <c r="P2271">
        <v>23.858474</v>
      </c>
      <c r="Q2271" s="5" t="s">
        <v>1030</v>
      </c>
      <c r="R2271" s="10">
        <f t="shared" si="10"/>
        <v>70</v>
      </c>
      <c r="S2271" s="5" t="s">
        <v>9967</v>
      </c>
      <c r="T2271" s="6" t="s">
        <v>53</v>
      </c>
      <c r="U2271" s="5" t="s">
        <v>5296</v>
      </c>
      <c r="V2271" s="5" t="s">
        <v>9961</v>
      </c>
    </row>
    <row r="2272" ht="12.75" customHeight="1">
      <c r="A2272" s="5">
        <v>35581.0</v>
      </c>
      <c r="B2272" s="5" t="s">
        <v>49</v>
      </c>
      <c r="C2272" s="52" t="s">
        <v>50</v>
      </c>
      <c r="D2272" s="5" t="s">
        <v>2852</v>
      </c>
      <c r="E2272" s="7" t="s">
        <v>9968</v>
      </c>
      <c r="F2272" s="5" t="s">
        <v>9628</v>
      </c>
      <c r="G2272" s="5" t="s">
        <v>9950</v>
      </c>
      <c r="H2272" s="5">
        <v>2004.0</v>
      </c>
      <c r="I2272" s="5">
        <v>0.0</v>
      </c>
      <c r="J2272" s="5">
        <v>0.0</v>
      </c>
      <c r="K2272" s="5">
        <v>4.0</v>
      </c>
      <c r="L2272" s="54"/>
      <c r="M2272" s="5" t="s">
        <v>9969</v>
      </c>
      <c r="N2272" s="53" t="s">
        <v>2928</v>
      </c>
      <c r="O2272">
        <v>26.3351</v>
      </c>
      <c r="P2272">
        <v>17.228331</v>
      </c>
      <c r="Q2272" s="5" t="s">
        <v>337</v>
      </c>
      <c r="R2272" s="10">
        <f t="shared" si="10"/>
        <v>1371</v>
      </c>
      <c r="S2272" s="5" t="s">
        <v>9970</v>
      </c>
      <c r="T2272" s="6" t="s">
        <v>2130</v>
      </c>
      <c r="U2272" s="5" t="s">
        <v>9971</v>
      </c>
      <c r="V2272" s="5"/>
    </row>
    <row r="2273" ht="12.75" customHeight="1">
      <c r="A2273" s="5">
        <v>35582.0</v>
      </c>
      <c r="B2273" s="5" t="s">
        <v>49</v>
      </c>
      <c r="C2273" s="52" t="s">
        <v>50</v>
      </c>
      <c r="D2273" s="5" t="s">
        <v>2852</v>
      </c>
      <c r="E2273" s="7" t="s">
        <v>9972</v>
      </c>
      <c r="F2273" s="5" t="s">
        <v>9628</v>
      </c>
      <c r="G2273" s="5" t="s">
        <v>9950</v>
      </c>
      <c r="H2273" s="5">
        <v>2004.0</v>
      </c>
      <c r="I2273" s="5">
        <v>0.0</v>
      </c>
      <c r="J2273" s="5">
        <v>0.0</v>
      </c>
      <c r="K2273" s="5">
        <v>11.0</v>
      </c>
      <c r="L2273" s="54"/>
      <c r="M2273" s="5" t="s">
        <v>9973</v>
      </c>
      <c r="N2273" s="53" t="s">
        <v>2928</v>
      </c>
      <c r="O2273">
        <v>26.3351</v>
      </c>
      <c r="P2273">
        <v>17.228331</v>
      </c>
      <c r="Q2273" s="5" t="s">
        <v>337</v>
      </c>
      <c r="R2273" s="10">
        <f t="shared" si="10"/>
        <v>1371</v>
      </c>
      <c r="S2273" s="5" t="s">
        <v>9974</v>
      </c>
      <c r="T2273" s="6" t="s">
        <v>2130</v>
      </c>
      <c r="U2273" s="5" t="s">
        <v>9975</v>
      </c>
      <c r="V2273" s="5"/>
    </row>
    <row r="2274" ht="12.75" customHeight="1">
      <c r="A2274" s="5">
        <v>35583.0</v>
      </c>
      <c r="B2274" s="5" t="s">
        <v>49</v>
      </c>
      <c r="C2274" s="52" t="s">
        <v>50</v>
      </c>
      <c r="D2274" s="5" t="s">
        <v>2852</v>
      </c>
      <c r="E2274" s="7" t="s">
        <v>9976</v>
      </c>
      <c r="F2274" s="5" t="s">
        <v>9628</v>
      </c>
      <c r="G2274" s="5" t="s">
        <v>9950</v>
      </c>
      <c r="H2274" s="5">
        <v>2004.0</v>
      </c>
      <c r="I2274" s="5">
        <v>0.0</v>
      </c>
      <c r="J2274" s="5">
        <v>0.0</v>
      </c>
      <c r="K2274" s="5">
        <v>1.0</v>
      </c>
      <c r="L2274" s="54"/>
      <c r="M2274" s="5" t="s">
        <v>9977</v>
      </c>
      <c r="N2274" s="53" t="s">
        <v>5814</v>
      </c>
      <c r="O2274">
        <v>28.358744</v>
      </c>
      <c r="P2274">
        <v>-14.053676</v>
      </c>
      <c r="Q2274" s="5" t="s">
        <v>390</v>
      </c>
      <c r="R2274" s="10">
        <f t="shared" si="10"/>
        <v>488</v>
      </c>
      <c r="S2274" s="5" t="s">
        <v>9978</v>
      </c>
      <c r="T2274" s="5" t="s">
        <v>1040</v>
      </c>
      <c r="U2274" s="5" t="s">
        <v>9395</v>
      </c>
      <c r="V2274" s="5" t="s">
        <v>9979</v>
      </c>
    </row>
    <row r="2275" ht="12.75" customHeight="1">
      <c r="A2275" s="5">
        <v>35584.0</v>
      </c>
      <c r="B2275" s="5" t="s">
        <v>49</v>
      </c>
      <c r="C2275" s="52" t="s">
        <v>50</v>
      </c>
      <c r="D2275" s="5" t="s">
        <v>2852</v>
      </c>
      <c r="E2275" s="7" t="s">
        <v>9976</v>
      </c>
      <c r="F2275" s="5" t="s">
        <v>9628</v>
      </c>
      <c r="G2275" s="5" t="s">
        <v>9950</v>
      </c>
      <c r="H2275" s="5">
        <v>2004.0</v>
      </c>
      <c r="I2275" s="5">
        <v>0.0</v>
      </c>
      <c r="J2275" s="5">
        <v>0.0</v>
      </c>
      <c r="K2275" s="5">
        <v>1.0</v>
      </c>
      <c r="L2275" s="54"/>
      <c r="M2275" s="5" t="s">
        <v>9980</v>
      </c>
      <c r="N2275" s="53" t="s">
        <v>2700</v>
      </c>
      <c r="O2275">
        <v>35.508622</v>
      </c>
      <c r="P2275">
        <v>12.59292</v>
      </c>
      <c r="Q2275" s="5" t="s">
        <v>669</v>
      </c>
      <c r="R2275" s="10">
        <f t="shared" si="10"/>
        <v>3843</v>
      </c>
      <c r="S2275" s="5" t="s">
        <v>9981</v>
      </c>
      <c r="T2275" s="6" t="s">
        <v>2130</v>
      </c>
      <c r="U2275" s="5" t="s">
        <v>8226</v>
      </c>
      <c r="V2275" s="5"/>
    </row>
    <row r="2276" ht="12.75" customHeight="1">
      <c r="A2276" s="5">
        <v>35585.0</v>
      </c>
      <c r="B2276" s="5" t="s">
        <v>49</v>
      </c>
      <c r="C2276" s="52" t="s">
        <v>50</v>
      </c>
      <c r="D2276" s="5" t="s">
        <v>2852</v>
      </c>
      <c r="E2276" s="7" t="s">
        <v>9982</v>
      </c>
      <c r="F2276" s="5" t="s">
        <v>9628</v>
      </c>
      <c r="G2276" s="5" t="s">
        <v>9950</v>
      </c>
      <c r="H2276" s="5">
        <v>2004.0</v>
      </c>
      <c r="I2276" s="5">
        <v>0.0</v>
      </c>
      <c r="J2276" s="5">
        <v>0.0</v>
      </c>
      <c r="K2276" s="5">
        <v>3.0</v>
      </c>
      <c r="L2276" s="54"/>
      <c r="M2276" s="5" t="s">
        <v>9983</v>
      </c>
      <c r="N2276" s="53" t="s">
        <v>5814</v>
      </c>
      <c r="O2276">
        <v>28.358744</v>
      </c>
      <c r="P2276">
        <v>-14.053676</v>
      </c>
      <c r="Q2276" s="5" t="s">
        <v>390</v>
      </c>
      <c r="R2276" s="10">
        <f t="shared" si="10"/>
        <v>488</v>
      </c>
      <c r="S2276" s="5" t="s">
        <v>9984</v>
      </c>
      <c r="T2276" s="5" t="s">
        <v>1040</v>
      </c>
      <c r="U2276" s="5" t="s">
        <v>9395</v>
      </c>
      <c r="V2276" s="5"/>
    </row>
    <row r="2277" ht="12.75" customHeight="1">
      <c r="A2277" s="5">
        <v>35587.0</v>
      </c>
      <c r="B2277" s="5" t="s">
        <v>49</v>
      </c>
      <c r="C2277" s="52" t="s">
        <v>50</v>
      </c>
      <c r="D2277" s="5" t="s">
        <v>2852</v>
      </c>
      <c r="E2277" s="7" t="s">
        <v>9985</v>
      </c>
      <c r="F2277" s="5" t="s">
        <v>9628</v>
      </c>
      <c r="G2277" s="5" t="s">
        <v>9950</v>
      </c>
      <c r="H2277" s="5">
        <v>2004.0</v>
      </c>
      <c r="I2277" s="5">
        <v>0.0</v>
      </c>
      <c r="J2277" s="5">
        <v>0.0</v>
      </c>
      <c r="K2277" s="5">
        <v>3.0</v>
      </c>
      <c r="L2277" s="54"/>
      <c r="M2277" s="5" t="s">
        <v>9986</v>
      </c>
      <c r="N2277" s="53" t="s">
        <v>5814</v>
      </c>
      <c r="O2277">
        <v>28.358744</v>
      </c>
      <c r="P2277">
        <v>-14.053676</v>
      </c>
      <c r="Q2277" s="5" t="s">
        <v>390</v>
      </c>
      <c r="R2277" s="10">
        <f t="shared" si="10"/>
        <v>488</v>
      </c>
      <c r="S2277" s="5" t="s">
        <v>9987</v>
      </c>
      <c r="T2277" s="5" t="s">
        <v>1040</v>
      </c>
      <c r="U2277" s="5" t="s">
        <v>9988</v>
      </c>
      <c r="V2277" s="5"/>
    </row>
    <row r="2278" ht="12.75" customHeight="1">
      <c r="A2278" s="5">
        <v>35586.0</v>
      </c>
      <c r="B2278" s="5" t="s">
        <v>49</v>
      </c>
      <c r="C2278" s="52" t="s">
        <v>50</v>
      </c>
      <c r="D2278" s="5" t="s">
        <v>2852</v>
      </c>
      <c r="E2278" s="7" t="s">
        <v>9985</v>
      </c>
      <c r="F2278" s="5" t="s">
        <v>9628</v>
      </c>
      <c r="G2278" s="5" t="s">
        <v>9950</v>
      </c>
      <c r="H2278" s="5">
        <v>2004.0</v>
      </c>
      <c r="I2278" s="5">
        <v>0.0</v>
      </c>
      <c r="J2278" s="5">
        <v>0.0</v>
      </c>
      <c r="K2278" s="5">
        <v>16.0</v>
      </c>
      <c r="L2278" s="54"/>
      <c r="M2278" s="5" t="s">
        <v>9989</v>
      </c>
      <c r="N2278" s="53" t="s">
        <v>5814</v>
      </c>
      <c r="O2278">
        <v>28.358744</v>
      </c>
      <c r="P2278">
        <v>-14.053676</v>
      </c>
      <c r="Q2278" s="5" t="s">
        <v>390</v>
      </c>
      <c r="R2278" s="10">
        <f t="shared" si="10"/>
        <v>488</v>
      </c>
      <c r="S2278" s="5" t="s">
        <v>9987</v>
      </c>
      <c r="T2278" s="5" t="s">
        <v>1040</v>
      </c>
      <c r="U2278" s="5" t="s">
        <v>9990</v>
      </c>
      <c r="V2278" s="5" t="s">
        <v>9991</v>
      </c>
    </row>
    <row r="2279" ht="12.75" customHeight="1">
      <c r="A2279" s="5">
        <v>35588.0</v>
      </c>
      <c r="B2279" s="5" t="s">
        <v>68</v>
      </c>
      <c r="C2279" s="5" t="s">
        <v>69</v>
      </c>
      <c r="D2279" s="5" t="s">
        <v>2614</v>
      </c>
      <c r="E2279" s="7" t="s">
        <v>9992</v>
      </c>
      <c r="F2279" s="5" t="s">
        <v>9628</v>
      </c>
      <c r="G2279" s="5" t="s">
        <v>9950</v>
      </c>
      <c r="H2279" s="5">
        <v>2004.0</v>
      </c>
      <c r="I2279" s="5">
        <v>0.0</v>
      </c>
      <c r="J2279" s="5">
        <v>0.0</v>
      </c>
      <c r="K2279" s="5">
        <v>21.0</v>
      </c>
      <c r="L2279" s="54"/>
      <c r="M2279" s="5" t="s">
        <v>9993</v>
      </c>
      <c r="N2279" s="53" t="s">
        <v>9206</v>
      </c>
      <c r="O2279">
        <v>40.471882</v>
      </c>
      <c r="P2279">
        <v>19.490219</v>
      </c>
      <c r="Q2279" s="5" t="s">
        <v>1145</v>
      </c>
      <c r="R2279" s="10">
        <f t="shared" si="10"/>
        <v>73</v>
      </c>
      <c r="S2279" s="5" t="s">
        <v>9994</v>
      </c>
      <c r="T2279" s="5"/>
      <c r="U2279" s="5" t="s">
        <v>8542</v>
      </c>
      <c r="V2279" s="5" t="s">
        <v>9995</v>
      </c>
    </row>
    <row r="2280" ht="12.75" customHeight="1">
      <c r="A2280" s="5">
        <v>35589.0</v>
      </c>
      <c r="B2280" s="5" t="s">
        <v>9161</v>
      </c>
      <c r="C2280" s="5" t="s">
        <v>62</v>
      </c>
      <c r="D2280" s="5" t="s">
        <v>2852</v>
      </c>
      <c r="E2280" s="7" t="s">
        <v>9996</v>
      </c>
      <c r="F2280" s="5" t="s">
        <v>9628</v>
      </c>
      <c r="G2280" s="5" t="s">
        <v>9950</v>
      </c>
      <c r="H2280" s="5">
        <v>2004.0</v>
      </c>
      <c r="I2280" s="5">
        <v>0.0</v>
      </c>
      <c r="J2280" s="5">
        <v>0.0</v>
      </c>
      <c r="K2280" s="5">
        <v>1.0</v>
      </c>
      <c r="L2280" s="54"/>
      <c r="M2280" s="5" t="s">
        <v>9997</v>
      </c>
      <c r="N2280" s="53" t="s">
        <v>4971</v>
      </c>
      <c r="O2280">
        <v>47.162494</v>
      </c>
      <c r="P2280">
        <v>19.503304</v>
      </c>
      <c r="Q2280" s="5" t="s">
        <v>1370</v>
      </c>
      <c r="R2280" s="10">
        <f t="shared" si="10"/>
        <v>3</v>
      </c>
      <c r="S2280" s="5" t="s">
        <v>9998</v>
      </c>
      <c r="T2280" s="6" t="s">
        <v>65</v>
      </c>
      <c r="U2280" s="5" t="s">
        <v>9999</v>
      </c>
      <c r="V2280" s="5"/>
    </row>
    <row r="2281" ht="12.75" customHeight="1">
      <c r="A2281" s="5">
        <v>35591.0</v>
      </c>
      <c r="B2281" s="5" t="s">
        <v>763</v>
      </c>
      <c r="C2281" s="5" t="s">
        <v>124</v>
      </c>
      <c r="D2281" s="5" t="s">
        <v>2852</v>
      </c>
      <c r="E2281" s="7" t="s">
        <v>10000</v>
      </c>
      <c r="F2281" s="5" t="s">
        <v>9628</v>
      </c>
      <c r="G2281" s="5" t="s">
        <v>9950</v>
      </c>
      <c r="H2281" s="5">
        <v>2004.0</v>
      </c>
      <c r="I2281" s="5">
        <v>0.0</v>
      </c>
      <c r="J2281" s="5">
        <v>0.0</v>
      </c>
      <c r="K2281" s="5">
        <v>50.0</v>
      </c>
      <c r="L2281" s="54"/>
      <c r="M2281" s="5" t="s">
        <v>10001</v>
      </c>
      <c r="N2281" s="53" t="s">
        <v>6515</v>
      </c>
      <c r="O2281">
        <v>17.607789</v>
      </c>
      <c r="P2281">
        <v>8.081666</v>
      </c>
      <c r="Q2281" s="5" t="s">
        <v>284</v>
      </c>
      <c r="R2281" s="10">
        <f t="shared" si="10"/>
        <v>164</v>
      </c>
      <c r="S2281" s="5" t="s">
        <v>10002</v>
      </c>
      <c r="T2281" s="5"/>
      <c r="U2281" s="5" t="s">
        <v>9188</v>
      </c>
      <c r="V2281" s="5"/>
    </row>
    <row r="2282" ht="12.75" customHeight="1">
      <c r="A2282" s="5">
        <v>35590.0</v>
      </c>
      <c r="B2282" s="5" t="s">
        <v>49</v>
      </c>
      <c r="C2282" s="52" t="s">
        <v>50</v>
      </c>
      <c r="D2282" s="5" t="s">
        <v>2852</v>
      </c>
      <c r="E2282" s="7" t="s">
        <v>10000</v>
      </c>
      <c r="F2282" s="5" t="s">
        <v>9628</v>
      </c>
      <c r="G2282" s="5" t="s">
        <v>9950</v>
      </c>
      <c r="H2282" s="5">
        <v>2004.0</v>
      </c>
      <c r="I2282" s="5">
        <v>0.0</v>
      </c>
      <c r="J2282" s="5">
        <v>0.0</v>
      </c>
      <c r="K2282" s="5">
        <v>30.0</v>
      </c>
      <c r="L2282" s="54"/>
      <c r="M2282" s="5" t="s">
        <v>10003</v>
      </c>
      <c r="N2282" s="53" t="s">
        <v>2700</v>
      </c>
      <c r="O2282">
        <v>35.508622</v>
      </c>
      <c r="P2282">
        <v>12.59292</v>
      </c>
      <c r="Q2282" s="5" t="s">
        <v>669</v>
      </c>
      <c r="R2282" s="10">
        <f t="shared" si="10"/>
        <v>3843</v>
      </c>
      <c r="S2282" s="5" t="s">
        <v>10004</v>
      </c>
      <c r="T2282" s="6" t="s">
        <v>2130</v>
      </c>
      <c r="U2282" s="5" t="s">
        <v>9878</v>
      </c>
      <c r="V2282" s="5"/>
    </row>
    <row r="2283" ht="12.75" customHeight="1">
      <c r="A2283" s="5">
        <v>35592.0</v>
      </c>
      <c r="B2283" s="5" t="s">
        <v>49</v>
      </c>
      <c r="C2283" s="52" t="s">
        <v>50</v>
      </c>
      <c r="D2283" s="5" t="s">
        <v>2852</v>
      </c>
      <c r="E2283" s="7" t="s">
        <v>10005</v>
      </c>
      <c r="F2283" s="5" t="s">
        <v>9628</v>
      </c>
      <c r="G2283" s="5" t="s">
        <v>9950</v>
      </c>
      <c r="H2283" s="5">
        <v>2004.0</v>
      </c>
      <c r="I2283" s="5">
        <v>0.0</v>
      </c>
      <c r="J2283" s="5">
        <v>0.0</v>
      </c>
      <c r="K2283" s="5">
        <v>6.0</v>
      </c>
      <c r="L2283" s="54"/>
      <c r="M2283" s="5" t="s">
        <v>10006</v>
      </c>
      <c r="N2283" s="53" t="s">
        <v>3570</v>
      </c>
      <c r="O2283">
        <v>36.828221</v>
      </c>
      <c r="P2283">
        <v>11.940496</v>
      </c>
      <c r="Q2283" s="5" t="s">
        <v>857</v>
      </c>
      <c r="R2283" s="10">
        <f t="shared" si="10"/>
        <v>37</v>
      </c>
      <c r="S2283" s="5" t="s">
        <v>10007</v>
      </c>
      <c r="T2283" s="6" t="s">
        <v>2130</v>
      </c>
      <c r="U2283" s="5" t="s">
        <v>9900</v>
      </c>
      <c r="V2283" s="5"/>
    </row>
    <row r="2284" ht="12.75" customHeight="1">
      <c r="A2284" s="5">
        <v>35593.0</v>
      </c>
      <c r="B2284" s="5" t="s">
        <v>2962</v>
      </c>
      <c r="C2284" s="5" t="s">
        <v>211</v>
      </c>
      <c r="D2284" s="5" t="s">
        <v>2852</v>
      </c>
      <c r="E2284" s="7" t="s">
        <v>10005</v>
      </c>
      <c r="F2284" s="5" t="s">
        <v>9628</v>
      </c>
      <c r="G2284" s="5" t="s">
        <v>9950</v>
      </c>
      <c r="H2284" s="5">
        <v>2004.0</v>
      </c>
      <c r="I2284" s="5">
        <v>0.0</v>
      </c>
      <c r="J2284" s="5">
        <v>0.0</v>
      </c>
      <c r="K2284" s="5">
        <v>1.0</v>
      </c>
      <c r="L2284" s="54"/>
      <c r="M2284" s="5" t="s">
        <v>10008</v>
      </c>
      <c r="N2284" s="53" t="s">
        <v>10009</v>
      </c>
      <c r="O2284">
        <v>46.198494</v>
      </c>
      <c r="P2284">
        <v>9.026918</v>
      </c>
      <c r="Q2284" s="5" t="s">
        <v>1350</v>
      </c>
      <c r="R2284" s="10">
        <f t="shared" si="10"/>
        <v>1</v>
      </c>
      <c r="S2284" s="5" t="s">
        <v>10010</v>
      </c>
      <c r="T2284" s="5"/>
      <c r="U2284" s="5" t="s">
        <v>10011</v>
      </c>
      <c r="V2284" s="5"/>
    </row>
    <row r="2285" ht="12.75" customHeight="1">
      <c r="A2285" s="5">
        <v>35597.0</v>
      </c>
      <c r="B2285" s="5" t="s">
        <v>49</v>
      </c>
      <c r="C2285" s="52" t="s">
        <v>50</v>
      </c>
      <c r="D2285" s="5" t="s">
        <v>2852</v>
      </c>
      <c r="E2285" s="7" t="s">
        <v>10012</v>
      </c>
      <c r="F2285" s="5" t="s">
        <v>9628</v>
      </c>
      <c r="G2285" s="5" t="s">
        <v>9950</v>
      </c>
      <c r="H2285" s="5">
        <v>2004.0</v>
      </c>
      <c r="I2285" s="5">
        <v>0.0</v>
      </c>
      <c r="J2285" s="5">
        <v>0.0</v>
      </c>
      <c r="K2285" s="5">
        <v>5.0</v>
      </c>
      <c r="L2285" s="54"/>
      <c r="M2285" s="5" t="s">
        <v>10013</v>
      </c>
      <c r="N2285" s="53" t="s">
        <v>2928</v>
      </c>
      <c r="O2285">
        <v>26.3351</v>
      </c>
      <c r="P2285">
        <v>17.228331</v>
      </c>
      <c r="Q2285" s="5" t="s">
        <v>337</v>
      </c>
      <c r="R2285" s="10">
        <f t="shared" si="10"/>
        <v>1371</v>
      </c>
      <c r="S2285" s="5" t="s">
        <v>10014</v>
      </c>
      <c r="T2285" s="6" t="s">
        <v>2130</v>
      </c>
      <c r="U2285" s="5" t="s">
        <v>10015</v>
      </c>
      <c r="V2285" s="5"/>
    </row>
    <row r="2286" ht="12.75" customHeight="1">
      <c r="A2286" s="5">
        <v>35595.0</v>
      </c>
      <c r="B2286" s="5" t="s">
        <v>49</v>
      </c>
      <c r="C2286" s="52" t="s">
        <v>50</v>
      </c>
      <c r="D2286" s="5" t="s">
        <v>2852</v>
      </c>
      <c r="E2286" s="7" t="s">
        <v>10012</v>
      </c>
      <c r="F2286" s="5" t="s">
        <v>9628</v>
      </c>
      <c r="G2286" s="5" t="s">
        <v>9950</v>
      </c>
      <c r="H2286" s="5">
        <v>2004.0</v>
      </c>
      <c r="I2286" s="5">
        <v>0.0</v>
      </c>
      <c r="J2286" s="5">
        <v>0.0</v>
      </c>
      <c r="K2286" s="5">
        <v>1.0</v>
      </c>
      <c r="L2286" s="54"/>
      <c r="M2286" s="5" t="s">
        <v>10016</v>
      </c>
      <c r="N2286" s="53" t="s">
        <v>2928</v>
      </c>
      <c r="O2286">
        <v>26.3351</v>
      </c>
      <c r="P2286">
        <v>17.228331</v>
      </c>
      <c r="Q2286" s="5" t="s">
        <v>337</v>
      </c>
      <c r="R2286" s="10">
        <f t="shared" si="10"/>
        <v>1371</v>
      </c>
      <c r="S2286" s="5" t="s">
        <v>10014</v>
      </c>
      <c r="T2286" s="6" t="s">
        <v>2130</v>
      </c>
      <c r="U2286" s="5" t="s">
        <v>10017</v>
      </c>
      <c r="V2286" s="5"/>
    </row>
    <row r="2287" ht="12.75" customHeight="1">
      <c r="A2287" s="5">
        <v>35599.0</v>
      </c>
      <c r="B2287" s="5" t="s">
        <v>1076</v>
      </c>
      <c r="C2287" s="52" t="s">
        <v>50</v>
      </c>
      <c r="D2287" s="5" t="s">
        <v>2852</v>
      </c>
      <c r="E2287" s="7" t="s">
        <v>10012</v>
      </c>
      <c r="F2287" s="5" t="s">
        <v>9628</v>
      </c>
      <c r="G2287" s="5" t="s">
        <v>9950</v>
      </c>
      <c r="H2287" s="5">
        <v>2004.0</v>
      </c>
      <c r="I2287" s="5">
        <v>0.0</v>
      </c>
      <c r="J2287" s="5">
        <v>0.0</v>
      </c>
      <c r="K2287" s="5">
        <v>1.0</v>
      </c>
      <c r="L2287" s="54"/>
      <c r="M2287" s="5" t="s">
        <v>10018</v>
      </c>
      <c r="N2287" s="53" t="s">
        <v>2857</v>
      </c>
      <c r="O2287">
        <v>36.527061</v>
      </c>
      <c r="P2287">
        <v>-6.288596</v>
      </c>
      <c r="Q2287" s="5" t="s">
        <v>802</v>
      </c>
      <c r="R2287" s="10">
        <f t="shared" si="10"/>
        <v>185</v>
      </c>
      <c r="S2287" s="5" t="s">
        <v>10019</v>
      </c>
      <c r="T2287" s="6" t="s">
        <v>72</v>
      </c>
      <c r="U2287" s="5" t="s">
        <v>9274</v>
      </c>
      <c r="V2287" s="5"/>
    </row>
    <row r="2288" ht="12.75" customHeight="1">
      <c r="A2288" s="5">
        <v>35598.0</v>
      </c>
      <c r="B2288" s="5" t="s">
        <v>49</v>
      </c>
      <c r="C2288" s="52" t="s">
        <v>50</v>
      </c>
      <c r="D2288" s="5" t="s">
        <v>2852</v>
      </c>
      <c r="E2288" s="7" t="s">
        <v>10012</v>
      </c>
      <c r="F2288" s="5" t="s">
        <v>9628</v>
      </c>
      <c r="G2288" s="5" t="s">
        <v>9950</v>
      </c>
      <c r="H2288" s="5">
        <v>2004.0</v>
      </c>
      <c r="I2288" s="5">
        <v>0.0</v>
      </c>
      <c r="J2288" s="5">
        <v>0.0</v>
      </c>
      <c r="K2288" s="5">
        <v>23.0</v>
      </c>
      <c r="L2288" s="54"/>
      <c r="M2288" s="5" t="s">
        <v>10020</v>
      </c>
      <c r="N2288" s="53" t="s">
        <v>10021</v>
      </c>
      <c r="O2288">
        <v>40.3</v>
      </c>
      <c r="P2288">
        <v>35.883333</v>
      </c>
      <c r="Q2288" s="5" t="s">
        <v>1126</v>
      </c>
      <c r="R2288" s="10">
        <f t="shared" si="10"/>
        <v>41</v>
      </c>
      <c r="S2288" s="5" t="s">
        <v>10022</v>
      </c>
      <c r="T2288" s="6" t="s">
        <v>2130</v>
      </c>
      <c r="U2288" s="5" t="s">
        <v>9878</v>
      </c>
      <c r="V2288" s="5"/>
    </row>
    <row r="2289" ht="12.75" customHeight="1">
      <c r="A2289" s="5">
        <v>35596.0</v>
      </c>
      <c r="B2289" s="5" t="s">
        <v>49</v>
      </c>
      <c r="C2289" s="52" t="s">
        <v>50</v>
      </c>
      <c r="D2289" s="5" t="s">
        <v>2852</v>
      </c>
      <c r="E2289" s="7" t="s">
        <v>10012</v>
      </c>
      <c r="F2289" s="5" t="s">
        <v>9628</v>
      </c>
      <c r="G2289" s="5" t="s">
        <v>9950</v>
      </c>
      <c r="H2289" s="5">
        <v>2004.0</v>
      </c>
      <c r="I2289" s="5">
        <v>0.0</v>
      </c>
      <c r="J2289" s="5">
        <v>0.0</v>
      </c>
      <c r="K2289" s="5">
        <v>18.0</v>
      </c>
      <c r="L2289" s="54"/>
      <c r="M2289" s="5" t="s">
        <v>10023</v>
      </c>
      <c r="N2289" s="53" t="s">
        <v>10021</v>
      </c>
      <c r="O2289">
        <v>40.3</v>
      </c>
      <c r="P2289">
        <v>35.883333</v>
      </c>
      <c r="Q2289" s="5" t="s">
        <v>1126</v>
      </c>
      <c r="R2289" s="10">
        <f t="shared" si="10"/>
        <v>41</v>
      </c>
      <c r="S2289" s="5" t="s">
        <v>10022</v>
      </c>
      <c r="T2289" s="6" t="s">
        <v>2130</v>
      </c>
      <c r="U2289" s="5" t="s">
        <v>3490</v>
      </c>
      <c r="V2289" s="5"/>
    </row>
    <row r="2290" ht="12.75" customHeight="1">
      <c r="A2290" s="5">
        <v>35594.0</v>
      </c>
      <c r="B2290" s="5" t="s">
        <v>1555</v>
      </c>
      <c r="C2290" s="5" t="s">
        <v>42</v>
      </c>
      <c r="D2290" s="5" t="s">
        <v>2852</v>
      </c>
      <c r="E2290" s="7" t="s">
        <v>10012</v>
      </c>
      <c r="F2290" s="5" t="s">
        <v>9628</v>
      </c>
      <c r="G2290" s="5" t="s">
        <v>9950</v>
      </c>
      <c r="H2290" s="5">
        <v>2004.0</v>
      </c>
      <c r="I2290" s="5">
        <v>0.0</v>
      </c>
      <c r="J2290" s="5">
        <v>0.0</v>
      </c>
      <c r="K2290" s="5">
        <v>1.0</v>
      </c>
      <c r="L2290" s="54"/>
      <c r="M2290" s="5" t="s">
        <v>10024</v>
      </c>
      <c r="N2290" s="53" t="s">
        <v>10025</v>
      </c>
      <c r="O2290">
        <v>47.516231</v>
      </c>
      <c r="P2290">
        <v>14.550072</v>
      </c>
      <c r="Q2290" s="5" t="s">
        <v>1384</v>
      </c>
      <c r="R2290" s="10">
        <f t="shared" si="10"/>
        <v>4</v>
      </c>
      <c r="S2290" s="5" t="s">
        <v>10026</v>
      </c>
      <c r="T2290" s="5"/>
      <c r="U2290" s="5" t="s">
        <v>10027</v>
      </c>
      <c r="V2290" s="5"/>
    </row>
    <row r="2291" ht="12.75" customHeight="1">
      <c r="A2291" s="5">
        <v>35600.0</v>
      </c>
      <c r="B2291" s="5" t="s">
        <v>4108</v>
      </c>
      <c r="C2291" s="5" t="s">
        <v>211</v>
      </c>
      <c r="D2291" s="5" t="s">
        <v>2852</v>
      </c>
      <c r="E2291" s="7" t="s">
        <v>10012</v>
      </c>
      <c r="F2291" s="5" t="s">
        <v>9628</v>
      </c>
      <c r="G2291" s="5" t="s">
        <v>9950</v>
      </c>
      <c r="H2291" s="5">
        <v>2004.0</v>
      </c>
      <c r="I2291" s="5">
        <v>0.0</v>
      </c>
      <c r="J2291" s="5">
        <v>0.0</v>
      </c>
      <c r="K2291" s="5">
        <v>1.0</v>
      </c>
      <c r="L2291" s="54"/>
      <c r="M2291" s="5" t="s">
        <v>10028</v>
      </c>
      <c r="N2291" s="53" t="s">
        <v>10029</v>
      </c>
      <c r="O2291">
        <v>52.406822</v>
      </c>
      <c r="P2291">
        <v>-1.519693</v>
      </c>
      <c r="Q2291" s="5" t="s">
        <v>1760</v>
      </c>
      <c r="R2291" s="10">
        <f t="shared" si="10"/>
        <v>1</v>
      </c>
      <c r="S2291" s="5" t="s">
        <v>10030</v>
      </c>
      <c r="T2291" s="5"/>
      <c r="U2291" s="5" t="s">
        <v>10031</v>
      </c>
      <c r="V2291" s="5"/>
    </row>
    <row r="2292" ht="12.75" customHeight="1">
      <c r="A2292" s="5">
        <v>35602.0</v>
      </c>
      <c r="B2292" s="5" t="s">
        <v>1076</v>
      </c>
      <c r="C2292" s="52" t="s">
        <v>50</v>
      </c>
      <c r="D2292" s="5" t="s">
        <v>2852</v>
      </c>
      <c r="E2292" s="7" t="s">
        <v>10032</v>
      </c>
      <c r="F2292" s="5" t="s">
        <v>9628</v>
      </c>
      <c r="G2292" s="5" t="s">
        <v>9950</v>
      </c>
      <c r="H2292" s="5">
        <v>2004.0</v>
      </c>
      <c r="I2292" s="5">
        <v>0.0</v>
      </c>
      <c r="J2292" s="5">
        <v>0.0</v>
      </c>
      <c r="K2292" s="5">
        <v>1.0</v>
      </c>
      <c r="L2292" s="54"/>
      <c r="M2292" s="5" t="s">
        <v>10033</v>
      </c>
      <c r="N2292" s="53" t="s">
        <v>8599</v>
      </c>
      <c r="O2292">
        <v>33.533333</v>
      </c>
      <c r="P2292">
        <v>-7.583333</v>
      </c>
      <c r="Q2292" s="5" t="s">
        <v>544</v>
      </c>
      <c r="R2292" s="10">
        <f t="shared" si="10"/>
        <v>7</v>
      </c>
      <c r="S2292" s="5" t="s">
        <v>10034</v>
      </c>
      <c r="T2292" s="6" t="s">
        <v>72</v>
      </c>
      <c r="U2292" s="5" t="s">
        <v>3128</v>
      </c>
      <c r="V2292" s="5"/>
    </row>
    <row r="2293" ht="12.75" customHeight="1">
      <c r="A2293" s="5">
        <v>35603.0</v>
      </c>
      <c r="B2293" s="5" t="s">
        <v>2962</v>
      </c>
      <c r="C2293" s="5" t="s">
        <v>211</v>
      </c>
      <c r="D2293" s="5" t="s">
        <v>2852</v>
      </c>
      <c r="E2293" s="7" t="s">
        <v>10032</v>
      </c>
      <c r="F2293" s="5" t="s">
        <v>9628</v>
      </c>
      <c r="G2293" s="5" t="s">
        <v>9950</v>
      </c>
      <c r="H2293" s="5">
        <v>2004.0</v>
      </c>
      <c r="I2293" s="5">
        <v>0.0</v>
      </c>
      <c r="J2293" s="5">
        <v>0.0</v>
      </c>
      <c r="K2293" s="5">
        <v>1.0</v>
      </c>
      <c r="L2293" s="54"/>
      <c r="M2293" s="5" t="s">
        <v>10035</v>
      </c>
      <c r="N2293" s="53" t="s">
        <v>10036</v>
      </c>
      <c r="O2293">
        <v>45.467276</v>
      </c>
      <c r="P2293">
        <v>7.880059</v>
      </c>
      <c r="Q2293" s="5" t="s">
        <v>1324</v>
      </c>
      <c r="R2293" s="10">
        <f t="shared" si="10"/>
        <v>1</v>
      </c>
      <c r="S2293" s="5" t="s">
        <v>10037</v>
      </c>
      <c r="T2293" s="5"/>
      <c r="U2293" s="5" t="s">
        <v>9414</v>
      </c>
      <c r="V2293" s="5"/>
    </row>
    <row r="2294" ht="12.75" customHeight="1">
      <c r="A2294" s="5">
        <v>35601.0</v>
      </c>
      <c r="B2294" s="5" t="s">
        <v>41</v>
      </c>
      <c r="C2294" s="5" t="s">
        <v>42</v>
      </c>
      <c r="D2294" s="5" t="s">
        <v>2852</v>
      </c>
      <c r="E2294" s="7" t="s">
        <v>10032</v>
      </c>
      <c r="F2294" s="5" t="s">
        <v>9628</v>
      </c>
      <c r="G2294" s="5" t="s">
        <v>9950</v>
      </c>
      <c r="H2294" s="5">
        <v>2004.0</v>
      </c>
      <c r="I2294" s="5">
        <v>0.0</v>
      </c>
      <c r="J2294" s="5">
        <v>0.0</v>
      </c>
      <c r="K2294" s="5">
        <v>1.0</v>
      </c>
      <c r="L2294" s="54"/>
      <c r="M2294" s="5" t="s">
        <v>10038</v>
      </c>
      <c r="N2294" s="53" t="s">
        <v>10039</v>
      </c>
      <c r="O2294">
        <v>52.514382</v>
      </c>
      <c r="P2294">
        <v>4.964061</v>
      </c>
      <c r="Q2294" s="5" t="s">
        <v>1770</v>
      </c>
      <c r="R2294" s="10">
        <f t="shared" si="10"/>
        <v>1</v>
      </c>
      <c r="S2294" s="5" t="s">
        <v>10040</v>
      </c>
      <c r="T2294" s="5"/>
      <c r="U2294" s="5" t="s">
        <v>3219</v>
      </c>
      <c r="V2294" s="5"/>
    </row>
    <row r="2295" ht="12.75" customHeight="1">
      <c r="A2295" s="5">
        <v>35604.0</v>
      </c>
      <c r="B2295" s="5" t="s">
        <v>2902</v>
      </c>
      <c r="C2295" s="5" t="s">
        <v>211</v>
      </c>
      <c r="D2295" s="5" t="s">
        <v>2852</v>
      </c>
      <c r="E2295" s="7" t="s">
        <v>10032</v>
      </c>
      <c r="F2295" s="5" t="s">
        <v>9628</v>
      </c>
      <c r="G2295" s="5" t="s">
        <v>9950</v>
      </c>
      <c r="H2295" s="5">
        <v>2004.0</v>
      </c>
      <c r="I2295" s="5">
        <v>0.0</v>
      </c>
      <c r="J2295" s="5">
        <v>0.0</v>
      </c>
      <c r="K2295" s="5">
        <v>1.0</v>
      </c>
      <c r="L2295" s="54"/>
      <c r="M2295" s="5" t="s">
        <v>10041</v>
      </c>
      <c r="N2295" s="53" t="s">
        <v>10042</v>
      </c>
      <c r="O2295">
        <v>59.858564</v>
      </c>
      <c r="P2295">
        <v>17.638927</v>
      </c>
      <c r="Q2295" s="5" t="s">
        <v>1914</v>
      </c>
      <c r="R2295" s="10">
        <f t="shared" si="10"/>
        <v>1</v>
      </c>
      <c r="S2295" s="5" t="s">
        <v>10043</v>
      </c>
      <c r="T2295" s="5"/>
      <c r="U2295" s="5" t="s">
        <v>3128</v>
      </c>
      <c r="V2295" s="5"/>
    </row>
    <row r="2296" ht="12.75" customHeight="1">
      <c r="A2296" s="5">
        <v>35605.0</v>
      </c>
      <c r="B2296" s="5" t="s">
        <v>98</v>
      </c>
      <c r="C2296" s="5" t="s">
        <v>62</v>
      </c>
      <c r="D2296" s="5" t="s">
        <v>2852</v>
      </c>
      <c r="E2296" s="7" t="s">
        <v>10044</v>
      </c>
      <c r="F2296" s="5" t="s">
        <v>9628</v>
      </c>
      <c r="G2296" s="5" t="s">
        <v>9950</v>
      </c>
      <c r="H2296" s="5">
        <v>2004.0</v>
      </c>
      <c r="I2296" s="5">
        <v>0.0</v>
      </c>
      <c r="J2296" s="5">
        <v>0.0</v>
      </c>
      <c r="K2296" s="5">
        <v>1.0</v>
      </c>
      <c r="L2296" s="54"/>
      <c r="M2296" s="5" t="s">
        <v>10045</v>
      </c>
      <c r="N2296" s="53" t="s">
        <v>9930</v>
      </c>
      <c r="O2296">
        <v>2.033333</v>
      </c>
      <c r="P2296">
        <v>45.35</v>
      </c>
      <c r="Q2296" s="5" t="s">
        <v>304</v>
      </c>
      <c r="R2296" s="10">
        <f t="shared" si="10"/>
        <v>2</v>
      </c>
      <c r="S2296" s="5" t="s">
        <v>10046</v>
      </c>
      <c r="T2296" s="5"/>
      <c r="U2296" s="5" t="s">
        <v>9932</v>
      </c>
      <c r="V2296" s="5"/>
    </row>
    <row r="2297" ht="12.75" customHeight="1">
      <c r="A2297" s="5">
        <v>35606.0</v>
      </c>
      <c r="B2297" s="5" t="s">
        <v>68</v>
      </c>
      <c r="C2297" s="5" t="s">
        <v>69</v>
      </c>
      <c r="D2297" s="5" t="s">
        <v>2852</v>
      </c>
      <c r="E2297" s="7" t="s">
        <v>10047</v>
      </c>
      <c r="F2297" s="5" t="s">
        <v>9628</v>
      </c>
      <c r="G2297" s="5" t="s">
        <v>9950</v>
      </c>
      <c r="H2297" s="5">
        <v>2004.0</v>
      </c>
      <c r="I2297" s="5">
        <v>0.0</v>
      </c>
      <c r="J2297" s="5">
        <v>0.0</v>
      </c>
      <c r="K2297" s="5">
        <v>1.0</v>
      </c>
      <c r="L2297" s="54"/>
      <c r="M2297" s="5" t="s">
        <v>10048</v>
      </c>
      <c r="N2297" s="53" t="s">
        <v>10049</v>
      </c>
      <c r="O2297">
        <v>50.787551</v>
      </c>
      <c r="P2297">
        <v>-1.124062</v>
      </c>
      <c r="Q2297" s="5" t="s">
        <v>1516</v>
      </c>
      <c r="R2297" s="10">
        <f t="shared" si="10"/>
        <v>2</v>
      </c>
      <c r="S2297" s="5" t="s">
        <v>10050</v>
      </c>
      <c r="T2297" s="5"/>
      <c r="U2297" s="5" t="s">
        <v>10051</v>
      </c>
      <c r="V2297" s="5"/>
    </row>
    <row r="2298" ht="12.75" customHeight="1">
      <c r="A2298" s="5">
        <v>35607.0</v>
      </c>
      <c r="B2298" s="5" t="s">
        <v>2962</v>
      </c>
      <c r="C2298" s="5" t="s">
        <v>211</v>
      </c>
      <c r="D2298" s="5" t="s">
        <v>2852</v>
      </c>
      <c r="E2298" s="7" t="s">
        <v>10047</v>
      </c>
      <c r="F2298" s="5" t="s">
        <v>9628</v>
      </c>
      <c r="G2298" s="5" t="s">
        <v>9950</v>
      </c>
      <c r="H2298" s="5">
        <v>2004.0</v>
      </c>
      <c r="I2298" s="5">
        <v>0.0</v>
      </c>
      <c r="J2298" s="5">
        <v>0.0</v>
      </c>
      <c r="K2298" s="5">
        <v>1.0</v>
      </c>
      <c r="L2298" s="54"/>
      <c r="M2298" s="5" t="s">
        <v>10052</v>
      </c>
      <c r="N2298" s="53" t="s">
        <v>9426</v>
      </c>
      <c r="O2298">
        <v>56.490671</v>
      </c>
      <c r="P2298">
        <v>-4.202646</v>
      </c>
      <c r="Q2298" s="5" t="s">
        <v>1903</v>
      </c>
      <c r="R2298" s="10">
        <f t="shared" si="10"/>
        <v>2</v>
      </c>
      <c r="S2298" s="5" t="s">
        <v>10053</v>
      </c>
      <c r="T2298" s="5"/>
      <c r="U2298" s="5" t="s">
        <v>9391</v>
      </c>
      <c r="V2298" s="5"/>
    </row>
    <row r="2299" ht="12.75" customHeight="1">
      <c r="A2299" s="5">
        <v>35608.0</v>
      </c>
      <c r="B2299" s="5" t="s">
        <v>491</v>
      </c>
      <c r="C2299" s="52" t="s">
        <v>50</v>
      </c>
      <c r="D2299" s="5" t="s">
        <v>2852</v>
      </c>
      <c r="E2299" s="7" t="s">
        <v>10054</v>
      </c>
      <c r="F2299" s="5" t="s">
        <v>9628</v>
      </c>
      <c r="G2299" s="5" t="s">
        <v>9950</v>
      </c>
      <c r="H2299" s="5">
        <v>2004.0</v>
      </c>
      <c r="I2299" s="5">
        <v>0.0</v>
      </c>
      <c r="J2299" s="5">
        <v>0.0</v>
      </c>
      <c r="K2299" s="5">
        <v>12.0</v>
      </c>
      <c r="L2299" s="54"/>
      <c r="M2299" s="5" t="s">
        <v>10055</v>
      </c>
      <c r="N2299" s="53" t="s">
        <v>3141</v>
      </c>
      <c r="O2299">
        <v>36.140751</v>
      </c>
      <c r="P2299">
        <v>-5.353585</v>
      </c>
      <c r="Q2299" s="5" t="s">
        <v>774</v>
      </c>
      <c r="R2299" s="10">
        <f t="shared" si="10"/>
        <v>107</v>
      </c>
      <c r="S2299" s="5" t="s">
        <v>10056</v>
      </c>
      <c r="T2299" s="6" t="s">
        <v>72</v>
      </c>
      <c r="U2299" s="5" t="s">
        <v>3219</v>
      </c>
      <c r="V2299" s="5"/>
    </row>
    <row r="2300" ht="12.75" customHeight="1">
      <c r="A2300" s="5">
        <v>35609.0</v>
      </c>
      <c r="B2300" s="5" t="s">
        <v>68</v>
      </c>
      <c r="C2300" s="5" t="s">
        <v>69</v>
      </c>
      <c r="D2300" s="5" t="s">
        <v>2614</v>
      </c>
      <c r="E2300" s="7" t="s">
        <v>10057</v>
      </c>
      <c r="F2300" s="5" t="s">
        <v>9628</v>
      </c>
      <c r="G2300" s="5" t="s">
        <v>9950</v>
      </c>
      <c r="H2300" s="5">
        <v>2004.0</v>
      </c>
      <c r="I2300" s="5">
        <v>0.0</v>
      </c>
      <c r="J2300" s="5">
        <v>0.0</v>
      </c>
      <c r="K2300" s="5">
        <v>2.0</v>
      </c>
      <c r="L2300" s="54"/>
      <c r="M2300" s="5" t="s">
        <v>10058</v>
      </c>
      <c r="N2300" s="53" t="s">
        <v>9654</v>
      </c>
      <c r="O2300">
        <v>43.32547</v>
      </c>
      <c r="P2300">
        <v>-1.93014</v>
      </c>
      <c r="Q2300" s="5" t="s">
        <v>1269</v>
      </c>
      <c r="R2300" s="10">
        <f t="shared" si="10"/>
        <v>3</v>
      </c>
      <c r="S2300" s="5" t="s">
        <v>10059</v>
      </c>
      <c r="T2300" s="5"/>
      <c r="U2300" s="5" t="s">
        <v>2785</v>
      </c>
      <c r="V2300" s="5" t="s">
        <v>10060</v>
      </c>
    </row>
    <row r="2301" ht="12.75" customHeight="1">
      <c r="A2301" s="5">
        <v>35610.0</v>
      </c>
      <c r="B2301" s="5" t="s">
        <v>2962</v>
      </c>
      <c r="C2301" s="5" t="s">
        <v>211</v>
      </c>
      <c r="D2301" s="5" t="s">
        <v>2852</v>
      </c>
      <c r="E2301" s="7" t="s">
        <v>10061</v>
      </c>
      <c r="F2301" s="5" t="s">
        <v>9628</v>
      </c>
      <c r="G2301" s="5" t="s">
        <v>9950</v>
      </c>
      <c r="H2301" s="5">
        <v>2004.0</v>
      </c>
      <c r="I2301" s="5">
        <v>0.0</v>
      </c>
      <c r="J2301" s="5">
        <v>0.0</v>
      </c>
      <c r="K2301" s="5">
        <v>1.0</v>
      </c>
      <c r="L2301" s="54"/>
      <c r="M2301" s="5" t="s">
        <v>10062</v>
      </c>
      <c r="N2301" s="53" t="s">
        <v>10063</v>
      </c>
      <c r="O2301">
        <v>47.19133</v>
      </c>
      <c r="P2301">
        <v>8.856004</v>
      </c>
      <c r="Q2301" s="5" t="s">
        <v>1373</v>
      </c>
      <c r="R2301" s="10">
        <f t="shared" si="10"/>
        <v>1</v>
      </c>
      <c r="S2301" s="5" t="s">
        <v>10064</v>
      </c>
      <c r="T2301" s="5"/>
      <c r="U2301" s="5" t="s">
        <v>9144</v>
      </c>
      <c r="V2301" s="5"/>
    </row>
    <row r="2302" ht="12.75" customHeight="1">
      <c r="A2302" s="5">
        <v>35659.0</v>
      </c>
      <c r="B2302" s="5" t="s">
        <v>1076</v>
      </c>
      <c r="C2302" s="52" t="s">
        <v>50</v>
      </c>
      <c r="D2302" s="5" t="s">
        <v>2614</v>
      </c>
      <c r="E2302" s="7" t="s">
        <v>10065</v>
      </c>
      <c r="F2302" s="5" t="s">
        <v>10066</v>
      </c>
      <c r="G2302" s="5" t="s">
        <v>10067</v>
      </c>
      <c r="H2302" s="5">
        <v>2003.0</v>
      </c>
      <c r="I2302" s="5">
        <v>0.0</v>
      </c>
      <c r="J2302" s="5">
        <v>0.0</v>
      </c>
      <c r="K2302" s="5">
        <v>2.0</v>
      </c>
      <c r="L2302" s="54"/>
      <c r="M2302" s="5" t="s">
        <v>10068</v>
      </c>
      <c r="N2302" s="53" t="s">
        <v>10069</v>
      </c>
      <c r="O2302">
        <v>43.362344</v>
      </c>
      <c r="P2302">
        <v>-8.41154</v>
      </c>
      <c r="Q2302" s="5" t="s">
        <v>1279</v>
      </c>
      <c r="R2302" s="10">
        <f t="shared" si="10"/>
        <v>6</v>
      </c>
      <c r="S2302" s="5" t="s">
        <v>10070</v>
      </c>
      <c r="T2302" s="5"/>
      <c r="U2302" s="5" t="s">
        <v>8703</v>
      </c>
      <c r="V2302" s="5" t="s">
        <v>8704</v>
      </c>
    </row>
    <row r="2303" ht="12.75" customHeight="1">
      <c r="A2303" s="5">
        <v>35660.0</v>
      </c>
      <c r="B2303" s="5" t="s">
        <v>49</v>
      </c>
      <c r="C2303" s="52" t="s">
        <v>50</v>
      </c>
      <c r="D2303" s="5" t="s">
        <v>2614</v>
      </c>
      <c r="E2303" s="7" t="s">
        <v>10065</v>
      </c>
      <c r="F2303" s="5" t="s">
        <v>10066</v>
      </c>
      <c r="G2303" s="5" t="s">
        <v>10067</v>
      </c>
      <c r="H2303" s="5">
        <v>2003.0</v>
      </c>
      <c r="I2303" s="5">
        <v>0.0</v>
      </c>
      <c r="J2303" s="5">
        <v>0.0</v>
      </c>
      <c r="K2303" s="5">
        <v>3.0</v>
      </c>
      <c r="L2303" s="54"/>
      <c r="M2303" s="5" t="s">
        <v>10071</v>
      </c>
      <c r="N2303" s="53" t="s">
        <v>10072</v>
      </c>
      <c r="O2303">
        <v>49.49437</v>
      </c>
      <c r="P2303">
        <v>0.107929</v>
      </c>
      <c r="Q2303" s="5" t="s">
        <v>1468</v>
      </c>
      <c r="R2303" s="10">
        <f t="shared" si="10"/>
        <v>6</v>
      </c>
      <c r="S2303" s="5" t="s">
        <v>10073</v>
      </c>
      <c r="T2303" s="5"/>
      <c r="U2303" s="5" t="s">
        <v>7601</v>
      </c>
      <c r="V2303" s="5" t="s">
        <v>10074</v>
      </c>
    </row>
    <row r="2304" ht="12.75" customHeight="1">
      <c r="A2304" s="5">
        <v>35661.0</v>
      </c>
      <c r="B2304" s="5" t="s">
        <v>5200</v>
      </c>
      <c r="C2304" s="5" t="s">
        <v>124</v>
      </c>
      <c r="D2304" s="5" t="s">
        <v>2852</v>
      </c>
      <c r="E2304" s="7" t="s">
        <v>10075</v>
      </c>
      <c r="F2304" s="5" t="s">
        <v>10066</v>
      </c>
      <c r="G2304" s="5" t="s">
        <v>10067</v>
      </c>
      <c r="H2304" s="5">
        <v>2003.0</v>
      </c>
      <c r="I2304" s="5">
        <v>0.0</v>
      </c>
      <c r="J2304" s="5">
        <v>0.0</v>
      </c>
      <c r="K2304" s="5">
        <v>7.0</v>
      </c>
      <c r="L2304" s="54"/>
      <c r="M2304" s="5" t="s">
        <v>10076</v>
      </c>
      <c r="N2304" s="53" t="s">
        <v>2834</v>
      </c>
      <c r="O2304">
        <v>41.244376</v>
      </c>
      <c r="P2304">
        <v>26.135943</v>
      </c>
      <c r="Q2304" s="5" t="s">
        <v>1214</v>
      </c>
      <c r="R2304" s="10">
        <f t="shared" si="10"/>
        <v>188</v>
      </c>
      <c r="S2304" s="5" t="s">
        <v>10077</v>
      </c>
      <c r="T2304" s="6" t="s">
        <v>53</v>
      </c>
      <c r="U2304" s="5" t="s">
        <v>10078</v>
      </c>
      <c r="V2304" s="5" t="s">
        <v>10079</v>
      </c>
    </row>
    <row r="2305" ht="12.75" customHeight="1">
      <c r="A2305" s="5">
        <v>35662.0</v>
      </c>
      <c r="B2305" s="5" t="s">
        <v>41</v>
      </c>
      <c r="C2305" s="5" t="s">
        <v>42</v>
      </c>
      <c r="D2305" s="5" t="s">
        <v>2852</v>
      </c>
      <c r="E2305" s="7" t="s">
        <v>10080</v>
      </c>
      <c r="F2305" s="5" t="s">
        <v>10066</v>
      </c>
      <c r="G2305" s="5" t="s">
        <v>10067</v>
      </c>
      <c r="H2305" s="5">
        <v>2003.0</v>
      </c>
      <c r="I2305" s="5">
        <v>0.0</v>
      </c>
      <c r="J2305" s="5">
        <v>0.0</v>
      </c>
      <c r="K2305" s="5">
        <v>1.0</v>
      </c>
      <c r="L2305" s="54"/>
      <c r="M2305" s="5" t="s">
        <v>10081</v>
      </c>
      <c r="N2305" s="53" t="s">
        <v>6132</v>
      </c>
      <c r="O2305">
        <v>41.153332</v>
      </c>
      <c r="P2305">
        <v>20.168331</v>
      </c>
      <c r="Q2305" s="5" t="s">
        <v>1208</v>
      </c>
      <c r="R2305" s="10">
        <f t="shared" si="10"/>
        <v>8</v>
      </c>
      <c r="S2305" s="5" t="s">
        <v>10082</v>
      </c>
      <c r="T2305" s="5"/>
      <c r="U2305" s="5" t="s">
        <v>10083</v>
      </c>
      <c r="V2305" s="5" t="s">
        <v>10084</v>
      </c>
    </row>
    <row r="2306" ht="12.75" customHeight="1">
      <c r="A2306" s="5">
        <v>35664.0</v>
      </c>
      <c r="B2306" s="5" t="s">
        <v>49</v>
      </c>
      <c r="C2306" s="52" t="s">
        <v>50</v>
      </c>
      <c r="D2306" s="5" t="s">
        <v>2852</v>
      </c>
      <c r="E2306" s="7" t="s">
        <v>10085</v>
      </c>
      <c r="F2306" s="5" t="s">
        <v>10066</v>
      </c>
      <c r="G2306" s="5" t="s">
        <v>10067</v>
      </c>
      <c r="H2306" s="5">
        <v>2003.0</v>
      </c>
      <c r="I2306" s="5">
        <v>0.0</v>
      </c>
      <c r="J2306" s="5">
        <v>0.0</v>
      </c>
      <c r="K2306" s="5">
        <v>2.0</v>
      </c>
      <c r="L2306" s="54"/>
      <c r="M2306" s="5" t="s">
        <v>10086</v>
      </c>
      <c r="N2306" s="53" t="s">
        <v>2638</v>
      </c>
      <c r="O2306">
        <v>35.888384</v>
      </c>
      <c r="P2306">
        <v>-5.324636</v>
      </c>
      <c r="Q2306" s="5" t="s">
        <v>717</v>
      </c>
      <c r="R2306" s="10">
        <f t="shared" si="10"/>
        <v>213</v>
      </c>
      <c r="S2306" s="5" t="s">
        <v>10087</v>
      </c>
      <c r="T2306" s="6" t="s">
        <v>72</v>
      </c>
      <c r="U2306" s="5" t="s">
        <v>3128</v>
      </c>
      <c r="V2306" s="5" t="s">
        <v>10088</v>
      </c>
    </row>
    <row r="2307" ht="12.75" customHeight="1">
      <c r="A2307" s="5">
        <v>35663.0</v>
      </c>
      <c r="B2307" s="5" t="s">
        <v>68</v>
      </c>
      <c r="C2307" s="5" t="s">
        <v>69</v>
      </c>
      <c r="D2307" s="5" t="s">
        <v>2614</v>
      </c>
      <c r="E2307" s="7" t="s">
        <v>10085</v>
      </c>
      <c r="F2307" s="5" t="s">
        <v>10066</v>
      </c>
      <c r="G2307" s="5" t="s">
        <v>10067</v>
      </c>
      <c r="H2307" s="5">
        <v>2003.0</v>
      </c>
      <c r="I2307" s="5">
        <v>0.0</v>
      </c>
      <c r="J2307" s="5">
        <v>0.0</v>
      </c>
      <c r="K2307" s="5">
        <v>1.0</v>
      </c>
      <c r="L2307" s="54"/>
      <c r="M2307" s="5" t="s">
        <v>10089</v>
      </c>
      <c r="N2307" s="53" t="s">
        <v>9311</v>
      </c>
      <c r="O2307">
        <v>39.16408</v>
      </c>
      <c r="P2307">
        <v>26.372171</v>
      </c>
      <c r="Q2307" s="5" t="s">
        <v>1068</v>
      </c>
      <c r="R2307" s="10">
        <f t="shared" si="10"/>
        <v>101</v>
      </c>
      <c r="S2307" s="5" t="s">
        <v>10090</v>
      </c>
      <c r="T2307" s="6" t="s">
        <v>53</v>
      </c>
      <c r="U2307" s="5" t="s">
        <v>5662</v>
      </c>
      <c r="V2307" s="5" t="s">
        <v>10091</v>
      </c>
    </row>
    <row r="2308" ht="12.75" customHeight="1">
      <c r="A2308" s="5">
        <v>35665.0</v>
      </c>
      <c r="B2308" s="5" t="s">
        <v>763</v>
      </c>
      <c r="C2308" s="5" t="s">
        <v>124</v>
      </c>
      <c r="D2308" s="5" t="s">
        <v>2852</v>
      </c>
      <c r="E2308" s="7" t="s">
        <v>10085</v>
      </c>
      <c r="F2308" s="5" t="s">
        <v>10066</v>
      </c>
      <c r="G2308" s="5" t="s">
        <v>10067</v>
      </c>
      <c r="H2308" s="5">
        <v>2003.0</v>
      </c>
      <c r="I2308" s="5">
        <v>0.0</v>
      </c>
      <c r="J2308" s="5">
        <v>0.0</v>
      </c>
      <c r="K2308" s="5">
        <v>1.0</v>
      </c>
      <c r="L2308" s="54"/>
      <c r="M2308" s="5" t="s">
        <v>10092</v>
      </c>
      <c r="N2308" s="53" t="s">
        <v>4095</v>
      </c>
      <c r="O2308">
        <v>55.378051</v>
      </c>
      <c r="P2308">
        <v>-3.435973</v>
      </c>
      <c r="Q2308" s="5" t="s">
        <v>1882</v>
      </c>
      <c r="R2308" s="10">
        <f t="shared" si="10"/>
        <v>23</v>
      </c>
      <c r="S2308" s="5" t="s">
        <v>10093</v>
      </c>
      <c r="T2308" s="5"/>
      <c r="U2308" s="5" t="s">
        <v>176</v>
      </c>
      <c r="V2308" s="5"/>
    </row>
    <row r="2309" ht="12.75" customHeight="1">
      <c r="A2309" s="5">
        <v>35666.0</v>
      </c>
      <c r="B2309" s="5" t="s">
        <v>2921</v>
      </c>
      <c r="C2309" s="5" t="s">
        <v>124</v>
      </c>
      <c r="D2309" s="5" t="s">
        <v>2852</v>
      </c>
      <c r="E2309" s="7" t="s">
        <v>10094</v>
      </c>
      <c r="F2309" s="5" t="s">
        <v>10066</v>
      </c>
      <c r="G2309" s="5" t="s">
        <v>10067</v>
      </c>
      <c r="H2309" s="5">
        <v>2003.0</v>
      </c>
      <c r="I2309" s="5">
        <v>0.0</v>
      </c>
      <c r="J2309" s="5">
        <v>0.0</v>
      </c>
      <c r="K2309" s="5">
        <v>1.0</v>
      </c>
      <c r="L2309" s="54"/>
      <c r="M2309" s="5" t="s">
        <v>10095</v>
      </c>
      <c r="N2309" s="53" t="s">
        <v>3328</v>
      </c>
      <c r="O2309">
        <v>48.856614</v>
      </c>
      <c r="P2309">
        <v>2.352222</v>
      </c>
      <c r="Q2309" s="5" t="s">
        <v>3329</v>
      </c>
      <c r="R2309" s="10">
        <f t="shared" si="10"/>
        <v>30</v>
      </c>
      <c r="S2309" s="5" t="s">
        <v>10096</v>
      </c>
      <c r="T2309" s="5"/>
      <c r="U2309" s="5" t="s">
        <v>10097</v>
      </c>
      <c r="V2309" s="5"/>
    </row>
    <row r="2310" ht="12.75" customHeight="1">
      <c r="A2310" s="5">
        <v>35667.0</v>
      </c>
      <c r="B2310" s="5" t="s">
        <v>49</v>
      </c>
      <c r="C2310" s="52" t="s">
        <v>50</v>
      </c>
      <c r="D2310" s="5" t="s">
        <v>2852</v>
      </c>
      <c r="E2310" s="7" t="s">
        <v>10098</v>
      </c>
      <c r="F2310" s="5" t="s">
        <v>10066</v>
      </c>
      <c r="G2310" s="5" t="s">
        <v>10067</v>
      </c>
      <c r="H2310" s="5">
        <v>2003.0</v>
      </c>
      <c r="I2310" s="5">
        <v>0.0</v>
      </c>
      <c r="J2310" s="5">
        <v>0.0</v>
      </c>
      <c r="K2310" s="5">
        <v>26.0</v>
      </c>
      <c r="L2310" s="54"/>
      <c r="M2310" s="5" t="s">
        <v>10099</v>
      </c>
      <c r="N2310" s="53" t="s">
        <v>2834</v>
      </c>
      <c r="O2310">
        <v>41.244376</v>
      </c>
      <c r="P2310">
        <v>26.135943</v>
      </c>
      <c r="Q2310" s="5" t="s">
        <v>1214</v>
      </c>
      <c r="R2310" s="10">
        <f t="shared" si="10"/>
        <v>188</v>
      </c>
      <c r="S2310" s="5" t="s">
        <v>10100</v>
      </c>
      <c r="T2310" s="6" t="s">
        <v>53</v>
      </c>
      <c r="U2310" s="5" t="s">
        <v>10101</v>
      </c>
      <c r="V2310" s="5" t="s">
        <v>10102</v>
      </c>
    </row>
    <row r="2311" ht="12.75" customHeight="1">
      <c r="A2311" s="5">
        <v>35668.0</v>
      </c>
      <c r="B2311" s="5" t="s">
        <v>49</v>
      </c>
      <c r="C2311" s="52" t="s">
        <v>50</v>
      </c>
      <c r="D2311" s="5" t="s">
        <v>2614</v>
      </c>
      <c r="E2311" s="7" t="s">
        <v>10103</v>
      </c>
      <c r="F2311" s="5" t="s">
        <v>10066</v>
      </c>
      <c r="G2311" s="5" t="s">
        <v>10067</v>
      </c>
      <c r="H2311" s="5">
        <v>2003.0</v>
      </c>
      <c r="I2311" s="5">
        <v>0.0</v>
      </c>
      <c r="J2311" s="5">
        <v>0.0</v>
      </c>
      <c r="K2311" s="5">
        <v>1.0</v>
      </c>
      <c r="L2311" s="54"/>
      <c r="M2311" s="5" t="s">
        <v>10104</v>
      </c>
      <c r="N2311" s="53" t="s">
        <v>5814</v>
      </c>
      <c r="O2311">
        <v>28.358744</v>
      </c>
      <c r="P2311">
        <v>-14.053676</v>
      </c>
      <c r="Q2311" s="5" t="s">
        <v>390</v>
      </c>
      <c r="R2311" s="10">
        <f t="shared" si="10"/>
        <v>488</v>
      </c>
      <c r="S2311" s="5" t="s">
        <v>10105</v>
      </c>
      <c r="T2311" s="5" t="s">
        <v>1040</v>
      </c>
      <c r="U2311" s="5" t="s">
        <v>2785</v>
      </c>
      <c r="V2311" s="5" t="s">
        <v>10106</v>
      </c>
    </row>
    <row r="2312" ht="12.75" customHeight="1">
      <c r="A2312" s="5">
        <v>35669.0</v>
      </c>
      <c r="B2312" s="5" t="s">
        <v>9161</v>
      </c>
      <c r="C2312" s="5" t="s">
        <v>62</v>
      </c>
      <c r="D2312" s="5" t="s">
        <v>2852</v>
      </c>
      <c r="E2312" s="7" t="s">
        <v>10103</v>
      </c>
      <c r="F2312" s="5" t="s">
        <v>10066</v>
      </c>
      <c r="G2312" s="5" t="s">
        <v>10067</v>
      </c>
      <c r="H2312" s="5">
        <v>2003.0</v>
      </c>
      <c r="I2312" s="5">
        <v>0.0</v>
      </c>
      <c r="J2312" s="5">
        <v>0.0</v>
      </c>
      <c r="K2312" s="5">
        <v>1.0</v>
      </c>
      <c r="L2312" s="54"/>
      <c r="M2312" s="5" t="s">
        <v>10107</v>
      </c>
      <c r="N2312" s="53" t="s">
        <v>10108</v>
      </c>
      <c r="O2312">
        <v>48.016043</v>
      </c>
      <c r="P2312">
        <v>16.293962</v>
      </c>
      <c r="Q2312" s="5" t="s">
        <v>1400</v>
      </c>
      <c r="R2312" s="10">
        <f t="shared" si="10"/>
        <v>1</v>
      </c>
      <c r="S2312" s="5" t="s">
        <v>10109</v>
      </c>
      <c r="T2312" s="5"/>
      <c r="U2312" s="5" t="s">
        <v>10110</v>
      </c>
      <c r="V2312" s="5"/>
    </row>
    <row r="2313" ht="12.75" customHeight="1">
      <c r="A2313" s="5">
        <v>35670.0</v>
      </c>
      <c r="B2313" s="5" t="s">
        <v>1995</v>
      </c>
      <c r="C2313" s="52" t="s">
        <v>50</v>
      </c>
      <c r="D2313" s="5" t="s">
        <v>2852</v>
      </c>
      <c r="E2313" s="7" t="s">
        <v>10111</v>
      </c>
      <c r="F2313" s="5" t="s">
        <v>10066</v>
      </c>
      <c r="G2313" s="5" t="s">
        <v>10067</v>
      </c>
      <c r="H2313" s="5">
        <v>2003.0</v>
      </c>
      <c r="I2313" s="5">
        <v>0.0</v>
      </c>
      <c r="J2313" s="5">
        <v>0.0</v>
      </c>
      <c r="K2313" s="5">
        <v>1.0</v>
      </c>
      <c r="L2313" s="54"/>
      <c r="M2313" s="5" t="s">
        <v>10112</v>
      </c>
      <c r="N2313" s="53" t="s">
        <v>10113</v>
      </c>
      <c r="O2313">
        <v>51.127876</v>
      </c>
      <c r="P2313">
        <v>1.313403</v>
      </c>
      <c r="Q2313" s="5" t="s">
        <v>1586</v>
      </c>
      <c r="R2313" s="10">
        <f t="shared" si="10"/>
        <v>6</v>
      </c>
      <c r="S2313" s="5" t="s">
        <v>10114</v>
      </c>
      <c r="T2313" s="5"/>
      <c r="U2313" s="5" t="s">
        <v>10115</v>
      </c>
      <c r="V2313" s="5"/>
    </row>
    <row r="2314" ht="12.75" customHeight="1">
      <c r="A2314" s="5">
        <v>35671.0</v>
      </c>
      <c r="B2314" s="5" t="s">
        <v>636</v>
      </c>
      <c r="C2314" s="52" t="s">
        <v>50</v>
      </c>
      <c r="D2314" s="5" t="s">
        <v>2852</v>
      </c>
      <c r="E2314" s="7" t="s">
        <v>10116</v>
      </c>
      <c r="F2314" s="5" t="s">
        <v>10066</v>
      </c>
      <c r="G2314" s="5" t="s">
        <v>10117</v>
      </c>
      <c r="H2314" s="5">
        <v>2003.0</v>
      </c>
      <c r="I2314" s="5">
        <v>0.0</v>
      </c>
      <c r="J2314" s="5">
        <v>0.0</v>
      </c>
      <c r="K2314" s="5">
        <v>6.0</v>
      </c>
      <c r="L2314" s="54"/>
      <c r="M2314" s="5" t="s">
        <v>10118</v>
      </c>
      <c r="N2314" s="53" t="s">
        <v>10119</v>
      </c>
      <c r="O2314">
        <v>39.587628</v>
      </c>
      <c r="P2314">
        <v>18.94043</v>
      </c>
      <c r="Q2314" s="5" t="s">
        <v>1097</v>
      </c>
      <c r="R2314" s="10">
        <f t="shared" si="10"/>
        <v>12</v>
      </c>
      <c r="S2314" s="5" t="s">
        <v>10120</v>
      </c>
      <c r="T2314" s="6" t="s">
        <v>1963</v>
      </c>
      <c r="U2314" s="5" t="s">
        <v>10121</v>
      </c>
      <c r="V2314" s="5"/>
    </row>
    <row r="2315" ht="12.75" customHeight="1">
      <c r="A2315" s="5">
        <v>35672.0</v>
      </c>
      <c r="B2315" s="5" t="s">
        <v>49</v>
      </c>
      <c r="C2315" s="52" t="s">
        <v>50</v>
      </c>
      <c r="D2315" s="5" t="s">
        <v>2852</v>
      </c>
      <c r="E2315" s="7" t="s">
        <v>10116</v>
      </c>
      <c r="F2315" s="5" t="s">
        <v>10066</v>
      </c>
      <c r="G2315" s="5" t="s">
        <v>10117</v>
      </c>
      <c r="H2315" s="5">
        <v>2003.0</v>
      </c>
      <c r="I2315" s="5">
        <v>0.0</v>
      </c>
      <c r="J2315" s="5">
        <v>0.0</v>
      </c>
      <c r="K2315" s="5">
        <v>23.0</v>
      </c>
      <c r="L2315" s="54"/>
      <c r="M2315" s="5" t="s">
        <v>10122</v>
      </c>
      <c r="N2315" s="53" t="s">
        <v>2991</v>
      </c>
      <c r="O2315">
        <v>39.801</v>
      </c>
      <c r="P2315">
        <v>18.356944</v>
      </c>
      <c r="Q2315" s="5" t="s">
        <v>1110</v>
      </c>
      <c r="R2315" s="10">
        <f t="shared" si="10"/>
        <v>88</v>
      </c>
      <c r="S2315" s="5" t="s">
        <v>10123</v>
      </c>
      <c r="T2315" s="6" t="s">
        <v>1963</v>
      </c>
      <c r="U2315" s="5" t="s">
        <v>10124</v>
      </c>
      <c r="V2315" s="5"/>
    </row>
    <row r="2316" ht="12.75" customHeight="1">
      <c r="A2316" s="5">
        <v>35673.0</v>
      </c>
      <c r="B2316" s="5" t="s">
        <v>68</v>
      </c>
      <c r="C2316" s="5" t="s">
        <v>69</v>
      </c>
      <c r="D2316" s="5" t="s">
        <v>2614</v>
      </c>
      <c r="E2316" s="7" t="s">
        <v>10125</v>
      </c>
      <c r="F2316" s="5" t="s">
        <v>10066</v>
      </c>
      <c r="G2316" s="5" t="s">
        <v>10117</v>
      </c>
      <c r="H2316" s="5">
        <v>2003.0</v>
      </c>
      <c r="I2316" s="5">
        <v>0.0</v>
      </c>
      <c r="J2316" s="5">
        <v>0.0</v>
      </c>
      <c r="K2316" s="5">
        <v>4.0</v>
      </c>
      <c r="L2316" s="54"/>
      <c r="M2316" s="5" t="s">
        <v>10126</v>
      </c>
      <c r="N2316" s="53" t="s">
        <v>2700</v>
      </c>
      <c r="O2316">
        <v>35.508622</v>
      </c>
      <c r="P2316">
        <v>12.59292</v>
      </c>
      <c r="Q2316" s="5" t="s">
        <v>669</v>
      </c>
      <c r="R2316" s="10">
        <f t="shared" si="10"/>
        <v>3843</v>
      </c>
      <c r="S2316" s="5" t="s">
        <v>10127</v>
      </c>
      <c r="T2316" s="6" t="s">
        <v>2130</v>
      </c>
      <c r="U2316" s="5" t="s">
        <v>10128</v>
      </c>
      <c r="V2316" s="5" t="s">
        <v>10129</v>
      </c>
    </row>
    <row r="2317" ht="12.75" customHeight="1">
      <c r="A2317" s="5">
        <v>35674.0</v>
      </c>
      <c r="B2317" s="5" t="s">
        <v>49</v>
      </c>
      <c r="C2317" s="52" t="s">
        <v>50</v>
      </c>
      <c r="D2317" s="5" t="s">
        <v>2852</v>
      </c>
      <c r="E2317" s="7" t="s">
        <v>10130</v>
      </c>
      <c r="F2317" s="5" t="s">
        <v>10066</v>
      </c>
      <c r="G2317" s="5" t="s">
        <v>10117</v>
      </c>
      <c r="H2317" s="5">
        <v>2003.0</v>
      </c>
      <c r="I2317" s="5">
        <v>0.0</v>
      </c>
      <c r="J2317" s="5">
        <v>0.0</v>
      </c>
      <c r="K2317" s="5">
        <v>1.0</v>
      </c>
      <c r="L2317" s="54"/>
      <c r="M2317" s="5" t="s">
        <v>10131</v>
      </c>
      <c r="N2317" s="53" t="s">
        <v>3151</v>
      </c>
      <c r="O2317">
        <v>29.046854</v>
      </c>
      <c r="P2317">
        <v>-13.589973</v>
      </c>
      <c r="Q2317" s="5" t="s">
        <v>400</v>
      </c>
      <c r="R2317" s="10">
        <f t="shared" si="10"/>
        <v>74</v>
      </c>
      <c r="S2317" s="5" t="s">
        <v>10132</v>
      </c>
      <c r="T2317" s="5" t="s">
        <v>1040</v>
      </c>
      <c r="U2317" s="5" t="s">
        <v>9274</v>
      </c>
      <c r="V2317" s="5"/>
    </row>
    <row r="2318" ht="12.75" customHeight="1">
      <c r="A2318" s="5">
        <v>35675.0</v>
      </c>
      <c r="B2318" s="5" t="s">
        <v>2962</v>
      </c>
      <c r="C2318" s="5" t="s">
        <v>211</v>
      </c>
      <c r="D2318" s="5" t="s">
        <v>2852</v>
      </c>
      <c r="E2318" s="7" t="s">
        <v>10130</v>
      </c>
      <c r="F2318" s="5" t="s">
        <v>10066</v>
      </c>
      <c r="G2318" s="5" t="s">
        <v>10117</v>
      </c>
      <c r="H2318" s="5">
        <v>2003.0</v>
      </c>
      <c r="I2318" s="5">
        <v>0.0</v>
      </c>
      <c r="J2318" s="5">
        <v>0.0</v>
      </c>
      <c r="K2318" s="5">
        <v>1.0</v>
      </c>
      <c r="L2318" s="54"/>
      <c r="M2318" s="5" t="s">
        <v>10133</v>
      </c>
      <c r="N2318" s="53" t="s">
        <v>10134</v>
      </c>
      <c r="O2318">
        <v>40.463667</v>
      </c>
      <c r="P2318">
        <v>-3.74922</v>
      </c>
      <c r="Q2318" s="5" t="s">
        <v>1142</v>
      </c>
      <c r="R2318" s="10">
        <f t="shared" si="10"/>
        <v>6</v>
      </c>
      <c r="S2318" s="5" t="s">
        <v>10135</v>
      </c>
      <c r="T2318" s="6" t="s">
        <v>72</v>
      </c>
      <c r="U2318" s="5" t="s">
        <v>10136</v>
      </c>
      <c r="V2318" s="5"/>
    </row>
    <row r="2319" ht="12.75" customHeight="1">
      <c r="A2319" s="5">
        <v>35676.0</v>
      </c>
      <c r="B2319" s="5" t="s">
        <v>1076</v>
      </c>
      <c r="C2319" s="52" t="s">
        <v>50</v>
      </c>
      <c r="D2319" s="5" t="s">
        <v>2852</v>
      </c>
      <c r="E2319" s="7" t="s">
        <v>10137</v>
      </c>
      <c r="F2319" s="5" t="s">
        <v>10066</v>
      </c>
      <c r="G2319" s="5" t="s">
        <v>10117</v>
      </c>
      <c r="H2319" s="5">
        <v>2003.0</v>
      </c>
      <c r="I2319" s="5">
        <v>0.0</v>
      </c>
      <c r="J2319" s="5">
        <v>0.0</v>
      </c>
      <c r="K2319" s="5">
        <v>1.0</v>
      </c>
      <c r="L2319" s="54"/>
      <c r="M2319" s="5" t="s">
        <v>10138</v>
      </c>
      <c r="N2319" s="53" t="s">
        <v>3846</v>
      </c>
      <c r="O2319">
        <v>40.632728</v>
      </c>
      <c r="P2319">
        <v>17.941762</v>
      </c>
      <c r="Q2319" s="5" t="s">
        <v>1151</v>
      </c>
      <c r="R2319" s="10">
        <f t="shared" si="10"/>
        <v>72</v>
      </c>
      <c r="S2319" s="5" t="s">
        <v>10139</v>
      </c>
      <c r="T2319" s="6" t="s">
        <v>1963</v>
      </c>
      <c r="U2319" s="5" t="s">
        <v>254</v>
      </c>
      <c r="V2319" s="5" t="s">
        <v>7579</v>
      </c>
    </row>
    <row r="2320" ht="12.75" customHeight="1">
      <c r="A2320" s="5">
        <v>35677.0</v>
      </c>
      <c r="B2320" s="5" t="s">
        <v>9161</v>
      </c>
      <c r="C2320" s="5" t="s">
        <v>62</v>
      </c>
      <c r="D2320" s="5" t="s">
        <v>2852</v>
      </c>
      <c r="E2320" s="7" t="s">
        <v>10140</v>
      </c>
      <c r="F2320" s="5" t="s">
        <v>10066</v>
      </c>
      <c r="G2320" s="5" t="s">
        <v>10117</v>
      </c>
      <c r="H2320" s="5">
        <v>2003.0</v>
      </c>
      <c r="I2320" s="5">
        <v>0.0</v>
      </c>
      <c r="J2320" s="5">
        <v>0.0</v>
      </c>
      <c r="K2320" s="5">
        <v>1.0</v>
      </c>
      <c r="L2320" s="54"/>
      <c r="M2320" s="5" t="s">
        <v>10141</v>
      </c>
      <c r="N2320" s="53" t="s">
        <v>9221</v>
      </c>
      <c r="O2320">
        <v>53.174638</v>
      </c>
      <c r="P2320">
        <v>5.425152</v>
      </c>
      <c r="Q2320" s="5" t="s">
        <v>1815</v>
      </c>
      <c r="R2320" s="10">
        <f t="shared" si="10"/>
        <v>3</v>
      </c>
      <c r="S2320" s="5" t="s">
        <v>10142</v>
      </c>
      <c r="T2320" s="5"/>
      <c r="U2320" s="5" t="s">
        <v>10143</v>
      </c>
      <c r="V2320" s="5"/>
    </row>
    <row r="2321" ht="12.75" customHeight="1">
      <c r="A2321" s="5">
        <v>35679.0</v>
      </c>
      <c r="B2321" s="5" t="s">
        <v>1857</v>
      </c>
      <c r="C2321" s="52" t="s">
        <v>50</v>
      </c>
      <c r="D2321" s="5" t="s">
        <v>2852</v>
      </c>
      <c r="E2321" s="7" t="s">
        <v>10144</v>
      </c>
      <c r="F2321" s="5" t="s">
        <v>10066</v>
      </c>
      <c r="G2321" s="5" t="s">
        <v>10117</v>
      </c>
      <c r="H2321" s="5">
        <v>2003.0</v>
      </c>
      <c r="I2321" s="5">
        <v>0.0</v>
      </c>
      <c r="J2321" s="5">
        <v>0.0</v>
      </c>
      <c r="K2321" s="5">
        <v>1.0</v>
      </c>
      <c r="L2321" s="54"/>
      <c r="M2321" s="5" t="s">
        <v>10145</v>
      </c>
      <c r="N2321" s="53" t="s">
        <v>2700</v>
      </c>
      <c r="O2321">
        <v>35.508622</v>
      </c>
      <c r="P2321">
        <v>12.59292</v>
      </c>
      <c r="Q2321" s="5" t="s">
        <v>669</v>
      </c>
      <c r="R2321" s="10">
        <f t="shared" si="10"/>
        <v>3843</v>
      </c>
      <c r="S2321" s="5" t="s">
        <v>10146</v>
      </c>
      <c r="T2321" s="6" t="s">
        <v>2130</v>
      </c>
      <c r="U2321" s="5" t="s">
        <v>10147</v>
      </c>
      <c r="V2321" s="5" t="s">
        <v>7579</v>
      </c>
    </row>
    <row r="2322" ht="12.75" customHeight="1">
      <c r="A2322" s="5">
        <v>35678.0</v>
      </c>
      <c r="B2322" s="5" t="s">
        <v>763</v>
      </c>
      <c r="C2322" s="5" t="s">
        <v>124</v>
      </c>
      <c r="D2322" s="5" t="s">
        <v>2614</v>
      </c>
      <c r="E2322" s="7" t="s">
        <v>10144</v>
      </c>
      <c r="F2322" s="5" t="s">
        <v>10066</v>
      </c>
      <c r="G2322" s="5" t="s">
        <v>10117</v>
      </c>
      <c r="H2322" s="5">
        <v>2003.0</v>
      </c>
      <c r="I2322" s="5">
        <v>0.0</v>
      </c>
      <c r="J2322" s="5">
        <v>0.0</v>
      </c>
      <c r="K2322" s="5">
        <v>1.0</v>
      </c>
      <c r="L2322" s="54"/>
      <c r="M2322" s="5" t="s">
        <v>10148</v>
      </c>
      <c r="N2322" s="53" t="s">
        <v>4838</v>
      </c>
      <c r="O2322">
        <v>52.355518</v>
      </c>
      <c r="P2322">
        <v>-1.17432</v>
      </c>
      <c r="Q2322" s="5" t="s">
        <v>1746</v>
      </c>
      <c r="R2322" s="10">
        <f t="shared" si="10"/>
        <v>6</v>
      </c>
      <c r="S2322" s="5" t="s">
        <v>10149</v>
      </c>
      <c r="T2322" s="5"/>
      <c r="U2322" s="5" t="s">
        <v>10150</v>
      </c>
      <c r="V2322" s="5" t="s">
        <v>10151</v>
      </c>
    </row>
    <row r="2323" ht="12.75" customHeight="1">
      <c r="A2323" s="5">
        <v>35680.0</v>
      </c>
      <c r="B2323" s="5" t="s">
        <v>49</v>
      </c>
      <c r="C2323" s="52" t="s">
        <v>50</v>
      </c>
      <c r="D2323" s="5" t="s">
        <v>2852</v>
      </c>
      <c r="E2323" s="7" t="s">
        <v>10152</v>
      </c>
      <c r="F2323" s="5" t="s">
        <v>10066</v>
      </c>
      <c r="G2323" s="5" t="s">
        <v>10117</v>
      </c>
      <c r="H2323" s="5">
        <v>2003.0</v>
      </c>
      <c r="I2323" s="5">
        <v>0.0</v>
      </c>
      <c r="J2323" s="5">
        <v>0.0</v>
      </c>
      <c r="K2323" s="5">
        <v>1.0</v>
      </c>
      <c r="L2323" s="54"/>
      <c r="M2323" s="5" t="s">
        <v>10153</v>
      </c>
      <c r="N2323" s="53" t="s">
        <v>2680</v>
      </c>
      <c r="O2323">
        <v>36.018776</v>
      </c>
      <c r="P2323">
        <v>-5.600819</v>
      </c>
      <c r="Q2323" s="5" t="s">
        <v>761</v>
      </c>
      <c r="R2323" s="10">
        <f t="shared" si="10"/>
        <v>492</v>
      </c>
      <c r="S2323" s="5" t="s">
        <v>10154</v>
      </c>
      <c r="T2323" s="6" t="s">
        <v>72</v>
      </c>
      <c r="U2323" s="5" t="s">
        <v>9274</v>
      </c>
      <c r="V2323" s="5"/>
    </row>
    <row r="2324" ht="12.75" customHeight="1">
      <c r="A2324" s="5">
        <v>35681.0</v>
      </c>
      <c r="B2324" s="5" t="s">
        <v>2333</v>
      </c>
      <c r="C2324" s="5" t="s">
        <v>124</v>
      </c>
      <c r="D2324" s="5" t="s">
        <v>2852</v>
      </c>
      <c r="E2324" s="7" t="s">
        <v>10152</v>
      </c>
      <c r="F2324" s="5" t="s">
        <v>10066</v>
      </c>
      <c r="G2324" s="5" t="s">
        <v>10117</v>
      </c>
      <c r="H2324" s="5">
        <v>2003.0</v>
      </c>
      <c r="I2324" s="5">
        <v>0.0</v>
      </c>
      <c r="J2324" s="5">
        <v>0.0</v>
      </c>
      <c r="K2324" s="5">
        <v>1.0</v>
      </c>
      <c r="L2324" s="54"/>
      <c r="M2324" s="5" t="s">
        <v>10155</v>
      </c>
      <c r="N2324" s="53" t="s">
        <v>5963</v>
      </c>
      <c r="O2324">
        <v>46.227638</v>
      </c>
      <c r="P2324">
        <v>2.213749</v>
      </c>
      <c r="Q2324" s="5" t="s">
        <v>1351</v>
      </c>
      <c r="R2324" s="10">
        <f t="shared" si="10"/>
        <v>8</v>
      </c>
      <c r="S2324" s="5" t="s">
        <v>10156</v>
      </c>
      <c r="T2324" s="5"/>
      <c r="U2324" s="5" t="s">
        <v>10157</v>
      </c>
      <c r="V2324" s="5" t="s">
        <v>10151</v>
      </c>
    </row>
    <row r="2325" ht="12.75" customHeight="1">
      <c r="A2325" s="5">
        <v>35682.0</v>
      </c>
      <c r="B2325" s="5" t="s">
        <v>49</v>
      </c>
      <c r="C2325" s="52" t="s">
        <v>50</v>
      </c>
      <c r="D2325" s="5" t="s">
        <v>2852</v>
      </c>
      <c r="E2325" s="7" t="s">
        <v>10158</v>
      </c>
      <c r="F2325" s="5" t="s">
        <v>10066</v>
      </c>
      <c r="G2325" s="5" t="s">
        <v>10117</v>
      </c>
      <c r="H2325" s="5">
        <v>2003.0</v>
      </c>
      <c r="I2325" s="5">
        <v>0.0</v>
      </c>
      <c r="J2325" s="5">
        <v>0.0</v>
      </c>
      <c r="K2325" s="5">
        <v>5.0</v>
      </c>
      <c r="L2325" s="54"/>
      <c r="M2325" s="5" t="s">
        <v>10159</v>
      </c>
      <c r="N2325" s="53" t="s">
        <v>9311</v>
      </c>
      <c r="O2325">
        <v>39.16408</v>
      </c>
      <c r="P2325">
        <v>26.372171</v>
      </c>
      <c r="Q2325" s="5" t="s">
        <v>1068</v>
      </c>
      <c r="R2325" s="10">
        <f t="shared" si="10"/>
        <v>101</v>
      </c>
      <c r="S2325" s="5" t="s">
        <v>10160</v>
      </c>
      <c r="T2325" s="6" t="s">
        <v>53</v>
      </c>
      <c r="U2325" s="5" t="s">
        <v>10161</v>
      </c>
      <c r="V2325" s="5" t="s">
        <v>9670</v>
      </c>
    </row>
    <row r="2326" ht="12.75" customHeight="1">
      <c r="A2326" s="5">
        <v>35683.0</v>
      </c>
      <c r="B2326" s="5" t="s">
        <v>49</v>
      </c>
      <c r="C2326" s="52" t="s">
        <v>50</v>
      </c>
      <c r="D2326" s="5" t="s">
        <v>2852</v>
      </c>
      <c r="E2326" s="7" t="s">
        <v>10162</v>
      </c>
      <c r="F2326" s="5" t="s">
        <v>10066</v>
      </c>
      <c r="G2326" s="5" t="s">
        <v>10117</v>
      </c>
      <c r="H2326" s="5">
        <v>2003.0</v>
      </c>
      <c r="I2326" s="5">
        <v>0.0</v>
      </c>
      <c r="J2326" s="5">
        <v>0.0</v>
      </c>
      <c r="K2326" s="5">
        <v>5.0</v>
      </c>
      <c r="L2326" s="54"/>
      <c r="M2326" s="5" t="s">
        <v>10163</v>
      </c>
      <c r="N2326" s="53" t="s">
        <v>10164</v>
      </c>
      <c r="O2326">
        <v>38.42</v>
      </c>
      <c r="P2326">
        <v>43.25</v>
      </c>
      <c r="Q2326" s="5" t="s">
        <v>1023</v>
      </c>
      <c r="R2326" s="10">
        <f t="shared" si="10"/>
        <v>5</v>
      </c>
      <c r="S2326" s="5" t="s">
        <v>10165</v>
      </c>
      <c r="T2326" s="5"/>
      <c r="U2326" s="5" t="s">
        <v>10166</v>
      </c>
      <c r="V2326" s="5"/>
    </row>
    <row r="2327" ht="12.75" customHeight="1">
      <c r="A2327" s="5">
        <v>35684.0</v>
      </c>
      <c r="B2327" s="5" t="s">
        <v>2040</v>
      </c>
      <c r="C2327" s="52" t="s">
        <v>50</v>
      </c>
      <c r="D2327" s="5" t="s">
        <v>2614</v>
      </c>
      <c r="E2327" s="7" t="s">
        <v>10167</v>
      </c>
      <c r="F2327" s="5" t="s">
        <v>10066</v>
      </c>
      <c r="G2327" s="5" t="s">
        <v>10117</v>
      </c>
      <c r="H2327" s="5">
        <v>2003.0</v>
      </c>
      <c r="I2327" s="5">
        <v>0.0</v>
      </c>
      <c r="J2327" s="5">
        <v>0.0</v>
      </c>
      <c r="K2327" s="5">
        <v>23.0</v>
      </c>
      <c r="L2327" s="54"/>
      <c r="M2327" s="5" t="s">
        <v>10168</v>
      </c>
      <c r="N2327" s="53" t="s">
        <v>4421</v>
      </c>
      <c r="O2327">
        <v>36.752887</v>
      </c>
      <c r="P2327">
        <v>3.042048</v>
      </c>
      <c r="Q2327" s="5" t="s">
        <v>835</v>
      </c>
      <c r="R2327" s="10">
        <f t="shared" si="10"/>
        <v>39</v>
      </c>
      <c r="S2327" s="5" t="s">
        <v>10169</v>
      </c>
      <c r="T2327" s="6" t="s">
        <v>72</v>
      </c>
      <c r="U2327" s="5" t="s">
        <v>2326</v>
      </c>
      <c r="V2327" s="5" t="s">
        <v>7579</v>
      </c>
    </row>
    <row r="2328" ht="12.75" customHeight="1">
      <c r="A2328" s="5">
        <v>35685.0</v>
      </c>
      <c r="B2328" s="5" t="s">
        <v>68</v>
      </c>
      <c r="C2328" s="5" t="s">
        <v>69</v>
      </c>
      <c r="D2328" s="5" t="s">
        <v>2614</v>
      </c>
      <c r="E2328" s="7" t="s">
        <v>10170</v>
      </c>
      <c r="F2328" s="5" t="s">
        <v>10066</v>
      </c>
      <c r="G2328" s="5" t="s">
        <v>10171</v>
      </c>
      <c r="H2328" s="5">
        <v>2003.0</v>
      </c>
      <c r="I2328" s="5">
        <v>0.0</v>
      </c>
      <c r="J2328" s="5">
        <v>0.0</v>
      </c>
      <c r="K2328" s="5">
        <v>10.0</v>
      </c>
      <c r="L2328" s="54"/>
      <c r="M2328" s="5" t="s">
        <v>10172</v>
      </c>
      <c r="N2328" s="53" t="s">
        <v>5814</v>
      </c>
      <c r="O2328">
        <v>28.358744</v>
      </c>
      <c r="P2328">
        <v>-14.053676</v>
      </c>
      <c r="Q2328" s="5" t="s">
        <v>390</v>
      </c>
      <c r="R2328" s="10">
        <f t="shared" si="10"/>
        <v>488</v>
      </c>
      <c r="S2328" s="5" t="s">
        <v>10173</v>
      </c>
      <c r="T2328" s="5" t="s">
        <v>1040</v>
      </c>
      <c r="U2328" s="5" t="s">
        <v>2785</v>
      </c>
      <c r="V2328" s="5" t="s">
        <v>10174</v>
      </c>
    </row>
    <row r="2329" ht="12.75" customHeight="1">
      <c r="A2329" s="5">
        <v>35686.0</v>
      </c>
      <c r="B2329" s="5" t="s">
        <v>68</v>
      </c>
      <c r="C2329" s="5" t="s">
        <v>69</v>
      </c>
      <c r="D2329" s="5" t="s">
        <v>2852</v>
      </c>
      <c r="E2329" s="7" t="s">
        <v>10170</v>
      </c>
      <c r="F2329" s="5" t="s">
        <v>10066</v>
      </c>
      <c r="G2329" s="5" t="s">
        <v>10171</v>
      </c>
      <c r="H2329" s="5">
        <v>2003.0</v>
      </c>
      <c r="I2329" s="5">
        <v>0.0</v>
      </c>
      <c r="J2329" s="5">
        <v>0.0</v>
      </c>
      <c r="K2329" s="5">
        <v>1.0</v>
      </c>
      <c r="L2329" s="54"/>
      <c r="M2329" s="5" t="s">
        <v>10175</v>
      </c>
      <c r="N2329" s="53" t="s">
        <v>2638</v>
      </c>
      <c r="O2329">
        <v>35.888384</v>
      </c>
      <c r="P2329">
        <v>-5.324636</v>
      </c>
      <c r="Q2329" s="5" t="s">
        <v>717</v>
      </c>
      <c r="R2329" s="10">
        <f t="shared" si="10"/>
        <v>213</v>
      </c>
      <c r="S2329" s="5" t="s">
        <v>10176</v>
      </c>
      <c r="T2329" s="6" t="s">
        <v>72</v>
      </c>
      <c r="U2329" s="5" t="s">
        <v>10177</v>
      </c>
      <c r="V2329" s="5"/>
    </row>
    <row r="2330" ht="12.75" customHeight="1">
      <c r="A2330" s="5">
        <v>35687.0</v>
      </c>
      <c r="B2330" s="5" t="s">
        <v>2025</v>
      </c>
      <c r="C2330" s="52" t="s">
        <v>50</v>
      </c>
      <c r="D2330" s="5" t="s">
        <v>2852</v>
      </c>
      <c r="E2330" s="7" t="s">
        <v>10170</v>
      </c>
      <c r="F2330" s="5" t="s">
        <v>10066</v>
      </c>
      <c r="G2330" s="5" t="s">
        <v>10171</v>
      </c>
      <c r="H2330" s="5">
        <v>2003.0</v>
      </c>
      <c r="I2330" s="5">
        <v>0.0</v>
      </c>
      <c r="J2330" s="5">
        <v>0.0</v>
      </c>
      <c r="K2330" s="5">
        <v>3.0</v>
      </c>
      <c r="L2330" s="54"/>
      <c r="M2330" s="5" t="s">
        <v>10178</v>
      </c>
      <c r="N2330" s="53" t="s">
        <v>8706</v>
      </c>
      <c r="O2330">
        <v>48.669026</v>
      </c>
      <c r="P2330">
        <v>19.699024</v>
      </c>
      <c r="Q2330" s="5" t="s">
        <v>1431</v>
      </c>
      <c r="R2330" s="10">
        <f t="shared" si="10"/>
        <v>16</v>
      </c>
      <c r="S2330" s="5" t="s">
        <v>10179</v>
      </c>
      <c r="T2330" s="5"/>
      <c r="U2330" s="5" t="s">
        <v>10180</v>
      </c>
      <c r="V2330" s="5" t="s">
        <v>10181</v>
      </c>
    </row>
    <row r="2331" ht="12.75" customHeight="1">
      <c r="A2331" s="5">
        <v>35688.0</v>
      </c>
      <c r="B2331" s="5" t="s">
        <v>49</v>
      </c>
      <c r="C2331" s="52" t="s">
        <v>50</v>
      </c>
      <c r="D2331" s="5" t="s">
        <v>2852</v>
      </c>
      <c r="E2331" s="7" t="s">
        <v>10182</v>
      </c>
      <c r="F2331" s="5" t="s">
        <v>10066</v>
      </c>
      <c r="G2331" s="5" t="s">
        <v>10171</v>
      </c>
      <c r="H2331" s="5">
        <v>2003.0</v>
      </c>
      <c r="I2331" s="5">
        <v>0.0</v>
      </c>
      <c r="J2331" s="5">
        <v>0.0</v>
      </c>
      <c r="K2331" s="5">
        <v>15.0</v>
      </c>
      <c r="L2331" s="54"/>
      <c r="M2331" s="5" t="s">
        <v>10183</v>
      </c>
      <c r="N2331" s="53" t="s">
        <v>5814</v>
      </c>
      <c r="O2331">
        <v>28.358744</v>
      </c>
      <c r="P2331">
        <v>-14.053676</v>
      </c>
      <c r="Q2331" s="5" t="s">
        <v>390</v>
      </c>
      <c r="R2331" s="10">
        <f t="shared" si="10"/>
        <v>488</v>
      </c>
      <c r="S2331" s="5" t="s">
        <v>10184</v>
      </c>
      <c r="T2331" s="5" t="s">
        <v>1040</v>
      </c>
      <c r="U2331" s="5" t="s">
        <v>10185</v>
      </c>
      <c r="V2331" s="5" t="s">
        <v>10186</v>
      </c>
    </row>
    <row r="2332" ht="12.75" customHeight="1">
      <c r="A2332" s="5">
        <v>35689.0</v>
      </c>
      <c r="B2332" s="5" t="s">
        <v>49</v>
      </c>
      <c r="C2332" s="52" t="s">
        <v>50</v>
      </c>
      <c r="D2332" s="5" t="s">
        <v>2852</v>
      </c>
      <c r="E2332" s="7" t="s">
        <v>10187</v>
      </c>
      <c r="F2332" s="5" t="s">
        <v>10066</v>
      </c>
      <c r="G2332" s="5" t="s">
        <v>10171</v>
      </c>
      <c r="H2332" s="5">
        <v>2003.0</v>
      </c>
      <c r="I2332" s="5">
        <v>0.0</v>
      </c>
      <c r="J2332" s="5">
        <v>0.0</v>
      </c>
      <c r="K2332" s="5">
        <v>1.0</v>
      </c>
      <c r="L2332" s="54"/>
      <c r="M2332" s="5" t="s">
        <v>10188</v>
      </c>
      <c r="N2332" s="53" t="s">
        <v>5814</v>
      </c>
      <c r="O2332">
        <v>28.358744</v>
      </c>
      <c r="P2332">
        <v>-14.053676</v>
      </c>
      <c r="Q2332" s="5" t="s">
        <v>390</v>
      </c>
      <c r="R2332" s="10">
        <f t="shared" si="10"/>
        <v>488</v>
      </c>
      <c r="S2332" s="5" t="s">
        <v>10189</v>
      </c>
      <c r="T2332" s="5" t="s">
        <v>1040</v>
      </c>
      <c r="U2332" s="5" t="s">
        <v>10190</v>
      </c>
      <c r="V2332" s="5" t="s">
        <v>10191</v>
      </c>
    </row>
    <row r="2333" ht="12.75" customHeight="1">
      <c r="A2333" s="5">
        <v>35690.0</v>
      </c>
      <c r="B2333" s="5" t="s">
        <v>491</v>
      </c>
      <c r="C2333" s="52" t="s">
        <v>50</v>
      </c>
      <c r="D2333" s="5" t="s">
        <v>2852</v>
      </c>
      <c r="E2333" s="7" t="s">
        <v>10192</v>
      </c>
      <c r="F2333" s="5" t="s">
        <v>10066</v>
      </c>
      <c r="G2333" s="5" t="s">
        <v>10171</v>
      </c>
      <c r="H2333" s="5">
        <v>2003.0</v>
      </c>
      <c r="I2333" s="5">
        <v>0.0</v>
      </c>
      <c r="J2333" s="5">
        <v>0.0</v>
      </c>
      <c r="K2333" s="5">
        <v>1.0</v>
      </c>
      <c r="L2333" s="54"/>
      <c r="M2333" s="5" t="s">
        <v>10193</v>
      </c>
      <c r="N2333" s="53" t="s">
        <v>10194</v>
      </c>
      <c r="O2333">
        <v>45.940181</v>
      </c>
      <c r="P2333">
        <v>13.620175</v>
      </c>
      <c r="Q2333" s="5" t="s">
        <v>1342</v>
      </c>
      <c r="R2333" s="10">
        <f t="shared" si="10"/>
        <v>2</v>
      </c>
      <c r="S2333" s="5" t="s">
        <v>10195</v>
      </c>
      <c r="T2333" s="6" t="s">
        <v>65</v>
      </c>
      <c r="U2333" s="5" t="s">
        <v>10196</v>
      </c>
      <c r="V2333" s="5" t="s">
        <v>10197</v>
      </c>
    </row>
    <row r="2334" ht="12.75" customHeight="1">
      <c r="A2334" s="5">
        <v>35691.0</v>
      </c>
      <c r="B2334" s="5" t="s">
        <v>49</v>
      </c>
      <c r="C2334" s="52" t="s">
        <v>50</v>
      </c>
      <c r="D2334" s="5" t="s">
        <v>2852</v>
      </c>
      <c r="E2334" s="7" t="s">
        <v>10198</v>
      </c>
      <c r="F2334" s="5" t="s">
        <v>10066</v>
      </c>
      <c r="G2334" s="5" t="s">
        <v>10171</v>
      </c>
      <c r="H2334" s="5">
        <v>2003.0</v>
      </c>
      <c r="I2334" s="5">
        <v>0.0</v>
      </c>
      <c r="J2334" s="5">
        <v>0.0</v>
      </c>
      <c r="K2334" s="5">
        <v>1.0</v>
      </c>
      <c r="L2334" s="54"/>
      <c r="M2334" s="5" t="s">
        <v>10199</v>
      </c>
      <c r="N2334" s="53" t="s">
        <v>5814</v>
      </c>
      <c r="O2334">
        <v>28.358744</v>
      </c>
      <c r="P2334">
        <v>-14.053676</v>
      </c>
      <c r="Q2334" s="5" t="s">
        <v>390</v>
      </c>
      <c r="R2334" s="10">
        <f t="shared" si="10"/>
        <v>488</v>
      </c>
      <c r="S2334" s="5" t="s">
        <v>10200</v>
      </c>
      <c r="T2334" s="5" t="s">
        <v>1040</v>
      </c>
      <c r="U2334" s="5" t="s">
        <v>10190</v>
      </c>
      <c r="V2334" s="5" t="s">
        <v>10191</v>
      </c>
    </row>
    <row r="2335" ht="12.75" customHeight="1">
      <c r="A2335" s="5">
        <v>35692.0</v>
      </c>
      <c r="B2335" s="5" t="s">
        <v>49</v>
      </c>
      <c r="C2335" s="52" t="s">
        <v>50</v>
      </c>
      <c r="D2335" s="5" t="s">
        <v>2852</v>
      </c>
      <c r="E2335" s="7" t="s">
        <v>10201</v>
      </c>
      <c r="F2335" s="5" t="s">
        <v>10066</v>
      </c>
      <c r="G2335" s="5" t="s">
        <v>10171</v>
      </c>
      <c r="H2335" s="5">
        <v>2003.0</v>
      </c>
      <c r="I2335" s="5">
        <v>0.0</v>
      </c>
      <c r="J2335" s="5">
        <v>0.0</v>
      </c>
      <c r="K2335" s="5">
        <v>21.0</v>
      </c>
      <c r="L2335" s="54"/>
      <c r="M2335" s="5" t="s">
        <v>10202</v>
      </c>
      <c r="N2335" s="53" t="s">
        <v>2928</v>
      </c>
      <c r="O2335">
        <v>26.3351</v>
      </c>
      <c r="P2335">
        <v>17.228331</v>
      </c>
      <c r="Q2335" s="5" t="s">
        <v>337</v>
      </c>
      <c r="R2335" s="10">
        <f t="shared" si="10"/>
        <v>1371</v>
      </c>
      <c r="S2335" s="5" t="s">
        <v>10203</v>
      </c>
      <c r="T2335" s="6" t="s">
        <v>2130</v>
      </c>
      <c r="U2335" s="5" t="s">
        <v>10204</v>
      </c>
      <c r="V2335" s="5"/>
    </row>
    <row r="2336" ht="12.75" customHeight="1">
      <c r="A2336" s="5">
        <v>35693.0</v>
      </c>
      <c r="B2336" s="5" t="s">
        <v>49</v>
      </c>
      <c r="C2336" s="52" t="s">
        <v>50</v>
      </c>
      <c r="D2336" s="5" t="s">
        <v>2852</v>
      </c>
      <c r="E2336" s="7" t="s">
        <v>10205</v>
      </c>
      <c r="F2336" s="5" t="s">
        <v>10066</v>
      </c>
      <c r="G2336" s="5" t="s">
        <v>10171</v>
      </c>
      <c r="H2336" s="5">
        <v>2003.0</v>
      </c>
      <c r="I2336" s="5">
        <v>0.0</v>
      </c>
      <c r="J2336" s="5">
        <v>0.0</v>
      </c>
      <c r="K2336" s="5">
        <v>25.0</v>
      </c>
      <c r="L2336" s="54"/>
      <c r="M2336" s="5" t="s">
        <v>10206</v>
      </c>
      <c r="N2336" s="53" t="s">
        <v>7721</v>
      </c>
      <c r="O2336">
        <v>27.153611</v>
      </c>
      <c r="P2336">
        <v>-13.203333</v>
      </c>
      <c r="Q2336" s="5" t="s">
        <v>349</v>
      </c>
      <c r="R2336" s="10">
        <f t="shared" si="10"/>
        <v>348</v>
      </c>
      <c r="S2336" s="5" t="s">
        <v>10207</v>
      </c>
      <c r="T2336" s="5" t="s">
        <v>1040</v>
      </c>
      <c r="U2336" s="5" t="s">
        <v>9274</v>
      </c>
      <c r="V2336" s="5" t="s">
        <v>10208</v>
      </c>
    </row>
    <row r="2337" ht="12.75" customHeight="1">
      <c r="A2337" s="5">
        <v>35695.0</v>
      </c>
      <c r="B2337" s="5" t="s">
        <v>1076</v>
      </c>
      <c r="C2337" s="52" t="s">
        <v>50</v>
      </c>
      <c r="D2337" s="5" t="s">
        <v>2852</v>
      </c>
      <c r="E2337" s="7" t="s">
        <v>10209</v>
      </c>
      <c r="F2337" s="5" t="s">
        <v>10066</v>
      </c>
      <c r="G2337" s="5" t="s">
        <v>10171</v>
      </c>
      <c r="H2337" s="5">
        <v>2003.0</v>
      </c>
      <c r="I2337" s="5">
        <v>0.0</v>
      </c>
      <c r="J2337" s="5">
        <v>0.0</v>
      </c>
      <c r="K2337" s="5">
        <v>1.0</v>
      </c>
      <c r="L2337" s="54"/>
      <c r="M2337" s="5" t="s">
        <v>10210</v>
      </c>
      <c r="N2337" s="53" t="s">
        <v>10211</v>
      </c>
      <c r="O2337">
        <v>48.208174</v>
      </c>
      <c r="P2337">
        <v>16.373819</v>
      </c>
      <c r="Q2337" s="5" t="s">
        <v>1410</v>
      </c>
      <c r="R2337" s="10">
        <f t="shared" si="10"/>
        <v>6</v>
      </c>
      <c r="S2337" s="5" t="s">
        <v>10212</v>
      </c>
      <c r="T2337" s="5"/>
      <c r="U2337" s="5" t="s">
        <v>10213</v>
      </c>
      <c r="V2337" s="5"/>
    </row>
    <row r="2338" ht="12.75" customHeight="1">
      <c r="A2338" s="5">
        <v>35694.0</v>
      </c>
      <c r="B2338" s="5" t="s">
        <v>49</v>
      </c>
      <c r="C2338" s="52" t="s">
        <v>50</v>
      </c>
      <c r="D2338" s="5" t="s">
        <v>2614</v>
      </c>
      <c r="E2338" s="7" t="s">
        <v>10209</v>
      </c>
      <c r="F2338" s="5" t="s">
        <v>10066</v>
      </c>
      <c r="G2338" s="5" t="s">
        <v>10171</v>
      </c>
      <c r="H2338" s="5">
        <v>2003.0</v>
      </c>
      <c r="I2338" s="5">
        <v>0.0</v>
      </c>
      <c r="J2338" s="5">
        <v>0.0</v>
      </c>
      <c r="K2338" s="5">
        <v>2.0</v>
      </c>
      <c r="L2338" s="54"/>
      <c r="M2338" s="5" t="s">
        <v>10214</v>
      </c>
      <c r="N2338" s="53" t="s">
        <v>4838</v>
      </c>
      <c r="O2338">
        <v>52.355518</v>
      </c>
      <c r="P2338">
        <v>-1.17432</v>
      </c>
      <c r="Q2338" s="5" t="s">
        <v>1746</v>
      </c>
      <c r="R2338" s="10">
        <f t="shared" si="10"/>
        <v>6</v>
      </c>
      <c r="S2338" s="5" t="s">
        <v>10215</v>
      </c>
      <c r="T2338" s="5"/>
      <c r="U2338" s="5" t="s">
        <v>10216</v>
      </c>
      <c r="V2338" s="5" t="s">
        <v>10217</v>
      </c>
    </row>
    <row r="2339" ht="12.75" customHeight="1">
      <c r="A2339" s="5">
        <v>35697.0</v>
      </c>
      <c r="B2339" s="5" t="s">
        <v>49</v>
      </c>
      <c r="C2339" s="52" t="s">
        <v>50</v>
      </c>
      <c r="D2339" s="5" t="s">
        <v>2852</v>
      </c>
      <c r="E2339" s="7" t="s">
        <v>10218</v>
      </c>
      <c r="F2339" s="5" t="s">
        <v>10066</v>
      </c>
      <c r="G2339" s="5" t="s">
        <v>10171</v>
      </c>
      <c r="H2339" s="5">
        <v>2003.0</v>
      </c>
      <c r="I2339" s="5">
        <v>0.0</v>
      </c>
      <c r="J2339" s="5">
        <v>0.0</v>
      </c>
      <c r="K2339" s="5">
        <v>30.0</v>
      </c>
      <c r="L2339" s="54"/>
      <c r="M2339" s="5" t="s">
        <v>10219</v>
      </c>
      <c r="N2339" s="53" t="s">
        <v>2680</v>
      </c>
      <c r="O2339">
        <v>36.018776</v>
      </c>
      <c r="P2339">
        <v>-5.600819</v>
      </c>
      <c r="Q2339" s="5" t="s">
        <v>761</v>
      </c>
      <c r="R2339" s="10">
        <f t="shared" si="10"/>
        <v>492</v>
      </c>
      <c r="S2339" s="5" t="s">
        <v>10220</v>
      </c>
      <c r="T2339" s="6" t="s">
        <v>72</v>
      </c>
      <c r="U2339" s="5" t="s">
        <v>3128</v>
      </c>
      <c r="V2339" s="5"/>
    </row>
    <row r="2340" ht="12.75" customHeight="1">
      <c r="A2340" s="5">
        <v>35696.0</v>
      </c>
      <c r="B2340" s="5" t="s">
        <v>49</v>
      </c>
      <c r="C2340" s="52" t="s">
        <v>50</v>
      </c>
      <c r="D2340" s="5" t="s">
        <v>2852</v>
      </c>
      <c r="E2340" s="7" t="s">
        <v>10218</v>
      </c>
      <c r="F2340" s="5" t="s">
        <v>10066</v>
      </c>
      <c r="G2340" s="5" t="s">
        <v>10171</v>
      </c>
      <c r="H2340" s="5">
        <v>2003.0</v>
      </c>
      <c r="I2340" s="5">
        <v>0.0</v>
      </c>
      <c r="J2340" s="5">
        <v>0.0</v>
      </c>
      <c r="K2340" s="5">
        <v>5.0</v>
      </c>
      <c r="L2340" s="54"/>
      <c r="M2340" s="5" t="s">
        <v>10221</v>
      </c>
      <c r="N2340" s="53" t="s">
        <v>2680</v>
      </c>
      <c r="O2340">
        <v>36.018776</v>
      </c>
      <c r="P2340">
        <v>-5.600819</v>
      </c>
      <c r="Q2340" s="5" t="s">
        <v>761</v>
      </c>
      <c r="R2340" s="10">
        <f t="shared" si="10"/>
        <v>492</v>
      </c>
      <c r="S2340" s="5" t="s">
        <v>10220</v>
      </c>
      <c r="T2340" s="6" t="s">
        <v>72</v>
      </c>
      <c r="U2340" s="5" t="s">
        <v>10222</v>
      </c>
      <c r="V2340" s="5" t="s">
        <v>10223</v>
      </c>
    </row>
    <row r="2341" ht="12.75" customHeight="1">
      <c r="A2341" s="5">
        <v>35699.0</v>
      </c>
      <c r="B2341" s="5" t="s">
        <v>49</v>
      </c>
      <c r="C2341" s="52" t="s">
        <v>50</v>
      </c>
      <c r="D2341" s="5" t="s">
        <v>2852</v>
      </c>
      <c r="E2341" s="7" t="s">
        <v>10224</v>
      </c>
      <c r="F2341" s="5" t="s">
        <v>10066</v>
      </c>
      <c r="G2341" s="5" t="s">
        <v>10171</v>
      </c>
      <c r="H2341" s="5">
        <v>2003.0</v>
      </c>
      <c r="I2341" s="5">
        <v>0.0</v>
      </c>
      <c r="J2341" s="5">
        <v>0.0</v>
      </c>
      <c r="K2341" s="5">
        <v>8.0</v>
      </c>
      <c r="L2341" s="54"/>
      <c r="M2341" s="5" t="s">
        <v>10225</v>
      </c>
      <c r="N2341" s="53" t="s">
        <v>5185</v>
      </c>
      <c r="O2341">
        <v>36.748374</v>
      </c>
      <c r="P2341">
        <v>-3.516861</v>
      </c>
      <c r="Q2341" s="5" t="s">
        <v>832</v>
      </c>
      <c r="R2341" s="10">
        <f t="shared" si="10"/>
        <v>69</v>
      </c>
      <c r="S2341" s="5" t="s">
        <v>10226</v>
      </c>
      <c r="T2341" s="6" t="s">
        <v>72</v>
      </c>
      <c r="U2341" s="5" t="s">
        <v>10227</v>
      </c>
      <c r="V2341" s="5"/>
    </row>
    <row r="2342" ht="12.75" customHeight="1">
      <c r="A2342" s="5">
        <v>35698.0</v>
      </c>
      <c r="B2342" s="5" t="s">
        <v>491</v>
      </c>
      <c r="C2342" s="52" t="s">
        <v>50</v>
      </c>
      <c r="D2342" s="5" t="s">
        <v>2852</v>
      </c>
      <c r="E2342" s="7" t="s">
        <v>10224</v>
      </c>
      <c r="F2342" s="5" t="s">
        <v>10066</v>
      </c>
      <c r="G2342" s="5" t="s">
        <v>10171</v>
      </c>
      <c r="H2342" s="5">
        <v>2003.0</v>
      </c>
      <c r="I2342" s="5">
        <v>0.0</v>
      </c>
      <c r="J2342" s="5">
        <v>0.0</v>
      </c>
      <c r="K2342" s="5">
        <v>2.0</v>
      </c>
      <c r="L2342" s="54"/>
      <c r="M2342" s="5" t="s">
        <v>10228</v>
      </c>
      <c r="N2342" s="53" t="s">
        <v>5185</v>
      </c>
      <c r="O2342">
        <v>36.748374</v>
      </c>
      <c r="P2342">
        <v>-3.516861</v>
      </c>
      <c r="Q2342" s="5" t="s">
        <v>832</v>
      </c>
      <c r="R2342" s="10">
        <f t="shared" si="10"/>
        <v>69</v>
      </c>
      <c r="S2342" s="5" t="s">
        <v>10226</v>
      </c>
      <c r="T2342" s="6" t="s">
        <v>72</v>
      </c>
      <c r="U2342" s="5" t="s">
        <v>10229</v>
      </c>
      <c r="V2342" s="5"/>
    </row>
    <row r="2343" ht="12.75" customHeight="1">
      <c r="A2343" s="5">
        <v>35700.0</v>
      </c>
      <c r="B2343" s="5" t="s">
        <v>49</v>
      </c>
      <c r="C2343" s="52" t="s">
        <v>50</v>
      </c>
      <c r="D2343" s="5" t="s">
        <v>2852</v>
      </c>
      <c r="E2343" s="7" t="s">
        <v>10230</v>
      </c>
      <c r="F2343" s="5" t="s">
        <v>10066</v>
      </c>
      <c r="G2343" s="5" t="s">
        <v>10171</v>
      </c>
      <c r="H2343" s="5">
        <v>2003.0</v>
      </c>
      <c r="I2343" s="5">
        <v>0.0</v>
      </c>
      <c r="J2343" s="5">
        <v>0.0</v>
      </c>
      <c r="K2343" s="5">
        <v>1.0</v>
      </c>
      <c r="L2343" s="54"/>
      <c r="M2343" s="5" t="s">
        <v>10231</v>
      </c>
      <c r="N2343" s="53" t="s">
        <v>5814</v>
      </c>
      <c r="O2343">
        <v>28.358744</v>
      </c>
      <c r="P2343">
        <v>-14.053676</v>
      </c>
      <c r="Q2343" s="5" t="s">
        <v>390</v>
      </c>
      <c r="R2343" s="10">
        <f t="shared" si="10"/>
        <v>488</v>
      </c>
      <c r="S2343" s="5" t="s">
        <v>10232</v>
      </c>
      <c r="T2343" s="5" t="s">
        <v>1040</v>
      </c>
      <c r="U2343" s="5" t="s">
        <v>9777</v>
      </c>
      <c r="V2343" s="5"/>
    </row>
    <row r="2344" ht="12.75" customHeight="1">
      <c r="A2344" s="5">
        <v>35701.0</v>
      </c>
      <c r="B2344" s="5" t="s">
        <v>98</v>
      </c>
      <c r="C2344" s="5" t="s">
        <v>62</v>
      </c>
      <c r="D2344" s="5" t="s">
        <v>2852</v>
      </c>
      <c r="E2344" s="7" t="s">
        <v>10233</v>
      </c>
      <c r="F2344" s="5" t="s">
        <v>10066</v>
      </c>
      <c r="G2344" s="5" t="s">
        <v>10171</v>
      </c>
      <c r="H2344" s="5">
        <v>2003.0</v>
      </c>
      <c r="I2344" s="5">
        <v>0.0</v>
      </c>
      <c r="J2344" s="5">
        <v>0.0</v>
      </c>
      <c r="K2344" s="5">
        <v>1.0</v>
      </c>
      <c r="L2344" s="54"/>
      <c r="M2344" s="5" t="s">
        <v>10234</v>
      </c>
      <c r="N2344" s="53" t="s">
        <v>8384</v>
      </c>
      <c r="O2344">
        <v>51.487453</v>
      </c>
      <c r="P2344">
        <v>-0.475554</v>
      </c>
      <c r="Q2344" s="5" t="s">
        <v>1655</v>
      </c>
      <c r="R2344" s="10">
        <f t="shared" si="10"/>
        <v>4</v>
      </c>
      <c r="S2344" s="5" t="s">
        <v>10235</v>
      </c>
      <c r="T2344" s="5"/>
      <c r="U2344" s="5" t="s">
        <v>10236</v>
      </c>
      <c r="V2344" s="5"/>
    </row>
    <row r="2345" ht="12.75" customHeight="1">
      <c r="A2345" s="5">
        <v>35702.0</v>
      </c>
      <c r="B2345" s="5" t="s">
        <v>49</v>
      </c>
      <c r="C2345" s="52" t="s">
        <v>50</v>
      </c>
      <c r="D2345" s="5" t="s">
        <v>2852</v>
      </c>
      <c r="E2345" s="7" t="s">
        <v>10237</v>
      </c>
      <c r="F2345" s="5" t="s">
        <v>10066</v>
      </c>
      <c r="G2345" s="5" t="s">
        <v>10171</v>
      </c>
      <c r="H2345" s="5">
        <v>2003.0</v>
      </c>
      <c r="I2345" s="5">
        <v>0.0</v>
      </c>
      <c r="J2345" s="5">
        <v>0.0</v>
      </c>
      <c r="K2345" s="5">
        <v>18.0</v>
      </c>
      <c r="L2345" s="54"/>
      <c r="M2345" s="5" t="s">
        <v>10238</v>
      </c>
      <c r="N2345" s="53" t="s">
        <v>5814</v>
      </c>
      <c r="O2345">
        <v>28.358744</v>
      </c>
      <c r="P2345">
        <v>-14.053676</v>
      </c>
      <c r="Q2345" s="5" t="s">
        <v>390</v>
      </c>
      <c r="R2345" s="10">
        <f t="shared" si="10"/>
        <v>488</v>
      </c>
      <c r="S2345" s="5" t="s">
        <v>10239</v>
      </c>
      <c r="T2345" s="5" t="s">
        <v>1040</v>
      </c>
      <c r="U2345" s="5" t="s">
        <v>3219</v>
      </c>
      <c r="V2345" s="5"/>
    </row>
    <row r="2346" ht="12.75" customHeight="1">
      <c r="A2346" s="5">
        <v>35703.0</v>
      </c>
      <c r="B2346" s="5" t="s">
        <v>68</v>
      </c>
      <c r="C2346" s="5" t="s">
        <v>69</v>
      </c>
      <c r="D2346" s="5" t="s">
        <v>2614</v>
      </c>
      <c r="E2346" s="7" t="s">
        <v>10240</v>
      </c>
      <c r="F2346" s="5" t="s">
        <v>10241</v>
      </c>
      <c r="G2346" s="5" t="s">
        <v>10242</v>
      </c>
      <c r="H2346" s="5">
        <v>2003.0</v>
      </c>
      <c r="I2346" s="5">
        <v>0.0</v>
      </c>
      <c r="J2346" s="5">
        <v>0.0</v>
      </c>
      <c r="K2346" s="5">
        <v>3.0</v>
      </c>
      <c r="L2346" s="54"/>
      <c r="M2346" s="5" t="s">
        <v>10243</v>
      </c>
      <c r="N2346" s="53" t="s">
        <v>2700</v>
      </c>
      <c r="O2346">
        <v>35.508622</v>
      </c>
      <c r="P2346">
        <v>12.59292</v>
      </c>
      <c r="Q2346" s="5" t="s">
        <v>669</v>
      </c>
      <c r="R2346" s="10">
        <f t="shared" si="10"/>
        <v>3843</v>
      </c>
      <c r="S2346" s="5" t="s">
        <v>10244</v>
      </c>
      <c r="T2346" s="6" t="s">
        <v>2130</v>
      </c>
      <c r="U2346" s="5" t="s">
        <v>8502</v>
      </c>
      <c r="V2346" s="5" t="s">
        <v>10245</v>
      </c>
    </row>
    <row r="2347" ht="12.75" customHeight="1">
      <c r="A2347" s="5">
        <v>35704.0</v>
      </c>
      <c r="B2347" s="5" t="s">
        <v>49</v>
      </c>
      <c r="C2347" s="52" t="s">
        <v>50</v>
      </c>
      <c r="D2347" s="5" t="s">
        <v>2852</v>
      </c>
      <c r="E2347" s="7" t="s">
        <v>10240</v>
      </c>
      <c r="F2347" s="5" t="s">
        <v>10241</v>
      </c>
      <c r="G2347" s="5" t="s">
        <v>10242</v>
      </c>
      <c r="H2347" s="5">
        <v>2003.0</v>
      </c>
      <c r="I2347" s="5">
        <v>0.0</v>
      </c>
      <c r="J2347" s="5">
        <v>0.0</v>
      </c>
      <c r="K2347" s="5">
        <v>9.0</v>
      </c>
      <c r="L2347" s="54"/>
      <c r="M2347" s="5" t="s">
        <v>10246</v>
      </c>
      <c r="N2347" s="53" t="s">
        <v>4290</v>
      </c>
      <c r="O2347">
        <v>38.158524</v>
      </c>
      <c r="P2347">
        <v>14.742693</v>
      </c>
      <c r="Q2347" s="5" t="s">
        <v>1001</v>
      </c>
      <c r="R2347" s="10">
        <f t="shared" si="10"/>
        <v>75</v>
      </c>
      <c r="S2347" s="5" t="s">
        <v>10247</v>
      </c>
      <c r="T2347" s="6" t="s">
        <v>2130</v>
      </c>
      <c r="U2347" s="5" t="s">
        <v>10248</v>
      </c>
      <c r="V2347" s="5" t="s">
        <v>10249</v>
      </c>
    </row>
    <row r="2348" ht="12.75" customHeight="1">
      <c r="A2348" s="5">
        <v>35705.0</v>
      </c>
      <c r="B2348" s="5" t="s">
        <v>49</v>
      </c>
      <c r="C2348" s="52" t="s">
        <v>50</v>
      </c>
      <c r="D2348" s="5" t="s">
        <v>2614</v>
      </c>
      <c r="E2348" s="7" t="s">
        <v>10250</v>
      </c>
      <c r="F2348" s="5" t="s">
        <v>10241</v>
      </c>
      <c r="G2348" s="5" t="s">
        <v>10242</v>
      </c>
      <c r="H2348" s="5">
        <v>2003.0</v>
      </c>
      <c r="I2348" s="5">
        <v>0.0</v>
      </c>
      <c r="J2348" s="5">
        <v>0.0</v>
      </c>
      <c r="K2348" s="5">
        <v>1.0</v>
      </c>
      <c r="L2348" s="54"/>
      <c r="M2348" s="5" t="s">
        <v>10251</v>
      </c>
      <c r="N2348" s="53" t="s">
        <v>2638</v>
      </c>
      <c r="O2348">
        <v>35.888384</v>
      </c>
      <c r="P2348">
        <v>-5.324636</v>
      </c>
      <c r="Q2348" s="5" t="s">
        <v>717</v>
      </c>
      <c r="R2348" s="10">
        <f t="shared" si="10"/>
        <v>213</v>
      </c>
      <c r="S2348" s="5" t="s">
        <v>10252</v>
      </c>
      <c r="T2348" s="6" t="s">
        <v>72</v>
      </c>
      <c r="U2348" s="5" t="s">
        <v>2785</v>
      </c>
      <c r="V2348" s="5" t="s">
        <v>10253</v>
      </c>
    </row>
    <row r="2349" ht="12.75" customHeight="1">
      <c r="A2349" s="5">
        <v>35706.0</v>
      </c>
      <c r="B2349" s="5" t="s">
        <v>49</v>
      </c>
      <c r="C2349" s="52" t="s">
        <v>50</v>
      </c>
      <c r="D2349" s="5" t="s">
        <v>2852</v>
      </c>
      <c r="E2349" s="7" t="s">
        <v>10254</v>
      </c>
      <c r="F2349" s="5" t="s">
        <v>10241</v>
      </c>
      <c r="G2349" s="5" t="s">
        <v>10242</v>
      </c>
      <c r="H2349" s="5">
        <v>2003.0</v>
      </c>
      <c r="I2349" s="5">
        <v>0.0</v>
      </c>
      <c r="J2349" s="5">
        <v>0.0</v>
      </c>
      <c r="K2349" s="5">
        <v>2.0</v>
      </c>
      <c r="L2349" s="54"/>
      <c r="M2349" s="5" t="s">
        <v>10255</v>
      </c>
      <c r="N2349" s="53" t="s">
        <v>2680</v>
      </c>
      <c r="O2349">
        <v>36.018776</v>
      </c>
      <c r="P2349">
        <v>-5.600819</v>
      </c>
      <c r="Q2349" s="5" t="s">
        <v>761</v>
      </c>
      <c r="R2349" s="10">
        <f t="shared" si="10"/>
        <v>492</v>
      </c>
      <c r="S2349" s="5" t="s">
        <v>10256</v>
      </c>
      <c r="T2349" s="6" t="s">
        <v>72</v>
      </c>
      <c r="U2349" s="5" t="s">
        <v>9274</v>
      </c>
      <c r="V2349" s="5" t="s">
        <v>10253</v>
      </c>
    </row>
    <row r="2350" ht="12.75" customHeight="1">
      <c r="A2350" s="5">
        <v>35708.0</v>
      </c>
      <c r="B2350" s="5" t="s">
        <v>49</v>
      </c>
      <c r="C2350" s="52" t="s">
        <v>50</v>
      </c>
      <c r="D2350" s="5" t="s">
        <v>2852</v>
      </c>
      <c r="E2350" s="7" t="s">
        <v>10257</v>
      </c>
      <c r="F2350" s="5" t="s">
        <v>10241</v>
      </c>
      <c r="G2350" s="5" t="s">
        <v>10242</v>
      </c>
      <c r="H2350" s="5">
        <v>2003.0</v>
      </c>
      <c r="I2350" s="5">
        <v>0.0</v>
      </c>
      <c r="J2350" s="5">
        <v>0.0</v>
      </c>
      <c r="K2350" s="5">
        <v>189.0</v>
      </c>
      <c r="L2350" s="54"/>
      <c r="M2350" s="5" t="s">
        <v>10258</v>
      </c>
      <c r="N2350" s="53" t="s">
        <v>5670</v>
      </c>
      <c r="O2350">
        <v>34.745159</v>
      </c>
      <c r="P2350">
        <v>10.7613</v>
      </c>
      <c r="Q2350" s="5" t="s">
        <v>594</v>
      </c>
      <c r="R2350" s="10">
        <f t="shared" si="10"/>
        <v>239</v>
      </c>
      <c r="S2350" s="5" t="s">
        <v>10259</v>
      </c>
      <c r="T2350" s="6" t="s">
        <v>2130</v>
      </c>
      <c r="U2350" s="5" t="s">
        <v>10260</v>
      </c>
      <c r="V2350" s="5" t="s">
        <v>10261</v>
      </c>
    </row>
    <row r="2351" ht="12.75" customHeight="1">
      <c r="A2351" s="5">
        <v>35707.0</v>
      </c>
      <c r="B2351" s="5" t="s">
        <v>49</v>
      </c>
      <c r="C2351" s="52" t="s">
        <v>50</v>
      </c>
      <c r="D2351" s="5" t="s">
        <v>2852</v>
      </c>
      <c r="E2351" s="7" t="s">
        <v>10257</v>
      </c>
      <c r="F2351" s="5" t="s">
        <v>10241</v>
      </c>
      <c r="G2351" s="5" t="s">
        <v>10242</v>
      </c>
      <c r="H2351" s="5">
        <v>2003.0</v>
      </c>
      <c r="I2351" s="5">
        <v>0.0</v>
      </c>
      <c r="J2351" s="5">
        <v>0.0</v>
      </c>
      <c r="K2351" s="5">
        <v>20.0</v>
      </c>
      <c r="L2351" s="54"/>
      <c r="M2351" s="5" t="s">
        <v>10262</v>
      </c>
      <c r="N2351" s="53" t="s">
        <v>5670</v>
      </c>
      <c r="O2351">
        <v>34.745159</v>
      </c>
      <c r="P2351">
        <v>10.7613</v>
      </c>
      <c r="Q2351" s="5" t="s">
        <v>594</v>
      </c>
      <c r="R2351" s="10">
        <f t="shared" si="10"/>
        <v>239</v>
      </c>
      <c r="S2351" s="5" t="s">
        <v>10259</v>
      </c>
      <c r="T2351" s="6" t="s">
        <v>2130</v>
      </c>
      <c r="U2351" s="5" t="s">
        <v>10263</v>
      </c>
      <c r="V2351" s="5"/>
    </row>
    <row r="2352" ht="12.75" customHeight="1">
      <c r="A2352" s="5">
        <v>35709.0</v>
      </c>
      <c r="B2352" s="5" t="s">
        <v>2040</v>
      </c>
      <c r="C2352" s="52" t="s">
        <v>50</v>
      </c>
      <c r="D2352" s="5" t="s">
        <v>2614</v>
      </c>
      <c r="E2352" s="7" t="s">
        <v>10264</v>
      </c>
      <c r="F2352" s="5" t="s">
        <v>10241</v>
      </c>
      <c r="G2352" s="5" t="s">
        <v>10242</v>
      </c>
      <c r="H2352" s="5">
        <v>2003.0</v>
      </c>
      <c r="I2352" s="5">
        <v>0.0</v>
      </c>
      <c r="J2352" s="5">
        <v>0.0</v>
      </c>
      <c r="K2352" s="5">
        <v>200.0</v>
      </c>
      <c r="L2352" s="54"/>
      <c r="M2352" s="5" t="s">
        <v>10265</v>
      </c>
      <c r="N2352" s="53" t="s">
        <v>2917</v>
      </c>
      <c r="O2352">
        <v>32.876174</v>
      </c>
      <c r="P2352">
        <v>13.187507</v>
      </c>
      <c r="Q2352" s="5" t="s">
        <v>481</v>
      </c>
      <c r="R2352" s="10">
        <f t="shared" si="10"/>
        <v>1281</v>
      </c>
      <c r="S2352" s="5" t="s">
        <v>10266</v>
      </c>
      <c r="T2352" s="6" t="s">
        <v>2130</v>
      </c>
      <c r="U2352" s="5" t="s">
        <v>10267</v>
      </c>
      <c r="V2352" s="5" t="s">
        <v>10268</v>
      </c>
    </row>
    <row r="2353" ht="12.75" customHeight="1">
      <c r="A2353" s="5">
        <v>35710.0</v>
      </c>
      <c r="B2353" s="5" t="s">
        <v>49</v>
      </c>
      <c r="C2353" s="52" t="s">
        <v>50</v>
      </c>
      <c r="D2353" s="5" t="s">
        <v>2852</v>
      </c>
      <c r="E2353" s="7" t="s">
        <v>10269</v>
      </c>
      <c r="F2353" s="5" t="s">
        <v>10241</v>
      </c>
      <c r="G2353" s="5" t="s">
        <v>10242</v>
      </c>
      <c r="H2353" s="5">
        <v>2003.0</v>
      </c>
      <c r="I2353" s="5">
        <v>0.0</v>
      </c>
      <c r="J2353" s="5">
        <v>0.0</v>
      </c>
      <c r="K2353" s="5">
        <v>1.0</v>
      </c>
      <c r="L2353" s="54"/>
      <c r="M2353" s="5" t="s">
        <v>10270</v>
      </c>
      <c r="N2353" s="53" t="s">
        <v>10271</v>
      </c>
      <c r="O2353">
        <v>50.768035</v>
      </c>
      <c r="P2353">
        <v>0.290472</v>
      </c>
      <c r="Q2353" s="5" t="s">
        <v>1513</v>
      </c>
      <c r="R2353" s="10">
        <f t="shared" si="10"/>
        <v>1</v>
      </c>
      <c r="S2353" s="5" t="s">
        <v>10272</v>
      </c>
      <c r="T2353" s="5"/>
      <c r="U2353" s="5" t="s">
        <v>10273</v>
      </c>
      <c r="V2353" s="5" t="s">
        <v>10274</v>
      </c>
    </row>
    <row r="2354" ht="12.75" customHeight="1">
      <c r="A2354" s="5">
        <v>35713.0</v>
      </c>
      <c r="B2354" s="5" t="s">
        <v>49</v>
      </c>
      <c r="C2354" s="52" t="s">
        <v>50</v>
      </c>
      <c r="D2354" s="5" t="s">
        <v>2852</v>
      </c>
      <c r="E2354" s="7" t="s">
        <v>10275</v>
      </c>
      <c r="F2354" s="5" t="s">
        <v>10241</v>
      </c>
      <c r="G2354" s="5" t="s">
        <v>10242</v>
      </c>
      <c r="H2354" s="5">
        <v>2003.0</v>
      </c>
      <c r="I2354" s="5">
        <v>0.0</v>
      </c>
      <c r="J2354" s="5">
        <v>0.0</v>
      </c>
      <c r="K2354" s="5">
        <v>63.0</v>
      </c>
      <c r="L2354" s="54"/>
      <c r="M2354" s="5" t="s">
        <v>10276</v>
      </c>
      <c r="N2354" s="53" t="s">
        <v>2700</v>
      </c>
      <c r="O2354">
        <v>35.508622</v>
      </c>
      <c r="P2354">
        <v>12.59292</v>
      </c>
      <c r="Q2354" s="5" t="s">
        <v>669</v>
      </c>
      <c r="R2354" s="10">
        <f t="shared" si="10"/>
        <v>3843</v>
      </c>
      <c r="S2354" s="5" t="s">
        <v>10277</v>
      </c>
      <c r="T2354" s="6" t="s">
        <v>2130</v>
      </c>
      <c r="U2354" s="5" t="s">
        <v>10278</v>
      </c>
      <c r="V2354" s="5" t="s">
        <v>10279</v>
      </c>
    </row>
    <row r="2355" ht="12.75" customHeight="1">
      <c r="A2355" s="5">
        <v>35712.0</v>
      </c>
      <c r="B2355" s="5" t="s">
        <v>49</v>
      </c>
      <c r="C2355" s="52" t="s">
        <v>50</v>
      </c>
      <c r="D2355" s="5" t="s">
        <v>2852</v>
      </c>
      <c r="E2355" s="7" t="s">
        <v>10275</v>
      </c>
      <c r="F2355" s="5" t="s">
        <v>10241</v>
      </c>
      <c r="G2355" s="5" t="s">
        <v>10242</v>
      </c>
      <c r="H2355" s="5">
        <v>2003.0</v>
      </c>
      <c r="I2355" s="5">
        <v>0.0</v>
      </c>
      <c r="J2355" s="5">
        <v>0.0</v>
      </c>
      <c r="K2355" s="5">
        <v>3.0</v>
      </c>
      <c r="L2355" s="54"/>
      <c r="M2355" s="5" t="s">
        <v>10280</v>
      </c>
      <c r="N2355" s="53" t="s">
        <v>2700</v>
      </c>
      <c r="O2355">
        <v>35.508622</v>
      </c>
      <c r="P2355">
        <v>12.59292</v>
      </c>
      <c r="Q2355" s="5" t="s">
        <v>669</v>
      </c>
      <c r="R2355" s="10">
        <f t="shared" si="10"/>
        <v>3843</v>
      </c>
      <c r="S2355" s="5" t="s">
        <v>10277</v>
      </c>
      <c r="T2355" s="6" t="s">
        <v>2130</v>
      </c>
      <c r="U2355" s="5" t="s">
        <v>10281</v>
      </c>
      <c r="V2355" s="5"/>
    </row>
    <row r="2356" ht="12.75" customHeight="1">
      <c r="A2356" s="5">
        <v>35711.0</v>
      </c>
      <c r="B2356" s="5" t="s">
        <v>49</v>
      </c>
      <c r="C2356" s="52" t="s">
        <v>50</v>
      </c>
      <c r="D2356" s="5" t="s">
        <v>2852</v>
      </c>
      <c r="E2356" s="7" t="s">
        <v>10275</v>
      </c>
      <c r="F2356" s="5" t="s">
        <v>10241</v>
      </c>
      <c r="G2356" s="5" t="s">
        <v>10242</v>
      </c>
      <c r="H2356" s="5">
        <v>2003.0</v>
      </c>
      <c r="I2356" s="5">
        <v>0.0</v>
      </c>
      <c r="J2356" s="5">
        <v>0.0</v>
      </c>
      <c r="K2356" s="5">
        <v>4.0</v>
      </c>
      <c r="L2356" s="54"/>
      <c r="M2356" s="5" t="s">
        <v>10282</v>
      </c>
      <c r="N2356" s="53" t="s">
        <v>2700</v>
      </c>
      <c r="O2356">
        <v>35.508622</v>
      </c>
      <c r="P2356">
        <v>12.59292</v>
      </c>
      <c r="Q2356" s="5" t="s">
        <v>669</v>
      </c>
      <c r="R2356" s="10">
        <f t="shared" si="10"/>
        <v>3843</v>
      </c>
      <c r="S2356" s="5" t="s">
        <v>10277</v>
      </c>
      <c r="T2356" s="6" t="s">
        <v>2130</v>
      </c>
      <c r="U2356" s="5" t="s">
        <v>10283</v>
      </c>
      <c r="V2356" s="5"/>
    </row>
    <row r="2357" ht="12.75" customHeight="1">
      <c r="A2357" s="5">
        <v>35714.0</v>
      </c>
      <c r="B2357" s="5" t="s">
        <v>49</v>
      </c>
      <c r="C2357" s="52" t="s">
        <v>50</v>
      </c>
      <c r="D2357" s="5" t="s">
        <v>2852</v>
      </c>
      <c r="E2357" s="7" t="s">
        <v>10284</v>
      </c>
      <c r="F2357" s="5" t="s">
        <v>10241</v>
      </c>
      <c r="G2357" s="5" t="s">
        <v>10242</v>
      </c>
      <c r="H2357" s="5">
        <v>2003.0</v>
      </c>
      <c r="I2357" s="5">
        <v>0.0</v>
      </c>
      <c r="J2357" s="5">
        <v>0.0</v>
      </c>
      <c r="K2357" s="5">
        <v>30.0</v>
      </c>
      <c r="L2357" s="54"/>
      <c r="M2357" s="5" t="s">
        <v>10285</v>
      </c>
      <c r="N2357" s="53" t="s">
        <v>2680</v>
      </c>
      <c r="O2357">
        <v>36.018776</v>
      </c>
      <c r="P2357">
        <v>-5.600819</v>
      </c>
      <c r="Q2357" s="5" t="s">
        <v>761</v>
      </c>
      <c r="R2357" s="10">
        <f t="shared" si="10"/>
        <v>492</v>
      </c>
      <c r="S2357" s="5" t="s">
        <v>10286</v>
      </c>
      <c r="T2357" s="6" t="s">
        <v>72</v>
      </c>
      <c r="U2357" s="5" t="s">
        <v>3128</v>
      </c>
      <c r="V2357" s="5"/>
    </row>
    <row r="2358" ht="12.75" customHeight="1">
      <c r="A2358" s="5">
        <v>35715.0</v>
      </c>
      <c r="B2358" s="5" t="s">
        <v>68</v>
      </c>
      <c r="C2358" s="5" t="s">
        <v>69</v>
      </c>
      <c r="D2358" s="5" t="s">
        <v>2614</v>
      </c>
      <c r="E2358" s="7" t="s">
        <v>10287</v>
      </c>
      <c r="F2358" s="5" t="s">
        <v>10241</v>
      </c>
      <c r="G2358" s="5" t="s">
        <v>10242</v>
      </c>
      <c r="H2358" s="5">
        <v>2003.0</v>
      </c>
      <c r="I2358" s="5">
        <v>0.0</v>
      </c>
      <c r="J2358" s="5">
        <v>0.0</v>
      </c>
      <c r="K2358" s="5">
        <v>9.0</v>
      </c>
      <c r="L2358" s="54"/>
      <c r="M2358" s="5" t="s">
        <v>10288</v>
      </c>
      <c r="N2358" s="53" t="s">
        <v>5814</v>
      </c>
      <c r="O2358">
        <v>28.358744</v>
      </c>
      <c r="P2358">
        <v>-14.053676</v>
      </c>
      <c r="Q2358" s="5" t="s">
        <v>390</v>
      </c>
      <c r="R2358" s="10">
        <f t="shared" si="10"/>
        <v>488</v>
      </c>
      <c r="S2358" s="5" t="s">
        <v>10289</v>
      </c>
      <c r="T2358" s="5" t="s">
        <v>1040</v>
      </c>
      <c r="U2358" s="5" t="s">
        <v>2785</v>
      </c>
      <c r="V2358" s="5" t="s">
        <v>10290</v>
      </c>
    </row>
    <row r="2359" ht="12.75" customHeight="1">
      <c r="A2359" s="5">
        <v>35716.0</v>
      </c>
      <c r="B2359" s="5" t="s">
        <v>2962</v>
      </c>
      <c r="C2359" s="5" t="s">
        <v>211</v>
      </c>
      <c r="D2359" s="5" t="s">
        <v>2852</v>
      </c>
      <c r="E2359" s="7" t="s">
        <v>10291</v>
      </c>
      <c r="F2359" s="5" t="s">
        <v>10241</v>
      </c>
      <c r="G2359" s="5" t="s">
        <v>10242</v>
      </c>
      <c r="H2359" s="5">
        <v>2003.0</v>
      </c>
      <c r="I2359" s="5">
        <v>0.0</v>
      </c>
      <c r="J2359" s="5">
        <v>0.0</v>
      </c>
      <c r="K2359" s="5">
        <v>1.0</v>
      </c>
      <c r="L2359" s="54"/>
      <c r="M2359" s="5" t="s">
        <v>10292</v>
      </c>
      <c r="N2359" s="53" t="s">
        <v>10293</v>
      </c>
      <c r="O2359">
        <v>53.748575</v>
      </c>
      <c r="P2359">
        <v>-2.487529</v>
      </c>
      <c r="Q2359" s="5" t="s">
        <v>1859</v>
      </c>
      <c r="R2359" s="10">
        <f t="shared" si="10"/>
        <v>1</v>
      </c>
      <c r="S2359" s="5" t="s">
        <v>10294</v>
      </c>
      <c r="T2359" s="5"/>
      <c r="U2359" s="5" t="s">
        <v>3219</v>
      </c>
      <c r="V2359" s="5"/>
    </row>
    <row r="2360" ht="12.75" customHeight="1">
      <c r="A2360" s="5">
        <v>35718.0</v>
      </c>
      <c r="B2360" s="5" t="s">
        <v>1161</v>
      </c>
      <c r="C2360" s="5" t="s">
        <v>124</v>
      </c>
      <c r="D2360" s="5" t="s">
        <v>2614</v>
      </c>
      <c r="E2360" s="7" t="s">
        <v>10295</v>
      </c>
      <c r="F2360" s="5" t="s">
        <v>10241</v>
      </c>
      <c r="G2360" s="5" t="s">
        <v>10242</v>
      </c>
      <c r="H2360" s="5">
        <v>2003.0</v>
      </c>
      <c r="I2360" s="5">
        <v>0.0</v>
      </c>
      <c r="J2360" s="5">
        <v>0.0</v>
      </c>
      <c r="K2360" s="5">
        <v>4.0</v>
      </c>
      <c r="L2360" s="54"/>
      <c r="M2360" s="5" t="s">
        <v>10296</v>
      </c>
      <c r="N2360" s="53" t="s">
        <v>2944</v>
      </c>
      <c r="O2360">
        <v>-12.8275</v>
      </c>
      <c r="P2360">
        <v>45.166244</v>
      </c>
      <c r="Q2360" s="5" t="s">
        <v>228</v>
      </c>
      <c r="R2360" s="10">
        <f t="shared" si="10"/>
        <v>757</v>
      </c>
      <c r="S2360" s="5" t="s">
        <v>10297</v>
      </c>
      <c r="T2360" s="5"/>
      <c r="U2360" s="5" t="s">
        <v>8097</v>
      </c>
      <c r="V2360" s="5" t="s">
        <v>8585</v>
      </c>
    </row>
    <row r="2361" ht="12.75" customHeight="1">
      <c r="A2361" s="5">
        <v>35717.0</v>
      </c>
      <c r="B2361" s="5" t="s">
        <v>68</v>
      </c>
      <c r="C2361" s="5" t="s">
        <v>69</v>
      </c>
      <c r="D2361" s="5" t="s">
        <v>2614</v>
      </c>
      <c r="E2361" s="7" t="s">
        <v>10295</v>
      </c>
      <c r="F2361" s="5" t="s">
        <v>10241</v>
      </c>
      <c r="G2361" s="5" t="s">
        <v>10242</v>
      </c>
      <c r="H2361" s="5">
        <v>2003.0</v>
      </c>
      <c r="I2361" s="5">
        <v>0.0</v>
      </c>
      <c r="J2361" s="5">
        <v>0.0</v>
      </c>
      <c r="K2361" s="5">
        <v>2.0</v>
      </c>
      <c r="L2361" s="54"/>
      <c r="M2361" s="5" t="s">
        <v>10298</v>
      </c>
      <c r="N2361" s="53" t="s">
        <v>10299</v>
      </c>
      <c r="O2361">
        <v>38.592861</v>
      </c>
      <c r="P2361">
        <v>-2.549821</v>
      </c>
      <c r="Q2361" s="5" t="s">
        <v>1031</v>
      </c>
      <c r="R2361" s="10">
        <f t="shared" si="10"/>
        <v>10</v>
      </c>
      <c r="S2361" s="5" t="s">
        <v>10300</v>
      </c>
      <c r="T2361" s="6" t="s">
        <v>72</v>
      </c>
      <c r="U2361" s="5" t="s">
        <v>2165</v>
      </c>
      <c r="V2361" s="5" t="s">
        <v>10301</v>
      </c>
    </row>
    <row r="2362" ht="12.75" customHeight="1">
      <c r="A2362" s="5">
        <v>35720.0</v>
      </c>
      <c r="B2362" s="5" t="s">
        <v>49</v>
      </c>
      <c r="C2362" s="52" t="s">
        <v>50</v>
      </c>
      <c r="D2362" s="5" t="s">
        <v>2852</v>
      </c>
      <c r="E2362" s="7" t="s">
        <v>10302</v>
      </c>
      <c r="F2362" s="5" t="s">
        <v>10241</v>
      </c>
      <c r="G2362" s="5" t="s">
        <v>10242</v>
      </c>
      <c r="H2362" s="5">
        <v>2003.0</v>
      </c>
      <c r="I2362" s="5">
        <v>0.0</v>
      </c>
      <c r="J2362" s="5">
        <v>0.0</v>
      </c>
      <c r="K2362" s="5">
        <v>5.0</v>
      </c>
      <c r="L2362" s="54"/>
      <c r="M2362" s="5" t="s">
        <v>10303</v>
      </c>
      <c r="N2362" s="53" t="s">
        <v>10304</v>
      </c>
      <c r="O2362">
        <v>35.693271</v>
      </c>
      <c r="P2362">
        <v>-0.647622</v>
      </c>
      <c r="Q2362" s="5" t="s">
        <v>685</v>
      </c>
      <c r="R2362" s="10">
        <f t="shared" si="10"/>
        <v>9</v>
      </c>
      <c r="S2362" s="5" t="s">
        <v>10305</v>
      </c>
      <c r="T2362" s="6" t="s">
        <v>72</v>
      </c>
      <c r="U2362" s="5" t="s">
        <v>9274</v>
      </c>
      <c r="V2362" s="5"/>
    </row>
    <row r="2363" ht="12.75" customHeight="1">
      <c r="A2363" s="5">
        <v>35719.0</v>
      </c>
      <c r="B2363" s="5" t="s">
        <v>49</v>
      </c>
      <c r="C2363" s="52" t="s">
        <v>50</v>
      </c>
      <c r="D2363" s="5" t="s">
        <v>2852</v>
      </c>
      <c r="E2363" s="7" t="s">
        <v>10302</v>
      </c>
      <c r="F2363" s="5" t="s">
        <v>10241</v>
      </c>
      <c r="G2363" s="5" t="s">
        <v>10242</v>
      </c>
      <c r="H2363" s="5">
        <v>2003.0</v>
      </c>
      <c r="I2363" s="5">
        <v>0.0</v>
      </c>
      <c r="J2363" s="5">
        <v>0.0</v>
      </c>
      <c r="K2363" s="5">
        <v>4.0</v>
      </c>
      <c r="L2363" s="54"/>
      <c r="M2363" s="5" t="s">
        <v>10306</v>
      </c>
      <c r="N2363" s="53" t="s">
        <v>10304</v>
      </c>
      <c r="O2363">
        <v>35.693271</v>
      </c>
      <c r="P2363">
        <v>-0.647622</v>
      </c>
      <c r="Q2363" s="5" t="s">
        <v>685</v>
      </c>
      <c r="R2363" s="10">
        <f t="shared" si="10"/>
        <v>9</v>
      </c>
      <c r="S2363" s="5" t="s">
        <v>10305</v>
      </c>
      <c r="T2363" s="6" t="s">
        <v>72</v>
      </c>
      <c r="U2363" s="5" t="s">
        <v>9274</v>
      </c>
      <c r="V2363" s="5"/>
    </row>
    <row r="2364" ht="12.75" customHeight="1">
      <c r="A2364" s="5">
        <v>35721.0</v>
      </c>
      <c r="B2364" s="5" t="s">
        <v>49</v>
      </c>
      <c r="C2364" s="52" t="s">
        <v>50</v>
      </c>
      <c r="D2364" s="5" t="s">
        <v>2614</v>
      </c>
      <c r="E2364" s="7" t="s">
        <v>10307</v>
      </c>
      <c r="F2364" s="5" t="s">
        <v>10241</v>
      </c>
      <c r="G2364" s="5" t="s">
        <v>10242</v>
      </c>
      <c r="H2364" s="5">
        <v>2003.0</v>
      </c>
      <c r="I2364" s="5">
        <v>0.0</v>
      </c>
      <c r="J2364" s="5">
        <v>0.0</v>
      </c>
      <c r="K2364" s="5">
        <v>3.0</v>
      </c>
      <c r="L2364" s="54"/>
      <c r="M2364" s="5" t="s">
        <v>10308</v>
      </c>
      <c r="N2364" s="53" t="s">
        <v>5814</v>
      </c>
      <c r="O2364">
        <v>28.358744</v>
      </c>
      <c r="P2364">
        <v>-14.053676</v>
      </c>
      <c r="Q2364" s="5" t="s">
        <v>390</v>
      </c>
      <c r="R2364" s="10">
        <f t="shared" si="10"/>
        <v>488</v>
      </c>
      <c r="S2364" s="5" t="s">
        <v>10309</v>
      </c>
      <c r="T2364" s="5" t="s">
        <v>1040</v>
      </c>
      <c r="U2364" s="5" t="s">
        <v>2785</v>
      </c>
      <c r="V2364" s="5" t="s">
        <v>10310</v>
      </c>
    </row>
    <row r="2365" ht="12.75" customHeight="1">
      <c r="A2365" s="5">
        <v>35722.0</v>
      </c>
      <c r="B2365" s="5" t="s">
        <v>49</v>
      </c>
      <c r="C2365" s="52" t="s">
        <v>50</v>
      </c>
      <c r="D2365" s="5" t="s">
        <v>2852</v>
      </c>
      <c r="E2365" s="7" t="s">
        <v>10311</v>
      </c>
      <c r="F2365" s="5" t="s">
        <v>10241</v>
      </c>
      <c r="G2365" s="5" t="s">
        <v>10312</v>
      </c>
      <c r="H2365" s="5">
        <v>2003.0</v>
      </c>
      <c r="I2365" s="5">
        <v>0.0</v>
      </c>
      <c r="J2365" s="5">
        <v>0.0</v>
      </c>
      <c r="K2365" s="5">
        <v>15.0</v>
      </c>
      <c r="L2365" s="54"/>
      <c r="M2365" s="5" t="s">
        <v>10313</v>
      </c>
      <c r="N2365" s="53" t="s">
        <v>5814</v>
      </c>
      <c r="O2365">
        <v>28.358744</v>
      </c>
      <c r="P2365">
        <v>-14.053676</v>
      </c>
      <c r="Q2365" s="5" t="s">
        <v>390</v>
      </c>
      <c r="R2365" s="10">
        <f t="shared" si="10"/>
        <v>488</v>
      </c>
      <c r="S2365" s="5" t="s">
        <v>10314</v>
      </c>
      <c r="T2365" s="5" t="s">
        <v>1040</v>
      </c>
      <c r="U2365" s="5" t="s">
        <v>7788</v>
      </c>
      <c r="V2365" s="5" t="s">
        <v>10315</v>
      </c>
    </row>
    <row r="2366" ht="12.75" customHeight="1">
      <c r="A2366" s="5">
        <v>35723.0</v>
      </c>
      <c r="B2366" s="5" t="s">
        <v>68</v>
      </c>
      <c r="C2366" s="5" t="s">
        <v>69</v>
      </c>
      <c r="D2366" s="5" t="s">
        <v>2852</v>
      </c>
      <c r="E2366" s="7" t="s">
        <v>10316</v>
      </c>
      <c r="F2366" s="5" t="s">
        <v>10241</v>
      </c>
      <c r="G2366" s="5" t="s">
        <v>10312</v>
      </c>
      <c r="H2366" s="5">
        <v>2003.0</v>
      </c>
      <c r="I2366" s="5">
        <v>0.0</v>
      </c>
      <c r="J2366" s="5">
        <v>0.0</v>
      </c>
      <c r="K2366" s="5">
        <v>1.0</v>
      </c>
      <c r="L2366" s="54"/>
      <c r="M2366" s="5" t="s">
        <v>10317</v>
      </c>
      <c r="N2366" s="53" t="s">
        <v>10318</v>
      </c>
      <c r="O2366">
        <v>51.645269</v>
      </c>
      <c r="P2366">
        <v>5.956666</v>
      </c>
      <c r="Q2366" s="5" t="s">
        <v>1673</v>
      </c>
      <c r="R2366" s="10">
        <f t="shared" si="10"/>
        <v>1</v>
      </c>
      <c r="S2366" s="5" t="s">
        <v>10319</v>
      </c>
      <c r="T2366" s="5"/>
      <c r="U2366" s="5" t="s">
        <v>10320</v>
      </c>
      <c r="V2366" s="5"/>
    </row>
    <row r="2367" ht="12.75" customHeight="1">
      <c r="A2367" s="5">
        <v>35724.0</v>
      </c>
      <c r="B2367" s="5" t="s">
        <v>49</v>
      </c>
      <c r="C2367" s="52" t="s">
        <v>50</v>
      </c>
      <c r="D2367" s="5" t="s">
        <v>2852</v>
      </c>
      <c r="E2367" s="7" t="s">
        <v>10321</v>
      </c>
      <c r="F2367" s="5" t="s">
        <v>10241</v>
      </c>
      <c r="G2367" s="5" t="s">
        <v>10312</v>
      </c>
      <c r="H2367" s="5">
        <v>2003.0</v>
      </c>
      <c r="I2367" s="5">
        <v>0.0</v>
      </c>
      <c r="J2367" s="5">
        <v>0.0</v>
      </c>
      <c r="K2367" s="5">
        <v>4.0</v>
      </c>
      <c r="L2367" s="54"/>
      <c r="M2367" s="5" t="s">
        <v>10322</v>
      </c>
      <c r="N2367" s="53" t="s">
        <v>2700</v>
      </c>
      <c r="O2367">
        <v>35.508622</v>
      </c>
      <c r="P2367">
        <v>12.59292</v>
      </c>
      <c r="Q2367" s="5" t="s">
        <v>669</v>
      </c>
      <c r="R2367" s="10">
        <f t="shared" si="10"/>
        <v>3843</v>
      </c>
      <c r="S2367" s="5" t="s">
        <v>10323</v>
      </c>
      <c r="T2367" s="6" t="s">
        <v>2130</v>
      </c>
      <c r="U2367" s="5" t="s">
        <v>3490</v>
      </c>
      <c r="V2367" s="5" t="s">
        <v>10324</v>
      </c>
    </row>
    <row r="2368" ht="12.75" customHeight="1">
      <c r="A2368" s="5">
        <v>35726.0</v>
      </c>
      <c r="B2368" s="5" t="s">
        <v>49</v>
      </c>
      <c r="C2368" s="52" t="s">
        <v>50</v>
      </c>
      <c r="D2368" s="5" t="s">
        <v>2852</v>
      </c>
      <c r="E2368" s="7" t="s">
        <v>10325</v>
      </c>
      <c r="F2368" s="5" t="s">
        <v>10241</v>
      </c>
      <c r="G2368" s="5" t="s">
        <v>10312</v>
      </c>
      <c r="H2368" s="5">
        <v>2003.0</v>
      </c>
      <c r="I2368" s="5">
        <v>0.0</v>
      </c>
      <c r="J2368" s="5">
        <v>0.0</v>
      </c>
      <c r="K2368" s="5">
        <v>6.0</v>
      </c>
      <c r="L2368" s="54"/>
      <c r="M2368" s="5" t="s">
        <v>10326</v>
      </c>
      <c r="N2368" s="53" t="s">
        <v>10299</v>
      </c>
      <c r="O2368">
        <v>38.592861</v>
      </c>
      <c r="P2368">
        <v>-2.549821</v>
      </c>
      <c r="Q2368" s="5" t="s">
        <v>1031</v>
      </c>
      <c r="R2368" s="10">
        <f t="shared" si="10"/>
        <v>10</v>
      </c>
      <c r="S2368" s="5" t="s">
        <v>10327</v>
      </c>
      <c r="T2368" s="6" t="s">
        <v>72</v>
      </c>
      <c r="U2368" s="5" t="s">
        <v>9299</v>
      </c>
      <c r="V2368" s="5"/>
    </row>
    <row r="2369" ht="12.75" customHeight="1">
      <c r="A2369" s="5">
        <v>35725.0</v>
      </c>
      <c r="B2369" s="5" t="s">
        <v>49</v>
      </c>
      <c r="C2369" s="52" t="s">
        <v>50</v>
      </c>
      <c r="D2369" s="5" t="s">
        <v>2852</v>
      </c>
      <c r="E2369" s="7" t="s">
        <v>10325</v>
      </c>
      <c r="F2369" s="5" t="s">
        <v>10241</v>
      </c>
      <c r="G2369" s="5" t="s">
        <v>10312</v>
      </c>
      <c r="H2369" s="5">
        <v>2003.0</v>
      </c>
      <c r="I2369" s="5">
        <v>0.0</v>
      </c>
      <c r="J2369" s="5">
        <v>0.0</v>
      </c>
      <c r="K2369" s="5">
        <v>2.0</v>
      </c>
      <c r="L2369" s="54"/>
      <c r="M2369" s="5" t="s">
        <v>10328</v>
      </c>
      <c r="N2369" s="53" t="s">
        <v>10299</v>
      </c>
      <c r="O2369">
        <v>38.592861</v>
      </c>
      <c r="P2369">
        <v>-2.549821</v>
      </c>
      <c r="Q2369" s="5" t="s">
        <v>1031</v>
      </c>
      <c r="R2369" s="10">
        <f t="shared" si="10"/>
        <v>10</v>
      </c>
      <c r="S2369" s="5" t="s">
        <v>10327</v>
      </c>
      <c r="T2369" s="6" t="s">
        <v>72</v>
      </c>
      <c r="U2369" s="5" t="s">
        <v>9611</v>
      </c>
      <c r="V2369" s="5"/>
    </row>
    <row r="2370" ht="12.75" customHeight="1">
      <c r="A2370" s="5">
        <v>35727.0</v>
      </c>
      <c r="B2370" s="5" t="s">
        <v>2902</v>
      </c>
      <c r="C2370" s="5" t="s">
        <v>211</v>
      </c>
      <c r="D2370" s="5" t="s">
        <v>2852</v>
      </c>
      <c r="E2370" s="7" t="s">
        <v>10329</v>
      </c>
      <c r="F2370" s="5" t="s">
        <v>10241</v>
      </c>
      <c r="G2370" s="5" t="s">
        <v>10312</v>
      </c>
      <c r="H2370" s="5">
        <v>2003.0</v>
      </c>
      <c r="I2370" s="5">
        <v>0.0</v>
      </c>
      <c r="J2370" s="5">
        <v>0.0</v>
      </c>
      <c r="K2370" s="5">
        <v>1.0</v>
      </c>
      <c r="L2370" s="54"/>
      <c r="M2370" s="5" t="s">
        <v>10330</v>
      </c>
      <c r="N2370" s="53" t="s">
        <v>4095</v>
      </c>
      <c r="O2370">
        <v>55.378051</v>
      </c>
      <c r="P2370">
        <v>-3.435973</v>
      </c>
      <c r="Q2370" s="5" t="s">
        <v>1882</v>
      </c>
      <c r="R2370" s="10">
        <f t="shared" si="10"/>
        <v>23</v>
      </c>
      <c r="S2370" s="5" t="s">
        <v>10331</v>
      </c>
      <c r="T2370" s="5"/>
      <c r="U2370" s="5" t="s">
        <v>10332</v>
      </c>
      <c r="V2370" s="5"/>
    </row>
    <row r="2371" ht="12.75" customHeight="1">
      <c r="A2371" s="5">
        <v>35728.0</v>
      </c>
      <c r="B2371" s="5" t="s">
        <v>68</v>
      </c>
      <c r="C2371" s="5" t="s">
        <v>69</v>
      </c>
      <c r="D2371" s="5" t="s">
        <v>2852</v>
      </c>
      <c r="E2371" s="7" t="s">
        <v>10333</v>
      </c>
      <c r="F2371" s="5" t="s">
        <v>10241</v>
      </c>
      <c r="G2371" s="5" t="s">
        <v>10334</v>
      </c>
      <c r="H2371" s="5">
        <v>2003.0</v>
      </c>
      <c r="I2371" s="5">
        <v>0.0</v>
      </c>
      <c r="J2371" s="5">
        <v>0.0</v>
      </c>
      <c r="K2371" s="5">
        <v>1.0</v>
      </c>
      <c r="L2371" s="54"/>
      <c r="M2371" s="5" t="s">
        <v>10335</v>
      </c>
      <c r="N2371" s="53" t="s">
        <v>2857</v>
      </c>
      <c r="O2371">
        <v>36.527061</v>
      </c>
      <c r="P2371">
        <v>-6.288596</v>
      </c>
      <c r="Q2371" s="5" t="s">
        <v>802</v>
      </c>
      <c r="R2371" s="10">
        <f t="shared" si="10"/>
        <v>185</v>
      </c>
      <c r="S2371" s="5" t="s">
        <v>10336</v>
      </c>
      <c r="T2371" s="6" t="s">
        <v>72</v>
      </c>
      <c r="U2371" s="5" t="s">
        <v>9274</v>
      </c>
      <c r="V2371" s="5"/>
    </row>
    <row r="2372" ht="12.75" customHeight="1">
      <c r="A2372" s="5">
        <v>35729.0</v>
      </c>
      <c r="B2372" s="5" t="s">
        <v>49</v>
      </c>
      <c r="C2372" s="52" t="s">
        <v>50</v>
      </c>
      <c r="D2372" s="5" t="s">
        <v>2852</v>
      </c>
      <c r="E2372" s="7" t="s">
        <v>10337</v>
      </c>
      <c r="F2372" s="5" t="s">
        <v>10241</v>
      </c>
      <c r="G2372" s="5" t="s">
        <v>10334</v>
      </c>
      <c r="H2372" s="5">
        <v>2003.0</v>
      </c>
      <c r="I2372" s="5">
        <v>0.0</v>
      </c>
      <c r="J2372" s="5">
        <v>0.0</v>
      </c>
      <c r="K2372" s="5">
        <v>2.0</v>
      </c>
      <c r="L2372" s="54"/>
      <c r="M2372" s="5" t="s">
        <v>10338</v>
      </c>
      <c r="N2372" s="53" t="s">
        <v>3151</v>
      </c>
      <c r="O2372">
        <v>29.046854</v>
      </c>
      <c r="P2372">
        <v>-13.589973</v>
      </c>
      <c r="Q2372" s="5" t="s">
        <v>400</v>
      </c>
      <c r="R2372" s="10">
        <f t="shared" si="10"/>
        <v>74</v>
      </c>
      <c r="S2372" s="5" t="s">
        <v>10339</v>
      </c>
      <c r="T2372" s="5" t="s">
        <v>1040</v>
      </c>
      <c r="U2372" s="5" t="s">
        <v>9274</v>
      </c>
      <c r="V2372" s="5" t="s">
        <v>10340</v>
      </c>
    </row>
    <row r="2373" ht="12.75" customHeight="1">
      <c r="A2373" s="5">
        <v>35730.0</v>
      </c>
      <c r="B2373" s="5" t="s">
        <v>49</v>
      </c>
      <c r="C2373" s="52" t="s">
        <v>50</v>
      </c>
      <c r="D2373" s="5" t="s">
        <v>2852</v>
      </c>
      <c r="E2373" s="7" t="s">
        <v>10341</v>
      </c>
      <c r="F2373" s="5" t="s">
        <v>10241</v>
      </c>
      <c r="G2373" s="5" t="s">
        <v>10334</v>
      </c>
      <c r="H2373" s="5">
        <v>2003.0</v>
      </c>
      <c r="I2373" s="5">
        <v>0.0</v>
      </c>
      <c r="J2373" s="5">
        <v>0.0</v>
      </c>
      <c r="K2373" s="5">
        <v>2.0</v>
      </c>
      <c r="L2373" s="54"/>
      <c r="M2373" s="5" t="s">
        <v>10342</v>
      </c>
      <c r="N2373" s="53" t="s">
        <v>10343</v>
      </c>
      <c r="O2373">
        <v>27.78085</v>
      </c>
      <c r="P2373">
        <v>-15.520694</v>
      </c>
      <c r="Q2373" s="5" t="s">
        <v>356</v>
      </c>
      <c r="R2373" s="10">
        <f t="shared" si="10"/>
        <v>2</v>
      </c>
      <c r="S2373" s="5" t="s">
        <v>10344</v>
      </c>
      <c r="T2373" s="5" t="s">
        <v>1040</v>
      </c>
      <c r="U2373" s="5" t="s">
        <v>10190</v>
      </c>
      <c r="V2373" s="5"/>
    </row>
    <row r="2374" ht="12.75" customHeight="1">
      <c r="A2374" s="5">
        <v>35731.0</v>
      </c>
      <c r="B2374" s="5" t="s">
        <v>2962</v>
      </c>
      <c r="C2374" s="5" t="s">
        <v>211</v>
      </c>
      <c r="D2374" s="5" t="s">
        <v>2852</v>
      </c>
      <c r="E2374" s="7" t="s">
        <v>10345</v>
      </c>
      <c r="F2374" s="5" t="s">
        <v>10241</v>
      </c>
      <c r="G2374" s="5" t="s">
        <v>10334</v>
      </c>
      <c r="H2374" s="5">
        <v>2003.0</v>
      </c>
      <c r="I2374" s="5">
        <v>0.0</v>
      </c>
      <c r="J2374" s="5">
        <v>0.0</v>
      </c>
      <c r="K2374" s="5">
        <v>1.0</v>
      </c>
      <c r="L2374" s="54"/>
      <c r="M2374" s="5" t="s">
        <v>10346</v>
      </c>
      <c r="N2374" s="53" t="s">
        <v>10347</v>
      </c>
      <c r="O2374">
        <v>51.409994</v>
      </c>
      <c r="P2374">
        <v>-0.687312</v>
      </c>
      <c r="Q2374" s="5" t="s">
        <v>1620</v>
      </c>
      <c r="R2374" s="10">
        <f t="shared" si="10"/>
        <v>1</v>
      </c>
      <c r="S2374" s="5" t="s">
        <v>10348</v>
      </c>
      <c r="T2374" s="5"/>
      <c r="U2374" s="5" t="s">
        <v>10349</v>
      </c>
      <c r="V2374" s="5"/>
    </row>
    <row r="2375" ht="12.75" customHeight="1">
      <c r="A2375" s="5">
        <v>35732.0</v>
      </c>
      <c r="B2375" s="5" t="s">
        <v>5200</v>
      </c>
      <c r="C2375" s="5" t="s">
        <v>124</v>
      </c>
      <c r="D2375" s="5" t="s">
        <v>2852</v>
      </c>
      <c r="E2375" s="7" t="s">
        <v>10350</v>
      </c>
      <c r="F2375" s="5" t="s">
        <v>10351</v>
      </c>
      <c r="G2375" s="5" t="s">
        <v>10352</v>
      </c>
      <c r="H2375" s="5">
        <v>2003.0</v>
      </c>
      <c r="I2375" s="5">
        <v>0.0</v>
      </c>
      <c r="J2375" s="5">
        <v>0.0</v>
      </c>
      <c r="K2375" s="5">
        <v>2.0</v>
      </c>
      <c r="L2375" s="54"/>
      <c r="M2375" s="5" t="s">
        <v>10353</v>
      </c>
      <c r="N2375" s="53" t="s">
        <v>9958</v>
      </c>
      <c r="O2375">
        <v>42.0</v>
      </c>
      <c r="P2375">
        <v>26.0</v>
      </c>
      <c r="Q2375" s="5" t="s">
        <v>1248</v>
      </c>
      <c r="R2375" s="10">
        <f t="shared" si="10"/>
        <v>9</v>
      </c>
      <c r="S2375" s="5" t="s">
        <v>10354</v>
      </c>
      <c r="T2375" s="6" t="s">
        <v>53</v>
      </c>
      <c r="U2375" s="5" t="s">
        <v>5149</v>
      </c>
      <c r="V2375" s="5"/>
    </row>
    <row r="2376" ht="12.75" customHeight="1">
      <c r="A2376" s="5">
        <v>35733.0</v>
      </c>
      <c r="B2376" s="5" t="s">
        <v>491</v>
      </c>
      <c r="C2376" s="52" t="s">
        <v>50</v>
      </c>
      <c r="D2376" s="5" t="s">
        <v>2614</v>
      </c>
      <c r="E2376" s="7" t="s">
        <v>10355</v>
      </c>
      <c r="F2376" s="5" t="s">
        <v>10351</v>
      </c>
      <c r="G2376" s="5" t="s">
        <v>10352</v>
      </c>
      <c r="H2376" s="5">
        <v>2003.0</v>
      </c>
      <c r="I2376" s="5">
        <v>0.0</v>
      </c>
      <c r="J2376" s="5">
        <v>0.0</v>
      </c>
      <c r="K2376" s="5">
        <v>13.0</v>
      </c>
      <c r="L2376" s="54"/>
      <c r="M2376" s="5" t="s">
        <v>10356</v>
      </c>
      <c r="N2376" s="53" t="s">
        <v>4668</v>
      </c>
      <c r="O2376">
        <v>27.725499</v>
      </c>
      <c r="P2376">
        <v>-18.024301</v>
      </c>
      <c r="Q2376" s="5" t="s">
        <v>351</v>
      </c>
      <c r="R2376" s="10">
        <f t="shared" si="10"/>
        <v>41</v>
      </c>
      <c r="S2376" s="5" t="s">
        <v>10357</v>
      </c>
      <c r="T2376" s="5" t="s">
        <v>1040</v>
      </c>
      <c r="U2376" s="5" t="s">
        <v>2785</v>
      </c>
      <c r="V2376" s="5" t="s">
        <v>10358</v>
      </c>
    </row>
    <row r="2377" ht="12.75" customHeight="1">
      <c r="A2377" s="5">
        <v>35734.0</v>
      </c>
      <c r="B2377" s="5" t="s">
        <v>5200</v>
      </c>
      <c r="C2377" s="5" t="s">
        <v>124</v>
      </c>
      <c r="D2377" s="5" t="s">
        <v>2614</v>
      </c>
      <c r="E2377" s="7" t="s">
        <v>10359</v>
      </c>
      <c r="F2377" s="5" t="s">
        <v>10351</v>
      </c>
      <c r="G2377" s="5" t="s">
        <v>10352</v>
      </c>
      <c r="H2377" s="5">
        <v>2003.0</v>
      </c>
      <c r="I2377" s="5">
        <v>0.0</v>
      </c>
      <c r="J2377" s="5">
        <v>0.0</v>
      </c>
      <c r="K2377" s="5">
        <v>2.0</v>
      </c>
      <c r="L2377" s="54"/>
      <c r="M2377" s="5" t="s">
        <v>10360</v>
      </c>
      <c r="N2377" s="53" t="s">
        <v>2834</v>
      </c>
      <c r="O2377">
        <v>41.244376</v>
      </c>
      <c r="P2377">
        <v>26.135943</v>
      </c>
      <c r="Q2377" s="5" t="s">
        <v>1214</v>
      </c>
      <c r="R2377" s="10">
        <f t="shared" si="10"/>
        <v>188</v>
      </c>
      <c r="S2377" s="5" t="s">
        <v>10361</v>
      </c>
      <c r="T2377" s="6" t="s">
        <v>53</v>
      </c>
      <c r="U2377" s="5" t="s">
        <v>2326</v>
      </c>
      <c r="V2377" s="5" t="s">
        <v>7579</v>
      </c>
    </row>
    <row r="2378" ht="12.75" customHeight="1">
      <c r="A2378" s="5">
        <v>35735.0</v>
      </c>
      <c r="B2378" s="5" t="s">
        <v>3409</v>
      </c>
      <c r="C2378" s="5" t="s">
        <v>211</v>
      </c>
      <c r="D2378" s="5" t="s">
        <v>2852</v>
      </c>
      <c r="E2378" s="7" t="s">
        <v>10362</v>
      </c>
      <c r="F2378" s="5" t="s">
        <v>10351</v>
      </c>
      <c r="G2378" s="5" t="s">
        <v>10352</v>
      </c>
      <c r="H2378" s="5">
        <v>2003.0</v>
      </c>
      <c r="I2378" s="5">
        <v>0.0</v>
      </c>
      <c r="J2378" s="5">
        <v>0.0</v>
      </c>
      <c r="K2378" s="5">
        <v>1.0</v>
      </c>
      <c r="L2378" s="54"/>
      <c r="M2378" s="5" t="s">
        <v>10363</v>
      </c>
      <c r="N2378" s="53" t="s">
        <v>10364</v>
      </c>
      <c r="O2378">
        <v>52.854738</v>
      </c>
      <c r="P2378">
        <v>6.317742</v>
      </c>
      <c r="Q2378" s="5" t="s">
        <v>1798</v>
      </c>
      <c r="R2378" s="10">
        <f t="shared" si="10"/>
        <v>1</v>
      </c>
      <c r="S2378" s="5" t="s">
        <v>10365</v>
      </c>
      <c r="T2378" s="5"/>
      <c r="U2378" s="5" t="s">
        <v>6479</v>
      </c>
      <c r="V2378" s="5"/>
    </row>
    <row r="2379" ht="12.75" customHeight="1">
      <c r="A2379" s="5">
        <v>35737.0</v>
      </c>
      <c r="B2379" s="5" t="s">
        <v>2962</v>
      </c>
      <c r="C2379" s="5" t="s">
        <v>211</v>
      </c>
      <c r="D2379" s="5" t="s">
        <v>2852</v>
      </c>
      <c r="E2379" s="7" t="s">
        <v>10366</v>
      </c>
      <c r="F2379" s="5" t="s">
        <v>10351</v>
      </c>
      <c r="G2379" s="5" t="s">
        <v>10352</v>
      </c>
      <c r="H2379" s="5">
        <v>2003.0</v>
      </c>
      <c r="I2379" s="5">
        <v>0.0</v>
      </c>
      <c r="J2379" s="5">
        <v>0.0</v>
      </c>
      <c r="K2379" s="5">
        <v>1.0</v>
      </c>
      <c r="L2379" s="54"/>
      <c r="M2379" s="5" t="s">
        <v>10367</v>
      </c>
      <c r="N2379" s="53" t="s">
        <v>10368</v>
      </c>
      <c r="O2379">
        <v>35.89779</v>
      </c>
      <c r="P2379">
        <v>14.514106</v>
      </c>
      <c r="Q2379" s="5" t="s">
        <v>726</v>
      </c>
      <c r="R2379" s="10">
        <f t="shared" si="10"/>
        <v>71</v>
      </c>
      <c r="S2379" s="5" t="s">
        <v>10369</v>
      </c>
      <c r="T2379" s="6" t="s">
        <v>2130</v>
      </c>
      <c r="U2379" s="5" t="s">
        <v>10370</v>
      </c>
      <c r="V2379" s="5"/>
    </row>
    <row r="2380" ht="12.75" customHeight="1">
      <c r="A2380" s="5">
        <v>35736.0</v>
      </c>
      <c r="B2380" s="5" t="s">
        <v>68</v>
      </c>
      <c r="C2380" s="5" t="s">
        <v>69</v>
      </c>
      <c r="D2380" s="5" t="s">
        <v>2852</v>
      </c>
      <c r="E2380" s="7" t="s">
        <v>10366</v>
      </c>
      <c r="F2380" s="5" t="s">
        <v>10351</v>
      </c>
      <c r="G2380" s="5" t="s">
        <v>10352</v>
      </c>
      <c r="H2380" s="5">
        <v>2003.0</v>
      </c>
      <c r="I2380" s="5">
        <v>0.0</v>
      </c>
      <c r="J2380" s="5">
        <v>0.0</v>
      </c>
      <c r="K2380" s="5">
        <v>1.0</v>
      </c>
      <c r="L2380" s="54"/>
      <c r="M2380" s="5" t="s">
        <v>10371</v>
      </c>
      <c r="N2380" s="53" t="s">
        <v>2893</v>
      </c>
      <c r="O2380">
        <v>51.47238</v>
      </c>
      <c r="P2380">
        <v>-0.45094</v>
      </c>
      <c r="Q2380" s="5" t="s">
        <v>1635</v>
      </c>
      <c r="R2380" s="10">
        <f t="shared" si="10"/>
        <v>13</v>
      </c>
      <c r="S2380" s="5" t="s">
        <v>10372</v>
      </c>
      <c r="T2380" s="5"/>
      <c r="U2380" s="5" t="s">
        <v>3128</v>
      </c>
      <c r="V2380" s="5"/>
    </row>
    <row r="2381" ht="12.75" customHeight="1">
      <c r="A2381" s="5">
        <v>35741.0</v>
      </c>
      <c r="B2381" s="5" t="s">
        <v>41</v>
      </c>
      <c r="C2381" s="5" t="s">
        <v>42</v>
      </c>
      <c r="D2381" s="5" t="s">
        <v>2852</v>
      </c>
      <c r="E2381" s="7" t="s">
        <v>10373</v>
      </c>
      <c r="F2381" s="5" t="s">
        <v>10351</v>
      </c>
      <c r="G2381" s="5" t="s">
        <v>10352</v>
      </c>
      <c r="H2381" s="5">
        <v>2003.0</v>
      </c>
      <c r="I2381" s="5">
        <v>0.0</v>
      </c>
      <c r="J2381" s="5">
        <v>0.0</v>
      </c>
      <c r="K2381" s="5">
        <v>1.0</v>
      </c>
      <c r="L2381" s="54"/>
      <c r="M2381" s="5" t="s">
        <v>10374</v>
      </c>
      <c r="N2381" s="53" t="s">
        <v>3005</v>
      </c>
      <c r="O2381">
        <v>31.791702</v>
      </c>
      <c r="P2381">
        <v>-7.09262</v>
      </c>
      <c r="Q2381" s="5" t="s">
        <v>439</v>
      </c>
      <c r="R2381" s="10">
        <f t="shared" si="10"/>
        <v>77</v>
      </c>
      <c r="S2381" s="5" t="s">
        <v>10375</v>
      </c>
      <c r="T2381" s="6" t="s">
        <v>72</v>
      </c>
      <c r="U2381" s="5" t="s">
        <v>9274</v>
      </c>
      <c r="V2381" s="5"/>
    </row>
    <row r="2382" ht="12.75" customHeight="1">
      <c r="A2382" s="5">
        <v>35739.0</v>
      </c>
      <c r="B2382" s="5" t="s">
        <v>49</v>
      </c>
      <c r="C2382" s="52" t="s">
        <v>50</v>
      </c>
      <c r="D2382" s="5" t="s">
        <v>2852</v>
      </c>
      <c r="E2382" s="7" t="s">
        <v>10373</v>
      </c>
      <c r="F2382" s="5" t="s">
        <v>10351</v>
      </c>
      <c r="G2382" s="5" t="s">
        <v>10352</v>
      </c>
      <c r="H2382" s="5">
        <v>2003.0</v>
      </c>
      <c r="I2382" s="5">
        <v>0.0</v>
      </c>
      <c r="J2382" s="5">
        <v>0.0</v>
      </c>
      <c r="K2382" s="5">
        <v>1.0</v>
      </c>
      <c r="L2382" s="54"/>
      <c r="M2382" s="5" t="s">
        <v>10376</v>
      </c>
      <c r="N2382" s="53" t="s">
        <v>2700</v>
      </c>
      <c r="O2382">
        <v>35.508622</v>
      </c>
      <c r="P2382">
        <v>12.59292</v>
      </c>
      <c r="Q2382" s="5" t="s">
        <v>669</v>
      </c>
      <c r="R2382" s="10">
        <f t="shared" si="10"/>
        <v>3843</v>
      </c>
      <c r="S2382" s="5" t="s">
        <v>10377</v>
      </c>
      <c r="T2382" s="6" t="s">
        <v>2130</v>
      </c>
      <c r="U2382" s="5" t="s">
        <v>10378</v>
      </c>
      <c r="V2382" s="5"/>
    </row>
    <row r="2383" ht="12.75" customHeight="1">
      <c r="A2383" s="5">
        <v>35740.0</v>
      </c>
      <c r="B2383" s="5" t="s">
        <v>49</v>
      </c>
      <c r="C2383" s="52" t="s">
        <v>50</v>
      </c>
      <c r="D2383" s="5" t="s">
        <v>2852</v>
      </c>
      <c r="E2383" s="7" t="s">
        <v>10373</v>
      </c>
      <c r="F2383" s="5" t="s">
        <v>10351</v>
      </c>
      <c r="G2383" s="5" t="s">
        <v>10352</v>
      </c>
      <c r="H2383" s="5">
        <v>2003.0</v>
      </c>
      <c r="I2383" s="5">
        <v>0.0</v>
      </c>
      <c r="J2383" s="5">
        <v>0.0</v>
      </c>
      <c r="K2383" s="5">
        <v>5.0</v>
      </c>
      <c r="L2383" s="54"/>
      <c r="M2383" s="5" t="s">
        <v>10379</v>
      </c>
      <c r="N2383" s="53" t="s">
        <v>8378</v>
      </c>
      <c r="O2383">
        <v>38.523604</v>
      </c>
      <c r="P2383">
        <v>23.858474</v>
      </c>
      <c r="Q2383" s="5" t="s">
        <v>1030</v>
      </c>
      <c r="R2383" s="10">
        <f t="shared" si="10"/>
        <v>70</v>
      </c>
      <c r="S2383" s="5" t="s">
        <v>10380</v>
      </c>
      <c r="T2383" s="6" t="s">
        <v>53</v>
      </c>
      <c r="U2383" s="5" t="s">
        <v>10381</v>
      </c>
      <c r="V2383" s="5"/>
    </row>
    <row r="2384" ht="12.75" customHeight="1">
      <c r="A2384" s="5">
        <v>35738.0</v>
      </c>
      <c r="B2384" s="5" t="s">
        <v>3409</v>
      </c>
      <c r="C2384" s="5" t="s">
        <v>211</v>
      </c>
      <c r="D2384" s="5" t="s">
        <v>2852</v>
      </c>
      <c r="E2384" s="7" t="s">
        <v>10373</v>
      </c>
      <c r="F2384" s="5" t="s">
        <v>10351</v>
      </c>
      <c r="G2384" s="5" t="s">
        <v>10352</v>
      </c>
      <c r="H2384" s="5">
        <v>2003.0</v>
      </c>
      <c r="I2384" s="5">
        <v>0.0</v>
      </c>
      <c r="J2384" s="5">
        <v>0.0</v>
      </c>
      <c r="K2384" s="5">
        <v>1.0</v>
      </c>
      <c r="L2384" s="54"/>
      <c r="M2384" s="5" t="s">
        <v>10382</v>
      </c>
      <c r="N2384" s="53" t="s">
        <v>10383</v>
      </c>
      <c r="O2384">
        <v>50.912151</v>
      </c>
      <c r="P2384">
        <v>8.530123</v>
      </c>
      <c r="Q2384" s="5" t="s">
        <v>1538</v>
      </c>
      <c r="R2384" s="10">
        <f t="shared" si="10"/>
        <v>1</v>
      </c>
      <c r="S2384" s="5" t="s">
        <v>10384</v>
      </c>
      <c r="T2384" s="5"/>
      <c r="U2384" s="5" t="s">
        <v>10385</v>
      </c>
      <c r="V2384" s="5"/>
    </row>
    <row r="2385" ht="12.75" customHeight="1">
      <c r="A2385" s="5">
        <v>35742.0</v>
      </c>
      <c r="B2385" s="5" t="s">
        <v>3409</v>
      </c>
      <c r="C2385" s="5" t="s">
        <v>211</v>
      </c>
      <c r="D2385" s="5" t="s">
        <v>2852</v>
      </c>
      <c r="E2385" s="7" t="s">
        <v>10386</v>
      </c>
      <c r="F2385" s="5" t="s">
        <v>10351</v>
      </c>
      <c r="G2385" s="5" t="s">
        <v>10352</v>
      </c>
      <c r="H2385" s="5">
        <v>2003.0</v>
      </c>
      <c r="I2385" s="5">
        <v>0.0</v>
      </c>
      <c r="J2385" s="5">
        <v>0.0</v>
      </c>
      <c r="K2385" s="5">
        <v>1.0</v>
      </c>
      <c r="L2385" s="54"/>
      <c r="M2385" s="5" t="s">
        <v>10387</v>
      </c>
      <c r="N2385" s="53" t="s">
        <v>10388</v>
      </c>
      <c r="O2385">
        <v>53.479324</v>
      </c>
      <c r="P2385">
        <v>-2.248485</v>
      </c>
      <c r="Q2385" s="5" t="s">
        <v>1837</v>
      </c>
      <c r="R2385" s="10">
        <f t="shared" si="10"/>
        <v>1</v>
      </c>
      <c r="S2385" s="5" t="s">
        <v>10389</v>
      </c>
      <c r="T2385" s="5"/>
      <c r="U2385" s="5" t="s">
        <v>10390</v>
      </c>
      <c r="V2385" s="5"/>
    </row>
    <row r="2386" ht="12.75" customHeight="1">
      <c r="A2386" s="5">
        <v>35743.0</v>
      </c>
      <c r="B2386" s="5" t="s">
        <v>49</v>
      </c>
      <c r="C2386" s="52" t="s">
        <v>50</v>
      </c>
      <c r="D2386" s="5" t="s">
        <v>2852</v>
      </c>
      <c r="E2386" s="7" t="s">
        <v>10391</v>
      </c>
      <c r="F2386" s="5" t="s">
        <v>10351</v>
      </c>
      <c r="G2386" s="5" t="s">
        <v>10352</v>
      </c>
      <c r="H2386" s="5">
        <v>2003.0</v>
      </c>
      <c r="I2386" s="5">
        <v>0.0</v>
      </c>
      <c r="J2386" s="5">
        <v>0.0</v>
      </c>
      <c r="K2386" s="5">
        <v>1.0</v>
      </c>
      <c r="L2386" s="54"/>
      <c r="M2386" s="5" t="s">
        <v>10392</v>
      </c>
      <c r="N2386" s="53" t="s">
        <v>2638</v>
      </c>
      <c r="O2386">
        <v>35.888384</v>
      </c>
      <c r="P2386">
        <v>-5.324636</v>
      </c>
      <c r="Q2386" s="5" t="s">
        <v>717</v>
      </c>
      <c r="R2386" s="10">
        <f t="shared" si="10"/>
        <v>213</v>
      </c>
      <c r="S2386" s="5" t="s">
        <v>10393</v>
      </c>
      <c r="T2386" s="6" t="s">
        <v>72</v>
      </c>
      <c r="U2386" s="5" t="s">
        <v>3128</v>
      </c>
      <c r="V2386" s="5"/>
    </row>
    <row r="2387" ht="12.75" customHeight="1">
      <c r="A2387" s="5">
        <v>35744.0</v>
      </c>
      <c r="B2387" s="5" t="s">
        <v>68</v>
      </c>
      <c r="C2387" s="5" t="s">
        <v>69</v>
      </c>
      <c r="D2387" s="5" t="s">
        <v>2614</v>
      </c>
      <c r="E2387" s="7" t="s">
        <v>10394</v>
      </c>
      <c r="F2387" s="5" t="s">
        <v>10351</v>
      </c>
      <c r="G2387" s="5" t="s">
        <v>10395</v>
      </c>
      <c r="H2387" s="5">
        <v>2003.0</v>
      </c>
      <c r="I2387" s="5">
        <v>0.0</v>
      </c>
      <c r="J2387" s="5">
        <v>0.0</v>
      </c>
      <c r="K2387" s="5">
        <v>7.0</v>
      </c>
      <c r="L2387" s="54"/>
      <c r="M2387" s="5" t="s">
        <v>10396</v>
      </c>
      <c r="N2387" s="53" t="s">
        <v>2944</v>
      </c>
      <c r="O2387">
        <v>-12.8275</v>
      </c>
      <c r="P2387">
        <v>45.166244</v>
      </c>
      <c r="Q2387" s="5" t="s">
        <v>228</v>
      </c>
      <c r="R2387" s="10">
        <f t="shared" si="10"/>
        <v>757</v>
      </c>
      <c r="S2387" s="5" t="s">
        <v>10397</v>
      </c>
      <c r="T2387" s="5"/>
      <c r="U2387" s="5" t="s">
        <v>8097</v>
      </c>
      <c r="V2387" s="5" t="s">
        <v>8585</v>
      </c>
    </row>
    <row r="2388" ht="12.75" customHeight="1">
      <c r="A2388" s="5">
        <v>35745.0</v>
      </c>
      <c r="B2388" s="5" t="s">
        <v>636</v>
      </c>
      <c r="C2388" s="52" t="s">
        <v>50</v>
      </c>
      <c r="D2388" s="5" t="s">
        <v>2852</v>
      </c>
      <c r="E2388" s="7" t="s">
        <v>10394</v>
      </c>
      <c r="F2388" s="5" t="s">
        <v>10351</v>
      </c>
      <c r="G2388" s="5" t="s">
        <v>10395</v>
      </c>
      <c r="H2388" s="5">
        <v>2003.0</v>
      </c>
      <c r="I2388" s="5">
        <v>0.0</v>
      </c>
      <c r="J2388" s="5">
        <v>0.0</v>
      </c>
      <c r="K2388" s="5">
        <v>1.0</v>
      </c>
      <c r="L2388" s="54"/>
      <c r="M2388" s="5" t="s">
        <v>10398</v>
      </c>
      <c r="N2388" s="53" t="s">
        <v>8706</v>
      </c>
      <c r="O2388">
        <v>48.669026</v>
      </c>
      <c r="P2388">
        <v>19.699024</v>
      </c>
      <c r="Q2388" s="5" t="s">
        <v>1431</v>
      </c>
      <c r="R2388" s="10">
        <f t="shared" si="10"/>
        <v>16</v>
      </c>
      <c r="S2388" s="5" t="s">
        <v>10399</v>
      </c>
      <c r="T2388" s="6" t="s">
        <v>1964</v>
      </c>
      <c r="U2388" s="5" t="s">
        <v>5296</v>
      </c>
      <c r="V2388" s="5" t="s">
        <v>10400</v>
      </c>
    </row>
    <row r="2389" ht="12.75" customHeight="1">
      <c r="A2389" s="5">
        <v>35746.0</v>
      </c>
      <c r="B2389" s="5" t="s">
        <v>2040</v>
      </c>
      <c r="C2389" s="52" t="s">
        <v>50</v>
      </c>
      <c r="D2389" s="5" t="s">
        <v>2614</v>
      </c>
      <c r="E2389" s="7" t="s">
        <v>10401</v>
      </c>
      <c r="F2389" s="5" t="s">
        <v>10351</v>
      </c>
      <c r="G2389" s="5" t="s">
        <v>10395</v>
      </c>
      <c r="H2389" s="5">
        <v>2003.0</v>
      </c>
      <c r="I2389" s="5">
        <v>0.0</v>
      </c>
      <c r="J2389" s="5">
        <v>0.0</v>
      </c>
      <c r="K2389" s="5">
        <v>12.0</v>
      </c>
      <c r="L2389" s="54"/>
      <c r="M2389" s="5" t="s">
        <v>10402</v>
      </c>
      <c r="N2389" s="53" t="s">
        <v>5814</v>
      </c>
      <c r="O2389">
        <v>28.358744</v>
      </c>
      <c r="P2389">
        <v>-14.053676</v>
      </c>
      <c r="Q2389" s="5" t="s">
        <v>390</v>
      </c>
      <c r="R2389" s="10">
        <f t="shared" si="10"/>
        <v>488</v>
      </c>
      <c r="S2389" s="5" t="s">
        <v>10403</v>
      </c>
      <c r="T2389" s="5" t="s">
        <v>1040</v>
      </c>
      <c r="U2389" s="5" t="s">
        <v>1950</v>
      </c>
      <c r="V2389" s="5" t="s">
        <v>9072</v>
      </c>
    </row>
    <row r="2390" ht="12.75" customHeight="1">
      <c r="A2390" s="5">
        <v>35747.0</v>
      </c>
      <c r="B2390" s="5" t="s">
        <v>2921</v>
      </c>
      <c r="C2390" s="5" t="s">
        <v>124</v>
      </c>
      <c r="D2390" s="5" t="s">
        <v>2852</v>
      </c>
      <c r="E2390" s="7" t="s">
        <v>10401</v>
      </c>
      <c r="F2390" s="5" t="s">
        <v>10351</v>
      </c>
      <c r="G2390" s="5" t="s">
        <v>10395</v>
      </c>
      <c r="H2390" s="5">
        <v>2003.0</v>
      </c>
      <c r="I2390" s="5">
        <v>0.0</v>
      </c>
      <c r="J2390" s="5">
        <v>0.0</v>
      </c>
      <c r="K2390" s="5">
        <v>1.0</v>
      </c>
      <c r="L2390" s="54"/>
      <c r="M2390" s="5" t="s">
        <v>10404</v>
      </c>
      <c r="N2390" s="53" t="s">
        <v>3328</v>
      </c>
      <c r="O2390">
        <v>48.856614</v>
      </c>
      <c r="P2390">
        <v>2.352222</v>
      </c>
      <c r="Q2390" s="5" t="s">
        <v>3329</v>
      </c>
      <c r="R2390" s="10">
        <f t="shared" si="10"/>
        <v>30</v>
      </c>
      <c r="S2390" s="5" t="s">
        <v>10405</v>
      </c>
      <c r="T2390" s="5"/>
      <c r="U2390" s="5" t="s">
        <v>3128</v>
      </c>
      <c r="V2390" s="5" t="s">
        <v>8704</v>
      </c>
    </row>
    <row r="2391" ht="12.75" customHeight="1">
      <c r="A2391" s="5">
        <v>35748.0</v>
      </c>
      <c r="B2391" s="5" t="s">
        <v>763</v>
      </c>
      <c r="C2391" s="5" t="s">
        <v>124</v>
      </c>
      <c r="D2391" s="5" t="s">
        <v>2852</v>
      </c>
      <c r="E2391" s="7" t="s">
        <v>10406</v>
      </c>
      <c r="F2391" s="5" t="s">
        <v>10351</v>
      </c>
      <c r="G2391" s="5" t="s">
        <v>10395</v>
      </c>
      <c r="H2391" s="5">
        <v>2003.0</v>
      </c>
      <c r="I2391" s="5">
        <v>0.0</v>
      </c>
      <c r="J2391" s="5">
        <v>0.0</v>
      </c>
      <c r="K2391" s="5">
        <v>1.0</v>
      </c>
      <c r="L2391" s="54"/>
      <c r="M2391" s="5" t="s">
        <v>10407</v>
      </c>
      <c r="N2391" s="53" t="s">
        <v>10113</v>
      </c>
      <c r="O2391">
        <v>51.127876</v>
      </c>
      <c r="P2391">
        <v>1.313403</v>
      </c>
      <c r="Q2391" s="5" t="s">
        <v>1586</v>
      </c>
      <c r="R2391" s="10">
        <f t="shared" si="10"/>
        <v>6</v>
      </c>
      <c r="S2391" s="5" t="s">
        <v>10408</v>
      </c>
      <c r="T2391" s="5"/>
      <c r="U2391" s="5" t="s">
        <v>10409</v>
      </c>
      <c r="V2391" s="5" t="s">
        <v>10410</v>
      </c>
    </row>
    <row r="2392" ht="12.75" customHeight="1">
      <c r="A2392" s="5">
        <v>35749.0</v>
      </c>
      <c r="B2392" s="5" t="s">
        <v>763</v>
      </c>
      <c r="C2392" s="5" t="s">
        <v>124</v>
      </c>
      <c r="D2392" s="5" t="s">
        <v>2852</v>
      </c>
      <c r="E2392" s="7" t="s">
        <v>10411</v>
      </c>
      <c r="F2392" s="5" t="s">
        <v>10351</v>
      </c>
      <c r="G2392" s="5" t="s">
        <v>10395</v>
      </c>
      <c r="H2392" s="5">
        <v>2003.0</v>
      </c>
      <c r="I2392" s="5">
        <v>0.0</v>
      </c>
      <c r="J2392" s="5">
        <v>0.0</v>
      </c>
      <c r="K2392" s="5">
        <v>1.0</v>
      </c>
      <c r="L2392" s="54"/>
      <c r="M2392" s="5" t="s">
        <v>10412</v>
      </c>
      <c r="N2392" s="53" t="s">
        <v>3909</v>
      </c>
      <c r="O2392">
        <v>50.95129</v>
      </c>
      <c r="P2392">
        <v>1.858686</v>
      </c>
      <c r="Q2392" s="5" t="s">
        <v>1551</v>
      </c>
      <c r="R2392" s="10">
        <f t="shared" si="10"/>
        <v>30</v>
      </c>
      <c r="S2392" s="5" t="s">
        <v>10413</v>
      </c>
      <c r="T2392" s="5"/>
      <c r="U2392" s="5" t="s">
        <v>9144</v>
      </c>
      <c r="V2392" s="5"/>
    </row>
    <row r="2393" ht="12.75" customHeight="1">
      <c r="A2393" s="5">
        <v>35750.0</v>
      </c>
      <c r="B2393" s="5" t="s">
        <v>2962</v>
      </c>
      <c r="C2393" s="5" t="s">
        <v>211</v>
      </c>
      <c r="D2393" s="5" t="s">
        <v>2852</v>
      </c>
      <c r="E2393" s="7" t="s">
        <v>10414</v>
      </c>
      <c r="F2393" s="5" t="s">
        <v>10351</v>
      </c>
      <c r="G2393" s="5" t="s">
        <v>10395</v>
      </c>
      <c r="H2393" s="5">
        <v>2003.0</v>
      </c>
      <c r="I2393" s="5">
        <v>0.0</v>
      </c>
      <c r="J2393" s="5">
        <v>0.0</v>
      </c>
      <c r="K2393" s="5">
        <v>1.0</v>
      </c>
      <c r="L2393" s="54"/>
      <c r="M2393" s="5" t="s">
        <v>10415</v>
      </c>
      <c r="N2393" s="53" t="s">
        <v>10416</v>
      </c>
      <c r="O2393">
        <v>52.785804</v>
      </c>
      <c r="P2393">
        <v>6.897585</v>
      </c>
      <c r="Q2393" s="5" t="s">
        <v>1792</v>
      </c>
      <c r="R2393" s="10">
        <f t="shared" si="10"/>
        <v>1</v>
      </c>
      <c r="S2393" s="5" t="s">
        <v>10417</v>
      </c>
      <c r="T2393" s="5"/>
      <c r="U2393" s="5" t="s">
        <v>10418</v>
      </c>
      <c r="V2393" s="5"/>
    </row>
    <row r="2394" ht="12.75" customHeight="1">
      <c r="A2394" s="5">
        <v>35751.0</v>
      </c>
      <c r="B2394" s="5" t="s">
        <v>491</v>
      </c>
      <c r="C2394" s="52" t="s">
        <v>50</v>
      </c>
      <c r="D2394" s="5" t="s">
        <v>2852</v>
      </c>
      <c r="E2394" s="7" t="s">
        <v>10419</v>
      </c>
      <c r="F2394" s="5" t="s">
        <v>10351</v>
      </c>
      <c r="G2394" s="5" t="s">
        <v>10395</v>
      </c>
      <c r="H2394" s="5">
        <v>2003.0</v>
      </c>
      <c r="I2394" s="5">
        <v>0.0</v>
      </c>
      <c r="J2394" s="5">
        <v>0.0</v>
      </c>
      <c r="K2394" s="5">
        <v>12.0</v>
      </c>
      <c r="L2394" s="54"/>
      <c r="M2394" s="5" t="s">
        <v>10420</v>
      </c>
      <c r="N2394" s="53" t="s">
        <v>5814</v>
      </c>
      <c r="O2394">
        <v>28.358744</v>
      </c>
      <c r="P2394">
        <v>-14.053676</v>
      </c>
      <c r="Q2394" s="5" t="s">
        <v>390</v>
      </c>
      <c r="R2394" s="10">
        <f t="shared" si="10"/>
        <v>488</v>
      </c>
      <c r="S2394" s="5" t="s">
        <v>10421</v>
      </c>
      <c r="T2394" s="5" t="s">
        <v>1040</v>
      </c>
      <c r="U2394" s="5" t="s">
        <v>10422</v>
      </c>
      <c r="V2394" s="5" t="s">
        <v>10423</v>
      </c>
    </row>
    <row r="2395" ht="12.75" customHeight="1">
      <c r="A2395" s="5">
        <v>35752.0</v>
      </c>
      <c r="B2395" s="5" t="s">
        <v>49</v>
      </c>
      <c r="C2395" s="52" t="s">
        <v>50</v>
      </c>
      <c r="D2395" s="5" t="s">
        <v>2852</v>
      </c>
      <c r="E2395" s="7" t="s">
        <v>10424</v>
      </c>
      <c r="F2395" s="5" t="s">
        <v>10351</v>
      </c>
      <c r="G2395" s="5" t="s">
        <v>10395</v>
      </c>
      <c r="H2395" s="5">
        <v>2003.0</v>
      </c>
      <c r="I2395" s="5">
        <v>0.0</v>
      </c>
      <c r="J2395" s="5">
        <v>0.0</v>
      </c>
      <c r="K2395" s="5">
        <v>15.0</v>
      </c>
      <c r="L2395" s="54"/>
      <c r="M2395" s="5" t="s">
        <v>10425</v>
      </c>
      <c r="N2395" s="53" t="s">
        <v>5814</v>
      </c>
      <c r="O2395">
        <v>28.358744</v>
      </c>
      <c r="P2395">
        <v>-14.053676</v>
      </c>
      <c r="Q2395" s="5" t="s">
        <v>390</v>
      </c>
      <c r="R2395" s="10">
        <f t="shared" si="10"/>
        <v>488</v>
      </c>
      <c r="S2395" s="5" t="s">
        <v>10426</v>
      </c>
      <c r="T2395" s="5" t="s">
        <v>1040</v>
      </c>
      <c r="U2395" s="5" t="s">
        <v>10427</v>
      </c>
      <c r="V2395" s="5"/>
    </row>
    <row r="2396" ht="12.75" customHeight="1">
      <c r="A2396" s="5">
        <v>35753.0</v>
      </c>
      <c r="B2396" s="5" t="s">
        <v>68</v>
      </c>
      <c r="C2396" s="5" t="s">
        <v>69</v>
      </c>
      <c r="D2396" s="5" t="s">
        <v>2614</v>
      </c>
      <c r="E2396" s="7" t="s">
        <v>10428</v>
      </c>
      <c r="F2396" s="5" t="s">
        <v>10351</v>
      </c>
      <c r="G2396" s="5" t="s">
        <v>10395</v>
      </c>
      <c r="H2396" s="5">
        <v>2003.0</v>
      </c>
      <c r="I2396" s="5">
        <v>0.0</v>
      </c>
      <c r="J2396" s="5">
        <v>0.0</v>
      </c>
      <c r="K2396" s="5">
        <v>9.0</v>
      </c>
      <c r="L2396" s="54"/>
      <c r="M2396" s="5" t="s">
        <v>10429</v>
      </c>
      <c r="N2396" s="53" t="s">
        <v>3314</v>
      </c>
      <c r="O2396">
        <v>37.599994</v>
      </c>
      <c r="P2396">
        <v>14.015356</v>
      </c>
      <c r="Q2396" s="5" t="s">
        <v>949</v>
      </c>
      <c r="R2396" s="10">
        <f t="shared" si="10"/>
        <v>363</v>
      </c>
      <c r="S2396" s="5" t="s">
        <v>10430</v>
      </c>
      <c r="T2396" s="6" t="s">
        <v>2130</v>
      </c>
      <c r="U2396" s="5" t="s">
        <v>2326</v>
      </c>
      <c r="V2396" s="5" t="s">
        <v>7579</v>
      </c>
    </row>
    <row r="2397" ht="12.75" customHeight="1">
      <c r="A2397" s="5">
        <v>35754.0</v>
      </c>
      <c r="B2397" s="5" t="s">
        <v>1773</v>
      </c>
      <c r="C2397" s="5" t="s">
        <v>124</v>
      </c>
      <c r="D2397" s="5" t="s">
        <v>2852</v>
      </c>
      <c r="E2397" s="7" t="s">
        <v>10431</v>
      </c>
      <c r="F2397" s="5" t="s">
        <v>10351</v>
      </c>
      <c r="G2397" s="5" t="s">
        <v>10395</v>
      </c>
      <c r="H2397" s="5">
        <v>2003.0</v>
      </c>
      <c r="I2397" s="5">
        <v>0.0</v>
      </c>
      <c r="J2397" s="5">
        <v>0.0</v>
      </c>
      <c r="K2397" s="5">
        <v>1.0</v>
      </c>
      <c r="L2397" s="54"/>
      <c r="M2397" s="5" t="s">
        <v>10432</v>
      </c>
      <c r="N2397" s="53" t="s">
        <v>10433</v>
      </c>
      <c r="O2397">
        <v>48.941106</v>
      </c>
      <c r="P2397">
        <v>2.158431</v>
      </c>
      <c r="Q2397" s="5" t="s">
        <v>1454</v>
      </c>
      <c r="R2397" s="10">
        <f t="shared" si="10"/>
        <v>1</v>
      </c>
      <c r="S2397" s="5" t="s">
        <v>10434</v>
      </c>
      <c r="T2397" s="5"/>
      <c r="U2397" s="5" t="s">
        <v>10435</v>
      </c>
      <c r="V2397" s="5"/>
    </row>
    <row r="2398" ht="12.75" customHeight="1">
      <c r="A2398" s="5">
        <v>35756.0</v>
      </c>
      <c r="B2398" s="5" t="s">
        <v>49</v>
      </c>
      <c r="C2398" s="52" t="s">
        <v>50</v>
      </c>
      <c r="D2398" s="5" t="s">
        <v>2852</v>
      </c>
      <c r="E2398" s="7" t="s">
        <v>10436</v>
      </c>
      <c r="F2398" s="5" t="s">
        <v>10351</v>
      </c>
      <c r="G2398" s="5" t="s">
        <v>10395</v>
      </c>
      <c r="H2398" s="5">
        <v>2003.0</v>
      </c>
      <c r="I2398" s="5">
        <v>0.0</v>
      </c>
      <c r="J2398" s="5">
        <v>0.0</v>
      </c>
      <c r="K2398" s="5">
        <v>2.0</v>
      </c>
      <c r="L2398" s="54"/>
      <c r="M2398" s="5" t="s">
        <v>10437</v>
      </c>
      <c r="N2398" s="53" t="s">
        <v>5814</v>
      </c>
      <c r="O2398">
        <v>28.358744</v>
      </c>
      <c r="P2398">
        <v>-14.053676</v>
      </c>
      <c r="Q2398" s="5" t="s">
        <v>390</v>
      </c>
      <c r="R2398" s="10">
        <f t="shared" si="10"/>
        <v>488</v>
      </c>
      <c r="S2398" s="5" t="s">
        <v>10438</v>
      </c>
      <c r="T2398" s="5" t="s">
        <v>1040</v>
      </c>
      <c r="U2398" s="5" t="s">
        <v>10439</v>
      </c>
      <c r="V2398" s="5"/>
    </row>
    <row r="2399" ht="12.75" customHeight="1">
      <c r="A2399" s="5">
        <v>35755.0</v>
      </c>
      <c r="B2399" s="5" t="s">
        <v>49</v>
      </c>
      <c r="C2399" s="52" t="s">
        <v>50</v>
      </c>
      <c r="D2399" s="5" t="s">
        <v>2852</v>
      </c>
      <c r="E2399" s="7" t="s">
        <v>10436</v>
      </c>
      <c r="F2399" s="5" t="s">
        <v>10351</v>
      </c>
      <c r="G2399" s="5" t="s">
        <v>10395</v>
      </c>
      <c r="H2399" s="5">
        <v>2003.0</v>
      </c>
      <c r="I2399" s="5">
        <v>0.0</v>
      </c>
      <c r="J2399" s="5">
        <v>0.0</v>
      </c>
      <c r="K2399" s="5">
        <v>9.0</v>
      </c>
      <c r="L2399" s="54"/>
      <c r="M2399" s="5" t="s">
        <v>10440</v>
      </c>
      <c r="N2399" s="53" t="s">
        <v>5814</v>
      </c>
      <c r="O2399">
        <v>28.358744</v>
      </c>
      <c r="P2399">
        <v>-14.053676</v>
      </c>
      <c r="Q2399" s="5" t="s">
        <v>390</v>
      </c>
      <c r="R2399" s="10">
        <f t="shared" si="10"/>
        <v>488</v>
      </c>
      <c r="S2399" s="5" t="s">
        <v>10438</v>
      </c>
      <c r="T2399" s="5" t="s">
        <v>1040</v>
      </c>
      <c r="U2399" s="5" t="s">
        <v>10439</v>
      </c>
      <c r="V2399" s="5"/>
    </row>
    <row r="2400" ht="12.75" customHeight="1">
      <c r="A2400" s="5">
        <v>35757.0</v>
      </c>
      <c r="B2400" s="5" t="s">
        <v>1773</v>
      </c>
      <c r="C2400" s="5" t="s">
        <v>124</v>
      </c>
      <c r="D2400" s="5" t="s">
        <v>2852</v>
      </c>
      <c r="E2400" s="7" t="s">
        <v>10441</v>
      </c>
      <c r="F2400" s="5" t="s">
        <v>10351</v>
      </c>
      <c r="G2400" s="5" t="s">
        <v>10395</v>
      </c>
      <c r="H2400" s="5">
        <v>2003.0</v>
      </c>
      <c r="I2400" s="5">
        <v>0.0</v>
      </c>
      <c r="J2400" s="5">
        <v>0.0</v>
      </c>
      <c r="K2400" s="5">
        <v>1.0</v>
      </c>
      <c r="L2400" s="54"/>
      <c r="M2400" s="5" t="s">
        <v>10442</v>
      </c>
      <c r="N2400" s="53" t="s">
        <v>10443</v>
      </c>
      <c r="O2400">
        <v>53.406754</v>
      </c>
      <c r="P2400">
        <v>-2.158843</v>
      </c>
      <c r="Q2400" s="5" t="s">
        <v>1827</v>
      </c>
      <c r="R2400" s="10">
        <f t="shared" si="10"/>
        <v>1</v>
      </c>
      <c r="S2400" s="5" t="s">
        <v>10444</v>
      </c>
      <c r="T2400" s="5"/>
      <c r="U2400" s="5" t="s">
        <v>3219</v>
      </c>
      <c r="V2400" s="5"/>
    </row>
    <row r="2401" ht="12.75" customHeight="1">
      <c r="A2401" s="5">
        <v>35758.0</v>
      </c>
      <c r="B2401" s="5" t="s">
        <v>49</v>
      </c>
      <c r="C2401" s="52" t="s">
        <v>50</v>
      </c>
      <c r="D2401" s="5" t="s">
        <v>2614</v>
      </c>
      <c r="E2401" s="7" t="s">
        <v>10445</v>
      </c>
      <c r="F2401" s="5" t="s">
        <v>10351</v>
      </c>
      <c r="G2401" s="5" t="s">
        <v>10395</v>
      </c>
      <c r="H2401" s="5">
        <v>2003.0</v>
      </c>
      <c r="I2401" s="5">
        <v>0.0</v>
      </c>
      <c r="J2401" s="5">
        <v>0.0</v>
      </c>
      <c r="K2401" s="5">
        <v>1.0</v>
      </c>
      <c r="L2401" s="54"/>
      <c r="M2401" s="5" t="s">
        <v>10446</v>
      </c>
      <c r="N2401" s="53" t="s">
        <v>2638</v>
      </c>
      <c r="O2401">
        <v>35.888384</v>
      </c>
      <c r="P2401">
        <v>-5.324636</v>
      </c>
      <c r="Q2401" s="5" t="s">
        <v>717</v>
      </c>
      <c r="R2401" s="10">
        <f t="shared" si="10"/>
        <v>213</v>
      </c>
      <c r="S2401" s="5" t="s">
        <v>10447</v>
      </c>
      <c r="T2401" s="6" t="s">
        <v>72</v>
      </c>
      <c r="U2401" s="5" t="s">
        <v>2635</v>
      </c>
      <c r="V2401" s="5" t="s">
        <v>10448</v>
      </c>
    </row>
    <row r="2402" ht="12.75" customHeight="1">
      <c r="A2402" s="5">
        <v>35612.0</v>
      </c>
      <c r="B2402" s="5" t="s">
        <v>1995</v>
      </c>
      <c r="C2402" s="52" t="s">
        <v>50</v>
      </c>
      <c r="D2402" s="5" t="s">
        <v>2852</v>
      </c>
      <c r="E2402" s="7" t="s">
        <v>10449</v>
      </c>
      <c r="F2402" s="5" t="s">
        <v>10450</v>
      </c>
      <c r="G2402" s="5" t="s">
        <v>10451</v>
      </c>
      <c r="H2402" s="5">
        <v>2003.0</v>
      </c>
      <c r="I2402" s="5">
        <v>0.0</v>
      </c>
      <c r="J2402" s="5">
        <v>0.0</v>
      </c>
      <c r="K2402" s="5">
        <v>1.0</v>
      </c>
      <c r="L2402" s="54"/>
      <c r="M2402" s="5" t="s">
        <v>10452</v>
      </c>
      <c r="N2402" s="53" t="s">
        <v>10453</v>
      </c>
      <c r="O2402">
        <v>-0.228021</v>
      </c>
      <c r="P2402">
        <v>15.827659</v>
      </c>
      <c r="Q2402" s="5" t="s">
        <v>214</v>
      </c>
      <c r="R2402" s="10">
        <f t="shared" si="10"/>
        <v>3</v>
      </c>
      <c r="S2402" s="5" t="s">
        <v>10454</v>
      </c>
      <c r="T2402" s="5"/>
      <c r="U2402" s="5" t="s">
        <v>7788</v>
      </c>
      <c r="V2402" s="5"/>
    </row>
    <row r="2403" ht="12.75" customHeight="1">
      <c r="A2403" s="5">
        <v>35611.0</v>
      </c>
      <c r="B2403" s="5" t="s">
        <v>1995</v>
      </c>
      <c r="C2403" s="52" t="s">
        <v>50</v>
      </c>
      <c r="D2403" s="5" t="s">
        <v>2852</v>
      </c>
      <c r="E2403" s="7" t="s">
        <v>10449</v>
      </c>
      <c r="F2403" s="5" t="s">
        <v>10450</v>
      </c>
      <c r="G2403" s="5" t="s">
        <v>10451</v>
      </c>
      <c r="H2403" s="5">
        <v>2003.0</v>
      </c>
      <c r="I2403" s="5">
        <v>0.0</v>
      </c>
      <c r="J2403" s="5">
        <v>0.0</v>
      </c>
      <c r="K2403" s="5">
        <v>2.0</v>
      </c>
      <c r="L2403" s="54"/>
      <c r="M2403" s="5" t="s">
        <v>10455</v>
      </c>
      <c r="N2403" s="53" t="s">
        <v>10453</v>
      </c>
      <c r="O2403">
        <v>-0.228021</v>
      </c>
      <c r="P2403">
        <v>15.827659</v>
      </c>
      <c r="Q2403" s="5" t="s">
        <v>214</v>
      </c>
      <c r="R2403" s="10">
        <f t="shared" si="10"/>
        <v>3</v>
      </c>
      <c r="S2403" s="5" t="s">
        <v>10454</v>
      </c>
      <c r="T2403" s="5"/>
      <c r="U2403" s="5" t="s">
        <v>10456</v>
      </c>
      <c r="V2403" s="5"/>
    </row>
    <row r="2404" ht="12.75" customHeight="1">
      <c r="A2404" s="5">
        <v>35613.0</v>
      </c>
      <c r="B2404" s="5" t="s">
        <v>3409</v>
      </c>
      <c r="C2404" s="5" t="s">
        <v>211</v>
      </c>
      <c r="D2404" s="5" t="s">
        <v>2852</v>
      </c>
      <c r="E2404" s="7" t="s">
        <v>10449</v>
      </c>
      <c r="F2404" s="5" t="s">
        <v>10450</v>
      </c>
      <c r="G2404" s="5" t="s">
        <v>10451</v>
      </c>
      <c r="H2404" s="5">
        <v>2003.0</v>
      </c>
      <c r="I2404" s="5">
        <v>0.0</v>
      </c>
      <c r="J2404" s="5">
        <v>0.0</v>
      </c>
      <c r="K2404" s="5">
        <v>1.0</v>
      </c>
      <c r="L2404" s="54"/>
      <c r="M2404" s="5" t="s">
        <v>10457</v>
      </c>
      <c r="N2404" s="53" t="s">
        <v>5086</v>
      </c>
      <c r="O2404">
        <v>51.511214</v>
      </c>
      <c r="P2404">
        <v>-0.119824</v>
      </c>
      <c r="Q2404" s="5" t="s">
        <v>1662</v>
      </c>
      <c r="R2404" s="10">
        <f t="shared" si="10"/>
        <v>9</v>
      </c>
      <c r="S2404" s="5" t="s">
        <v>10458</v>
      </c>
      <c r="T2404" s="5"/>
      <c r="U2404" s="5" t="s">
        <v>3219</v>
      </c>
      <c r="V2404" s="5"/>
    </row>
    <row r="2405" ht="12.75" customHeight="1">
      <c r="A2405" s="5">
        <v>35614.0</v>
      </c>
      <c r="B2405" s="5" t="s">
        <v>49</v>
      </c>
      <c r="C2405" s="52" t="s">
        <v>50</v>
      </c>
      <c r="D2405" s="5" t="s">
        <v>2852</v>
      </c>
      <c r="E2405" s="7" t="s">
        <v>10459</v>
      </c>
      <c r="F2405" s="5" t="s">
        <v>10450</v>
      </c>
      <c r="G2405" s="5" t="s">
        <v>10451</v>
      </c>
      <c r="H2405" s="5">
        <v>2003.0</v>
      </c>
      <c r="I2405" s="5">
        <v>0.0</v>
      </c>
      <c r="J2405" s="5">
        <v>0.0</v>
      </c>
      <c r="K2405" s="5">
        <v>1.0</v>
      </c>
      <c r="L2405" s="54"/>
      <c r="M2405" s="5" t="s">
        <v>10460</v>
      </c>
      <c r="N2405" s="53" t="s">
        <v>10461</v>
      </c>
      <c r="O2405">
        <v>46.369718</v>
      </c>
      <c r="P2405">
        <v>10.126025</v>
      </c>
      <c r="Q2405" s="5" t="s">
        <v>1357</v>
      </c>
      <c r="R2405" s="10">
        <f t="shared" si="10"/>
        <v>1</v>
      </c>
      <c r="S2405" s="5" t="s">
        <v>10462</v>
      </c>
      <c r="T2405" s="5"/>
      <c r="U2405" s="5" t="s">
        <v>4492</v>
      </c>
      <c r="V2405" s="5"/>
    </row>
    <row r="2406" ht="12.75" customHeight="1">
      <c r="A2406" s="5">
        <v>35617.0</v>
      </c>
      <c r="B2406" s="5" t="s">
        <v>49</v>
      </c>
      <c r="C2406" s="52" t="s">
        <v>50</v>
      </c>
      <c r="D2406" s="5" t="s">
        <v>2852</v>
      </c>
      <c r="E2406" s="7" t="s">
        <v>10463</v>
      </c>
      <c r="F2406" s="5" t="s">
        <v>10450</v>
      </c>
      <c r="G2406" s="5" t="s">
        <v>10451</v>
      </c>
      <c r="H2406" s="5">
        <v>2003.0</v>
      </c>
      <c r="I2406" s="5">
        <v>0.0</v>
      </c>
      <c r="J2406" s="5">
        <v>0.0</v>
      </c>
      <c r="K2406" s="5">
        <v>51.0</v>
      </c>
      <c r="L2406" s="54"/>
      <c r="M2406" s="5" t="s">
        <v>10464</v>
      </c>
      <c r="N2406" s="53" t="s">
        <v>2113</v>
      </c>
      <c r="O2406">
        <v>36.163149</v>
      </c>
      <c r="P2406">
        <v>27.971761</v>
      </c>
      <c r="Q2406" s="5" t="s">
        <v>777</v>
      </c>
      <c r="R2406" s="10">
        <f t="shared" si="10"/>
        <v>51</v>
      </c>
      <c r="S2406" s="5" t="s">
        <v>10465</v>
      </c>
      <c r="T2406" s="6" t="s">
        <v>53</v>
      </c>
      <c r="U2406" s="5" t="s">
        <v>10466</v>
      </c>
      <c r="V2406" s="5" t="s">
        <v>10467</v>
      </c>
    </row>
    <row r="2407" ht="12.75" customHeight="1">
      <c r="A2407" s="5">
        <v>35615.0</v>
      </c>
      <c r="B2407" s="5" t="s">
        <v>49</v>
      </c>
      <c r="C2407" s="52" t="s">
        <v>50</v>
      </c>
      <c r="D2407" s="5" t="s">
        <v>2852</v>
      </c>
      <c r="E2407" s="7" t="s">
        <v>10463</v>
      </c>
      <c r="F2407" s="5" t="s">
        <v>10450</v>
      </c>
      <c r="G2407" s="5" t="s">
        <v>10451</v>
      </c>
      <c r="H2407" s="5">
        <v>2003.0</v>
      </c>
      <c r="I2407" s="5">
        <v>0.0</v>
      </c>
      <c r="J2407" s="5">
        <v>0.0</v>
      </c>
      <c r="K2407" s="5">
        <v>7.0</v>
      </c>
      <c r="L2407" s="54"/>
      <c r="M2407" s="5" t="s">
        <v>10468</v>
      </c>
      <c r="N2407" s="53" t="s">
        <v>10469</v>
      </c>
      <c r="O2407">
        <v>36.850566</v>
      </c>
      <c r="P2407">
        <v>28.255586</v>
      </c>
      <c r="Q2407" s="5" t="s">
        <v>867</v>
      </c>
      <c r="R2407" s="10">
        <f t="shared" si="10"/>
        <v>7</v>
      </c>
      <c r="S2407" s="5" t="s">
        <v>10470</v>
      </c>
      <c r="T2407" s="6" t="s">
        <v>53</v>
      </c>
      <c r="U2407" s="5" t="s">
        <v>10466</v>
      </c>
      <c r="V2407" s="5"/>
    </row>
    <row r="2408" ht="12.75" customHeight="1">
      <c r="A2408" s="5">
        <v>35616.0</v>
      </c>
      <c r="B2408" s="5" t="s">
        <v>49</v>
      </c>
      <c r="C2408" s="52" t="s">
        <v>50</v>
      </c>
      <c r="D2408" s="5" t="s">
        <v>2852</v>
      </c>
      <c r="E2408" s="7" t="s">
        <v>10463</v>
      </c>
      <c r="F2408" s="5" t="s">
        <v>10450</v>
      </c>
      <c r="G2408" s="5" t="s">
        <v>10451</v>
      </c>
      <c r="H2408" s="5">
        <v>2003.0</v>
      </c>
      <c r="I2408" s="5">
        <v>0.0</v>
      </c>
      <c r="J2408" s="5">
        <v>0.0</v>
      </c>
      <c r="K2408" s="5">
        <v>2.0</v>
      </c>
      <c r="L2408" s="54"/>
      <c r="M2408" s="5" t="s">
        <v>10471</v>
      </c>
      <c r="N2408" s="53" t="s">
        <v>7911</v>
      </c>
      <c r="O2408">
        <v>38.652771</v>
      </c>
      <c r="P2408">
        <v>26.613007</v>
      </c>
      <c r="Q2408" s="5" t="s">
        <v>1032</v>
      </c>
      <c r="R2408" s="10">
        <f t="shared" si="10"/>
        <v>69</v>
      </c>
      <c r="S2408" s="5" t="s">
        <v>10472</v>
      </c>
      <c r="T2408" s="6" t="s">
        <v>53</v>
      </c>
      <c r="U2408" s="5" t="s">
        <v>10466</v>
      </c>
      <c r="V2408" s="5"/>
    </row>
    <row r="2409" ht="12.75" customHeight="1">
      <c r="A2409" s="5">
        <v>35618.0</v>
      </c>
      <c r="B2409" s="5" t="s">
        <v>49</v>
      </c>
      <c r="C2409" s="52" t="s">
        <v>50</v>
      </c>
      <c r="D2409" s="5" t="s">
        <v>2852</v>
      </c>
      <c r="E2409" s="7" t="s">
        <v>10473</v>
      </c>
      <c r="F2409" s="5" t="s">
        <v>10450</v>
      </c>
      <c r="G2409" s="5" t="s">
        <v>10451</v>
      </c>
      <c r="H2409" s="5">
        <v>2003.0</v>
      </c>
      <c r="I2409" s="5">
        <v>0.0</v>
      </c>
      <c r="J2409" s="5">
        <v>0.0</v>
      </c>
      <c r="K2409" s="5">
        <v>1.0</v>
      </c>
      <c r="L2409" s="54"/>
      <c r="M2409" s="5" t="s">
        <v>10474</v>
      </c>
      <c r="N2409" s="53" t="s">
        <v>2917</v>
      </c>
      <c r="O2409">
        <v>32.876174</v>
      </c>
      <c r="P2409">
        <v>13.187507</v>
      </c>
      <c r="Q2409" s="5" t="s">
        <v>481</v>
      </c>
      <c r="R2409" s="10">
        <f t="shared" si="10"/>
        <v>1281</v>
      </c>
      <c r="S2409" s="5" t="s">
        <v>10475</v>
      </c>
      <c r="T2409" s="6" t="s">
        <v>2130</v>
      </c>
      <c r="U2409" s="5" t="s">
        <v>10204</v>
      </c>
      <c r="V2409" s="5"/>
    </row>
    <row r="2410" ht="12.75" customHeight="1">
      <c r="A2410" s="5">
        <v>35619.0</v>
      </c>
      <c r="B2410" s="5" t="s">
        <v>1076</v>
      </c>
      <c r="C2410" s="52" t="s">
        <v>50</v>
      </c>
      <c r="D2410" s="5" t="s">
        <v>2852</v>
      </c>
      <c r="E2410" s="7" t="s">
        <v>10473</v>
      </c>
      <c r="F2410" s="5" t="s">
        <v>10450</v>
      </c>
      <c r="G2410" s="5" t="s">
        <v>10451</v>
      </c>
      <c r="H2410" s="5">
        <v>2003.0</v>
      </c>
      <c r="I2410" s="5">
        <v>0.0</v>
      </c>
      <c r="J2410" s="5">
        <v>0.0</v>
      </c>
      <c r="K2410" s="5">
        <v>1.0</v>
      </c>
      <c r="L2410" s="54"/>
      <c r="M2410" s="5" t="s">
        <v>10476</v>
      </c>
      <c r="N2410" s="53" t="s">
        <v>10477</v>
      </c>
      <c r="O2410">
        <v>7.369722</v>
      </c>
      <c r="P2410">
        <v>12.354722</v>
      </c>
      <c r="Q2410" s="5" t="s">
        <v>1930</v>
      </c>
      <c r="R2410" s="10">
        <f t="shared" si="10"/>
        <v>1</v>
      </c>
      <c r="S2410" s="5" t="s">
        <v>10478</v>
      </c>
      <c r="T2410" s="6" t="s">
        <v>72</v>
      </c>
      <c r="U2410" s="5" t="s">
        <v>9058</v>
      </c>
      <c r="V2410" s="5"/>
    </row>
    <row r="2411" ht="12.75" customHeight="1">
      <c r="A2411" s="5">
        <v>35620.0</v>
      </c>
      <c r="B2411" s="5" t="s">
        <v>49</v>
      </c>
      <c r="C2411" s="52" t="s">
        <v>50</v>
      </c>
      <c r="D2411" s="5" t="s">
        <v>2614</v>
      </c>
      <c r="E2411" s="7" t="s">
        <v>10479</v>
      </c>
      <c r="F2411" s="5" t="s">
        <v>10450</v>
      </c>
      <c r="G2411" s="5" t="s">
        <v>10451</v>
      </c>
      <c r="H2411" s="5">
        <v>2003.0</v>
      </c>
      <c r="I2411" s="5">
        <v>0.0</v>
      </c>
      <c r="J2411" s="5">
        <v>0.0</v>
      </c>
      <c r="K2411" s="5">
        <v>10.0</v>
      </c>
      <c r="L2411" s="54"/>
      <c r="M2411" s="5" t="s">
        <v>10480</v>
      </c>
      <c r="N2411" s="53" t="s">
        <v>3469</v>
      </c>
      <c r="O2411">
        <v>37.177336</v>
      </c>
      <c r="P2411">
        <v>-3.598557</v>
      </c>
      <c r="Q2411" s="5" t="s">
        <v>909</v>
      </c>
      <c r="R2411" s="10">
        <f t="shared" si="10"/>
        <v>38</v>
      </c>
      <c r="S2411" s="5" t="s">
        <v>10481</v>
      </c>
      <c r="T2411" s="6" t="s">
        <v>72</v>
      </c>
      <c r="U2411" s="5" t="s">
        <v>2785</v>
      </c>
      <c r="V2411" s="5" t="s">
        <v>10482</v>
      </c>
    </row>
    <row r="2412" ht="12.75" customHeight="1">
      <c r="A2412" s="5">
        <v>35621.0</v>
      </c>
      <c r="B2412" s="5" t="s">
        <v>49</v>
      </c>
      <c r="C2412" s="52" t="s">
        <v>50</v>
      </c>
      <c r="D2412" s="5" t="s">
        <v>2614</v>
      </c>
      <c r="E2412" s="7" t="s">
        <v>10483</v>
      </c>
      <c r="F2412" s="5" t="s">
        <v>10450</v>
      </c>
      <c r="G2412" s="5" t="s">
        <v>10451</v>
      </c>
      <c r="H2412" s="5">
        <v>2003.0</v>
      </c>
      <c r="I2412" s="5">
        <v>0.0</v>
      </c>
      <c r="J2412" s="5">
        <v>0.0</v>
      </c>
      <c r="K2412" s="5">
        <v>1.0</v>
      </c>
      <c r="L2412" s="54"/>
      <c r="M2412" s="5" t="s">
        <v>10484</v>
      </c>
      <c r="N2412" s="53" t="s">
        <v>2700</v>
      </c>
      <c r="O2412">
        <v>35.508622</v>
      </c>
      <c r="P2412">
        <v>12.59292</v>
      </c>
      <c r="Q2412" s="5" t="s">
        <v>669</v>
      </c>
      <c r="R2412" s="10">
        <f t="shared" si="10"/>
        <v>3843</v>
      </c>
      <c r="S2412" s="5" t="s">
        <v>10485</v>
      </c>
      <c r="T2412" s="6" t="s">
        <v>2130</v>
      </c>
      <c r="U2412" s="5" t="s">
        <v>2326</v>
      </c>
      <c r="V2412" s="5" t="s">
        <v>7579</v>
      </c>
    </row>
    <row r="2413" ht="12.75" customHeight="1">
      <c r="A2413" s="5">
        <v>35622.0</v>
      </c>
      <c r="B2413" s="5" t="s">
        <v>49</v>
      </c>
      <c r="C2413" s="52" t="s">
        <v>50</v>
      </c>
      <c r="D2413" s="5" t="s">
        <v>2614</v>
      </c>
      <c r="E2413" s="7" t="s">
        <v>10486</v>
      </c>
      <c r="F2413" s="5" t="s">
        <v>10450</v>
      </c>
      <c r="G2413" s="5" t="s">
        <v>10451</v>
      </c>
      <c r="H2413" s="5">
        <v>2003.0</v>
      </c>
      <c r="I2413" s="5">
        <v>0.0</v>
      </c>
      <c r="J2413" s="5">
        <v>0.0</v>
      </c>
      <c r="K2413" s="5">
        <v>15.0</v>
      </c>
      <c r="L2413" s="54"/>
      <c r="M2413" s="5" t="s">
        <v>10487</v>
      </c>
      <c r="N2413" s="53" t="s">
        <v>5814</v>
      </c>
      <c r="O2413">
        <v>28.358744</v>
      </c>
      <c r="P2413">
        <v>-14.053676</v>
      </c>
      <c r="Q2413" s="5" t="s">
        <v>390</v>
      </c>
      <c r="R2413" s="10">
        <f t="shared" si="10"/>
        <v>488</v>
      </c>
      <c r="S2413" s="5" t="s">
        <v>10488</v>
      </c>
      <c r="T2413" s="5" t="s">
        <v>1040</v>
      </c>
      <c r="U2413" s="5" t="s">
        <v>2785</v>
      </c>
      <c r="V2413" s="5" t="s">
        <v>10489</v>
      </c>
    </row>
    <row r="2414" ht="12.75" customHeight="1">
      <c r="A2414" s="5">
        <v>35623.0</v>
      </c>
      <c r="B2414" s="5" t="s">
        <v>1995</v>
      </c>
      <c r="C2414" s="52" t="s">
        <v>50</v>
      </c>
      <c r="D2414" s="5" t="s">
        <v>2852</v>
      </c>
      <c r="E2414" s="7" t="s">
        <v>10490</v>
      </c>
      <c r="F2414" s="5" t="s">
        <v>10450</v>
      </c>
      <c r="G2414" s="5" t="s">
        <v>10451</v>
      </c>
      <c r="H2414" s="5">
        <v>2003.0</v>
      </c>
      <c r="I2414" s="5">
        <v>0.0</v>
      </c>
      <c r="J2414" s="5">
        <v>0.0</v>
      </c>
      <c r="K2414" s="5">
        <v>1.0</v>
      </c>
      <c r="L2414" s="54"/>
      <c r="M2414" s="5" t="s">
        <v>10491</v>
      </c>
      <c r="N2414" s="53" t="s">
        <v>10492</v>
      </c>
      <c r="O2414">
        <v>47.45149</v>
      </c>
      <c r="P2414">
        <v>9.16126</v>
      </c>
      <c r="Q2414" s="5" t="s">
        <v>1382</v>
      </c>
      <c r="R2414" s="10">
        <f t="shared" si="10"/>
        <v>1</v>
      </c>
      <c r="S2414" s="5" t="s">
        <v>10493</v>
      </c>
      <c r="T2414" s="5"/>
      <c r="U2414" s="5" t="s">
        <v>10494</v>
      </c>
      <c r="V2414" s="5"/>
    </row>
    <row r="2415" ht="12.75" customHeight="1">
      <c r="A2415" s="5">
        <v>35625.0</v>
      </c>
      <c r="B2415" s="5" t="s">
        <v>49</v>
      </c>
      <c r="C2415" s="52" t="s">
        <v>50</v>
      </c>
      <c r="D2415" s="5" t="s">
        <v>2852</v>
      </c>
      <c r="E2415" s="7" t="s">
        <v>10495</v>
      </c>
      <c r="F2415" s="5" t="s">
        <v>10450</v>
      </c>
      <c r="G2415" s="5" t="s">
        <v>10496</v>
      </c>
      <c r="H2415" s="5">
        <v>2003.0</v>
      </c>
      <c r="I2415" s="5">
        <v>0.0</v>
      </c>
      <c r="J2415" s="5">
        <v>0.0</v>
      </c>
      <c r="K2415" s="5">
        <v>5.0</v>
      </c>
      <c r="L2415" s="54"/>
      <c r="M2415" s="5" t="s">
        <v>10497</v>
      </c>
      <c r="N2415" s="53" t="s">
        <v>5814</v>
      </c>
      <c r="O2415">
        <v>28.358744</v>
      </c>
      <c r="P2415">
        <v>-14.053676</v>
      </c>
      <c r="Q2415" s="5" t="s">
        <v>390</v>
      </c>
      <c r="R2415" s="10">
        <f t="shared" si="10"/>
        <v>488</v>
      </c>
      <c r="S2415" s="5" t="s">
        <v>10498</v>
      </c>
      <c r="T2415" s="5" t="s">
        <v>1040</v>
      </c>
      <c r="U2415" s="5" t="s">
        <v>5296</v>
      </c>
      <c r="V2415" s="5"/>
    </row>
    <row r="2416" ht="12.75" customHeight="1">
      <c r="A2416" s="5">
        <v>35624.0</v>
      </c>
      <c r="B2416" s="5" t="s">
        <v>49</v>
      </c>
      <c r="C2416" s="52" t="s">
        <v>50</v>
      </c>
      <c r="D2416" s="5" t="s">
        <v>2852</v>
      </c>
      <c r="E2416" s="7" t="s">
        <v>10495</v>
      </c>
      <c r="F2416" s="5" t="s">
        <v>10450</v>
      </c>
      <c r="G2416" s="5" t="s">
        <v>10496</v>
      </c>
      <c r="H2416" s="5">
        <v>2003.0</v>
      </c>
      <c r="I2416" s="5">
        <v>0.0</v>
      </c>
      <c r="J2416" s="5">
        <v>0.0</v>
      </c>
      <c r="K2416" s="5">
        <v>9.0</v>
      </c>
      <c r="L2416" s="54"/>
      <c r="M2416" s="5" t="s">
        <v>10499</v>
      </c>
      <c r="N2416" s="53" t="s">
        <v>5814</v>
      </c>
      <c r="O2416">
        <v>28.358744</v>
      </c>
      <c r="P2416">
        <v>-14.053676</v>
      </c>
      <c r="Q2416" s="5" t="s">
        <v>390</v>
      </c>
      <c r="R2416" s="10">
        <f t="shared" si="10"/>
        <v>488</v>
      </c>
      <c r="S2416" s="5" t="s">
        <v>10498</v>
      </c>
      <c r="T2416" s="5" t="s">
        <v>1040</v>
      </c>
      <c r="U2416" s="5" t="s">
        <v>5296</v>
      </c>
      <c r="V2416" s="5"/>
    </row>
    <row r="2417" ht="12.75" customHeight="1">
      <c r="A2417" s="5">
        <v>35626.0</v>
      </c>
      <c r="B2417" s="5" t="s">
        <v>49</v>
      </c>
      <c r="C2417" s="52" t="s">
        <v>50</v>
      </c>
      <c r="D2417" s="5" t="s">
        <v>2852</v>
      </c>
      <c r="E2417" s="7" t="s">
        <v>10500</v>
      </c>
      <c r="F2417" s="5" t="s">
        <v>10450</v>
      </c>
      <c r="G2417" s="5" t="s">
        <v>10496</v>
      </c>
      <c r="H2417" s="5">
        <v>2003.0</v>
      </c>
      <c r="I2417" s="5">
        <v>0.0</v>
      </c>
      <c r="J2417" s="5">
        <v>0.0</v>
      </c>
      <c r="K2417" s="5">
        <v>1.0</v>
      </c>
      <c r="L2417" s="54"/>
      <c r="M2417" s="5" t="s">
        <v>10501</v>
      </c>
      <c r="N2417" s="53" t="s">
        <v>2638</v>
      </c>
      <c r="O2417">
        <v>35.888384</v>
      </c>
      <c r="P2417">
        <v>-5.324636</v>
      </c>
      <c r="Q2417" s="5" t="s">
        <v>717</v>
      </c>
      <c r="R2417" s="10">
        <f t="shared" si="10"/>
        <v>213</v>
      </c>
      <c r="S2417" s="5" t="s">
        <v>10502</v>
      </c>
      <c r="T2417" s="6" t="s">
        <v>72</v>
      </c>
      <c r="U2417" s="5" t="s">
        <v>9274</v>
      </c>
      <c r="V2417" s="5" t="s">
        <v>10503</v>
      </c>
    </row>
    <row r="2418" ht="12.75" customHeight="1">
      <c r="A2418" s="5">
        <v>35627.0</v>
      </c>
      <c r="B2418" s="5" t="s">
        <v>49</v>
      </c>
      <c r="C2418" s="52" t="s">
        <v>50</v>
      </c>
      <c r="D2418" s="5" t="s">
        <v>2614</v>
      </c>
      <c r="E2418" s="7" t="s">
        <v>10504</v>
      </c>
      <c r="F2418" s="5" t="s">
        <v>10450</v>
      </c>
      <c r="G2418" s="5" t="s">
        <v>10496</v>
      </c>
      <c r="H2418" s="5">
        <v>2003.0</v>
      </c>
      <c r="I2418" s="5">
        <v>0.0</v>
      </c>
      <c r="J2418" s="5">
        <v>0.0</v>
      </c>
      <c r="K2418" s="5">
        <v>1.0</v>
      </c>
      <c r="L2418" s="54"/>
      <c r="M2418" s="5" t="s">
        <v>10505</v>
      </c>
      <c r="N2418" s="53" t="s">
        <v>2857</v>
      </c>
      <c r="O2418">
        <v>36.527061</v>
      </c>
      <c r="P2418">
        <v>-6.288596</v>
      </c>
      <c r="Q2418" s="5" t="s">
        <v>802</v>
      </c>
      <c r="R2418" s="10">
        <f t="shared" si="10"/>
        <v>185</v>
      </c>
      <c r="S2418" s="5" t="s">
        <v>10506</v>
      </c>
      <c r="T2418" s="6" t="s">
        <v>72</v>
      </c>
      <c r="U2418" s="5" t="s">
        <v>2785</v>
      </c>
      <c r="V2418" s="5" t="s">
        <v>10507</v>
      </c>
    </row>
    <row r="2419" ht="12.75" customHeight="1">
      <c r="A2419" s="5">
        <v>35628.0</v>
      </c>
      <c r="B2419" s="5" t="s">
        <v>49</v>
      </c>
      <c r="C2419" s="52" t="s">
        <v>50</v>
      </c>
      <c r="D2419" s="5" t="s">
        <v>2614</v>
      </c>
      <c r="E2419" s="7" t="s">
        <v>10508</v>
      </c>
      <c r="F2419" s="5" t="s">
        <v>10450</v>
      </c>
      <c r="G2419" s="5" t="s">
        <v>10496</v>
      </c>
      <c r="H2419" s="5">
        <v>2003.0</v>
      </c>
      <c r="I2419" s="5">
        <v>0.0</v>
      </c>
      <c r="J2419" s="5">
        <v>0.0</v>
      </c>
      <c r="K2419" s="5">
        <v>2.0</v>
      </c>
      <c r="L2419" s="54"/>
      <c r="M2419" s="5" t="s">
        <v>10509</v>
      </c>
      <c r="N2419" s="53" t="s">
        <v>3295</v>
      </c>
      <c r="O2419">
        <v>26.3351</v>
      </c>
      <c r="P2419">
        <v>17.228331</v>
      </c>
      <c r="Q2419" s="5" t="s">
        <v>337</v>
      </c>
      <c r="R2419" s="10">
        <f t="shared" si="10"/>
        <v>1371</v>
      </c>
      <c r="S2419" s="5" t="s">
        <v>10510</v>
      </c>
      <c r="T2419" s="5"/>
      <c r="U2419" s="5" t="s">
        <v>10511</v>
      </c>
      <c r="V2419" s="5" t="s">
        <v>10512</v>
      </c>
    </row>
    <row r="2420" ht="12.75" customHeight="1">
      <c r="A2420" s="5">
        <v>35629.0</v>
      </c>
      <c r="B2420" s="5" t="s">
        <v>68</v>
      </c>
      <c r="C2420" s="5" t="s">
        <v>69</v>
      </c>
      <c r="D2420" s="5" t="s">
        <v>2614</v>
      </c>
      <c r="E2420" s="7" t="s">
        <v>10513</v>
      </c>
      <c r="F2420" s="5" t="s">
        <v>10450</v>
      </c>
      <c r="G2420" s="5" t="s">
        <v>10496</v>
      </c>
      <c r="H2420" s="5">
        <v>2003.0</v>
      </c>
      <c r="I2420" s="5">
        <v>0.0</v>
      </c>
      <c r="J2420" s="5">
        <v>0.0</v>
      </c>
      <c r="K2420" s="5">
        <v>1.0</v>
      </c>
      <c r="L2420" s="54"/>
      <c r="M2420" s="5" t="s">
        <v>10514</v>
      </c>
      <c r="N2420" s="53" t="s">
        <v>3570</v>
      </c>
      <c r="O2420">
        <v>36.828221</v>
      </c>
      <c r="P2420">
        <v>11.940496</v>
      </c>
      <c r="Q2420" s="5" t="s">
        <v>857</v>
      </c>
      <c r="R2420" s="10">
        <f t="shared" si="10"/>
        <v>37</v>
      </c>
      <c r="S2420" s="5" t="s">
        <v>10515</v>
      </c>
      <c r="T2420" s="6" t="s">
        <v>2130</v>
      </c>
      <c r="U2420" s="5" t="s">
        <v>8542</v>
      </c>
      <c r="V2420" s="5" t="s">
        <v>10516</v>
      </c>
    </row>
    <row r="2421" ht="12.75" customHeight="1">
      <c r="A2421" s="5">
        <v>35630.0</v>
      </c>
      <c r="B2421" s="5" t="s">
        <v>49</v>
      </c>
      <c r="C2421" s="52" t="s">
        <v>50</v>
      </c>
      <c r="D2421" s="5" t="s">
        <v>2614</v>
      </c>
      <c r="E2421" s="7" t="s">
        <v>10517</v>
      </c>
      <c r="F2421" s="5" t="s">
        <v>10450</v>
      </c>
      <c r="G2421" s="5" t="s">
        <v>10496</v>
      </c>
      <c r="H2421" s="5">
        <v>2003.0</v>
      </c>
      <c r="I2421" s="5">
        <v>0.0</v>
      </c>
      <c r="J2421" s="5">
        <v>0.0</v>
      </c>
      <c r="K2421" s="5">
        <v>2.0</v>
      </c>
      <c r="L2421" s="54"/>
      <c r="M2421" s="5" t="s">
        <v>10518</v>
      </c>
      <c r="N2421" s="53" t="s">
        <v>5185</v>
      </c>
      <c r="O2421">
        <v>36.748374</v>
      </c>
      <c r="P2421">
        <v>-3.516861</v>
      </c>
      <c r="Q2421" s="5" t="s">
        <v>832</v>
      </c>
      <c r="R2421" s="10">
        <f t="shared" si="10"/>
        <v>69</v>
      </c>
      <c r="S2421" s="5" t="s">
        <v>10519</v>
      </c>
      <c r="T2421" s="6" t="s">
        <v>72</v>
      </c>
      <c r="U2421" s="5" t="s">
        <v>2785</v>
      </c>
      <c r="V2421" s="5" t="s">
        <v>10520</v>
      </c>
    </row>
    <row r="2422" ht="12.75" customHeight="1">
      <c r="A2422" s="5">
        <v>35631.0</v>
      </c>
      <c r="B2422" s="5" t="s">
        <v>2333</v>
      </c>
      <c r="C2422" s="5" t="s">
        <v>124</v>
      </c>
      <c r="D2422" s="5" t="s">
        <v>2614</v>
      </c>
      <c r="E2422" s="7" t="s">
        <v>10521</v>
      </c>
      <c r="F2422" s="5" t="s">
        <v>10450</v>
      </c>
      <c r="G2422" s="5" t="s">
        <v>10496</v>
      </c>
      <c r="H2422" s="5">
        <v>2003.0</v>
      </c>
      <c r="I2422" s="5">
        <v>0.0</v>
      </c>
      <c r="J2422" s="5">
        <v>0.0</v>
      </c>
      <c r="K2422" s="5">
        <v>1.0</v>
      </c>
      <c r="L2422" s="54"/>
      <c r="M2422" s="5" t="s">
        <v>10522</v>
      </c>
      <c r="N2422" s="53" t="s">
        <v>3524</v>
      </c>
      <c r="O2422">
        <v>36.81881</v>
      </c>
      <c r="P2422">
        <v>10.16596</v>
      </c>
      <c r="Q2422" s="5" t="s">
        <v>854</v>
      </c>
      <c r="R2422" s="10">
        <f t="shared" si="10"/>
        <v>540</v>
      </c>
      <c r="S2422" s="5" t="s">
        <v>10523</v>
      </c>
      <c r="T2422" s="6" t="s">
        <v>2130</v>
      </c>
      <c r="U2422" s="5" t="s">
        <v>2326</v>
      </c>
      <c r="V2422" s="5" t="s">
        <v>7579</v>
      </c>
    </row>
    <row r="2423" ht="12.75" customHeight="1">
      <c r="A2423" s="5">
        <v>35632.0</v>
      </c>
      <c r="B2423" s="5" t="s">
        <v>49</v>
      </c>
      <c r="C2423" s="52" t="s">
        <v>50</v>
      </c>
      <c r="D2423" s="5" t="s">
        <v>2614</v>
      </c>
      <c r="E2423" s="7" t="s">
        <v>10524</v>
      </c>
      <c r="F2423" s="5" t="s">
        <v>10450</v>
      </c>
      <c r="G2423" s="5" t="s">
        <v>10525</v>
      </c>
      <c r="H2423" s="5">
        <v>2003.0</v>
      </c>
      <c r="I2423" s="5">
        <v>0.0</v>
      </c>
      <c r="J2423" s="5">
        <v>0.0</v>
      </c>
      <c r="K2423" s="5">
        <v>2.0</v>
      </c>
      <c r="L2423" s="54"/>
      <c r="M2423" s="5" t="s">
        <v>10526</v>
      </c>
      <c r="N2423" s="53" t="s">
        <v>2857</v>
      </c>
      <c r="O2423">
        <v>36.527061</v>
      </c>
      <c r="P2423">
        <v>-6.288596</v>
      </c>
      <c r="Q2423" s="5" t="s">
        <v>802</v>
      </c>
      <c r="R2423" s="10">
        <f t="shared" si="10"/>
        <v>185</v>
      </c>
      <c r="S2423" s="5" t="s">
        <v>10527</v>
      </c>
      <c r="T2423" s="6" t="s">
        <v>72</v>
      </c>
      <c r="U2423" s="5" t="s">
        <v>2785</v>
      </c>
      <c r="V2423" s="5" t="s">
        <v>10528</v>
      </c>
    </row>
    <row r="2424" ht="12.75" customHeight="1">
      <c r="A2424" s="5">
        <v>35633.0</v>
      </c>
      <c r="B2424" s="5" t="s">
        <v>49</v>
      </c>
      <c r="C2424" s="52" t="s">
        <v>50</v>
      </c>
      <c r="D2424" s="5" t="s">
        <v>2852</v>
      </c>
      <c r="E2424" s="7" t="s">
        <v>10529</v>
      </c>
      <c r="F2424" s="5" t="s">
        <v>10450</v>
      </c>
      <c r="G2424" s="5" t="s">
        <v>10525</v>
      </c>
      <c r="H2424" s="5">
        <v>2003.0</v>
      </c>
      <c r="I2424" s="5">
        <v>0.0</v>
      </c>
      <c r="J2424" s="5">
        <v>0.0</v>
      </c>
      <c r="K2424" s="5">
        <v>1.0</v>
      </c>
      <c r="L2424" s="54"/>
      <c r="M2424" s="5" t="s">
        <v>10530</v>
      </c>
      <c r="N2424" s="53" t="s">
        <v>2638</v>
      </c>
      <c r="O2424">
        <v>35.888384</v>
      </c>
      <c r="P2424">
        <v>-5.324636</v>
      </c>
      <c r="Q2424" s="5" t="s">
        <v>717</v>
      </c>
      <c r="R2424" s="10">
        <f t="shared" si="10"/>
        <v>213</v>
      </c>
      <c r="S2424" s="5" t="s">
        <v>10531</v>
      </c>
      <c r="T2424" s="6" t="s">
        <v>72</v>
      </c>
      <c r="U2424" s="5" t="s">
        <v>9274</v>
      </c>
      <c r="V2424" s="5" t="s">
        <v>10528</v>
      </c>
    </row>
    <row r="2425" ht="12.75" customHeight="1">
      <c r="A2425" s="5">
        <v>35634.0</v>
      </c>
      <c r="B2425" s="5" t="s">
        <v>636</v>
      </c>
      <c r="C2425" s="52" t="s">
        <v>50</v>
      </c>
      <c r="D2425" s="5" t="s">
        <v>2852</v>
      </c>
      <c r="E2425" s="7" t="s">
        <v>10529</v>
      </c>
      <c r="F2425" s="5" t="s">
        <v>10450</v>
      </c>
      <c r="G2425" s="5" t="s">
        <v>10525</v>
      </c>
      <c r="H2425" s="5">
        <v>2003.0</v>
      </c>
      <c r="I2425" s="5">
        <v>0.0</v>
      </c>
      <c r="J2425" s="5">
        <v>0.0</v>
      </c>
      <c r="K2425" s="5">
        <v>1.0</v>
      </c>
      <c r="L2425" s="54"/>
      <c r="M2425" s="5" t="s">
        <v>10532</v>
      </c>
      <c r="N2425" s="53" t="s">
        <v>10533</v>
      </c>
      <c r="O2425">
        <v>47.84637</v>
      </c>
      <c r="P2425">
        <v>16.52796</v>
      </c>
      <c r="Q2425" s="5" t="s">
        <v>1398</v>
      </c>
      <c r="R2425" s="10">
        <f t="shared" si="10"/>
        <v>1</v>
      </c>
      <c r="S2425" s="5" t="s">
        <v>10534</v>
      </c>
      <c r="T2425" s="5"/>
      <c r="U2425" s="5" t="s">
        <v>10535</v>
      </c>
      <c r="V2425" s="5" t="s">
        <v>8704</v>
      </c>
    </row>
    <row r="2426" ht="12.75" customHeight="1">
      <c r="A2426" s="5">
        <v>35636.0</v>
      </c>
      <c r="B2426" s="5" t="s">
        <v>49</v>
      </c>
      <c r="C2426" s="52" t="s">
        <v>50</v>
      </c>
      <c r="D2426" s="5" t="s">
        <v>2852</v>
      </c>
      <c r="E2426" s="7" t="s">
        <v>10536</v>
      </c>
      <c r="F2426" s="5" t="s">
        <v>10450</v>
      </c>
      <c r="G2426" s="5" t="s">
        <v>10525</v>
      </c>
      <c r="H2426" s="5">
        <v>2003.0</v>
      </c>
      <c r="I2426" s="5">
        <v>0.0</v>
      </c>
      <c r="J2426" s="5">
        <v>0.0</v>
      </c>
      <c r="K2426" s="5">
        <v>11.0</v>
      </c>
      <c r="L2426" s="54"/>
      <c r="M2426" s="5" t="s">
        <v>10537</v>
      </c>
      <c r="N2426" s="53" t="s">
        <v>2857</v>
      </c>
      <c r="O2426">
        <v>36.527061</v>
      </c>
      <c r="P2426">
        <v>-6.288596</v>
      </c>
      <c r="Q2426" s="5" t="s">
        <v>802</v>
      </c>
      <c r="R2426" s="10">
        <f t="shared" si="10"/>
        <v>185</v>
      </c>
      <c r="S2426" s="5" t="s">
        <v>10538</v>
      </c>
      <c r="T2426" s="6" t="s">
        <v>72</v>
      </c>
      <c r="U2426" s="5" t="s">
        <v>3128</v>
      </c>
      <c r="V2426" s="5"/>
    </row>
    <row r="2427" ht="12.75" customHeight="1">
      <c r="A2427" s="5">
        <v>35635.0</v>
      </c>
      <c r="B2427" s="5" t="s">
        <v>49</v>
      </c>
      <c r="C2427" s="52" t="s">
        <v>50</v>
      </c>
      <c r="D2427" s="5" t="s">
        <v>2852</v>
      </c>
      <c r="E2427" s="7" t="s">
        <v>10536</v>
      </c>
      <c r="F2427" s="5" t="s">
        <v>10450</v>
      </c>
      <c r="G2427" s="5" t="s">
        <v>10525</v>
      </c>
      <c r="H2427" s="5">
        <v>2003.0</v>
      </c>
      <c r="I2427" s="5">
        <v>0.0</v>
      </c>
      <c r="J2427" s="5">
        <v>0.0</v>
      </c>
      <c r="K2427" s="5">
        <v>37.0</v>
      </c>
      <c r="L2427" s="54"/>
      <c r="M2427" s="5" t="s">
        <v>10539</v>
      </c>
      <c r="N2427" s="53" t="s">
        <v>2857</v>
      </c>
      <c r="O2427">
        <v>36.527061</v>
      </c>
      <c r="P2427">
        <v>-6.288596</v>
      </c>
      <c r="Q2427" s="5" t="s">
        <v>802</v>
      </c>
      <c r="R2427" s="10">
        <f t="shared" si="10"/>
        <v>185</v>
      </c>
      <c r="S2427" s="5" t="s">
        <v>10538</v>
      </c>
      <c r="T2427" s="6" t="s">
        <v>72</v>
      </c>
      <c r="U2427" s="5" t="s">
        <v>10540</v>
      </c>
      <c r="V2427" s="5" t="s">
        <v>10541</v>
      </c>
    </row>
    <row r="2428" ht="12.75" customHeight="1">
      <c r="A2428" s="5">
        <v>35637.0</v>
      </c>
      <c r="B2428" s="5" t="s">
        <v>49</v>
      </c>
      <c r="C2428" s="52" t="s">
        <v>50</v>
      </c>
      <c r="D2428" s="5" t="s">
        <v>2852</v>
      </c>
      <c r="E2428" s="7" t="s">
        <v>10542</v>
      </c>
      <c r="F2428" s="5" t="s">
        <v>10450</v>
      </c>
      <c r="G2428" s="5" t="s">
        <v>10525</v>
      </c>
      <c r="H2428" s="5">
        <v>2003.0</v>
      </c>
      <c r="I2428" s="5">
        <v>0.0</v>
      </c>
      <c r="J2428" s="5">
        <v>0.0</v>
      </c>
      <c r="K2428" s="5">
        <v>37.0</v>
      </c>
      <c r="L2428" s="54"/>
      <c r="M2428" s="5" t="s">
        <v>10543</v>
      </c>
      <c r="N2428" s="53" t="s">
        <v>10544</v>
      </c>
      <c r="O2428">
        <v>36.62629</v>
      </c>
      <c r="P2428">
        <v>-6.362981</v>
      </c>
      <c r="Q2428" s="5" t="s">
        <v>813</v>
      </c>
      <c r="R2428" s="10">
        <f t="shared" si="10"/>
        <v>37</v>
      </c>
      <c r="S2428" s="5" t="s">
        <v>10545</v>
      </c>
      <c r="T2428" s="6" t="s">
        <v>72</v>
      </c>
      <c r="U2428" s="5" t="s">
        <v>3128</v>
      </c>
      <c r="V2428" s="5"/>
    </row>
    <row r="2429" ht="12.75" customHeight="1">
      <c r="A2429" s="5">
        <v>35640.0</v>
      </c>
      <c r="B2429" s="5" t="s">
        <v>49</v>
      </c>
      <c r="C2429" s="52" t="s">
        <v>50</v>
      </c>
      <c r="D2429" s="5" t="s">
        <v>2852</v>
      </c>
      <c r="E2429" s="7" t="s">
        <v>10546</v>
      </c>
      <c r="F2429" s="5" t="s">
        <v>10450</v>
      </c>
      <c r="G2429" s="5" t="s">
        <v>10525</v>
      </c>
      <c r="H2429" s="5">
        <v>2003.0</v>
      </c>
      <c r="I2429" s="5">
        <v>0.0</v>
      </c>
      <c r="J2429" s="5">
        <v>0.0</v>
      </c>
      <c r="K2429" s="5">
        <v>22.0</v>
      </c>
      <c r="L2429" s="54"/>
      <c r="M2429" s="5" t="s">
        <v>10547</v>
      </c>
      <c r="N2429" s="53" t="s">
        <v>3524</v>
      </c>
      <c r="O2429">
        <v>36.81881</v>
      </c>
      <c r="P2429">
        <v>10.16596</v>
      </c>
      <c r="Q2429" s="5" t="s">
        <v>854</v>
      </c>
      <c r="R2429" s="10">
        <f t="shared" si="10"/>
        <v>540</v>
      </c>
      <c r="S2429" s="5" t="s">
        <v>10548</v>
      </c>
      <c r="T2429" s="6" t="s">
        <v>2130</v>
      </c>
      <c r="U2429" s="5" t="s">
        <v>10549</v>
      </c>
      <c r="V2429" s="5" t="s">
        <v>10550</v>
      </c>
    </row>
    <row r="2430" ht="12.75" customHeight="1">
      <c r="A2430" s="5">
        <v>35639.0</v>
      </c>
      <c r="B2430" s="5" t="s">
        <v>49</v>
      </c>
      <c r="C2430" s="52" t="s">
        <v>50</v>
      </c>
      <c r="D2430" s="5" t="s">
        <v>2852</v>
      </c>
      <c r="E2430" s="7" t="s">
        <v>10546</v>
      </c>
      <c r="F2430" s="5" t="s">
        <v>10450</v>
      </c>
      <c r="G2430" s="5" t="s">
        <v>10525</v>
      </c>
      <c r="H2430" s="5">
        <v>2003.0</v>
      </c>
      <c r="I2430" s="5">
        <v>0.0</v>
      </c>
      <c r="J2430" s="5">
        <v>0.0</v>
      </c>
      <c r="K2430" s="5">
        <v>5.0</v>
      </c>
      <c r="L2430" s="54"/>
      <c r="M2430" s="5" t="s">
        <v>10551</v>
      </c>
      <c r="N2430" s="53" t="s">
        <v>3524</v>
      </c>
      <c r="O2430">
        <v>36.81881</v>
      </c>
      <c r="P2430">
        <v>10.16596</v>
      </c>
      <c r="Q2430" s="5" t="s">
        <v>854</v>
      </c>
      <c r="R2430" s="10">
        <f t="shared" si="10"/>
        <v>540</v>
      </c>
      <c r="S2430" s="5" t="s">
        <v>10548</v>
      </c>
      <c r="T2430" s="6" t="s">
        <v>2130</v>
      </c>
      <c r="U2430" s="5" t="s">
        <v>10552</v>
      </c>
      <c r="V2430" s="5"/>
    </row>
    <row r="2431" ht="12.75" customHeight="1">
      <c r="A2431" s="5">
        <v>35638.0</v>
      </c>
      <c r="B2431" s="5" t="s">
        <v>49</v>
      </c>
      <c r="C2431" s="52" t="s">
        <v>50</v>
      </c>
      <c r="D2431" s="5" t="s">
        <v>2852</v>
      </c>
      <c r="E2431" s="7" t="s">
        <v>10546</v>
      </c>
      <c r="F2431" s="5" t="s">
        <v>10450</v>
      </c>
      <c r="G2431" s="5" t="s">
        <v>10525</v>
      </c>
      <c r="H2431" s="5">
        <v>2003.0</v>
      </c>
      <c r="I2431" s="5">
        <v>0.0</v>
      </c>
      <c r="J2431" s="5">
        <v>0.0</v>
      </c>
      <c r="K2431" s="5">
        <v>6.0</v>
      </c>
      <c r="L2431" s="54"/>
      <c r="M2431" s="5" t="s">
        <v>10553</v>
      </c>
      <c r="N2431" s="53" t="s">
        <v>3524</v>
      </c>
      <c r="O2431">
        <v>36.81881</v>
      </c>
      <c r="P2431">
        <v>10.16596</v>
      </c>
      <c r="Q2431" s="5" t="s">
        <v>854</v>
      </c>
      <c r="R2431" s="10">
        <f t="shared" si="10"/>
        <v>540</v>
      </c>
      <c r="S2431" s="5" t="s">
        <v>10548</v>
      </c>
      <c r="T2431" s="6" t="s">
        <v>2130</v>
      </c>
      <c r="U2431" s="5" t="s">
        <v>10554</v>
      </c>
      <c r="V2431" s="5"/>
    </row>
    <row r="2432" ht="12.75" customHeight="1">
      <c r="A2432" s="5">
        <v>35641.0</v>
      </c>
      <c r="B2432" s="5" t="s">
        <v>491</v>
      </c>
      <c r="C2432" s="52" t="s">
        <v>50</v>
      </c>
      <c r="D2432" s="5" t="s">
        <v>2852</v>
      </c>
      <c r="E2432" s="7" t="s">
        <v>10555</v>
      </c>
      <c r="F2432" s="5" t="s">
        <v>10450</v>
      </c>
      <c r="G2432" s="5" t="s">
        <v>10525</v>
      </c>
      <c r="H2432" s="5">
        <v>2003.0</v>
      </c>
      <c r="I2432" s="5">
        <v>0.0</v>
      </c>
      <c r="J2432" s="5">
        <v>0.0</v>
      </c>
      <c r="K2432" s="5">
        <v>13.0</v>
      </c>
      <c r="L2432" s="54"/>
      <c r="M2432" s="5" t="s">
        <v>10556</v>
      </c>
      <c r="N2432" s="53" t="s">
        <v>2700</v>
      </c>
      <c r="O2432">
        <v>35.508622</v>
      </c>
      <c r="P2432">
        <v>12.59292</v>
      </c>
      <c r="Q2432" s="5" t="s">
        <v>669</v>
      </c>
      <c r="R2432" s="10">
        <f t="shared" si="10"/>
        <v>3843</v>
      </c>
      <c r="S2432" s="5" t="s">
        <v>10557</v>
      </c>
      <c r="T2432" s="6" t="s">
        <v>2130</v>
      </c>
      <c r="U2432" s="5" t="s">
        <v>10558</v>
      </c>
      <c r="V2432" s="5" t="s">
        <v>10559</v>
      </c>
    </row>
    <row r="2433" ht="12.75" customHeight="1">
      <c r="A2433" s="5">
        <v>35642.0</v>
      </c>
      <c r="B2433" s="5" t="s">
        <v>2962</v>
      </c>
      <c r="C2433" s="5" t="s">
        <v>211</v>
      </c>
      <c r="D2433" s="5" t="s">
        <v>2852</v>
      </c>
      <c r="E2433" s="7" t="s">
        <v>10555</v>
      </c>
      <c r="F2433" s="5" t="s">
        <v>10450</v>
      </c>
      <c r="G2433" s="5" t="s">
        <v>10525</v>
      </c>
      <c r="H2433" s="5">
        <v>2003.0</v>
      </c>
      <c r="I2433" s="5">
        <v>0.0</v>
      </c>
      <c r="J2433" s="5">
        <v>0.0</v>
      </c>
      <c r="K2433" s="5">
        <v>1.0</v>
      </c>
      <c r="L2433" s="54"/>
      <c r="M2433" s="5" t="s">
        <v>10560</v>
      </c>
      <c r="N2433" s="53" t="s">
        <v>10561</v>
      </c>
      <c r="O2433">
        <v>51.497303</v>
      </c>
      <c r="P2433">
        <v>0.0899</v>
      </c>
      <c r="Q2433" s="5" t="s">
        <v>1660</v>
      </c>
      <c r="R2433" s="10">
        <f t="shared" si="10"/>
        <v>1</v>
      </c>
      <c r="S2433" s="5" t="s">
        <v>10562</v>
      </c>
      <c r="T2433" s="5"/>
      <c r="U2433" s="5" t="s">
        <v>10563</v>
      </c>
      <c r="V2433" s="5"/>
    </row>
    <row r="2434" ht="12.75" customHeight="1">
      <c r="A2434" s="5">
        <v>35645.0</v>
      </c>
      <c r="B2434" s="5" t="s">
        <v>491</v>
      </c>
      <c r="C2434" s="52" t="s">
        <v>50</v>
      </c>
      <c r="D2434" s="5" t="s">
        <v>2852</v>
      </c>
      <c r="E2434" s="7" t="s">
        <v>10564</v>
      </c>
      <c r="F2434" s="5" t="s">
        <v>10450</v>
      </c>
      <c r="G2434" s="5" t="s">
        <v>10525</v>
      </c>
      <c r="H2434" s="5">
        <v>2003.0</v>
      </c>
      <c r="I2434" s="5">
        <v>0.0</v>
      </c>
      <c r="J2434" s="5">
        <v>0.0</v>
      </c>
      <c r="K2434" s="5">
        <v>50.0</v>
      </c>
      <c r="L2434" s="54"/>
      <c r="M2434" s="5" t="s">
        <v>10565</v>
      </c>
      <c r="N2434" s="53" t="s">
        <v>2928</v>
      </c>
      <c r="O2434">
        <v>26.3351</v>
      </c>
      <c r="P2434">
        <v>17.228331</v>
      </c>
      <c r="Q2434" s="5" t="s">
        <v>337</v>
      </c>
      <c r="R2434" s="10">
        <f t="shared" si="10"/>
        <v>1371</v>
      </c>
      <c r="S2434" s="5" t="s">
        <v>10566</v>
      </c>
      <c r="T2434" s="6" t="s">
        <v>2130</v>
      </c>
      <c r="U2434" s="5" t="s">
        <v>10567</v>
      </c>
      <c r="V2434" s="5"/>
    </row>
    <row r="2435" ht="12.75" customHeight="1">
      <c r="A2435" s="5">
        <v>35644.0</v>
      </c>
      <c r="B2435" s="5" t="s">
        <v>491</v>
      </c>
      <c r="C2435" s="52" t="s">
        <v>50</v>
      </c>
      <c r="D2435" s="5" t="s">
        <v>2852</v>
      </c>
      <c r="E2435" s="7" t="s">
        <v>10564</v>
      </c>
      <c r="F2435" s="5" t="s">
        <v>10450</v>
      </c>
      <c r="G2435" s="5" t="s">
        <v>10525</v>
      </c>
      <c r="H2435" s="5">
        <v>2003.0</v>
      </c>
      <c r="I2435" s="5">
        <v>0.0</v>
      </c>
      <c r="J2435" s="5">
        <v>0.0</v>
      </c>
      <c r="K2435" s="5">
        <v>12.0</v>
      </c>
      <c r="L2435" s="54"/>
      <c r="M2435" s="5" t="s">
        <v>10568</v>
      </c>
      <c r="N2435" s="53" t="s">
        <v>2700</v>
      </c>
      <c r="O2435">
        <v>35.508622</v>
      </c>
      <c r="P2435">
        <v>12.59292</v>
      </c>
      <c r="Q2435" s="5" t="s">
        <v>669</v>
      </c>
      <c r="R2435" s="10">
        <f t="shared" si="10"/>
        <v>3843</v>
      </c>
      <c r="S2435" s="5" t="s">
        <v>10569</v>
      </c>
      <c r="T2435" s="6" t="s">
        <v>2130</v>
      </c>
      <c r="U2435" s="5" t="s">
        <v>10570</v>
      </c>
      <c r="V2435" s="5"/>
    </row>
    <row r="2436" ht="12.75" customHeight="1">
      <c r="A2436" s="5">
        <v>35643.0</v>
      </c>
      <c r="B2436" s="5" t="s">
        <v>491</v>
      </c>
      <c r="C2436" s="52" t="s">
        <v>50</v>
      </c>
      <c r="D2436" s="5" t="s">
        <v>2852</v>
      </c>
      <c r="E2436" s="7" t="s">
        <v>10564</v>
      </c>
      <c r="F2436" s="5" t="s">
        <v>10450</v>
      </c>
      <c r="G2436" s="5" t="s">
        <v>10525</v>
      </c>
      <c r="H2436" s="5">
        <v>2003.0</v>
      </c>
      <c r="I2436" s="5">
        <v>0.0</v>
      </c>
      <c r="J2436" s="5">
        <v>0.0</v>
      </c>
      <c r="K2436" s="5">
        <v>1.0</v>
      </c>
      <c r="L2436" s="54"/>
      <c r="M2436" s="5" t="s">
        <v>10571</v>
      </c>
      <c r="N2436" s="53" t="s">
        <v>2700</v>
      </c>
      <c r="O2436">
        <v>35.508622</v>
      </c>
      <c r="P2436">
        <v>12.59292</v>
      </c>
      <c r="Q2436" s="5" t="s">
        <v>669</v>
      </c>
      <c r="R2436" s="10">
        <f t="shared" si="10"/>
        <v>3843</v>
      </c>
      <c r="S2436" s="5" t="s">
        <v>10569</v>
      </c>
      <c r="T2436" s="6" t="s">
        <v>2130</v>
      </c>
      <c r="U2436" s="5" t="s">
        <v>10572</v>
      </c>
      <c r="V2436" s="5"/>
    </row>
    <row r="2437" ht="12.75" customHeight="1">
      <c r="A2437" s="5">
        <v>35646.0</v>
      </c>
      <c r="B2437" s="5" t="s">
        <v>49</v>
      </c>
      <c r="C2437" s="52" t="s">
        <v>50</v>
      </c>
      <c r="D2437" s="5" t="s">
        <v>2852</v>
      </c>
      <c r="E2437" s="7" t="s">
        <v>10573</v>
      </c>
      <c r="F2437" s="5" t="s">
        <v>10450</v>
      </c>
      <c r="G2437" s="5" t="s">
        <v>10525</v>
      </c>
      <c r="H2437" s="5">
        <v>2003.0</v>
      </c>
      <c r="I2437" s="5">
        <v>0.0</v>
      </c>
      <c r="J2437" s="5">
        <v>0.0</v>
      </c>
      <c r="K2437" s="5">
        <v>4.0</v>
      </c>
      <c r="L2437" s="54"/>
      <c r="M2437" s="5" t="s">
        <v>10574</v>
      </c>
      <c r="N2437" s="53" t="s">
        <v>10575</v>
      </c>
      <c r="O2437">
        <v>35.183333</v>
      </c>
      <c r="P2437">
        <v>-6.15</v>
      </c>
      <c r="Q2437" s="5" t="s">
        <v>635</v>
      </c>
      <c r="R2437" s="10">
        <f t="shared" si="10"/>
        <v>87</v>
      </c>
      <c r="S2437" s="5" t="s">
        <v>10576</v>
      </c>
      <c r="T2437" s="6" t="s">
        <v>72</v>
      </c>
      <c r="U2437" s="5" t="s">
        <v>9765</v>
      </c>
      <c r="V2437" s="5"/>
    </row>
    <row r="2438" ht="12.75" customHeight="1">
      <c r="A2438" s="5">
        <v>35649.0</v>
      </c>
      <c r="B2438" s="5" t="s">
        <v>491</v>
      </c>
      <c r="C2438" s="52" t="s">
        <v>50</v>
      </c>
      <c r="D2438" s="5" t="s">
        <v>2852</v>
      </c>
      <c r="E2438" s="7" t="s">
        <v>10577</v>
      </c>
      <c r="F2438" s="5" t="s">
        <v>10450</v>
      </c>
      <c r="G2438" s="5" t="s">
        <v>10525</v>
      </c>
      <c r="H2438" s="5">
        <v>2003.0</v>
      </c>
      <c r="I2438" s="5">
        <v>0.0</v>
      </c>
      <c r="J2438" s="5">
        <v>0.0</v>
      </c>
      <c r="K2438" s="5">
        <v>1.0</v>
      </c>
      <c r="L2438" s="54"/>
      <c r="M2438" s="5" t="s">
        <v>10578</v>
      </c>
      <c r="N2438" s="53" t="s">
        <v>2700</v>
      </c>
      <c r="O2438">
        <v>35.508622</v>
      </c>
      <c r="P2438">
        <v>12.59292</v>
      </c>
      <c r="Q2438" s="5" t="s">
        <v>669</v>
      </c>
      <c r="R2438" s="10">
        <f t="shared" si="10"/>
        <v>3843</v>
      </c>
      <c r="S2438" s="5" t="s">
        <v>10579</v>
      </c>
      <c r="T2438" s="6" t="s">
        <v>2130</v>
      </c>
      <c r="U2438" s="5" t="s">
        <v>10580</v>
      </c>
      <c r="V2438" s="5"/>
    </row>
    <row r="2439" ht="12.75" customHeight="1">
      <c r="A2439" s="5">
        <v>35648.0</v>
      </c>
      <c r="B2439" s="5" t="s">
        <v>49</v>
      </c>
      <c r="C2439" s="52" t="s">
        <v>50</v>
      </c>
      <c r="D2439" s="5" t="s">
        <v>2852</v>
      </c>
      <c r="E2439" s="7" t="s">
        <v>10577</v>
      </c>
      <c r="F2439" s="5" t="s">
        <v>10450</v>
      </c>
      <c r="G2439" s="5" t="s">
        <v>10525</v>
      </c>
      <c r="H2439" s="5">
        <v>2003.0</v>
      </c>
      <c r="I2439" s="5">
        <v>0.0</v>
      </c>
      <c r="J2439" s="5">
        <v>0.0</v>
      </c>
      <c r="K2439" s="5">
        <v>8.0</v>
      </c>
      <c r="L2439" s="54"/>
      <c r="M2439" s="5" t="s">
        <v>10581</v>
      </c>
      <c r="N2439" s="53" t="s">
        <v>2700</v>
      </c>
      <c r="O2439">
        <v>35.508622</v>
      </c>
      <c r="P2439">
        <v>12.59292</v>
      </c>
      <c r="Q2439" s="5" t="s">
        <v>669</v>
      </c>
      <c r="R2439" s="10">
        <f t="shared" si="10"/>
        <v>3843</v>
      </c>
      <c r="S2439" s="5" t="s">
        <v>10579</v>
      </c>
      <c r="T2439" s="6" t="s">
        <v>2130</v>
      </c>
      <c r="U2439" s="5" t="s">
        <v>10582</v>
      </c>
      <c r="V2439" s="5"/>
    </row>
    <row r="2440" ht="12.75" customHeight="1">
      <c r="A2440" s="5">
        <v>35647.0</v>
      </c>
      <c r="B2440" s="5" t="s">
        <v>491</v>
      </c>
      <c r="C2440" s="52" t="s">
        <v>50</v>
      </c>
      <c r="D2440" s="5" t="s">
        <v>2852</v>
      </c>
      <c r="E2440" s="7" t="s">
        <v>10577</v>
      </c>
      <c r="F2440" s="5" t="s">
        <v>10450</v>
      </c>
      <c r="G2440" s="5" t="s">
        <v>10525</v>
      </c>
      <c r="H2440" s="5">
        <v>2003.0</v>
      </c>
      <c r="I2440" s="5">
        <v>0.0</v>
      </c>
      <c r="J2440" s="5">
        <v>0.0</v>
      </c>
      <c r="K2440" s="5">
        <v>2.0</v>
      </c>
      <c r="L2440" s="54"/>
      <c r="M2440" s="5" t="s">
        <v>10583</v>
      </c>
      <c r="N2440" s="53" t="s">
        <v>2700</v>
      </c>
      <c r="O2440">
        <v>35.508622</v>
      </c>
      <c r="P2440">
        <v>12.59292</v>
      </c>
      <c r="Q2440" s="5" t="s">
        <v>669</v>
      </c>
      <c r="R2440" s="10">
        <f t="shared" si="10"/>
        <v>3843</v>
      </c>
      <c r="S2440" s="5" t="s">
        <v>10579</v>
      </c>
      <c r="T2440" s="6" t="s">
        <v>2130</v>
      </c>
      <c r="U2440" s="5" t="s">
        <v>10584</v>
      </c>
      <c r="V2440" s="5"/>
    </row>
    <row r="2441" ht="12.75" customHeight="1">
      <c r="A2441" s="5">
        <v>35651.0</v>
      </c>
      <c r="B2441" s="5" t="s">
        <v>68</v>
      </c>
      <c r="C2441" s="5" t="s">
        <v>69</v>
      </c>
      <c r="D2441" s="5" t="s">
        <v>2614</v>
      </c>
      <c r="E2441" s="7" t="s">
        <v>10585</v>
      </c>
      <c r="F2441" s="5" t="s">
        <v>10450</v>
      </c>
      <c r="G2441" s="5" t="s">
        <v>10525</v>
      </c>
      <c r="H2441" s="5">
        <v>2003.0</v>
      </c>
      <c r="I2441" s="5">
        <v>0.0</v>
      </c>
      <c r="J2441" s="5">
        <v>0.0</v>
      </c>
      <c r="K2441" s="5">
        <v>11.0</v>
      </c>
      <c r="L2441" s="54"/>
      <c r="M2441" s="5" t="s">
        <v>10586</v>
      </c>
      <c r="N2441" s="53" t="s">
        <v>2700</v>
      </c>
      <c r="O2441">
        <v>35.508622</v>
      </c>
      <c r="P2441">
        <v>12.59292</v>
      </c>
      <c r="Q2441" s="5" t="s">
        <v>669</v>
      </c>
      <c r="R2441" s="10">
        <f t="shared" si="10"/>
        <v>3843</v>
      </c>
      <c r="S2441" s="5" t="s">
        <v>10587</v>
      </c>
      <c r="T2441" s="6" t="s">
        <v>2130</v>
      </c>
      <c r="U2441" s="5" t="s">
        <v>8502</v>
      </c>
      <c r="V2441" s="5" t="s">
        <v>10588</v>
      </c>
    </row>
    <row r="2442" ht="12.75" customHeight="1">
      <c r="A2442" s="5">
        <v>35652.0</v>
      </c>
      <c r="B2442" s="5" t="s">
        <v>636</v>
      </c>
      <c r="C2442" s="52" t="s">
        <v>50</v>
      </c>
      <c r="D2442" s="5" t="s">
        <v>2852</v>
      </c>
      <c r="E2442" s="7" t="s">
        <v>10585</v>
      </c>
      <c r="F2442" s="5" t="s">
        <v>10450</v>
      </c>
      <c r="G2442" s="5" t="s">
        <v>10525</v>
      </c>
      <c r="H2442" s="5">
        <v>2003.0</v>
      </c>
      <c r="I2442" s="5">
        <v>0.0</v>
      </c>
      <c r="J2442" s="5">
        <v>0.0</v>
      </c>
      <c r="K2442" s="5">
        <v>1.0</v>
      </c>
      <c r="L2442" s="54"/>
      <c r="M2442" s="5" t="s">
        <v>10589</v>
      </c>
      <c r="N2442" s="53" t="s">
        <v>3570</v>
      </c>
      <c r="O2442">
        <v>36.828221</v>
      </c>
      <c r="P2442">
        <v>11.940496</v>
      </c>
      <c r="Q2442" s="5" t="s">
        <v>857</v>
      </c>
      <c r="R2442" s="10">
        <f t="shared" si="10"/>
        <v>37</v>
      </c>
      <c r="S2442" s="5" t="s">
        <v>10590</v>
      </c>
      <c r="T2442" s="6" t="s">
        <v>2130</v>
      </c>
      <c r="U2442" s="5" t="s">
        <v>10591</v>
      </c>
      <c r="V2442" s="5"/>
    </row>
    <row r="2443" ht="12.75" customHeight="1">
      <c r="A2443" s="5">
        <v>35650.0</v>
      </c>
      <c r="B2443" s="5" t="s">
        <v>68</v>
      </c>
      <c r="C2443" s="5" t="s">
        <v>69</v>
      </c>
      <c r="D2443" s="5" t="s">
        <v>2614</v>
      </c>
      <c r="E2443" s="7" t="s">
        <v>10585</v>
      </c>
      <c r="F2443" s="5" t="s">
        <v>10450</v>
      </c>
      <c r="G2443" s="5" t="s">
        <v>10525</v>
      </c>
      <c r="H2443" s="5">
        <v>2003.0</v>
      </c>
      <c r="I2443" s="5">
        <v>0.0</v>
      </c>
      <c r="J2443" s="5">
        <v>0.0</v>
      </c>
      <c r="K2443" s="5">
        <v>1.0</v>
      </c>
      <c r="L2443" s="54"/>
      <c r="M2443" s="5" t="s">
        <v>10592</v>
      </c>
      <c r="N2443" s="53" t="s">
        <v>3328</v>
      </c>
      <c r="O2443">
        <v>48.856614</v>
      </c>
      <c r="P2443">
        <v>2.352222</v>
      </c>
      <c r="Q2443" s="5" t="s">
        <v>3329</v>
      </c>
      <c r="R2443" s="10">
        <f t="shared" si="10"/>
        <v>30</v>
      </c>
      <c r="S2443" s="5" t="s">
        <v>10593</v>
      </c>
      <c r="T2443" s="5"/>
      <c r="U2443" s="5" t="s">
        <v>10594</v>
      </c>
      <c r="V2443" s="5" t="s">
        <v>10595</v>
      </c>
    </row>
    <row r="2444" ht="12.75" customHeight="1">
      <c r="A2444" s="5">
        <v>35653.0</v>
      </c>
      <c r="B2444" s="5" t="s">
        <v>2962</v>
      </c>
      <c r="C2444" s="5" t="s">
        <v>211</v>
      </c>
      <c r="D2444" s="5" t="s">
        <v>2852</v>
      </c>
      <c r="E2444" s="7" t="s">
        <v>10585</v>
      </c>
      <c r="F2444" s="5" t="s">
        <v>10450</v>
      </c>
      <c r="G2444" s="5" t="s">
        <v>10525</v>
      </c>
      <c r="H2444" s="5">
        <v>2003.0</v>
      </c>
      <c r="I2444" s="5">
        <v>0.0</v>
      </c>
      <c r="J2444" s="5">
        <v>0.0</v>
      </c>
      <c r="K2444" s="5">
        <v>1.0</v>
      </c>
      <c r="L2444" s="54"/>
      <c r="M2444" s="5" t="s">
        <v>10596</v>
      </c>
      <c r="N2444" s="53" t="s">
        <v>8164</v>
      </c>
      <c r="O2444">
        <v>52.135973</v>
      </c>
      <c r="P2444">
        <v>-0.466655</v>
      </c>
      <c r="Q2444" s="5" t="s">
        <v>1720</v>
      </c>
      <c r="R2444" s="10">
        <f t="shared" si="10"/>
        <v>2</v>
      </c>
      <c r="S2444" s="5" t="s">
        <v>10597</v>
      </c>
      <c r="T2444" s="5"/>
      <c r="U2444" s="5" t="s">
        <v>9906</v>
      </c>
      <c r="V2444" s="5"/>
    </row>
    <row r="2445" ht="12.75" customHeight="1">
      <c r="A2445" s="5">
        <v>35654.0</v>
      </c>
      <c r="B2445" s="5" t="s">
        <v>49</v>
      </c>
      <c r="C2445" s="52" t="s">
        <v>50</v>
      </c>
      <c r="D2445" s="5" t="s">
        <v>2852</v>
      </c>
      <c r="E2445" s="7" t="s">
        <v>10598</v>
      </c>
      <c r="F2445" s="5" t="s">
        <v>10450</v>
      </c>
      <c r="G2445" s="5" t="s">
        <v>10525</v>
      </c>
      <c r="H2445" s="5">
        <v>2003.0</v>
      </c>
      <c r="I2445" s="5">
        <v>0.0</v>
      </c>
      <c r="J2445" s="5">
        <v>0.0</v>
      </c>
      <c r="K2445" s="5">
        <v>11.0</v>
      </c>
      <c r="L2445" s="54"/>
      <c r="M2445" s="5" t="s">
        <v>10599</v>
      </c>
      <c r="N2445" s="53" t="s">
        <v>7822</v>
      </c>
      <c r="O2445">
        <v>35.010802</v>
      </c>
      <c r="P2445">
        <v>-7.514648</v>
      </c>
      <c r="Q2445" s="5" t="s">
        <v>614</v>
      </c>
      <c r="R2445" s="10">
        <f t="shared" si="10"/>
        <v>117</v>
      </c>
      <c r="S2445" s="5" t="s">
        <v>10600</v>
      </c>
      <c r="T2445" s="6" t="s">
        <v>72</v>
      </c>
      <c r="U2445" s="5" t="s">
        <v>10439</v>
      </c>
      <c r="V2445" s="5"/>
    </row>
    <row r="2446" ht="12.75" customHeight="1">
      <c r="A2446" s="5">
        <v>35655.0</v>
      </c>
      <c r="B2446" s="5" t="s">
        <v>49</v>
      </c>
      <c r="C2446" s="52" t="s">
        <v>50</v>
      </c>
      <c r="D2446" s="5" t="s">
        <v>2614</v>
      </c>
      <c r="E2446" s="7" t="s">
        <v>10601</v>
      </c>
      <c r="F2446" s="5" t="s">
        <v>10450</v>
      </c>
      <c r="G2446" s="5" t="s">
        <v>10525</v>
      </c>
      <c r="H2446" s="5">
        <v>2003.0</v>
      </c>
      <c r="I2446" s="5">
        <v>0.0</v>
      </c>
      <c r="J2446" s="5">
        <v>0.0</v>
      </c>
      <c r="K2446" s="5">
        <v>2.0</v>
      </c>
      <c r="L2446" s="54"/>
      <c r="M2446" s="5" t="s">
        <v>10602</v>
      </c>
      <c r="N2446" s="53" t="s">
        <v>5666</v>
      </c>
      <c r="O2446">
        <v>27.759555</v>
      </c>
      <c r="P2446">
        <v>-15.57903</v>
      </c>
      <c r="Q2446" s="5" t="s">
        <v>353</v>
      </c>
      <c r="R2446" s="10">
        <f t="shared" si="10"/>
        <v>5</v>
      </c>
      <c r="S2446" s="5" t="s">
        <v>10603</v>
      </c>
      <c r="T2446" s="5" t="s">
        <v>1040</v>
      </c>
      <c r="U2446" s="5" t="s">
        <v>2785</v>
      </c>
      <c r="V2446" s="5" t="s">
        <v>10604</v>
      </c>
    </row>
    <row r="2447" ht="12.75" customHeight="1">
      <c r="A2447" s="5">
        <v>35657.0</v>
      </c>
      <c r="B2447" s="5" t="s">
        <v>49</v>
      </c>
      <c r="C2447" s="52" t="s">
        <v>50</v>
      </c>
      <c r="D2447" s="5" t="s">
        <v>2614</v>
      </c>
      <c r="E2447" s="7" t="s">
        <v>10605</v>
      </c>
      <c r="F2447" s="5" t="s">
        <v>10450</v>
      </c>
      <c r="G2447" s="5" t="s">
        <v>10525</v>
      </c>
      <c r="H2447" s="5">
        <v>2003.0</v>
      </c>
      <c r="I2447" s="5">
        <v>0.0</v>
      </c>
      <c r="J2447" s="5">
        <v>0.0</v>
      </c>
      <c r="K2447" s="5">
        <v>1.0</v>
      </c>
      <c r="L2447" s="54"/>
      <c r="M2447" s="5" t="s">
        <v>10606</v>
      </c>
      <c r="N2447" s="53" t="s">
        <v>2700</v>
      </c>
      <c r="O2447">
        <v>35.508622</v>
      </c>
      <c r="P2447">
        <v>12.59292</v>
      </c>
      <c r="Q2447" s="5" t="s">
        <v>669</v>
      </c>
      <c r="R2447" s="10">
        <f t="shared" si="10"/>
        <v>3843</v>
      </c>
      <c r="S2447" s="5" t="s">
        <v>10607</v>
      </c>
      <c r="T2447" s="6" t="s">
        <v>2130</v>
      </c>
      <c r="U2447" s="5" t="s">
        <v>2326</v>
      </c>
      <c r="V2447" s="5" t="s">
        <v>7579</v>
      </c>
    </row>
    <row r="2448" ht="12.75" customHeight="1">
      <c r="A2448" s="5">
        <v>35656.0</v>
      </c>
      <c r="B2448" s="5" t="s">
        <v>41</v>
      </c>
      <c r="C2448" s="5" t="s">
        <v>42</v>
      </c>
      <c r="D2448" s="5" t="s">
        <v>2614</v>
      </c>
      <c r="E2448" s="7" t="s">
        <v>10605</v>
      </c>
      <c r="F2448" s="5" t="s">
        <v>10450</v>
      </c>
      <c r="G2448" s="5" t="s">
        <v>10525</v>
      </c>
      <c r="H2448" s="5">
        <v>2003.0</v>
      </c>
      <c r="I2448" s="5">
        <v>0.0</v>
      </c>
      <c r="J2448" s="5">
        <v>0.0</v>
      </c>
      <c r="K2448" s="5">
        <v>1.0</v>
      </c>
      <c r="L2448" s="54"/>
      <c r="M2448" s="5" t="s">
        <v>10608</v>
      </c>
      <c r="N2448" s="53" t="s">
        <v>2638</v>
      </c>
      <c r="O2448">
        <v>35.888384</v>
      </c>
      <c r="P2448">
        <v>-5.324636</v>
      </c>
      <c r="Q2448" s="5" t="s">
        <v>717</v>
      </c>
      <c r="R2448" s="10">
        <f t="shared" si="10"/>
        <v>213</v>
      </c>
      <c r="S2448" s="5" t="s">
        <v>10609</v>
      </c>
      <c r="T2448" s="6" t="s">
        <v>72</v>
      </c>
      <c r="U2448" s="5" t="s">
        <v>2785</v>
      </c>
      <c r="V2448" s="5" t="s">
        <v>10610</v>
      </c>
    </row>
    <row r="2449" ht="12.75" customHeight="1">
      <c r="A2449" s="5">
        <v>35658.0</v>
      </c>
      <c r="B2449" s="5" t="s">
        <v>49</v>
      </c>
      <c r="C2449" s="52" t="s">
        <v>50</v>
      </c>
      <c r="D2449" s="5" t="s">
        <v>2614</v>
      </c>
      <c r="E2449" s="7" t="s">
        <v>10605</v>
      </c>
      <c r="F2449" s="5" t="s">
        <v>10450</v>
      </c>
      <c r="G2449" s="5" t="s">
        <v>10525</v>
      </c>
      <c r="H2449" s="5">
        <v>2003.0</v>
      </c>
      <c r="I2449" s="5">
        <v>0.0</v>
      </c>
      <c r="J2449" s="5">
        <v>0.0</v>
      </c>
      <c r="K2449" s="5">
        <v>5.0</v>
      </c>
      <c r="L2449" s="54"/>
      <c r="M2449" s="5" t="s">
        <v>10611</v>
      </c>
      <c r="N2449" s="53" t="s">
        <v>8378</v>
      </c>
      <c r="O2449">
        <v>38.523604</v>
      </c>
      <c r="P2449">
        <v>23.858474</v>
      </c>
      <c r="Q2449" s="5" t="s">
        <v>1030</v>
      </c>
      <c r="R2449" s="10">
        <f t="shared" si="10"/>
        <v>70</v>
      </c>
      <c r="S2449" s="5" t="s">
        <v>10612</v>
      </c>
      <c r="T2449" s="6" t="s">
        <v>53</v>
      </c>
      <c r="U2449" s="5" t="s">
        <v>2326</v>
      </c>
      <c r="V2449" s="5" t="s">
        <v>7579</v>
      </c>
    </row>
    <row r="2450" ht="12.75" customHeight="1">
      <c r="A2450" s="5">
        <v>35762.0</v>
      </c>
      <c r="B2450" s="5" t="s">
        <v>49</v>
      </c>
      <c r="C2450" s="52" t="s">
        <v>50</v>
      </c>
      <c r="D2450" s="5" t="s">
        <v>2852</v>
      </c>
      <c r="E2450" s="7" t="s">
        <v>10613</v>
      </c>
      <c r="F2450" s="5" t="s">
        <v>10351</v>
      </c>
      <c r="G2450" s="5" t="s">
        <v>10614</v>
      </c>
      <c r="H2450" s="5">
        <v>2003.0</v>
      </c>
      <c r="I2450" s="5">
        <v>0.0</v>
      </c>
      <c r="J2450" s="5">
        <v>0.0</v>
      </c>
      <c r="K2450" s="5">
        <v>10.0</v>
      </c>
      <c r="L2450" s="54"/>
      <c r="M2450" s="5" t="s">
        <v>10615</v>
      </c>
      <c r="N2450" s="53" t="s">
        <v>2680</v>
      </c>
      <c r="O2450">
        <v>36.018776</v>
      </c>
      <c r="P2450">
        <v>-5.600819</v>
      </c>
      <c r="Q2450" s="5" t="s">
        <v>761</v>
      </c>
      <c r="R2450" s="10">
        <f t="shared" si="10"/>
        <v>492</v>
      </c>
      <c r="S2450" s="5" t="s">
        <v>10616</v>
      </c>
      <c r="T2450" s="6" t="s">
        <v>72</v>
      </c>
      <c r="U2450" s="5" t="s">
        <v>9999</v>
      </c>
      <c r="V2450" s="5"/>
    </row>
    <row r="2451" ht="12.75" customHeight="1">
      <c r="A2451" s="5">
        <v>35761.0</v>
      </c>
      <c r="B2451" s="5" t="s">
        <v>49</v>
      </c>
      <c r="C2451" s="52" t="s">
        <v>50</v>
      </c>
      <c r="D2451" s="5" t="s">
        <v>2852</v>
      </c>
      <c r="E2451" s="7" t="s">
        <v>10613</v>
      </c>
      <c r="F2451" s="5" t="s">
        <v>10351</v>
      </c>
      <c r="G2451" s="5" t="s">
        <v>10614</v>
      </c>
      <c r="H2451" s="5">
        <v>2003.0</v>
      </c>
      <c r="I2451" s="5">
        <v>0.0</v>
      </c>
      <c r="J2451" s="5">
        <v>0.0</v>
      </c>
      <c r="K2451" s="5">
        <v>7.0</v>
      </c>
      <c r="L2451" s="54"/>
      <c r="M2451" s="5" t="s">
        <v>10617</v>
      </c>
      <c r="N2451" s="53" t="s">
        <v>2680</v>
      </c>
      <c r="O2451">
        <v>36.018776</v>
      </c>
      <c r="P2451">
        <v>-5.600819</v>
      </c>
      <c r="Q2451" s="5" t="s">
        <v>761</v>
      </c>
      <c r="R2451" s="10">
        <f t="shared" si="10"/>
        <v>492</v>
      </c>
      <c r="S2451" s="5" t="s">
        <v>10616</v>
      </c>
      <c r="T2451" s="6" t="s">
        <v>72</v>
      </c>
      <c r="U2451" s="5" t="s">
        <v>10618</v>
      </c>
      <c r="V2451" s="5"/>
    </row>
    <row r="2452" ht="12.75" customHeight="1">
      <c r="A2452" s="5">
        <v>35760.0</v>
      </c>
      <c r="B2452" s="5" t="s">
        <v>3521</v>
      </c>
      <c r="C2452" s="5" t="s">
        <v>62</v>
      </c>
      <c r="D2452" s="5" t="s">
        <v>2852</v>
      </c>
      <c r="E2452" s="7" t="s">
        <v>10613</v>
      </c>
      <c r="F2452" s="5" t="s">
        <v>10351</v>
      </c>
      <c r="G2452" s="5" t="s">
        <v>10614</v>
      </c>
      <c r="H2452" s="5">
        <v>2003.0</v>
      </c>
      <c r="I2452" s="5">
        <v>0.0</v>
      </c>
      <c r="J2452" s="5">
        <v>0.0</v>
      </c>
      <c r="K2452" s="5">
        <v>3.0</v>
      </c>
      <c r="L2452" s="54"/>
      <c r="M2452" s="5" t="s">
        <v>10619</v>
      </c>
      <c r="N2452" s="53" t="s">
        <v>4648</v>
      </c>
      <c r="O2452">
        <v>36.721261</v>
      </c>
      <c r="P2452">
        <v>-4.421266</v>
      </c>
      <c r="Q2452" s="5" t="s">
        <v>823</v>
      </c>
      <c r="R2452" s="10">
        <f t="shared" si="10"/>
        <v>17</v>
      </c>
      <c r="S2452" s="5" t="s">
        <v>10620</v>
      </c>
      <c r="T2452" s="6" t="s">
        <v>72</v>
      </c>
      <c r="U2452" s="5" t="s">
        <v>9611</v>
      </c>
      <c r="V2452" s="5"/>
    </row>
    <row r="2453" ht="12.75" customHeight="1">
      <c r="A2453" s="5">
        <v>35759.0</v>
      </c>
      <c r="B2453" s="5" t="s">
        <v>3521</v>
      </c>
      <c r="C2453" s="5" t="s">
        <v>62</v>
      </c>
      <c r="D2453" s="5" t="s">
        <v>2852</v>
      </c>
      <c r="E2453" s="7" t="s">
        <v>10613</v>
      </c>
      <c r="F2453" s="5" t="s">
        <v>10351</v>
      </c>
      <c r="G2453" s="5" t="s">
        <v>10614</v>
      </c>
      <c r="H2453" s="5">
        <v>2003.0</v>
      </c>
      <c r="I2453" s="5">
        <v>0.0</v>
      </c>
      <c r="J2453" s="5">
        <v>0.0</v>
      </c>
      <c r="K2453" s="5">
        <v>1.0</v>
      </c>
      <c r="L2453" s="54"/>
      <c r="M2453" s="5" t="s">
        <v>10621</v>
      </c>
      <c r="N2453" s="53" t="s">
        <v>4648</v>
      </c>
      <c r="O2453">
        <v>36.721261</v>
      </c>
      <c r="P2453">
        <v>-4.421266</v>
      </c>
      <c r="Q2453" s="5" t="s">
        <v>823</v>
      </c>
      <c r="R2453" s="10">
        <f t="shared" si="10"/>
        <v>17</v>
      </c>
      <c r="S2453" s="5" t="s">
        <v>10620</v>
      </c>
      <c r="T2453" s="6" t="s">
        <v>72</v>
      </c>
      <c r="U2453" s="5" t="s">
        <v>9611</v>
      </c>
      <c r="V2453" s="5"/>
    </row>
    <row r="2454" ht="12.75" customHeight="1">
      <c r="A2454" s="5">
        <v>35763.0</v>
      </c>
      <c r="B2454" s="5" t="s">
        <v>2962</v>
      </c>
      <c r="C2454" s="5" t="s">
        <v>211</v>
      </c>
      <c r="D2454" s="5" t="s">
        <v>2852</v>
      </c>
      <c r="E2454" s="7" t="s">
        <v>10622</v>
      </c>
      <c r="F2454" s="5" t="s">
        <v>10351</v>
      </c>
      <c r="G2454" s="5" t="s">
        <v>10614</v>
      </c>
      <c r="H2454" s="5">
        <v>2003.0</v>
      </c>
      <c r="I2454" s="5">
        <v>0.0</v>
      </c>
      <c r="J2454" s="5">
        <v>0.0</v>
      </c>
      <c r="K2454" s="5">
        <v>1.0</v>
      </c>
      <c r="L2454" s="54"/>
      <c r="M2454" s="5" t="s">
        <v>10623</v>
      </c>
      <c r="N2454" s="53" t="s">
        <v>10049</v>
      </c>
      <c r="O2454">
        <v>50.787551</v>
      </c>
      <c r="P2454">
        <v>-1.124062</v>
      </c>
      <c r="Q2454" s="5" t="s">
        <v>1516</v>
      </c>
      <c r="R2454" s="10">
        <f t="shared" si="10"/>
        <v>2</v>
      </c>
      <c r="S2454" s="5" t="s">
        <v>10624</v>
      </c>
      <c r="T2454" s="5"/>
      <c r="U2454" s="5" t="s">
        <v>10625</v>
      </c>
      <c r="V2454" s="5"/>
    </row>
    <row r="2455" ht="12.75" customHeight="1">
      <c r="A2455" s="5">
        <v>35764.0</v>
      </c>
      <c r="B2455" s="5" t="s">
        <v>2921</v>
      </c>
      <c r="C2455" s="5" t="s">
        <v>124</v>
      </c>
      <c r="D2455" s="5" t="s">
        <v>2852</v>
      </c>
      <c r="E2455" s="7" t="s">
        <v>10626</v>
      </c>
      <c r="F2455" s="5" t="s">
        <v>10351</v>
      </c>
      <c r="G2455" s="5" t="s">
        <v>10614</v>
      </c>
      <c r="H2455" s="5">
        <v>2003.0</v>
      </c>
      <c r="I2455" s="5">
        <v>0.0</v>
      </c>
      <c r="J2455" s="5">
        <v>0.0</v>
      </c>
      <c r="K2455" s="5">
        <v>2.0</v>
      </c>
      <c r="L2455" s="54"/>
      <c r="M2455" s="5" t="s">
        <v>10627</v>
      </c>
      <c r="N2455" s="53" t="s">
        <v>5963</v>
      </c>
      <c r="O2455">
        <v>46.227638</v>
      </c>
      <c r="P2455">
        <v>2.213749</v>
      </c>
      <c r="Q2455" s="5" t="s">
        <v>1351</v>
      </c>
      <c r="R2455" s="10">
        <f t="shared" si="10"/>
        <v>8</v>
      </c>
      <c r="S2455" s="5" t="s">
        <v>10628</v>
      </c>
      <c r="T2455" s="5"/>
      <c r="U2455" s="5" t="s">
        <v>3128</v>
      </c>
      <c r="V2455" s="5"/>
    </row>
    <row r="2456" ht="12.75" customHeight="1">
      <c r="A2456" s="5">
        <v>35767.0</v>
      </c>
      <c r="B2456" s="5" t="s">
        <v>68</v>
      </c>
      <c r="C2456" s="5" t="s">
        <v>69</v>
      </c>
      <c r="D2456" s="5" t="s">
        <v>2614</v>
      </c>
      <c r="E2456" s="7" t="s">
        <v>10629</v>
      </c>
      <c r="F2456" s="5" t="s">
        <v>10351</v>
      </c>
      <c r="G2456" s="5" t="s">
        <v>10614</v>
      </c>
      <c r="H2456" s="5">
        <v>2003.0</v>
      </c>
      <c r="I2456" s="5">
        <v>6.0</v>
      </c>
      <c r="J2456" s="5">
        <v>23.0</v>
      </c>
      <c r="K2456" s="5">
        <v>29.0</v>
      </c>
      <c r="L2456" s="54"/>
      <c r="M2456" s="5" t="s">
        <v>10630</v>
      </c>
      <c r="N2456" s="53" t="s">
        <v>2991</v>
      </c>
      <c r="O2456">
        <v>39.801</v>
      </c>
      <c r="P2456">
        <v>18.356944</v>
      </c>
      <c r="Q2456" s="5" t="s">
        <v>1110</v>
      </c>
      <c r="R2456" s="10">
        <f t="shared" si="10"/>
        <v>88</v>
      </c>
      <c r="S2456" s="5" t="s">
        <v>10631</v>
      </c>
      <c r="T2456" s="6" t="s">
        <v>1963</v>
      </c>
      <c r="U2456" s="5" t="s">
        <v>8502</v>
      </c>
      <c r="V2456" s="5" t="s">
        <v>10632</v>
      </c>
    </row>
    <row r="2457" ht="12.75" customHeight="1">
      <c r="A2457" s="5">
        <v>35769.0</v>
      </c>
      <c r="B2457" s="5" t="s">
        <v>49</v>
      </c>
      <c r="C2457" s="52" t="s">
        <v>50</v>
      </c>
      <c r="D2457" s="5" t="s">
        <v>2852</v>
      </c>
      <c r="E2457" s="7" t="s">
        <v>10633</v>
      </c>
      <c r="F2457" s="5" t="s">
        <v>10351</v>
      </c>
      <c r="G2457" s="5" t="s">
        <v>10614</v>
      </c>
      <c r="H2457" s="5">
        <v>2003.0</v>
      </c>
      <c r="I2457" s="5">
        <v>0.0</v>
      </c>
      <c r="J2457" s="5">
        <v>0.0</v>
      </c>
      <c r="K2457" s="5">
        <v>26.0</v>
      </c>
      <c r="L2457" s="54"/>
      <c r="M2457" s="5" t="s">
        <v>10634</v>
      </c>
      <c r="N2457" s="53" t="s">
        <v>4941</v>
      </c>
      <c r="O2457">
        <v>28.291564</v>
      </c>
      <c r="P2457">
        <v>-16.62913</v>
      </c>
      <c r="Q2457" s="5" t="s">
        <v>382</v>
      </c>
      <c r="R2457" s="10">
        <f t="shared" si="10"/>
        <v>1120</v>
      </c>
      <c r="S2457" s="5" t="s">
        <v>10635</v>
      </c>
      <c r="T2457" s="5" t="s">
        <v>1040</v>
      </c>
      <c r="U2457" s="5" t="s">
        <v>10636</v>
      </c>
      <c r="V2457" s="5"/>
    </row>
    <row r="2458" ht="12.75" customHeight="1">
      <c r="A2458" s="5">
        <v>35765.0</v>
      </c>
      <c r="B2458" s="5" t="s">
        <v>68</v>
      </c>
      <c r="C2458" s="5" t="s">
        <v>69</v>
      </c>
      <c r="D2458" s="5" t="s">
        <v>2614</v>
      </c>
      <c r="E2458" s="7" t="s">
        <v>10633</v>
      </c>
      <c r="F2458" s="5" t="s">
        <v>10351</v>
      </c>
      <c r="G2458" s="5" t="s">
        <v>10614</v>
      </c>
      <c r="H2458" s="5">
        <v>2003.0</v>
      </c>
      <c r="I2458" s="5">
        <v>4.0</v>
      </c>
      <c r="J2458" s="5">
        <v>0.0</v>
      </c>
      <c r="K2458" s="5">
        <v>4.0</v>
      </c>
      <c r="L2458" s="54"/>
      <c r="M2458" s="5" t="s">
        <v>10637</v>
      </c>
      <c r="N2458" s="53" t="s">
        <v>5814</v>
      </c>
      <c r="O2458">
        <v>28.358744</v>
      </c>
      <c r="P2458">
        <v>-14.053676</v>
      </c>
      <c r="Q2458" s="5" t="s">
        <v>390</v>
      </c>
      <c r="R2458" s="10">
        <f t="shared" si="10"/>
        <v>488</v>
      </c>
      <c r="S2458" s="5" t="s">
        <v>10638</v>
      </c>
      <c r="T2458" s="5" t="s">
        <v>1040</v>
      </c>
      <c r="U2458" s="5" t="s">
        <v>2785</v>
      </c>
      <c r="V2458" s="5" t="s">
        <v>10639</v>
      </c>
    </row>
    <row r="2459" ht="12.75" customHeight="1">
      <c r="A2459" s="5">
        <v>35766.0</v>
      </c>
      <c r="B2459" s="5" t="s">
        <v>49</v>
      </c>
      <c r="C2459" s="52" t="s">
        <v>50</v>
      </c>
      <c r="D2459" s="5" t="s">
        <v>2614</v>
      </c>
      <c r="E2459" s="7" t="s">
        <v>10633</v>
      </c>
      <c r="F2459" s="5" t="s">
        <v>10351</v>
      </c>
      <c r="G2459" s="5" t="s">
        <v>10614</v>
      </c>
      <c r="H2459" s="5">
        <v>2003.0</v>
      </c>
      <c r="I2459" s="5">
        <v>18.0</v>
      </c>
      <c r="J2459" s="5">
        <v>0.0</v>
      </c>
      <c r="K2459" s="5">
        <v>18.0</v>
      </c>
      <c r="L2459" s="54"/>
      <c r="M2459" s="5" t="s">
        <v>10640</v>
      </c>
      <c r="N2459" s="53" t="s">
        <v>3201</v>
      </c>
      <c r="O2459">
        <v>35.766667</v>
      </c>
      <c r="P2459">
        <v>-5.8</v>
      </c>
      <c r="Q2459" s="5" t="s">
        <v>695</v>
      </c>
      <c r="R2459" s="10">
        <f t="shared" si="10"/>
        <v>190</v>
      </c>
      <c r="S2459" s="5" t="s">
        <v>10641</v>
      </c>
      <c r="T2459" s="6" t="s">
        <v>72</v>
      </c>
      <c r="U2459" s="5" t="s">
        <v>10150</v>
      </c>
      <c r="V2459" s="5" t="s">
        <v>10642</v>
      </c>
    </row>
    <row r="2460" ht="12.75" customHeight="1">
      <c r="A2460" s="5">
        <v>35770.0</v>
      </c>
      <c r="B2460" s="5" t="s">
        <v>636</v>
      </c>
      <c r="C2460" s="52" t="s">
        <v>50</v>
      </c>
      <c r="D2460" s="5" t="s">
        <v>2852</v>
      </c>
      <c r="E2460" s="7" t="s">
        <v>10633</v>
      </c>
      <c r="F2460" s="5" t="s">
        <v>10351</v>
      </c>
      <c r="G2460" s="5" t="s">
        <v>10614</v>
      </c>
      <c r="H2460" s="5">
        <v>2003.0</v>
      </c>
      <c r="I2460" s="5">
        <v>0.0</v>
      </c>
      <c r="J2460" s="5">
        <v>0.0</v>
      </c>
      <c r="K2460" s="5">
        <v>6.0</v>
      </c>
      <c r="L2460" s="54"/>
      <c r="M2460" s="5" t="s">
        <v>10643</v>
      </c>
      <c r="N2460" s="53" t="s">
        <v>2991</v>
      </c>
      <c r="O2460">
        <v>39.801</v>
      </c>
      <c r="P2460">
        <v>18.356944</v>
      </c>
      <c r="Q2460" s="5" t="s">
        <v>1110</v>
      </c>
      <c r="R2460" s="10">
        <f t="shared" si="10"/>
        <v>88</v>
      </c>
      <c r="S2460" s="5" t="s">
        <v>10631</v>
      </c>
      <c r="T2460" s="6" t="s">
        <v>1963</v>
      </c>
      <c r="U2460" s="5" t="s">
        <v>10644</v>
      </c>
      <c r="V2460" s="5"/>
    </row>
    <row r="2461" ht="12.75" customHeight="1">
      <c r="A2461" s="5">
        <v>35768.0</v>
      </c>
      <c r="B2461" s="5" t="s">
        <v>636</v>
      </c>
      <c r="C2461" s="52" t="s">
        <v>50</v>
      </c>
      <c r="D2461" s="5" t="s">
        <v>2852</v>
      </c>
      <c r="E2461" s="7" t="s">
        <v>10633</v>
      </c>
      <c r="F2461" s="5" t="s">
        <v>10351</v>
      </c>
      <c r="G2461" s="5" t="s">
        <v>10614</v>
      </c>
      <c r="H2461" s="5">
        <v>2003.0</v>
      </c>
      <c r="I2461" s="5">
        <v>0.0</v>
      </c>
      <c r="J2461" s="5">
        <v>0.0</v>
      </c>
      <c r="K2461" s="5">
        <v>23.0</v>
      </c>
      <c r="L2461" s="54"/>
      <c r="M2461" s="5" t="s">
        <v>10645</v>
      </c>
      <c r="N2461" s="53" t="s">
        <v>2991</v>
      </c>
      <c r="O2461">
        <v>39.801</v>
      </c>
      <c r="P2461">
        <v>18.356944</v>
      </c>
      <c r="Q2461" s="5" t="s">
        <v>1110</v>
      </c>
      <c r="R2461" s="10">
        <f t="shared" si="10"/>
        <v>88</v>
      </c>
      <c r="S2461" s="5" t="s">
        <v>10631</v>
      </c>
      <c r="T2461" s="6" t="s">
        <v>1963</v>
      </c>
      <c r="U2461" s="5" t="s">
        <v>10644</v>
      </c>
      <c r="V2461" s="5"/>
    </row>
    <row r="2462" ht="12.75" customHeight="1">
      <c r="A2462" s="5">
        <v>35771.0</v>
      </c>
      <c r="B2462" s="5" t="s">
        <v>1555</v>
      </c>
      <c r="C2462" s="5" t="s">
        <v>42</v>
      </c>
      <c r="D2462" s="5" t="s">
        <v>2614</v>
      </c>
      <c r="E2462" s="7" t="s">
        <v>10646</v>
      </c>
      <c r="F2462" s="5" t="s">
        <v>10351</v>
      </c>
      <c r="G2462" s="5" t="s">
        <v>10614</v>
      </c>
      <c r="H2462" s="5">
        <v>2003.0</v>
      </c>
      <c r="I2462" s="5">
        <v>1.0</v>
      </c>
      <c r="J2462" s="5">
        <v>0.0</v>
      </c>
      <c r="K2462" s="5">
        <v>1.0</v>
      </c>
      <c r="L2462" s="54"/>
      <c r="M2462" s="5" t="s">
        <v>10647</v>
      </c>
      <c r="N2462" s="53" t="s">
        <v>3328</v>
      </c>
      <c r="O2462">
        <v>48.856614</v>
      </c>
      <c r="P2462">
        <v>2.352222</v>
      </c>
      <c r="Q2462" s="5" t="s">
        <v>3329</v>
      </c>
      <c r="R2462" s="10">
        <f t="shared" si="10"/>
        <v>30</v>
      </c>
      <c r="S2462" s="5" t="s">
        <v>10648</v>
      </c>
      <c r="T2462" s="5"/>
      <c r="U2462" s="5" t="s">
        <v>10649</v>
      </c>
      <c r="V2462" s="5" t="s">
        <v>10650</v>
      </c>
    </row>
    <row r="2463" ht="12.75" customHeight="1">
      <c r="A2463" s="5">
        <v>35772.0</v>
      </c>
      <c r="B2463" s="5" t="s">
        <v>68</v>
      </c>
      <c r="C2463" s="5" t="s">
        <v>69</v>
      </c>
      <c r="D2463" s="5" t="s">
        <v>2852</v>
      </c>
      <c r="E2463" s="7" t="s">
        <v>10651</v>
      </c>
      <c r="F2463" s="5" t="s">
        <v>10351</v>
      </c>
      <c r="G2463" s="5" t="s">
        <v>10614</v>
      </c>
      <c r="H2463" s="5">
        <v>2003.0</v>
      </c>
      <c r="I2463" s="5">
        <v>0.0</v>
      </c>
      <c r="J2463" s="5">
        <v>0.0</v>
      </c>
      <c r="K2463" s="5">
        <v>2.0</v>
      </c>
      <c r="L2463" s="54"/>
      <c r="M2463" s="5" t="s">
        <v>10652</v>
      </c>
      <c r="N2463" s="53" t="s">
        <v>5185</v>
      </c>
      <c r="O2463">
        <v>36.748374</v>
      </c>
      <c r="P2463">
        <v>-3.516861</v>
      </c>
      <c r="Q2463" s="5" t="s">
        <v>832</v>
      </c>
      <c r="R2463" s="10">
        <f t="shared" si="10"/>
        <v>69</v>
      </c>
      <c r="S2463" s="5" t="s">
        <v>10653</v>
      </c>
      <c r="T2463" s="6" t="s">
        <v>72</v>
      </c>
      <c r="U2463" s="5" t="s">
        <v>9274</v>
      </c>
      <c r="V2463" s="5"/>
    </row>
    <row r="2464" ht="12.75" customHeight="1">
      <c r="A2464" s="5">
        <v>35773.0</v>
      </c>
      <c r="B2464" s="5" t="s">
        <v>1076</v>
      </c>
      <c r="C2464" s="52" t="s">
        <v>50</v>
      </c>
      <c r="D2464" s="5" t="s">
        <v>2852</v>
      </c>
      <c r="E2464" s="7" t="s">
        <v>10651</v>
      </c>
      <c r="F2464" s="5" t="s">
        <v>10351</v>
      </c>
      <c r="G2464" s="5" t="s">
        <v>10614</v>
      </c>
      <c r="H2464" s="5">
        <v>2003.0</v>
      </c>
      <c r="I2464" s="5">
        <v>0.0</v>
      </c>
      <c r="J2464" s="5">
        <v>0.0</v>
      </c>
      <c r="K2464" s="5">
        <v>1.0</v>
      </c>
      <c r="L2464" s="54"/>
      <c r="M2464" s="5" t="s">
        <v>10654</v>
      </c>
      <c r="N2464" s="53" t="s">
        <v>3328</v>
      </c>
      <c r="O2464">
        <v>48.856614</v>
      </c>
      <c r="P2464">
        <v>2.352222</v>
      </c>
      <c r="Q2464" s="5" t="s">
        <v>3329</v>
      </c>
      <c r="R2464" s="10">
        <f t="shared" si="10"/>
        <v>30</v>
      </c>
      <c r="S2464" s="5" t="s">
        <v>10648</v>
      </c>
      <c r="T2464" s="5"/>
      <c r="U2464" s="5" t="s">
        <v>10655</v>
      </c>
      <c r="V2464" s="5"/>
    </row>
    <row r="2465" ht="12.75" customHeight="1">
      <c r="A2465" s="5">
        <v>35775.0</v>
      </c>
      <c r="B2465" s="5" t="s">
        <v>49</v>
      </c>
      <c r="C2465" s="52" t="s">
        <v>50</v>
      </c>
      <c r="D2465" s="5" t="s">
        <v>2852</v>
      </c>
      <c r="E2465" s="7" t="s">
        <v>10656</v>
      </c>
      <c r="F2465" s="5" t="s">
        <v>10351</v>
      </c>
      <c r="G2465" s="5" t="s">
        <v>10614</v>
      </c>
      <c r="H2465" s="5">
        <v>2003.0</v>
      </c>
      <c r="I2465" s="5">
        <v>0.0</v>
      </c>
      <c r="J2465" s="5">
        <v>0.0</v>
      </c>
      <c r="K2465" s="5">
        <v>19.0</v>
      </c>
      <c r="L2465" s="54"/>
      <c r="M2465" s="5" t="s">
        <v>10657</v>
      </c>
      <c r="N2465" s="53" t="s">
        <v>4526</v>
      </c>
      <c r="O2465">
        <v>35.766667</v>
      </c>
      <c r="P2465">
        <v>-5.8</v>
      </c>
      <c r="Q2465" s="5" t="s">
        <v>695</v>
      </c>
      <c r="R2465" s="10">
        <f t="shared" si="10"/>
        <v>190</v>
      </c>
      <c r="S2465" s="5" t="s">
        <v>10658</v>
      </c>
      <c r="T2465" s="6" t="s">
        <v>72</v>
      </c>
      <c r="U2465" s="5" t="s">
        <v>10659</v>
      </c>
      <c r="V2465" s="5"/>
    </row>
    <row r="2466" ht="12.75" customHeight="1">
      <c r="A2466" s="5">
        <v>35774.0</v>
      </c>
      <c r="B2466" s="5" t="s">
        <v>49</v>
      </c>
      <c r="C2466" s="52" t="s">
        <v>50</v>
      </c>
      <c r="D2466" s="5" t="s">
        <v>2614</v>
      </c>
      <c r="E2466" s="7" t="s">
        <v>10656</v>
      </c>
      <c r="F2466" s="5" t="s">
        <v>10351</v>
      </c>
      <c r="G2466" s="5" t="s">
        <v>10614</v>
      </c>
      <c r="H2466" s="5">
        <v>2003.0</v>
      </c>
      <c r="I2466" s="5">
        <v>1.0</v>
      </c>
      <c r="J2466" s="5">
        <v>0.0</v>
      </c>
      <c r="K2466" s="5">
        <v>1.0</v>
      </c>
      <c r="L2466" s="54"/>
      <c r="M2466" s="5" t="s">
        <v>10660</v>
      </c>
      <c r="N2466" s="53" t="s">
        <v>2638</v>
      </c>
      <c r="O2466">
        <v>35.888384</v>
      </c>
      <c r="P2466">
        <v>-5.324636</v>
      </c>
      <c r="Q2466" s="5" t="s">
        <v>717</v>
      </c>
      <c r="R2466" s="10">
        <f t="shared" si="10"/>
        <v>213</v>
      </c>
      <c r="S2466" s="5" t="s">
        <v>10661</v>
      </c>
      <c r="T2466" s="6" t="s">
        <v>72</v>
      </c>
      <c r="U2466" s="5" t="s">
        <v>2785</v>
      </c>
      <c r="V2466" s="5" t="s">
        <v>10662</v>
      </c>
    </row>
    <row r="2467" ht="12.75" customHeight="1">
      <c r="A2467" s="5">
        <v>35776.0</v>
      </c>
      <c r="B2467" s="5" t="s">
        <v>49</v>
      </c>
      <c r="C2467" s="52" t="s">
        <v>50</v>
      </c>
      <c r="D2467" s="5" t="s">
        <v>2614</v>
      </c>
      <c r="E2467" s="7" t="s">
        <v>10663</v>
      </c>
      <c r="F2467" s="5" t="s">
        <v>10351</v>
      </c>
      <c r="G2467" s="5" t="s">
        <v>10614</v>
      </c>
      <c r="H2467" s="5">
        <v>2003.0</v>
      </c>
      <c r="I2467" s="5">
        <v>6.0</v>
      </c>
      <c r="J2467" s="5">
        <v>8.0</v>
      </c>
      <c r="K2467" s="5">
        <v>14.0</v>
      </c>
      <c r="L2467" s="54"/>
      <c r="M2467" s="5" t="s">
        <v>10664</v>
      </c>
      <c r="N2467" s="53" t="s">
        <v>5814</v>
      </c>
      <c r="O2467">
        <v>28.358744</v>
      </c>
      <c r="P2467">
        <v>-14.053676</v>
      </c>
      <c r="Q2467" s="5" t="s">
        <v>390</v>
      </c>
      <c r="R2467" s="10">
        <f t="shared" si="10"/>
        <v>488</v>
      </c>
      <c r="S2467" s="5" t="s">
        <v>10665</v>
      </c>
      <c r="T2467" s="5" t="s">
        <v>1040</v>
      </c>
      <c r="U2467" s="5" t="s">
        <v>2785</v>
      </c>
      <c r="V2467" s="5" t="s">
        <v>10666</v>
      </c>
    </row>
    <row r="2468" ht="12.75" customHeight="1">
      <c r="A2468" s="5">
        <v>35777.0</v>
      </c>
      <c r="B2468" s="5" t="s">
        <v>68</v>
      </c>
      <c r="C2468" s="5" t="s">
        <v>69</v>
      </c>
      <c r="D2468" s="5" t="s">
        <v>2852</v>
      </c>
      <c r="E2468" s="7" t="s">
        <v>10663</v>
      </c>
      <c r="F2468" s="5" t="s">
        <v>10351</v>
      </c>
      <c r="G2468" s="5" t="s">
        <v>10614</v>
      </c>
      <c r="H2468" s="5">
        <v>2003.0</v>
      </c>
      <c r="I2468" s="5">
        <v>0.0</v>
      </c>
      <c r="J2468" s="5">
        <v>0.0</v>
      </c>
      <c r="K2468" s="5">
        <v>1.0</v>
      </c>
      <c r="L2468" s="54"/>
      <c r="M2468" s="5" t="s">
        <v>10667</v>
      </c>
      <c r="N2468" s="53" t="s">
        <v>2638</v>
      </c>
      <c r="O2468">
        <v>35.888384</v>
      </c>
      <c r="P2468">
        <v>-5.324636</v>
      </c>
      <c r="Q2468" s="5" t="s">
        <v>717</v>
      </c>
      <c r="R2468" s="10">
        <f t="shared" si="10"/>
        <v>213</v>
      </c>
      <c r="S2468" s="5" t="s">
        <v>10668</v>
      </c>
      <c r="T2468" s="6" t="s">
        <v>72</v>
      </c>
      <c r="U2468" s="5" t="s">
        <v>9274</v>
      </c>
      <c r="V2468" s="5"/>
    </row>
    <row r="2469" ht="12.75" customHeight="1">
      <c r="A2469" s="5">
        <v>35781.0</v>
      </c>
      <c r="B2469" s="5" t="s">
        <v>49</v>
      </c>
      <c r="C2469" s="52" t="s">
        <v>50</v>
      </c>
      <c r="D2469" s="5" t="s">
        <v>2852</v>
      </c>
      <c r="E2469" s="7" t="s">
        <v>10669</v>
      </c>
      <c r="F2469" s="5" t="s">
        <v>10351</v>
      </c>
      <c r="G2469" s="5" t="s">
        <v>10614</v>
      </c>
      <c r="H2469" s="5">
        <v>2003.0</v>
      </c>
      <c r="I2469" s="5">
        <v>0.0</v>
      </c>
      <c r="J2469" s="5">
        <v>0.0</v>
      </c>
      <c r="K2469" s="5">
        <v>2.0</v>
      </c>
      <c r="L2469" s="54"/>
      <c r="M2469" s="5" t="s">
        <v>10670</v>
      </c>
      <c r="N2469" s="53" t="s">
        <v>5814</v>
      </c>
      <c r="O2469">
        <v>28.358744</v>
      </c>
      <c r="P2469">
        <v>-14.053676</v>
      </c>
      <c r="Q2469" s="5" t="s">
        <v>390</v>
      </c>
      <c r="R2469" s="10">
        <f t="shared" si="10"/>
        <v>488</v>
      </c>
      <c r="S2469" s="5" t="s">
        <v>10671</v>
      </c>
      <c r="T2469" s="5" t="s">
        <v>1040</v>
      </c>
      <c r="U2469" s="5" t="s">
        <v>10672</v>
      </c>
      <c r="V2469" s="5"/>
    </row>
    <row r="2470" ht="12.75" customHeight="1">
      <c r="A2470" s="5">
        <v>35780.0</v>
      </c>
      <c r="B2470" s="5" t="s">
        <v>49</v>
      </c>
      <c r="C2470" s="52" t="s">
        <v>50</v>
      </c>
      <c r="D2470" s="5" t="s">
        <v>2852</v>
      </c>
      <c r="E2470" s="7" t="s">
        <v>10669</v>
      </c>
      <c r="F2470" s="5" t="s">
        <v>10351</v>
      </c>
      <c r="G2470" s="5" t="s">
        <v>10614</v>
      </c>
      <c r="H2470" s="5">
        <v>2003.0</v>
      </c>
      <c r="I2470" s="5">
        <v>0.0</v>
      </c>
      <c r="J2470" s="5">
        <v>0.0</v>
      </c>
      <c r="K2470" s="5">
        <v>2.0</v>
      </c>
      <c r="L2470" s="54"/>
      <c r="M2470" s="5" t="s">
        <v>10673</v>
      </c>
      <c r="N2470" s="53" t="s">
        <v>5814</v>
      </c>
      <c r="O2470">
        <v>28.358744</v>
      </c>
      <c r="P2470">
        <v>-14.053676</v>
      </c>
      <c r="Q2470" s="5" t="s">
        <v>390</v>
      </c>
      <c r="R2470" s="10">
        <f t="shared" si="10"/>
        <v>488</v>
      </c>
      <c r="S2470" s="5" t="s">
        <v>10671</v>
      </c>
      <c r="T2470" s="5" t="s">
        <v>1040</v>
      </c>
      <c r="U2470" s="5" t="s">
        <v>10674</v>
      </c>
      <c r="V2470" s="5"/>
    </row>
    <row r="2471" ht="12.75" customHeight="1">
      <c r="A2471" s="5">
        <v>35779.0</v>
      </c>
      <c r="B2471" s="5" t="s">
        <v>49</v>
      </c>
      <c r="C2471" s="52" t="s">
        <v>50</v>
      </c>
      <c r="D2471" s="5" t="s">
        <v>2852</v>
      </c>
      <c r="E2471" s="7" t="s">
        <v>10669</v>
      </c>
      <c r="F2471" s="5" t="s">
        <v>10351</v>
      </c>
      <c r="G2471" s="5" t="s">
        <v>10614</v>
      </c>
      <c r="H2471" s="5">
        <v>2003.0</v>
      </c>
      <c r="I2471" s="5">
        <v>0.0</v>
      </c>
      <c r="J2471" s="5">
        <v>0.0</v>
      </c>
      <c r="K2471" s="5">
        <v>10.0</v>
      </c>
      <c r="L2471" s="54"/>
      <c r="M2471" s="5" t="s">
        <v>10675</v>
      </c>
      <c r="N2471" s="53" t="s">
        <v>5814</v>
      </c>
      <c r="O2471">
        <v>28.358744</v>
      </c>
      <c r="P2471">
        <v>-14.053676</v>
      </c>
      <c r="Q2471" s="5" t="s">
        <v>390</v>
      </c>
      <c r="R2471" s="10">
        <f t="shared" si="10"/>
        <v>488</v>
      </c>
      <c r="S2471" s="5" t="s">
        <v>10671</v>
      </c>
      <c r="T2471" s="5" t="s">
        <v>1040</v>
      </c>
      <c r="U2471" s="5" t="s">
        <v>10672</v>
      </c>
      <c r="V2471" s="5"/>
    </row>
    <row r="2472" ht="12.75" customHeight="1">
      <c r="A2472" s="5">
        <v>35778.0</v>
      </c>
      <c r="B2472" s="5" t="s">
        <v>49</v>
      </c>
      <c r="C2472" s="52" t="s">
        <v>50</v>
      </c>
      <c r="D2472" s="5" t="s">
        <v>2852</v>
      </c>
      <c r="E2472" s="7" t="s">
        <v>10669</v>
      </c>
      <c r="F2472" s="5" t="s">
        <v>10351</v>
      </c>
      <c r="G2472" s="5" t="s">
        <v>10614</v>
      </c>
      <c r="H2472" s="5">
        <v>2003.0</v>
      </c>
      <c r="I2472" s="5">
        <v>0.0</v>
      </c>
      <c r="J2472" s="5">
        <v>0.0</v>
      </c>
      <c r="K2472" s="5">
        <v>12.0</v>
      </c>
      <c r="L2472" s="54"/>
      <c r="M2472" s="5" t="s">
        <v>10676</v>
      </c>
      <c r="N2472" s="53" t="s">
        <v>5814</v>
      </c>
      <c r="O2472">
        <v>28.358744</v>
      </c>
      <c r="P2472">
        <v>-14.053676</v>
      </c>
      <c r="Q2472" s="5" t="s">
        <v>390</v>
      </c>
      <c r="R2472" s="10">
        <f t="shared" si="10"/>
        <v>488</v>
      </c>
      <c r="S2472" s="5" t="s">
        <v>10671</v>
      </c>
      <c r="T2472" s="5" t="s">
        <v>1040</v>
      </c>
      <c r="U2472" s="5" t="s">
        <v>10674</v>
      </c>
      <c r="V2472" s="5"/>
    </row>
    <row r="2473" ht="12.75" customHeight="1">
      <c r="A2473" s="5">
        <v>35782.0</v>
      </c>
      <c r="B2473" s="5" t="s">
        <v>1995</v>
      </c>
      <c r="C2473" s="52" t="s">
        <v>50</v>
      </c>
      <c r="D2473" s="5" t="s">
        <v>2852</v>
      </c>
      <c r="E2473" s="7" t="s">
        <v>10677</v>
      </c>
      <c r="F2473" s="5" t="s">
        <v>10351</v>
      </c>
      <c r="G2473" s="5" t="s">
        <v>10614</v>
      </c>
      <c r="H2473" s="5">
        <v>2003.0</v>
      </c>
      <c r="I2473" s="5">
        <v>0.0</v>
      </c>
      <c r="J2473" s="5">
        <v>0.0</v>
      </c>
      <c r="K2473" s="5">
        <v>1.0</v>
      </c>
      <c r="L2473" s="54"/>
      <c r="M2473" s="5" t="s">
        <v>10678</v>
      </c>
      <c r="N2473" s="53" t="s">
        <v>3412</v>
      </c>
      <c r="O2473">
        <v>52.370216</v>
      </c>
      <c r="P2473">
        <v>4.895168</v>
      </c>
      <c r="Q2473" s="5" t="s">
        <v>1753</v>
      </c>
      <c r="R2473" s="10">
        <f t="shared" si="10"/>
        <v>14</v>
      </c>
      <c r="S2473" s="5" t="s">
        <v>10679</v>
      </c>
      <c r="T2473" s="5"/>
      <c r="U2473" s="5" t="s">
        <v>10680</v>
      </c>
      <c r="V2473" s="5"/>
    </row>
    <row r="2474" ht="12.75" customHeight="1">
      <c r="A2474" s="5">
        <v>35784.0</v>
      </c>
      <c r="B2474" s="5" t="s">
        <v>1076</v>
      </c>
      <c r="C2474" s="52" t="s">
        <v>50</v>
      </c>
      <c r="D2474" s="5" t="s">
        <v>2852</v>
      </c>
      <c r="E2474" s="7" t="s">
        <v>10681</v>
      </c>
      <c r="F2474" s="5" t="s">
        <v>10351</v>
      </c>
      <c r="G2474" s="5" t="s">
        <v>10614</v>
      </c>
      <c r="H2474" s="5">
        <v>2003.0</v>
      </c>
      <c r="I2474" s="5">
        <v>0.0</v>
      </c>
      <c r="J2474" s="5">
        <v>0.0</v>
      </c>
      <c r="K2474" s="5">
        <v>2.0</v>
      </c>
      <c r="L2474" s="54"/>
      <c r="M2474" s="5" t="s">
        <v>10682</v>
      </c>
      <c r="N2474" s="53" t="s">
        <v>2857</v>
      </c>
      <c r="O2474">
        <v>36.527061</v>
      </c>
      <c r="P2474">
        <v>-6.288596</v>
      </c>
      <c r="Q2474" s="5" t="s">
        <v>802</v>
      </c>
      <c r="R2474" s="10">
        <f t="shared" si="10"/>
        <v>185</v>
      </c>
      <c r="S2474" s="5" t="s">
        <v>10683</v>
      </c>
      <c r="T2474" s="6" t="s">
        <v>72</v>
      </c>
      <c r="U2474" s="5" t="s">
        <v>10177</v>
      </c>
      <c r="V2474" s="5" t="s">
        <v>10684</v>
      </c>
    </row>
    <row r="2475" ht="12.75" customHeight="1">
      <c r="A2475" s="5">
        <v>35783.0</v>
      </c>
      <c r="B2475" s="5" t="s">
        <v>636</v>
      </c>
      <c r="C2475" s="52" t="s">
        <v>50</v>
      </c>
      <c r="D2475" s="5" t="s">
        <v>2614</v>
      </c>
      <c r="E2475" s="7" t="s">
        <v>10681</v>
      </c>
      <c r="F2475" s="5" t="s">
        <v>10351</v>
      </c>
      <c r="G2475" s="5" t="s">
        <v>10614</v>
      </c>
      <c r="H2475" s="5">
        <v>2003.0</v>
      </c>
      <c r="I2475" s="5">
        <v>0.0</v>
      </c>
      <c r="J2475" s="5">
        <v>0.0</v>
      </c>
      <c r="K2475" s="5">
        <v>1.0</v>
      </c>
      <c r="L2475" s="54"/>
      <c r="M2475" s="5" t="s">
        <v>10685</v>
      </c>
      <c r="N2475" s="53" t="s">
        <v>10686</v>
      </c>
      <c r="O2475">
        <v>40.519269</v>
      </c>
      <c r="P2475">
        <v>21.268717</v>
      </c>
      <c r="Q2475" s="5" t="s">
        <v>1150</v>
      </c>
      <c r="R2475" s="10">
        <f t="shared" si="10"/>
        <v>4</v>
      </c>
      <c r="S2475" s="5" t="s">
        <v>10687</v>
      </c>
      <c r="T2475" s="5"/>
      <c r="U2475" s="5" t="s">
        <v>2326</v>
      </c>
      <c r="V2475" s="5" t="s">
        <v>7579</v>
      </c>
    </row>
    <row r="2476" ht="12.75" customHeight="1">
      <c r="A2476" s="5">
        <v>35786.0</v>
      </c>
      <c r="B2476" s="5" t="s">
        <v>491</v>
      </c>
      <c r="C2476" s="52" t="s">
        <v>50</v>
      </c>
      <c r="D2476" s="5" t="s">
        <v>2852</v>
      </c>
      <c r="E2476" s="7" t="s">
        <v>10688</v>
      </c>
      <c r="F2476" s="5" t="s">
        <v>10351</v>
      </c>
      <c r="G2476" s="5" t="s">
        <v>10614</v>
      </c>
      <c r="H2476" s="5">
        <v>2003.0</v>
      </c>
      <c r="I2476" s="5">
        <v>0.0</v>
      </c>
      <c r="J2476" s="5">
        <v>0.0</v>
      </c>
      <c r="K2476" s="5">
        <v>1.0</v>
      </c>
      <c r="L2476" s="54"/>
      <c r="M2476" s="5" t="s">
        <v>10689</v>
      </c>
      <c r="N2476" s="53" t="s">
        <v>5260</v>
      </c>
      <c r="O2476">
        <v>23.803497</v>
      </c>
      <c r="P2476">
        <v>11.291889</v>
      </c>
      <c r="Q2476" s="5" t="s">
        <v>324</v>
      </c>
      <c r="R2476" s="10">
        <f t="shared" si="10"/>
        <v>234</v>
      </c>
      <c r="S2476" s="5" t="s">
        <v>10690</v>
      </c>
      <c r="T2476" s="5"/>
      <c r="U2476" s="5" t="s">
        <v>3834</v>
      </c>
      <c r="V2476" s="5"/>
    </row>
    <row r="2477" ht="12.75" customHeight="1">
      <c r="A2477" s="5">
        <v>35785.0</v>
      </c>
      <c r="B2477" s="5" t="s">
        <v>49</v>
      </c>
      <c r="C2477" s="52" t="s">
        <v>50</v>
      </c>
      <c r="D2477" s="5" t="s">
        <v>2852</v>
      </c>
      <c r="E2477" s="7" t="s">
        <v>10688</v>
      </c>
      <c r="F2477" s="5" t="s">
        <v>10351</v>
      </c>
      <c r="G2477" s="5" t="s">
        <v>10614</v>
      </c>
      <c r="H2477" s="5">
        <v>2003.0</v>
      </c>
      <c r="I2477" s="5">
        <v>0.0</v>
      </c>
      <c r="J2477" s="5">
        <v>0.0</v>
      </c>
      <c r="K2477" s="5">
        <v>1.0</v>
      </c>
      <c r="L2477" s="54"/>
      <c r="M2477" s="5" t="s">
        <v>10691</v>
      </c>
      <c r="N2477" s="53" t="s">
        <v>2857</v>
      </c>
      <c r="O2477">
        <v>36.527061</v>
      </c>
      <c r="P2477">
        <v>-6.288596</v>
      </c>
      <c r="Q2477" s="5" t="s">
        <v>802</v>
      </c>
      <c r="R2477" s="10">
        <f t="shared" si="10"/>
        <v>185</v>
      </c>
      <c r="S2477" s="5" t="s">
        <v>10692</v>
      </c>
      <c r="T2477" s="6" t="s">
        <v>72</v>
      </c>
      <c r="U2477" s="5" t="s">
        <v>10693</v>
      </c>
      <c r="V2477" s="5"/>
    </row>
    <row r="2478" ht="12.75" customHeight="1">
      <c r="A2478" s="5">
        <v>35787.0</v>
      </c>
      <c r="B2478" s="5" t="s">
        <v>68</v>
      </c>
      <c r="C2478" s="5" t="s">
        <v>69</v>
      </c>
      <c r="D2478" s="5" t="s">
        <v>2852</v>
      </c>
      <c r="E2478" s="7" t="s">
        <v>10688</v>
      </c>
      <c r="F2478" s="5" t="s">
        <v>10351</v>
      </c>
      <c r="G2478" s="5" t="s">
        <v>10614</v>
      </c>
      <c r="H2478" s="5">
        <v>2003.0</v>
      </c>
      <c r="I2478" s="5">
        <v>0.0</v>
      </c>
      <c r="J2478" s="5">
        <v>0.0</v>
      </c>
      <c r="K2478" s="5">
        <v>1.0</v>
      </c>
      <c r="L2478" s="54"/>
      <c r="M2478" s="5" t="s">
        <v>10694</v>
      </c>
      <c r="N2478" s="53" t="s">
        <v>3412</v>
      </c>
      <c r="O2478">
        <v>52.370216</v>
      </c>
      <c r="P2478">
        <v>4.895168</v>
      </c>
      <c r="Q2478" s="5" t="s">
        <v>1753</v>
      </c>
      <c r="R2478" s="10">
        <f t="shared" si="10"/>
        <v>14</v>
      </c>
      <c r="S2478" s="5" t="s">
        <v>10695</v>
      </c>
      <c r="T2478" s="5"/>
      <c r="U2478" s="5" t="s">
        <v>4492</v>
      </c>
      <c r="V2478" s="5"/>
    </row>
    <row r="2479" ht="12.75" customHeight="1">
      <c r="A2479" s="5">
        <v>35789.0</v>
      </c>
      <c r="B2479" s="5" t="s">
        <v>49</v>
      </c>
      <c r="C2479" s="52" t="s">
        <v>50</v>
      </c>
      <c r="D2479" s="5" t="s">
        <v>2852</v>
      </c>
      <c r="E2479" s="7" t="s">
        <v>10696</v>
      </c>
      <c r="F2479" s="5" t="s">
        <v>10351</v>
      </c>
      <c r="G2479" s="5" t="s">
        <v>10614</v>
      </c>
      <c r="H2479" s="5">
        <v>2003.0</v>
      </c>
      <c r="I2479" s="5">
        <v>0.0</v>
      </c>
      <c r="J2479" s="5">
        <v>0.0</v>
      </c>
      <c r="K2479" s="5">
        <v>13.0</v>
      </c>
      <c r="L2479" s="54"/>
      <c r="M2479" s="5" t="s">
        <v>10697</v>
      </c>
      <c r="N2479" s="53" t="s">
        <v>10575</v>
      </c>
      <c r="O2479">
        <v>35.183333</v>
      </c>
      <c r="P2479">
        <v>-6.15</v>
      </c>
      <c r="Q2479" s="5" t="s">
        <v>635</v>
      </c>
      <c r="R2479" s="10">
        <f t="shared" si="10"/>
        <v>87</v>
      </c>
      <c r="S2479" s="5" t="s">
        <v>10698</v>
      </c>
      <c r="T2479" s="6" t="s">
        <v>72</v>
      </c>
      <c r="U2479" s="5" t="s">
        <v>10699</v>
      </c>
      <c r="V2479" s="5"/>
    </row>
    <row r="2480" ht="12.75" customHeight="1">
      <c r="A2480" s="5">
        <v>35788.0</v>
      </c>
      <c r="B2480" s="5" t="s">
        <v>49</v>
      </c>
      <c r="C2480" s="52" t="s">
        <v>50</v>
      </c>
      <c r="D2480" s="5" t="s">
        <v>2852</v>
      </c>
      <c r="E2480" s="7" t="s">
        <v>10696</v>
      </c>
      <c r="F2480" s="5" t="s">
        <v>10351</v>
      </c>
      <c r="G2480" s="5" t="s">
        <v>10614</v>
      </c>
      <c r="H2480" s="5">
        <v>2003.0</v>
      </c>
      <c r="I2480" s="5">
        <v>0.0</v>
      </c>
      <c r="J2480" s="5">
        <v>0.0</v>
      </c>
      <c r="K2480" s="5">
        <v>17.0</v>
      </c>
      <c r="L2480" s="54"/>
      <c r="M2480" s="5" t="s">
        <v>10700</v>
      </c>
      <c r="N2480" s="53" t="s">
        <v>10575</v>
      </c>
      <c r="O2480">
        <v>35.183333</v>
      </c>
      <c r="P2480">
        <v>-6.15</v>
      </c>
      <c r="Q2480" s="5" t="s">
        <v>635</v>
      </c>
      <c r="R2480" s="10">
        <f t="shared" si="10"/>
        <v>87</v>
      </c>
      <c r="S2480" s="5" t="s">
        <v>10698</v>
      </c>
      <c r="T2480" s="6" t="s">
        <v>72</v>
      </c>
      <c r="U2480" s="5" t="s">
        <v>10699</v>
      </c>
      <c r="V2480" s="5"/>
    </row>
    <row r="2481" ht="12.75" customHeight="1">
      <c r="A2481" s="5">
        <v>35790.0</v>
      </c>
      <c r="B2481" s="5" t="s">
        <v>2962</v>
      </c>
      <c r="C2481" s="5" t="s">
        <v>211</v>
      </c>
      <c r="D2481" s="5" t="s">
        <v>2852</v>
      </c>
      <c r="E2481" s="7" t="s">
        <v>10696</v>
      </c>
      <c r="F2481" s="5" t="s">
        <v>10351</v>
      </c>
      <c r="G2481" s="5" t="s">
        <v>10614</v>
      </c>
      <c r="H2481" s="5">
        <v>2003.0</v>
      </c>
      <c r="I2481" s="5">
        <v>0.0</v>
      </c>
      <c r="J2481" s="5">
        <v>0.0</v>
      </c>
      <c r="K2481" s="5">
        <v>1.0</v>
      </c>
      <c r="L2481" s="54"/>
      <c r="M2481" s="5" t="s">
        <v>10701</v>
      </c>
      <c r="N2481" s="53" t="s">
        <v>10702</v>
      </c>
      <c r="O2481">
        <v>55.982071</v>
      </c>
      <c r="P2481">
        <v>-3.728159</v>
      </c>
      <c r="Q2481" s="5" t="s">
        <v>1898</v>
      </c>
      <c r="R2481" s="10">
        <f t="shared" si="10"/>
        <v>1</v>
      </c>
      <c r="S2481" s="5" t="s">
        <v>10703</v>
      </c>
      <c r="T2481" s="5"/>
      <c r="U2481" s="5" t="s">
        <v>9391</v>
      </c>
      <c r="V2481" s="5"/>
    </row>
    <row r="2482" ht="12.75" customHeight="1">
      <c r="A2482" s="5">
        <v>35792.0</v>
      </c>
      <c r="B2482" s="5" t="s">
        <v>1076</v>
      </c>
      <c r="C2482" s="52" t="s">
        <v>50</v>
      </c>
      <c r="D2482" s="5" t="s">
        <v>2852</v>
      </c>
      <c r="E2482" s="7" t="s">
        <v>10704</v>
      </c>
      <c r="F2482" s="5" t="s">
        <v>10351</v>
      </c>
      <c r="G2482" s="5" t="s">
        <v>10614</v>
      </c>
      <c r="H2482" s="5">
        <v>2003.0</v>
      </c>
      <c r="I2482" s="5">
        <v>0.0</v>
      </c>
      <c r="J2482" s="5">
        <v>0.0</v>
      </c>
      <c r="K2482" s="5">
        <v>5.0</v>
      </c>
      <c r="L2482" s="54"/>
      <c r="M2482" s="5" t="s">
        <v>10705</v>
      </c>
      <c r="N2482" s="53" t="s">
        <v>9297</v>
      </c>
      <c r="O2482">
        <v>36.105114</v>
      </c>
      <c r="P2482">
        <v>-5.488268</v>
      </c>
      <c r="Q2482" s="5" t="s">
        <v>769</v>
      </c>
      <c r="R2482" s="10">
        <f t="shared" si="10"/>
        <v>6</v>
      </c>
      <c r="S2482" s="5" t="s">
        <v>10706</v>
      </c>
      <c r="T2482" s="6" t="s">
        <v>72</v>
      </c>
      <c r="U2482" s="5" t="s">
        <v>10699</v>
      </c>
      <c r="V2482" s="5"/>
    </row>
    <row r="2483" ht="12.75" customHeight="1">
      <c r="A2483" s="5">
        <v>35791.0</v>
      </c>
      <c r="B2483" s="5" t="s">
        <v>1773</v>
      </c>
      <c r="C2483" s="5" t="s">
        <v>124</v>
      </c>
      <c r="D2483" s="5" t="s">
        <v>2614</v>
      </c>
      <c r="E2483" s="7" t="s">
        <v>10704</v>
      </c>
      <c r="F2483" s="5" t="s">
        <v>10351</v>
      </c>
      <c r="G2483" s="5" t="s">
        <v>10614</v>
      </c>
      <c r="H2483" s="5">
        <v>2003.0</v>
      </c>
      <c r="I2483" s="5">
        <v>0.0</v>
      </c>
      <c r="J2483" s="5">
        <v>0.0</v>
      </c>
      <c r="K2483" s="5">
        <v>1.0</v>
      </c>
      <c r="L2483" s="54"/>
      <c r="M2483" s="5" t="s">
        <v>10707</v>
      </c>
      <c r="N2483" s="53" t="s">
        <v>5983</v>
      </c>
      <c r="O2483">
        <v>36.132977</v>
      </c>
      <c r="P2483">
        <v>-5.453909</v>
      </c>
      <c r="Q2483" s="5" t="s">
        <v>770</v>
      </c>
      <c r="R2483" s="10">
        <f t="shared" si="10"/>
        <v>29</v>
      </c>
      <c r="S2483" s="5" t="s">
        <v>10708</v>
      </c>
      <c r="T2483" s="6" t="s">
        <v>72</v>
      </c>
      <c r="U2483" s="5" t="s">
        <v>2785</v>
      </c>
      <c r="V2483" s="5" t="s">
        <v>10709</v>
      </c>
    </row>
    <row r="2484" ht="12.75" customHeight="1">
      <c r="A2484" s="5">
        <v>35794.0</v>
      </c>
      <c r="B2484" s="5" t="s">
        <v>68</v>
      </c>
      <c r="C2484" s="5" t="s">
        <v>69</v>
      </c>
      <c r="D2484" s="5" t="s">
        <v>2852</v>
      </c>
      <c r="E2484" s="7" t="s">
        <v>10704</v>
      </c>
      <c r="F2484" s="5" t="s">
        <v>10351</v>
      </c>
      <c r="G2484" s="5" t="s">
        <v>10614</v>
      </c>
      <c r="H2484" s="5">
        <v>2003.0</v>
      </c>
      <c r="I2484" s="5">
        <v>0.0</v>
      </c>
      <c r="J2484" s="5">
        <v>0.0</v>
      </c>
      <c r="K2484" s="5">
        <v>3.0</v>
      </c>
      <c r="L2484" s="54"/>
      <c r="M2484" s="5" t="s">
        <v>10710</v>
      </c>
      <c r="N2484" s="53" t="s">
        <v>3524</v>
      </c>
      <c r="O2484">
        <v>36.81881</v>
      </c>
      <c r="P2484">
        <v>10.16596</v>
      </c>
      <c r="Q2484" s="5" t="s">
        <v>854</v>
      </c>
      <c r="R2484" s="10">
        <f t="shared" si="10"/>
        <v>540</v>
      </c>
      <c r="S2484" s="5" t="s">
        <v>10711</v>
      </c>
      <c r="T2484" s="6" t="s">
        <v>2130</v>
      </c>
      <c r="U2484" s="5" t="s">
        <v>10712</v>
      </c>
      <c r="V2484" s="5"/>
    </row>
    <row r="2485" ht="12.75" customHeight="1">
      <c r="A2485" s="5">
        <v>35793.0</v>
      </c>
      <c r="B2485" s="5" t="s">
        <v>68</v>
      </c>
      <c r="C2485" s="5" t="s">
        <v>69</v>
      </c>
      <c r="D2485" s="5" t="s">
        <v>2852</v>
      </c>
      <c r="E2485" s="7" t="s">
        <v>10704</v>
      </c>
      <c r="F2485" s="5" t="s">
        <v>10351</v>
      </c>
      <c r="G2485" s="5" t="s">
        <v>10614</v>
      </c>
      <c r="H2485" s="5">
        <v>2003.0</v>
      </c>
      <c r="I2485" s="5">
        <v>0.0</v>
      </c>
      <c r="J2485" s="5">
        <v>0.0</v>
      </c>
      <c r="K2485" s="5">
        <v>1.0</v>
      </c>
      <c r="L2485" s="54"/>
      <c r="M2485" s="5" t="s">
        <v>10713</v>
      </c>
      <c r="N2485" s="53" t="s">
        <v>3524</v>
      </c>
      <c r="O2485">
        <v>36.81881</v>
      </c>
      <c r="P2485">
        <v>10.16596</v>
      </c>
      <c r="Q2485" s="5" t="s">
        <v>854</v>
      </c>
      <c r="R2485" s="10">
        <f t="shared" si="10"/>
        <v>540</v>
      </c>
      <c r="S2485" s="5" t="s">
        <v>10711</v>
      </c>
      <c r="T2485" s="6" t="s">
        <v>2130</v>
      </c>
      <c r="U2485" s="5" t="s">
        <v>10712</v>
      </c>
      <c r="V2485" s="5"/>
    </row>
    <row r="2486" ht="12.75" customHeight="1">
      <c r="A2486" s="5">
        <v>35796.0</v>
      </c>
      <c r="B2486" s="5" t="s">
        <v>1076</v>
      </c>
      <c r="C2486" s="52" t="s">
        <v>50</v>
      </c>
      <c r="D2486" s="5" t="s">
        <v>2852</v>
      </c>
      <c r="E2486" s="7" t="s">
        <v>10704</v>
      </c>
      <c r="F2486" s="5" t="s">
        <v>10351</v>
      </c>
      <c r="G2486" s="5" t="s">
        <v>10614</v>
      </c>
      <c r="H2486" s="5">
        <v>2003.0</v>
      </c>
      <c r="I2486" s="5">
        <v>0.0</v>
      </c>
      <c r="J2486" s="5">
        <v>0.0</v>
      </c>
      <c r="K2486" s="5">
        <v>2.0</v>
      </c>
      <c r="L2486" s="54"/>
      <c r="M2486" s="5" t="s">
        <v>10714</v>
      </c>
      <c r="N2486" s="53" t="s">
        <v>10715</v>
      </c>
      <c r="O2486">
        <v>43.362344</v>
      </c>
      <c r="P2486">
        <v>-8.41154</v>
      </c>
      <c r="Q2486" s="5" t="s">
        <v>1279</v>
      </c>
      <c r="R2486" s="10">
        <f t="shared" si="10"/>
        <v>6</v>
      </c>
      <c r="S2486" s="5" t="s">
        <v>10716</v>
      </c>
      <c r="T2486" s="6" t="s">
        <v>72</v>
      </c>
      <c r="U2486" s="5" t="s">
        <v>3128</v>
      </c>
      <c r="V2486" s="5"/>
    </row>
    <row r="2487" ht="12.75" customHeight="1">
      <c r="A2487" s="5">
        <v>35795.0</v>
      </c>
      <c r="B2487" s="5" t="s">
        <v>49</v>
      </c>
      <c r="C2487" s="52" t="s">
        <v>50</v>
      </c>
      <c r="D2487" s="5" t="s">
        <v>2852</v>
      </c>
      <c r="E2487" s="7" t="s">
        <v>10704</v>
      </c>
      <c r="F2487" s="5" t="s">
        <v>10351</v>
      </c>
      <c r="G2487" s="5" t="s">
        <v>10614</v>
      </c>
      <c r="H2487" s="5">
        <v>2003.0</v>
      </c>
      <c r="I2487" s="5">
        <v>0.0</v>
      </c>
      <c r="J2487" s="5">
        <v>0.0</v>
      </c>
      <c r="K2487" s="5">
        <v>3.0</v>
      </c>
      <c r="L2487" s="54"/>
      <c r="M2487" s="5" t="s">
        <v>10717</v>
      </c>
      <c r="N2487" s="53" t="s">
        <v>10072</v>
      </c>
      <c r="O2487">
        <v>49.49437</v>
      </c>
      <c r="P2487">
        <v>0.107929</v>
      </c>
      <c r="Q2487" s="5" t="s">
        <v>1468</v>
      </c>
      <c r="R2487" s="10">
        <f t="shared" si="10"/>
        <v>6</v>
      </c>
      <c r="S2487" s="5" t="s">
        <v>10718</v>
      </c>
      <c r="T2487" s="5"/>
      <c r="U2487" s="5" t="s">
        <v>5296</v>
      </c>
      <c r="V2487" s="5"/>
    </row>
    <row r="2488" ht="12.75" customHeight="1">
      <c r="A2488" s="5">
        <v>35797.0</v>
      </c>
      <c r="B2488" s="5" t="s">
        <v>49</v>
      </c>
      <c r="C2488" s="52" t="s">
        <v>50</v>
      </c>
      <c r="D2488" s="5" t="s">
        <v>2852</v>
      </c>
      <c r="E2488" s="7" t="s">
        <v>10719</v>
      </c>
      <c r="F2488" s="5" t="s">
        <v>10351</v>
      </c>
      <c r="G2488" s="5" t="s">
        <v>10614</v>
      </c>
      <c r="H2488" s="5">
        <v>2003.0</v>
      </c>
      <c r="I2488" s="5">
        <v>0.0</v>
      </c>
      <c r="J2488" s="5">
        <v>0.0</v>
      </c>
      <c r="K2488" s="5">
        <v>2.0</v>
      </c>
      <c r="L2488" s="54"/>
      <c r="M2488" s="5" t="s">
        <v>10720</v>
      </c>
      <c r="N2488" s="53" t="s">
        <v>3524</v>
      </c>
      <c r="O2488">
        <v>36.81881</v>
      </c>
      <c r="P2488">
        <v>10.16596</v>
      </c>
      <c r="Q2488" s="5" t="s">
        <v>854</v>
      </c>
      <c r="R2488" s="10">
        <f t="shared" si="10"/>
        <v>540</v>
      </c>
      <c r="S2488" s="5" t="s">
        <v>10721</v>
      </c>
      <c r="T2488" s="6" t="s">
        <v>2130</v>
      </c>
      <c r="U2488" s="5" t="s">
        <v>5296</v>
      </c>
      <c r="V2488" s="5"/>
    </row>
    <row r="2489" ht="12.75" customHeight="1">
      <c r="A2489" s="5">
        <v>35798.0</v>
      </c>
      <c r="B2489" s="5" t="s">
        <v>2962</v>
      </c>
      <c r="C2489" s="5" t="s">
        <v>211</v>
      </c>
      <c r="D2489" s="5" t="s">
        <v>2852</v>
      </c>
      <c r="E2489" s="7" t="s">
        <v>10719</v>
      </c>
      <c r="F2489" s="5" t="s">
        <v>10351</v>
      </c>
      <c r="G2489" s="5" t="s">
        <v>10614</v>
      </c>
      <c r="H2489" s="5">
        <v>2003.0</v>
      </c>
      <c r="I2489" s="5">
        <v>0.0</v>
      </c>
      <c r="J2489" s="5">
        <v>0.0</v>
      </c>
      <c r="K2489" s="5">
        <v>1.0</v>
      </c>
      <c r="L2489" s="54"/>
      <c r="M2489" s="5" t="s">
        <v>10722</v>
      </c>
      <c r="N2489" s="53" t="s">
        <v>4151</v>
      </c>
      <c r="O2489">
        <v>55.864237</v>
      </c>
      <c r="P2489">
        <v>-4.251806</v>
      </c>
      <c r="Q2489" s="5" t="s">
        <v>1895</v>
      </c>
      <c r="R2489" s="10">
        <f t="shared" si="10"/>
        <v>6</v>
      </c>
      <c r="S2489" s="5" t="s">
        <v>10723</v>
      </c>
      <c r="T2489" s="5"/>
      <c r="U2489" s="5" t="s">
        <v>8646</v>
      </c>
      <c r="V2489" s="5"/>
    </row>
    <row r="2490" ht="12.75" customHeight="1">
      <c r="A2490" s="5">
        <v>35801.0</v>
      </c>
      <c r="B2490" s="5" t="s">
        <v>49</v>
      </c>
      <c r="C2490" s="52" t="s">
        <v>50</v>
      </c>
      <c r="D2490" s="5" t="s">
        <v>2852</v>
      </c>
      <c r="E2490" s="7" t="s">
        <v>10724</v>
      </c>
      <c r="F2490" s="5" t="s">
        <v>10351</v>
      </c>
      <c r="G2490" s="5" t="s">
        <v>10614</v>
      </c>
      <c r="H2490" s="5">
        <v>2003.0</v>
      </c>
      <c r="I2490" s="5">
        <v>0.0</v>
      </c>
      <c r="J2490" s="5">
        <v>0.0</v>
      </c>
      <c r="K2490" s="5">
        <v>10.0</v>
      </c>
      <c r="L2490" s="54"/>
      <c r="M2490" s="5" t="s">
        <v>10725</v>
      </c>
      <c r="N2490" s="53" t="s">
        <v>5814</v>
      </c>
      <c r="O2490">
        <v>28.358744</v>
      </c>
      <c r="P2490">
        <v>-14.053676</v>
      </c>
      <c r="Q2490" s="5" t="s">
        <v>390</v>
      </c>
      <c r="R2490" s="10">
        <f t="shared" si="10"/>
        <v>488</v>
      </c>
      <c r="S2490" s="5" t="s">
        <v>10726</v>
      </c>
      <c r="T2490" s="5" t="s">
        <v>1040</v>
      </c>
      <c r="U2490" s="5" t="s">
        <v>10727</v>
      </c>
      <c r="V2490" s="5"/>
    </row>
    <row r="2491" ht="12.75" customHeight="1">
      <c r="A2491" s="5">
        <v>35799.0</v>
      </c>
      <c r="B2491" s="5" t="s">
        <v>98</v>
      </c>
      <c r="C2491" s="5" t="s">
        <v>62</v>
      </c>
      <c r="D2491" s="5" t="s">
        <v>2852</v>
      </c>
      <c r="E2491" s="7" t="s">
        <v>10724</v>
      </c>
      <c r="F2491" s="5" t="s">
        <v>10351</v>
      </c>
      <c r="G2491" s="5" t="s">
        <v>10614</v>
      </c>
      <c r="H2491" s="5">
        <v>2003.0</v>
      </c>
      <c r="I2491" s="5">
        <v>0.0</v>
      </c>
      <c r="J2491" s="5">
        <v>0.0</v>
      </c>
      <c r="K2491" s="5">
        <v>13.0</v>
      </c>
      <c r="L2491" s="54"/>
      <c r="M2491" s="5" t="s">
        <v>10728</v>
      </c>
      <c r="N2491" s="53" t="s">
        <v>7822</v>
      </c>
      <c r="O2491">
        <v>35.010802</v>
      </c>
      <c r="P2491">
        <v>-7.514648</v>
      </c>
      <c r="Q2491" s="5" t="s">
        <v>614</v>
      </c>
      <c r="R2491" s="10">
        <f t="shared" si="10"/>
        <v>117</v>
      </c>
      <c r="S2491" s="5" t="s">
        <v>10729</v>
      </c>
      <c r="T2491" s="6" t="s">
        <v>72</v>
      </c>
      <c r="U2491" s="5" t="s">
        <v>10699</v>
      </c>
      <c r="V2491" s="5"/>
    </row>
    <row r="2492" ht="12.75" customHeight="1">
      <c r="A2492" s="5">
        <v>35800.0</v>
      </c>
      <c r="B2492" s="5" t="s">
        <v>49</v>
      </c>
      <c r="C2492" s="52" t="s">
        <v>50</v>
      </c>
      <c r="D2492" s="5" t="s">
        <v>2852</v>
      </c>
      <c r="E2492" s="7" t="s">
        <v>10724</v>
      </c>
      <c r="F2492" s="5" t="s">
        <v>10351</v>
      </c>
      <c r="G2492" s="5" t="s">
        <v>10614</v>
      </c>
      <c r="H2492" s="5">
        <v>2003.0</v>
      </c>
      <c r="I2492" s="5">
        <v>0.0</v>
      </c>
      <c r="J2492" s="5">
        <v>0.0</v>
      </c>
      <c r="K2492" s="5">
        <v>9.0</v>
      </c>
      <c r="L2492" s="54"/>
      <c r="M2492" s="5" t="s">
        <v>10730</v>
      </c>
      <c r="N2492" s="53" t="s">
        <v>4663</v>
      </c>
      <c r="O2492">
        <v>36.19002</v>
      </c>
      <c r="P2492">
        <v>-5.92248</v>
      </c>
      <c r="Q2492" s="5" t="s">
        <v>778</v>
      </c>
      <c r="R2492" s="10">
        <f t="shared" si="10"/>
        <v>74</v>
      </c>
      <c r="S2492" s="5" t="s">
        <v>10731</v>
      </c>
      <c r="T2492" s="6" t="s">
        <v>72</v>
      </c>
      <c r="U2492" s="5" t="s">
        <v>10699</v>
      </c>
      <c r="V2492" s="5"/>
    </row>
    <row r="2493" ht="12.75" customHeight="1">
      <c r="A2493" s="5">
        <v>35805.0</v>
      </c>
      <c r="B2493" s="5" t="s">
        <v>49</v>
      </c>
      <c r="C2493" s="52" t="s">
        <v>50</v>
      </c>
      <c r="D2493" s="5" t="s">
        <v>2852</v>
      </c>
      <c r="E2493" s="7" t="s">
        <v>10732</v>
      </c>
      <c r="F2493" s="5" t="s">
        <v>10351</v>
      </c>
      <c r="G2493" s="5" t="s">
        <v>10614</v>
      </c>
      <c r="H2493" s="5">
        <v>2003.0</v>
      </c>
      <c r="I2493" s="5">
        <v>0.0</v>
      </c>
      <c r="J2493" s="5">
        <v>0.0</v>
      </c>
      <c r="K2493" s="5">
        <v>15.0</v>
      </c>
      <c r="L2493" s="54"/>
      <c r="M2493" s="5" t="s">
        <v>10733</v>
      </c>
      <c r="N2493" s="53" t="s">
        <v>5814</v>
      </c>
      <c r="O2493">
        <v>28.358744</v>
      </c>
      <c r="P2493">
        <v>-14.053676</v>
      </c>
      <c r="Q2493" s="5" t="s">
        <v>390</v>
      </c>
      <c r="R2493" s="10">
        <f t="shared" si="10"/>
        <v>488</v>
      </c>
      <c r="S2493" s="5" t="s">
        <v>10734</v>
      </c>
      <c r="T2493" s="5" t="s">
        <v>1040</v>
      </c>
      <c r="U2493" s="5" t="s">
        <v>3765</v>
      </c>
      <c r="V2493" s="5"/>
    </row>
    <row r="2494" ht="12.75" customHeight="1">
      <c r="A2494" s="5">
        <v>35802.0</v>
      </c>
      <c r="B2494" s="5" t="s">
        <v>68</v>
      </c>
      <c r="C2494" s="5" t="s">
        <v>69</v>
      </c>
      <c r="D2494" s="5" t="s">
        <v>2614</v>
      </c>
      <c r="E2494" s="7" t="s">
        <v>10732</v>
      </c>
      <c r="F2494" s="5" t="s">
        <v>10351</v>
      </c>
      <c r="G2494" s="5" t="s">
        <v>10614</v>
      </c>
      <c r="H2494" s="5">
        <v>2003.0</v>
      </c>
      <c r="I2494" s="5">
        <v>0.0</v>
      </c>
      <c r="J2494" s="5">
        <v>0.0</v>
      </c>
      <c r="K2494" s="5">
        <v>6.0</v>
      </c>
      <c r="L2494" s="54"/>
      <c r="M2494" s="5" t="s">
        <v>10735</v>
      </c>
      <c r="N2494" s="53" t="s">
        <v>10736</v>
      </c>
      <c r="O2494">
        <v>36.585572</v>
      </c>
      <c r="P2494">
        <v>27.842865</v>
      </c>
      <c r="Q2494" s="5" t="s">
        <v>804</v>
      </c>
      <c r="R2494" s="10">
        <f t="shared" si="10"/>
        <v>12</v>
      </c>
      <c r="S2494" s="5" t="s">
        <v>10737</v>
      </c>
      <c r="T2494" s="6" t="s">
        <v>53</v>
      </c>
      <c r="U2494" s="5" t="s">
        <v>3318</v>
      </c>
      <c r="V2494" s="5" t="s">
        <v>10738</v>
      </c>
    </row>
    <row r="2495" ht="12.75" customHeight="1">
      <c r="A2495" s="5">
        <v>35803.0</v>
      </c>
      <c r="B2495" s="5" t="s">
        <v>5200</v>
      </c>
      <c r="C2495" s="5" t="s">
        <v>124</v>
      </c>
      <c r="D2495" s="5" t="s">
        <v>2614</v>
      </c>
      <c r="E2495" s="7" t="s">
        <v>10732</v>
      </c>
      <c r="F2495" s="5" t="s">
        <v>10351</v>
      </c>
      <c r="G2495" s="5" t="s">
        <v>10614</v>
      </c>
      <c r="H2495" s="5">
        <v>2003.0</v>
      </c>
      <c r="I2495" s="5">
        <v>0.0</v>
      </c>
      <c r="J2495" s="5">
        <v>0.0</v>
      </c>
      <c r="K2495" s="5">
        <v>2.0</v>
      </c>
      <c r="L2495" s="54"/>
      <c r="M2495" s="5" t="s">
        <v>10739</v>
      </c>
      <c r="N2495" s="53" t="s">
        <v>2834</v>
      </c>
      <c r="O2495">
        <v>41.244376</v>
      </c>
      <c r="P2495">
        <v>26.135943</v>
      </c>
      <c r="Q2495" s="5" t="s">
        <v>1214</v>
      </c>
      <c r="R2495" s="10">
        <f t="shared" si="10"/>
        <v>188</v>
      </c>
      <c r="S2495" s="5" t="s">
        <v>10740</v>
      </c>
      <c r="T2495" s="6" t="s">
        <v>53</v>
      </c>
      <c r="U2495" s="5" t="s">
        <v>3318</v>
      </c>
      <c r="V2495" s="5" t="s">
        <v>10738</v>
      </c>
    </row>
    <row r="2496" ht="12.75" customHeight="1">
      <c r="A2496" s="5">
        <v>35804.0</v>
      </c>
      <c r="B2496" s="5" t="s">
        <v>68</v>
      </c>
      <c r="C2496" s="5" t="s">
        <v>69</v>
      </c>
      <c r="D2496" s="5" t="s">
        <v>2852</v>
      </c>
      <c r="E2496" s="7" t="s">
        <v>10732</v>
      </c>
      <c r="F2496" s="5" t="s">
        <v>10351</v>
      </c>
      <c r="G2496" s="5" t="s">
        <v>10614</v>
      </c>
      <c r="H2496" s="5">
        <v>2003.0</v>
      </c>
      <c r="I2496" s="5">
        <v>0.0</v>
      </c>
      <c r="J2496" s="5">
        <v>0.0</v>
      </c>
      <c r="K2496" s="5">
        <v>2.0</v>
      </c>
      <c r="L2496" s="54"/>
      <c r="M2496" s="5" t="s">
        <v>10741</v>
      </c>
      <c r="N2496" s="53" t="s">
        <v>10742</v>
      </c>
      <c r="O2496">
        <v>51.027979</v>
      </c>
      <c r="P2496">
        <v>1.543579</v>
      </c>
      <c r="Q2496" s="5" t="s">
        <v>1570</v>
      </c>
      <c r="R2496" s="10">
        <f t="shared" si="10"/>
        <v>2</v>
      </c>
      <c r="S2496" s="5" t="s">
        <v>10743</v>
      </c>
      <c r="T2496" s="5"/>
      <c r="U2496" s="5" t="s">
        <v>3219</v>
      </c>
      <c r="V2496" s="5"/>
    </row>
    <row r="2497" ht="12.75" customHeight="1">
      <c r="A2497" s="5">
        <v>35806.0</v>
      </c>
      <c r="B2497" s="5" t="s">
        <v>3409</v>
      </c>
      <c r="C2497" s="5" t="s">
        <v>211</v>
      </c>
      <c r="D2497" s="5" t="s">
        <v>2852</v>
      </c>
      <c r="E2497" s="7" t="s">
        <v>10732</v>
      </c>
      <c r="F2497" s="5" t="s">
        <v>10351</v>
      </c>
      <c r="G2497" s="5" t="s">
        <v>10614</v>
      </c>
      <c r="H2497" s="5">
        <v>2003.0</v>
      </c>
      <c r="I2497" s="5">
        <v>0.0</v>
      </c>
      <c r="J2497" s="5">
        <v>0.0</v>
      </c>
      <c r="K2497" s="5">
        <v>1.0</v>
      </c>
      <c r="L2497" s="54"/>
      <c r="M2497" s="5" t="s">
        <v>10744</v>
      </c>
      <c r="N2497" s="53" t="s">
        <v>10745</v>
      </c>
      <c r="O2497">
        <v>51.903238</v>
      </c>
      <c r="P2497">
        <v>8.385753</v>
      </c>
      <c r="Q2497" s="5" t="s">
        <v>1691</v>
      </c>
      <c r="R2497" s="10">
        <f t="shared" si="10"/>
        <v>1</v>
      </c>
      <c r="S2497" s="5" t="s">
        <v>10746</v>
      </c>
      <c r="T2497" s="5"/>
      <c r="U2497" s="5" t="s">
        <v>10747</v>
      </c>
      <c r="V2497" s="5"/>
    </row>
    <row r="2498" ht="12.75" customHeight="1">
      <c r="A2498" s="5">
        <v>35808.0</v>
      </c>
      <c r="B2498" s="5" t="s">
        <v>49</v>
      </c>
      <c r="C2498" s="52" t="s">
        <v>50</v>
      </c>
      <c r="D2498" s="5" t="s">
        <v>2852</v>
      </c>
      <c r="E2498" s="7" t="s">
        <v>10748</v>
      </c>
      <c r="F2498" s="5" t="s">
        <v>10351</v>
      </c>
      <c r="G2498" s="5" t="s">
        <v>10614</v>
      </c>
      <c r="H2498" s="5">
        <v>2003.0</v>
      </c>
      <c r="I2498" s="5">
        <v>0.0</v>
      </c>
      <c r="J2498" s="5">
        <v>0.0</v>
      </c>
      <c r="K2498" s="5">
        <v>2.0</v>
      </c>
      <c r="L2498" s="54"/>
      <c r="M2498" s="5" t="s">
        <v>10749</v>
      </c>
      <c r="N2498" s="53" t="s">
        <v>2638</v>
      </c>
      <c r="O2498">
        <v>35.888384</v>
      </c>
      <c r="P2498">
        <v>-5.324636</v>
      </c>
      <c r="Q2498" s="5" t="s">
        <v>717</v>
      </c>
      <c r="R2498" s="10">
        <f t="shared" si="10"/>
        <v>213</v>
      </c>
      <c r="S2498" s="5" t="s">
        <v>10750</v>
      </c>
      <c r="T2498" s="6" t="s">
        <v>72</v>
      </c>
      <c r="U2498" s="5" t="s">
        <v>9274</v>
      </c>
      <c r="V2498" s="5"/>
    </row>
    <row r="2499" ht="12.75" customHeight="1">
      <c r="A2499" s="5">
        <v>35809.0</v>
      </c>
      <c r="B2499" s="5" t="s">
        <v>1076</v>
      </c>
      <c r="C2499" s="52" t="s">
        <v>50</v>
      </c>
      <c r="D2499" s="5" t="s">
        <v>2852</v>
      </c>
      <c r="E2499" s="7" t="s">
        <v>10748</v>
      </c>
      <c r="F2499" s="5" t="s">
        <v>10351</v>
      </c>
      <c r="G2499" s="5" t="s">
        <v>10614</v>
      </c>
      <c r="H2499" s="5">
        <v>2003.0</v>
      </c>
      <c r="I2499" s="5">
        <v>0.0</v>
      </c>
      <c r="J2499" s="5">
        <v>0.0</v>
      </c>
      <c r="K2499" s="5">
        <v>1.0</v>
      </c>
      <c r="L2499" s="54"/>
      <c r="M2499" s="5" t="s">
        <v>10751</v>
      </c>
      <c r="N2499" s="53" t="s">
        <v>10752</v>
      </c>
      <c r="O2499">
        <v>46.151241</v>
      </c>
      <c r="P2499">
        <v>14.995463</v>
      </c>
      <c r="Q2499" s="5" t="s">
        <v>1343</v>
      </c>
      <c r="R2499" s="10">
        <f t="shared" si="10"/>
        <v>1</v>
      </c>
      <c r="S2499" s="5" t="s">
        <v>10753</v>
      </c>
      <c r="T2499" s="6" t="s">
        <v>65</v>
      </c>
      <c r="U2499" s="5" t="s">
        <v>3219</v>
      </c>
      <c r="V2499" s="5"/>
    </row>
    <row r="2500" ht="12.75" customHeight="1">
      <c r="A2500" s="5">
        <v>35807.0</v>
      </c>
      <c r="B2500" s="5" t="s">
        <v>68</v>
      </c>
      <c r="C2500" s="5" t="s">
        <v>69</v>
      </c>
      <c r="D2500" s="5" t="s">
        <v>2852</v>
      </c>
      <c r="E2500" s="7" t="s">
        <v>10748</v>
      </c>
      <c r="F2500" s="5" t="s">
        <v>10351</v>
      </c>
      <c r="G2500" s="5" t="s">
        <v>10614</v>
      </c>
      <c r="H2500" s="5">
        <v>2003.0</v>
      </c>
      <c r="I2500" s="5">
        <v>0.0</v>
      </c>
      <c r="J2500" s="5">
        <v>0.0</v>
      </c>
      <c r="K2500" s="5">
        <v>1.0</v>
      </c>
      <c r="L2500" s="54"/>
      <c r="M2500" s="5" t="s">
        <v>10754</v>
      </c>
      <c r="N2500" s="53" t="s">
        <v>8706</v>
      </c>
      <c r="O2500">
        <v>48.669026</v>
      </c>
      <c r="P2500">
        <v>19.699024</v>
      </c>
      <c r="Q2500" s="5" t="s">
        <v>1431</v>
      </c>
      <c r="R2500" s="10">
        <f t="shared" si="10"/>
        <v>16</v>
      </c>
      <c r="S2500" s="5" t="s">
        <v>10755</v>
      </c>
      <c r="T2500" s="6" t="s">
        <v>1964</v>
      </c>
      <c r="U2500" s="5" t="s">
        <v>3219</v>
      </c>
      <c r="V2500" s="5" t="s">
        <v>10756</v>
      </c>
    </row>
    <row r="2501" ht="12.75" customHeight="1">
      <c r="A2501" s="5">
        <v>35811.0</v>
      </c>
      <c r="B2501" s="5" t="s">
        <v>1076</v>
      </c>
      <c r="C2501" s="52" t="s">
        <v>50</v>
      </c>
      <c r="D2501" s="5" t="s">
        <v>2852</v>
      </c>
      <c r="E2501" s="7" t="s">
        <v>10757</v>
      </c>
      <c r="F2501" s="5" t="s">
        <v>10351</v>
      </c>
      <c r="G2501" s="5" t="s">
        <v>10614</v>
      </c>
      <c r="H2501" s="5">
        <v>2003.0</v>
      </c>
      <c r="I2501" s="5">
        <v>0.0</v>
      </c>
      <c r="J2501" s="5">
        <v>0.0</v>
      </c>
      <c r="K2501" s="5">
        <v>1.0</v>
      </c>
      <c r="L2501" s="54"/>
      <c r="M2501" s="5" t="s">
        <v>10758</v>
      </c>
      <c r="N2501" s="53" t="s">
        <v>2718</v>
      </c>
      <c r="O2501">
        <v>35.292278</v>
      </c>
      <c r="P2501">
        <v>-2.938097</v>
      </c>
      <c r="Q2501" s="5" t="s">
        <v>649</v>
      </c>
      <c r="R2501" s="10">
        <f t="shared" si="10"/>
        <v>79</v>
      </c>
      <c r="S2501" s="5" t="s">
        <v>10759</v>
      </c>
      <c r="T2501" s="6" t="s">
        <v>72</v>
      </c>
      <c r="U2501" s="5" t="s">
        <v>10699</v>
      </c>
      <c r="V2501" s="5"/>
    </row>
    <row r="2502" ht="12.75" customHeight="1">
      <c r="A2502" s="5">
        <v>35810.0</v>
      </c>
      <c r="B2502" s="5" t="s">
        <v>49</v>
      </c>
      <c r="C2502" s="52" t="s">
        <v>50</v>
      </c>
      <c r="D2502" s="5" t="s">
        <v>2852</v>
      </c>
      <c r="E2502" s="7" t="s">
        <v>10757</v>
      </c>
      <c r="F2502" s="5" t="s">
        <v>10351</v>
      </c>
      <c r="G2502" s="5" t="s">
        <v>10614</v>
      </c>
      <c r="H2502" s="5">
        <v>2003.0</v>
      </c>
      <c r="I2502" s="5">
        <v>0.0</v>
      </c>
      <c r="J2502" s="5">
        <v>0.0</v>
      </c>
      <c r="K2502" s="5">
        <v>1.0</v>
      </c>
      <c r="L2502" s="54"/>
      <c r="M2502" s="5" t="s">
        <v>10760</v>
      </c>
      <c r="N2502" s="53" t="s">
        <v>2700</v>
      </c>
      <c r="O2502">
        <v>35.508622</v>
      </c>
      <c r="P2502">
        <v>12.59292</v>
      </c>
      <c r="Q2502" s="5" t="s">
        <v>669</v>
      </c>
      <c r="R2502" s="10">
        <f t="shared" si="10"/>
        <v>3843</v>
      </c>
      <c r="S2502" s="5" t="s">
        <v>10761</v>
      </c>
      <c r="T2502" s="6" t="s">
        <v>2130</v>
      </c>
      <c r="U2502" s="5" t="s">
        <v>10762</v>
      </c>
      <c r="V2502" s="5"/>
    </row>
    <row r="2503" ht="12.75" customHeight="1">
      <c r="A2503" s="5">
        <v>35812.0</v>
      </c>
      <c r="B2503" s="5" t="s">
        <v>49</v>
      </c>
      <c r="C2503" s="52" t="s">
        <v>50</v>
      </c>
      <c r="D2503" s="5" t="s">
        <v>2852</v>
      </c>
      <c r="E2503" s="7" t="s">
        <v>10763</v>
      </c>
      <c r="F2503" s="5" t="s">
        <v>10351</v>
      </c>
      <c r="G2503" s="5" t="s">
        <v>10614</v>
      </c>
      <c r="H2503" s="5">
        <v>2003.0</v>
      </c>
      <c r="I2503" s="5">
        <v>0.0</v>
      </c>
      <c r="J2503" s="5">
        <v>0.0</v>
      </c>
      <c r="K2503" s="5">
        <v>10.0</v>
      </c>
      <c r="L2503" s="54"/>
      <c r="M2503" s="5" t="s">
        <v>10764</v>
      </c>
      <c r="N2503" s="53" t="s">
        <v>3151</v>
      </c>
      <c r="O2503">
        <v>29.046854</v>
      </c>
      <c r="P2503">
        <v>-13.589973</v>
      </c>
      <c r="Q2503" s="5" t="s">
        <v>400</v>
      </c>
      <c r="R2503" s="10">
        <f t="shared" si="10"/>
        <v>74</v>
      </c>
      <c r="S2503" s="5" t="s">
        <v>10765</v>
      </c>
      <c r="T2503" s="5" t="s">
        <v>1040</v>
      </c>
      <c r="U2503" s="5" t="s">
        <v>10699</v>
      </c>
      <c r="V2503" s="5"/>
    </row>
    <row r="2504" ht="12.75" customHeight="1">
      <c r="A2504" s="5">
        <v>35813.0</v>
      </c>
      <c r="B2504" s="5" t="s">
        <v>49</v>
      </c>
      <c r="C2504" s="52" t="s">
        <v>50</v>
      </c>
      <c r="D2504" s="5" t="s">
        <v>2852</v>
      </c>
      <c r="E2504" s="7" t="s">
        <v>10763</v>
      </c>
      <c r="F2504" s="5" t="s">
        <v>10351</v>
      </c>
      <c r="G2504" s="5" t="s">
        <v>10614</v>
      </c>
      <c r="H2504" s="5">
        <v>2003.0</v>
      </c>
      <c r="I2504" s="5">
        <v>0.0</v>
      </c>
      <c r="J2504" s="5">
        <v>0.0</v>
      </c>
      <c r="K2504" s="5">
        <v>76.0</v>
      </c>
      <c r="L2504" s="54"/>
      <c r="M2504" s="5" t="s">
        <v>10766</v>
      </c>
      <c r="N2504" s="53" t="s">
        <v>2680</v>
      </c>
      <c r="O2504">
        <v>36.018776</v>
      </c>
      <c r="P2504">
        <v>-5.600819</v>
      </c>
      <c r="Q2504" s="5" t="s">
        <v>761</v>
      </c>
      <c r="R2504" s="10">
        <f t="shared" si="10"/>
        <v>492</v>
      </c>
      <c r="S2504" s="5" t="s">
        <v>10767</v>
      </c>
      <c r="T2504" s="6" t="s">
        <v>72</v>
      </c>
      <c r="U2504" s="5" t="s">
        <v>10699</v>
      </c>
      <c r="V2504" s="5"/>
    </row>
    <row r="2505" ht="12.75" customHeight="1">
      <c r="A2505" s="5">
        <v>35815.0</v>
      </c>
      <c r="B2505" s="5" t="s">
        <v>49</v>
      </c>
      <c r="C2505" s="52" t="s">
        <v>50</v>
      </c>
      <c r="D2505" s="5" t="s">
        <v>2852</v>
      </c>
      <c r="E2505" s="7" t="s">
        <v>10768</v>
      </c>
      <c r="F2505" s="5" t="s">
        <v>10351</v>
      </c>
      <c r="G2505" s="5" t="s">
        <v>10614</v>
      </c>
      <c r="H2505" s="5">
        <v>2003.0</v>
      </c>
      <c r="I2505" s="5">
        <v>0.0</v>
      </c>
      <c r="J2505" s="5">
        <v>0.0</v>
      </c>
      <c r="K2505" s="5">
        <v>12.0</v>
      </c>
      <c r="L2505" s="54"/>
      <c r="M2505" s="5" t="s">
        <v>10769</v>
      </c>
      <c r="N2505" s="53" t="s">
        <v>10770</v>
      </c>
      <c r="O2505">
        <v>29.060072</v>
      </c>
      <c r="P2505">
        <v>-13.560306</v>
      </c>
      <c r="Q2505" s="5" t="s">
        <v>401</v>
      </c>
      <c r="R2505" s="10">
        <f t="shared" si="10"/>
        <v>12</v>
      </c>
      <c r="S2505" s="5" t="s">
        <v>10771</v>
      </c>
      <c r="T2505" s="5" t="s">
        <v>1040</v>
      </c>
      <c r="U2505" s="5" t="s">
        <v>10699</v>
      </c>
      <c r="V2505" s="5"/>
    </row>
    <row r="2506" ht="12.75" customHeight="1">
      <c r="A2506" s="5">
        <v>35814.0</v>
      </c>
      <c r="B2506" s="5" t="s">
        <v>5200</v>
      </c>
      <c r="C2506" s="5" t="s">
        <v>124</v>
      </c>
      <c r="D2506" s="5" t="s">
        <v>2852</v>
      </c>
      <c r="E2506" s="7" t="s">
        <v>10768</v>
      </c>
      <c r="F2506" s="5" t="s">
        <v>10351</v>
      </c>
      <c r="G2506" s="5" t="s">
        <v>10614</v>
      </c>
      <c r="H2506" s="5">
        <v>2003.0</v>
      </c>
      <c r="I2506" s="5">
        <v>0.0</v>
      </c>
      <c r="J2506" s="5">
        <v>0.0</v>
      </c>
      <c r="K2506" s="5">
        <v>1.0</v>
      </c>
      <c r="L2506" s="54"/>
      <c r="M2506" s="5" t="s">
        <v>10772</v>
      </c>
      <c r="N2506" s="53" t="s">
        <v>9958</v>
      </c>
      <c r="O2506">
        <v>42.0</v>
      </c>
      <c r="P2506">
        <v>26.0</v>
      </c>
      <c r="Q2506" s="5" t="s">
        <v>1248</v>
      </c>
      <c r="R2506" s="10">
        <f t="shared" si="10"/>
        <v>9</v>
      </c>
      <c r="S2506" s="5" t="s">
        <v>10773</v>
      </c>
      <c r="T2506" s="6" t="s">
        <v>53</v>
      </c>
      <c r="U2506" s="5" t="s">
        <v>3219</v>
      </c>
      <c r="V2506" s="5"/>
    </row>
    <row r="2507" ht="12.75" customHeight="1">
      <c r="A2507" s="5">
        <v>35817.0</v>
      </c>
      <c r="B2507" s="5" t="s">
        <v>49</v>
      </c>
      <c r="C2507" s="52" t="s">
        <v>50</v>
      </c>
      <c r="D2507" s="5" t="s">
        <v>2852</v>
      </c>
      <c r="E2507" s="7" t="s">
        <v>10774</v>
      </c>
      <c r="F2507" s="5" t="s">
        <v>10351</v>
      </c>
      <c r="G2507" s="5" t="s">
        <v>10614</v>
      </c>
      <c r="H2507" s="5">
        <v>2003.0</v>
      </c>
      <c r="I2507" s="5">
        <v>0.0</v>
      </c>
      <c r="J2507" s="5">
        <v>0.0</v>
      </c>
      <c r="K2507" s="5">
        <v>3.0</v>
      </c>
      <c r="L2507" s="54"/>
      <c r="M2507" s="5" t="s">
        <v>10775</v>
      </c>
      <c r="N2507" s="53" t="s">
        <v>2718</v>
      </c>
      <c r="O2507">
        <v>35.292278</v>
      </c>
      <c r="P2507">
        <v>-2.938097</v>
      </c>
      <c r="Q2507" s="5" t="s">
        <v>649</v>
      </c>
      <c r="R2507" s="10">
        <f t="shared" si="10"/>
        <v>79</v>
      </c>
      <c r="S2507" s="5" t="s">
        <v>10776</v>
      </c>
      <c r="T2507" s="6" t="s">
        <v>72</v>
      </c>
      <c r="U2507" s="5" t="s">
        <v>10699</v>
      </c>
      <c r="V2507" s="5"/>
    </row>
    <row r="2508" ht="12.75" customHeight="1">
      <c r="A2508" s="5">
        <v>35816.0</v>
      </c>
      <c r="B2508" s="5" t="s">
        <v>68</v>
      </c>
      <c r="C2508" s="5" t="s">
        <v>69</v>
      </c>
      <c r="D2508" s="5" t="s">
        <v>2614</v>
      </c>
      <c r="E2508" s="7" t="s">
        <v>10774</v>
      </c>
      <c r="F2508" s="5" t="s">
        <v>10351</v>
      </c>
      <c r="G2508" s="5" t="s">
        <v>10614</v>
      </c>
      <c r="H2508" s="5">
        <v>2003.0</v>
      </c>
      <c r="I2508" s="5">
        <v>0.0</v>
      </c>
      <c r="J2508" s="5">
        <v>0.0</v>
      </c>
      <c r="K2508" s="5">
        <v>7.0</v>
      </c>
      <c r="L2508" s="54"/>
      <c r="M2508" s="5" t="s">
        <v>10777</v>
      </c>
      <c r="N2508" s="53" t="s">
        <v>2680</v>
      </c>
      <c r="O2508">
        <v>36.018776</v>
      </c>
      <c r="P2508">
        <v>-5.600819</v>
      </c>
      <c r="Q2508" s="5" t="s">
        <v>761</v>
      </c>
      <c r="R2508" s="10">
        <f t="shared" si="10"/>
        <v>492</v>
      </c>
      <c r="S2508" s="5" t="s">
        <v>10778</v>
      </c>
      <c r="T2508" s="6" t="s">
        <v>72</v>
      </c>
      <c r="U2508" s="5" t="s">
        <v>2785</v>
      </c>
      <c r="V2508" s="5" t="s">
        <v>10779</v>
      </c>
    </row>
    <row r="2509" ht="12.75" customHeight="1">
      <c r="A2509" s="5">
        <v>35819.0</v>
      </c>
      <c r="B2509" s="5" t="s">
        <v>1076</v>
      </c>
      <c r="C2509" s="52" t="s">
        <v>50</v>
      </c>
      <c r="D2509" s="5" t="s">
        <v>2852</v>
      </c>
      <c r="E2509" s="7" t="s">
        <v>10774</v>
      </c>
      <c r="F2509" s="5" t="s">
        <v>10351</v>
      </c>
      <c r="G2509" s="5" t="s">
        <v>10614</v>
      </c>
      <c r="H2509" s="5">
        <v>2003.0</v>
      </c>
      <c r="I2509" s="5">
        <v>0.0</v>
      </c>
      <c r="J2509" s="5">
        <v>0.0</v>
      </c>
      <c r="K2509" s="5">
        <v>2.0</v>
      </c>
      <c r="L2509" s="54"/>
      <c r="M2509" s="5" t="s">
        <v>10780</v>
      </c>
      <c r="N2509" s="53" t="s">
        <v>10781</v>
      </c>
      <c r="O2509">
        <v>36.834047</v>
      </c>
      <c r="P2509">
        <v>-2.463714</v>
      </c>
      <c r="Q2509" s="5" t="s">
        <v>863</v>
      </c>
      <c r="R2509" s="10">
        <f t="shared" si="10"/>
        <v>208</v>
      </c>
      <c r="S2509" s="5" t="s">
        <v>10782</v>
      </c>
      <c r="T2509" s="6" t="s">
        <v>72</v>
      </c>
      <c r="U2509" s="5" t="s">
        <v>10699</v>
      </c>
      <c r="V2509" s="5"/>
    </row>
    <row r="2510" ht="12.75" customHeight="1">
      <c r="A2510" s="5">
        <v>35818.0</v>
      </c>
      <c r="B2510" s="5" t="s">
        <v>68</v>
      </c>
      <c r="C2510" s="5" t="s">
        <v>69</v>
      </c>
      <c r="D2510" s="5" t="s">
        <v>2852</v>
      </c>
      <c r="E2510" s="7" t="s">
        <v>10774</v>
      </c>
      <c r="F2510" s="5" t="s">
        <v>10351</v>
      </c>
      <c r="G2510" s="5" t="s">
        <v>10614</v>
      </c>
      <c r="H2510" s="5">
        <v>2003.0</v>
      </c>
      <c r="I2510" s="5">
        <v>0.0</v>
      </c>
      <c r="J2510" s="5">
        <v>0.0</v>
      </c>
      <c r="K2510" s="5">
        <v>1.0</v>
      </c>
      <c r="L2510" s="54"/>
      <c r="M2510" s="5" t="s">
        <v>10783</v>
      </c>
      <c r="N2510" s="53" t="s">
        <v>3469</v>
      </c>
      <c r="O2510">
        <v>37.177336</v>
      </c>
      <c r="P2510">
        <v>-3.598557</v>
      </c>
      <c r="Q2510" s="5" t="s">
        <v>909</v>
      </c>
      <c r="R2510" s="10">
        <f t="shared" si="10"/>
        <v>38</v>
      </c>
      <c r="S2510" s="5" t="s">
        <v>10784</v>
      </c>
      <c r="T2510" s="6" t="s">
        <v>72</v>
      </c>
      <c r="U2510" s="5" t="s">
        <v>3219</v>
      </c>
      <c r="V2510" s="5"/>
    </row>
    <row r="2511" ht="12.75" customHeight="1">
      <c r="A2511" s="5">
        <v>35880.0</v>
      </c>
      <c r="B2511" s="5" t="s">
        <v>68</v>
      </c>
      <c r="C2511" s="5" t="s">
        <v>69</v>
      </c>
      <c r="D2511" s="5" t="s">
        <v>2614</v>
      </c>
      <c r="E2511" s="7" t="s">
        <v>10785</v>
      </c>
      <c r="F2511" s="5" t="s">
        <v>10786</v>
      </c>
      <c r="G2511" s="5" t="s">
        <v>10787</v>
      </c>
      <c r="H2511" s="5">
        <v>2002.0</v>
      </c>
      <c r="I2511" s="5">
        <v>0.0</v>
      </c>
      <c r="J2511" s="5">
        <v>0.0</v>
      </c>
      <c r="K2511" s="5">
        <v>2.0</v>
      </c>
      <c r="L2511" s="54"/>
      <c r="M2511" s="5" t="s">
        <v>10788</v>
      </c>
      <c r="N2511" s="53" t="s">
        <v>3379</v>
      </c>
      <c r="O2511">
        <v>36.834047</v>
      </c>
      <c r="P2511">
        <v>-2.463714</v>
      </c>
      <c r="Q2511" s="5" t="s">
        <v>863</v>
      </c>
      <c r="R2511" s="10">
        <f t="shared" si="10"/>
        <v>208</v>
      </c>
      <c r="S2511" s="5" t="s">
        <v>10789</v>
      </c>
      <c r="T2511" s="6" t="s">
        <v>72</v>
      </c>
      <c r="U2511" s="5" t="s">
        <v>2326</v>
      </c>
      <c r="V2511" s="5" t="s">
        <v>7579</v>
      </c>
    </row>
    <row r="2512" ht="12.75" customHeight="1">
      <c r="A2512" s="5">
        <v>35882.0</v>
      </c>
      <c r="B2512" s="5" t="s">
        <v>49</v>
      </c>
      <c r="C2512" s="52" t="s">
        <v>50</v>
      </c>
      <c r="D2512" s="5" t="s">
        <v>2852</v>
      </c>
      <c r="E2512" s="7" t="s">
        <v>10790</v>
      </c>
      <c r="F2512" s="5" t="s">
        <v>10786</v>
      </c>
      <c r="G2512" s="5" t="s">
        <v>10787</v>
      </c>
      <c r="H2512" s="5">
        <v>2002.0</v>
      </c>
      <c r="I2512" s="5">
        <v>0.0</v>
      </c>
      <c r="J2512" s="5">
        <v>0.0</v>
      </c>
      <c r="K2512" s="5">
        <v>10.0</v>
      </c>
      <c r="L2512" s="54"/>
      <c r="M2512" s="5" t="s">
        <v>10791</v>
      </c>
      <c r="N2512" s="53" t="s">
        <v>9311</v>
      </c>
      <c r="O2512">
        <v>39.16408</v>
      </c>
      <c r="P2512">
        <v>26.372171</v>
      </c>
      <c r="Q2512" s="5" t="s">
        <v>1068</v>
      </c>
      <c r="R2512" s="10">
        <f t="shared" si="10"/>
        <v>101</v>
      </c>
      <c r="S2512" s="5" t="s">
        <v>10792</v>
      </c>
      <c r="T2512" s="6" t="s">
        <v>53</v>
      </c>
      <c r="U2512" s="5" t="s">
        <v>10793</v>
      </c>
      <c r="V2512" s="5" t="s">
        <v>10794</v>
      </c>
    </row>
    <row r="2513" ht="12.75" customHeight="1">
      <c r="A2513" s="5">
        <v>35881.0</v>
      </c>
      <c r="B2513" s="5" t="s">
        <v>49</v>
      </c>
      <c r="C2513" s="52" t="s">
        <v>50</v>
      </c>
      <c r="D2513" s="5" t="s">
        <v>2852</v>
      </c>
      <c r="E2513" s="7" t="s">
        <v>10790</v>
      </c>
      <c r="F2513" s="5" t="s">
        <v>10786</v>
      </c>
      <c r="G2513" s="5" t="s">
        <v>10787</v>
      </c>
      <c r="H2513" s="5">
        <v>2002.0</v>
      </c>
      <c r="I2513" s="5">
        <v>0.0</v>
      </c>
      <c r="J2513" s="5">
        <v>0.0</v>
      </c>
      <c r="K2513" s="5">
        <v>3.0</v>
      </c>
      <c r="L2513" s="54"/>
      <c r="M2513" s="5" t="s">
        <v>10795</v>
      </c>
      <c r="N2513" s="53" t="s">
        <v>9311</v>
      </c>
      <c r="O2513">
        <v>39.16408</v>
      </c>
      <c r="P2513">
        <v>26.372171</v>
      </c>
      <c r="Q2513" s="5" t="s">
        <v>1068</v>
      </c>
      <c r="R2513" s="10">
        <f t="shared" si="10"/>
        <v>101</v>
      </c>
      <c r="S2513" s="5" t="s">
        <v>10792</v>
      </c>
      <c r="T2513" s="6" t="s">
        <v>53</v>
      </c>
      <c r="U2513" s="5" t="s">
        <v>10793</v>
      </c>
      <c r="V2513" s="5"/>
    </row>
    <row r="2514" ht="12.75" customHeight="1">
      <c r="A2514" s="5">
        <v>35883.0</v>
      </c>
      <c r="B2514" s="5" t="s">
        <v>1555</v>
      </c>
      <c r="C2514" s="5" t="s">
        <v>42</v>
      </c>
      <c r="D2514" s="5" t="s">
        <v>2852</v>
      </c>
      <c r="E2514" s="7" t="s">
        <v>10796</v>
      </c>
      <c r="F2514" s="5" t="s">
        <v>10786</v>
      </c>
      <c r="G2514" s="5" t="s">
        <v>10787</v>
      </c>
      <c r="H2514" s="5">
        <v>2002.0</v>
      </c>
      <c r="I2514" s="5">
        <v>0.0</v>
      </c>
      <c r="J2514" s="5">
        <v>0.0</v>
      </c>
      <c r="K2514" s="5">
        <v>1.0</v>
      </c>
      <c r="L2514" s="54"/>
      <c r="M2514" s="5" t="s">
        <v>10797</v>
      </c>
      <c r="N2514" s="53" t="s">
        <v>7081</v>
      </c>
      <c r="O2514">
        <v>32.427908</v>
      </c>
      <c r="P2514">
        <v>53.688046</v>
      </c>
      <c r="Q2514" s="5" t="s">
        <v>470</v>
      </c>
      <c r="R2514" s="10">
        <f t="shared" si="10"/>
        <v>95</v>
      </c>
      <c r="S2514" s="5" t="s">
        <v>10798</v>
      </c>
      <c r="T2514" s="5"/>
      <c r="U2514" s="5" t="s">
        <v>10799</v>
      </c>
      <c r="V2514" s="5" t="s">
        <v>10800</v>
      </c>
    </row>
    <row r="2515" ht="12.75" customHeight="1">
      <c r="A2515" s="5">
        <v>35884.0</v>
      </c>
      <c r="B2515" s="5" t="s">
        <v>49</v>
      </c>
      <c r="C2515" s="52" t="s">
        <v>50</v>
      </c>
      <c r="D2515" s="5" t="s">
        <v>2852</v>
      </c>
      <c r="E2515" s="7" t="s">
        <v>10796</v>
      </c>
      <c r="F2515" s="5" t="s">
        <v>10786</v>
      </c>
      <c r="G2515" s="5" t="s">
        <v>10787</v>
      </c>
      <c r="H2515" s="5">
        <v>2002.0</v>
      </c>
      <c r="I2515" s="5">
        <v>0.0</v>
      </c>
      <c r="J2515" s="5">
        <v>0.0</v>
      </c>
      <c r="K2515" s="5">
        <v>15.0</v>
      </c>
      <c r="L2515" s="54"/>
      <c r="M2515" s="5" t="s">
        <v>10801</v>
      </c>
      <c r="N2515" s="53" t="s">
        <v>10802</v>
      </c>
      <c r="O2515">
        <v>36.893322</v>
      </c>
      <c r="P2515">
        <v>14.42889</v>
      </c>
      <c r="Q2515" s="5" t="s">
        <v>875</v>
      </c>
      <c r="R2515" s="10">
        <f t="shared" si="10"/>
        <v>18</v>
      </c>
      <c r="S2515" s="5" t="s">
        <v>10803</v>
      </c>
      <c r="T2515" s="6" t="s">
        <v>2130</v>
      </c>
      <c r="U2515" s="5" t="s">
        <v>10804</v>
      </c>
      <c r="V2515" s="5" t="s">
        <v>10805</v>
      </c>
    </row>
    <row r="2516" ht="12.75" customHeight="1">
      <c r="A2516" s="5">
        <v>35885.0</v>
      </c>
      <c r="B2516" s="5" t="s">
        <v>2921</v>
      </c>
      <c r="C2516" s="5" t="s">
        <v>124</v>
      </c>
      <c r="D2516" s="5" t="s">
        <v>2852</v>
      </c>
      <c r="E2516" s="7" t="s">
        <v>10806</v>
      </c>
      <c r="F2516" s="5" t="s">
        <v>10786</v>
      </c>
      <c r="G2516" s="5" t="s">
        <v>10787</v>
      </c>
      <c r="H2516" s="5">
        <v>2002.0</v>
      </c>
      <c r="I2516" s="5">
        <v>0.0</v>
      </c>
      <c r="J2516" s="5">
        <v>0.0</v>
      </c>
      <c r="K2516" s="5">
        <v>1.0</v>
      </c>
      <c r="L2516" s="54"/>
      <c r="M2516" s="5" t="s">
        <v>10807</v>
      </c>
      <c r="N2516" s="53" t="s">
        <v>3328</v>
      </c>
      <c r="O2516">
        <v>48.856614</v>
      </c>
      <c r="P2516">
        <v>2.352222</v>
      </c>
      <c r="Q2516" s="5" t="s">
        <v>3329</v>
      </c>
      <c r="R2516" s="10">
        <f t="shared" si="10"/>
        <v>30</v>
      </c>
      <c r="S2516" s="5" t="s">
        <v>10808</v>
      </c>
      <c r="T2516" s="5"/>
      <c r="U2516" s="5" t="s">
        <v>10809</v>
      </c>
      <c r="V2516" s="5" t="s">
        <v>8704</v>
      </c>
    </row>
    <row r="2517" ht="12.75" customHeight="1">
      <c r="A2517" s="5">
        <v>35886.0</v>
      </c>
      <c r="B2517" s="5" t="s">
        <v>49</v>
      </c>
      <c r="C2517" s="52" t="s">
        <v>50</v>
      </c>
      <c r="D2517" s="5" t="s">
        <v>2852</v>
      </c>
      <c r="E2517" s="7" t="s">
        <v>10810</v>
      </c>
      <c r="F2517" s="5" t="s">
        <v>10786</v>
      </c>
      <c r="G2517" s="5" t="s">
        <v>10787</v>
      </c>
      <c r="H2517" s="5">
        <v>2002.0</v>
      </c>
      <c r="I2517" s="5">
        <v>0.0</v>
      </c>
      <c r="J2517" s="5">
        <v>0.0</v>
      </c>
      <c r="K2517" s="5">
        <v>1.0</v>
      </c>
      <c r="L2517" s="54"/>
      <c r="M2517" s="5" t="s">
        <v>10811</v>
      </c>
      <c r="N2517" s="53" t="s">
        <v>3314</v>
      </c>
      <c r="O2517">
        <v>37.599994</v>
      </c>
      <c r="P2517">
        <v>14.015356</v>
      </c>
      <c r="Q2517" s="5" t="s">
        <v>949</v>
      </c>
      <c r="R2517" s="10">
        <f t="shared" si="10"/>
        <v>363</v>
      </c>
      <c r="S2517" s="5" t="s">
        <v>10812</v>
      </c>
      <c r="T2517" s="6" t="s">
        <v>2130</v>
      </c>
      <c r="U2517" s="5" t="s">
        <v>10813</v>
      </c>
      <c r="V2517" s="5"/>
    </row>
    <row r="2518" ht="12.75" customHeight="1">
      <c r="A2518" s="5">
        <v>35887.0</v>
      </c>
      <c r="B2518" s="5" t="s">
        <v>49</v>
      </c>
      <c r="C2518" s="52" t="s">
        <v>50</v>
      </c>
      <c r="D2518" s="5" t="s">
        <v>2852</v>
      </c>
      <c r="E2518" s="7" t="s">
        <v>10810</v>
      </c>
      <c r="F2518" s="5" t="s">
        <v>10786</v>
      </c>
      <c r="G2518" s="5" t="s">
        <v>10787</v>
      </c>
      <c r="H2518" s="5">
        <v>2002.0</v>
      </c>
      <c r="I2518" s="5">
        <v>0.0</v>
      </c>
      <c r="J2518" s="5">
        <v>0.0</v>
      </c>
      <c r="K2518" s="5">
        <v>36.0</v>
      </c>
      <c r="L2518" s="54"/>
      <c r="M2518" s="5" t="s">
        <v>10814</v>
      </c>
      <c r="N2518" s="53" t="s">
        <v>4290</v>
      </c>
      <c r="O2518">
        <v>38.158524</v>
      </c>
      <c r="P2518">
        <v>14.742693</v>
      </c>
      <c r="Q2518" s="5" t="s">
        <v>1001</v>
      </c>
      <c r="R2518" s="10">
        <f t="shared" si="10"/>
        <v>75</v>
      </c>
      <c r="S2518" s="5" t="s">
        <v>10815</v>
      </c>
      <c r="T2518" s="6" t="s">
        <v>2130</v>
      </c>
      <c r="U2518" s="5" t="s">
        <v>10813</v>
      </c>
      <c r="V2518" s="5" t="s">
        <v>10816</v>
      </c>
    </row>
    <row r="2519" ht="12.75" customHeight="1">
      <c r="A2519" s="5">
        <v>35888.0</v>
      </c>
      <c r="B2519" s="5" t="s">
        <v>2962</v>
      </c>
      <c r="C2519" s="5" t="s">
        <v>211</v>
      </c>
      <c r="D2519" s="5" t="s">
        <v>2852</v>
      </c>
      <c r="E2519" s="7" t="s">
        <v>10817</v>
      </c>
      <c r="F2519" s="5" t="s">
        <v>10786</v>
      </c>
      <c r="G2519" s="5" t="s">
        <v>10787</v>
      </c>
      <c r="H2519" s="5">
        <v>2002.0</v>
      </c>
      <c r="I2519" s="5">
        <v>0.0</v>
      </c>
      <c r="J2519" s="5">
        <v>0.0</v>
      </c>
      <c r="K2519" s="5">
        <v>1.0</v>
      </c>
      <c r="L2519" s="54"/>
      <c r="M2519" s="5" t="s">
        <v>10818</v>
      </c>
      <c r="N2519" s="53" t="s">
        <v>5824</v>
      </c>
      <c r="O2519">
        <v>51.165691</v>
      </c>
      <c r="P2519">
        <v>10.451526</v>
      </c>
      <c r="Q2519" s="5" t="s">
        <v>1599</v>
      </c>
      <c r="R2519" s="10">
        <f t="shared" si="10"/>
        <v>8</v>
      </c>
      <c r="S2519" s="5" t="s">
        <v>10819</v>
      </c>
      <c r="T2519" s="5"/>
      <c r="U2519" s="5" t="s">
        <v>4578</v>
      </c>
      <c r="V2519" s="5"/>
    </row>
    <row r="2520" ht="12.75" customHeight="1">
      <c r="A2520" s="5">
        <v>35889.0</v>
      </c>
      <c r="B2520" s="5" t="s">
        <v>1076</v>
      </c>
      <c r="C2520" s="52" t="s">
        <v>50</v>
      </c>
      <c r="D2520" s="5" t="s">
        <v>2614</v>
      </c>
      <c r="E2520" s="7" t="s">
        <v>10820</v>
      </c>
      <c r="F2520" s="5" t="s">
        <v>10786</v>
      </c>
      <c r="G2520" s="5" t="s">
        <v>10787</v>
      </c>
      <c r="H2520" s="5">
        <v>2002.0</v>
      </c>
      <c r="I2520" s="5">
        <v>0.0</v>
      </c>
      <c r="J2520" s="5">
        <v>0.0</v>
      </c>
      <c r="K2520" s="5">
        <v>1.0</v>
      </c>
      <c r="L2520" s="54"/>
      <c r="M2520" s="5" t="s">
        <v>10821</v>
      </c>
      <c r="N2520" s="53" t="s">
        <v>5983</v>
      </c>
      <c r="O2520">
        <v>36.132977</v>
      </c>
      <c r="P2520">
        <v>-5.453909</v>
      </c>
      <c r="Q2520" s="5" t="s">
        <v>770</v>
      </c>
      <c r="R2520" s="10">
        <f t="shared" si="10"/>
        <v>29</v>
      </c>
      <c r="S2520" s="5" t="s">
        <v>10822</v>
      </c>
      <c r="T2520" s="6" t="s">
        <v>72</v>
      </c>
      <c r="U2520" s="5" t="s">
        <v>2785</v>
      </c>
      <c r="V2520" s="5" t="s">
        <v>10823</v>
      </c>
    </row>
    <row r="2521" ht="12.75" customHeight="1">
      <c r="A2521" s="5">
        <v>35890.0</v>
      </c>
      <c r="B2521" s="5" t="s">
        <v>68</v>
      </c>
      <c r="C2521" s="5" t="s">
        <v>69</v>
      </c>
      <c r="D2521" s="5" t="s">
        <v>2852</v>
      </c>
      <c r="E2521" s="7" t="s">
        <v>10824</v>
      </c>
      <c r="F2521" s="5" t="s">
        <v>10786</v>
      </c>
      <c r="G2521" s="5" t="s">
        <v>10787</v>
      </c>
      <c r="H2521" s="5">
        <v>2002.0</v>
      </c>
      <c r="I2521" s="5">
        <v>0.0</v>
      </c>
      <c r="J2521" s="5">
        <v>0.0</v>
      </c>
      <c r="K2521" s="5">
        <v>2.0</v>
      </c>
      <c r="L2521" s="54"/>
      <c r="M2521" s="5" t="s">
        <v>10825</v>
      </c>
      <c r="N2521" s="53" t="s">
        <v>10119</v>
      </c>
      <c r="O2521">
        <v>39.587628</v>
      </c>
      <c r="P2521">
        <v>18.94043</v>
      </c>
      <c r="Q2521" s="5" t="s">
        <v>1097</v>
      </c>
      <c r="R2521" s="10">
        <f t="shared" si="10"/>
        <v>12</v>
      </c>
      <c r="S2521" s="5" t="s">
        <v>10826</v>
      </c>
      <c r="T2521" s="6" t="s">
        <v>1963</v>
      </c>
      <c r="U2521" s="5" t="s">
        <v>10827</v>
      </c>
      <c r="V2521" s="5"/>
    </row>
    <row r="2522" ht="12.75" customHeight="1">
      <c r="A2522" s="5">
        <v>35891.0</v>
      </c>
      <c r="B2522" s="5" t="s">
        <v>2962</v>
      </c>
      <c r="C2522" s="5" t="s">
        <v>211</v>
      </c>
      <c r="D2522" s="5" t="s">
        <v>2852</v>
      </c>
      <c r="E2522" s="7" t="s">
        <v>10828</v>
      </c>
      <c r="F2522" s="5" t="s">
        <v>10786</v>
      </c>
      <c r="G2522" s="5" t="s">
        <v>10787</v>
      </c>
      <c r="H2522" s="5">
        <v>2002.0</v>
      </c>
      <c r="I2522" s="5">
        <v>0.0</v>
      </c>
      <c r="J2522" s="5">
        <v>0.0</v>
      </c>
      <c r="K2522" s="5">
        <v>1.0</v>
      </c>
      <c r="L2522" s="54"/>
      <c r="M2522" s="5" t="s">
        <v>10829</v>
      </c>
      <c r="N2522" s="53" t="s">
        <v>4648</v>
      </c>
      <c r="O2522">
        <v>36.721261</v>
      </c>
      <c r="P2522">
        <v>-4.421266</v>
      </c>
      <c r="Q2522" s="5" t="s">
        <v>823</v>
      </c>
      <c r="R2522" s="10">
        <f t="shared" si="10"/>
        <v>17</v>
      </c>
      <c r="S2522" s="5" t="s">
        <v>10830</v>
      </c>
      <c r="T2522" s="6" t="s">
        <v>72</v>
      </c>
      <c r="U2522" s="5" t="s">
        <v>3128</v>
      </c>
      <c r="V2522" s="5"/>
    </row>
    <row r="2523" ht="12.75" customHeight="1">
      <c r="A2523" s="5">
        <v>35892.0</v>
      </c>
      <c r="B2523" s="5" t="s">
        <v>49</v>
      </c>
      <c r="C2523" s="52" t="s">
        <v>50</v>
      </c>
      <c r="D2523" s="5" t="s">
        <v>2614</v>
      </c>
      <c r="E2523" s="7" t="s">
        <v>10831</v>
      </c>
      <c r="F2523" s="5" t="s">
        <v>10786</v>
      </c>
      <c r="G2523" s="5" t="s">
        <v>10787</v>
      </c>
      <c r="H2523" s="5">
        <v>2002.0</v>
      </c>
      <c r="I2523" s="5">
        <v>0.0</v>
      </c>
      <c r="J2523" s="5">
        <v>0.0</v>
      </c>
      <c r="K2523" s="5">
        <v>2.0</v>
      </c>
      <c r="L2523" s="54"/>
      <c r="M2523" s="5" t="s">
        <v>10832</v>
      </c>
      <c r="N2523" s="53" t="s">
        <v>2680</v>
      </c>
      <c r="O2523">
        <v>36.018776</v>
      </c>
      <c r="P2523">
        <v>-5.600819</v>
      </c>
      <c r="Q2523" s="5" t="s">
        <v>761</v>
      </c>
      <c r="R2523" s="10">
        <f t="shared" si="10"/>
        <v>492</v>
      </c>
      <c r="S2523" s="5" t="s">
        <v>10833</v>
      </c>
      <c r="T2523" s="6" t="s">
        <v>72</v>
      </c>
      <c r="U2523" s="5" t="s">
        <v>2785</v>
      </c>
      <c r="V2523" s="5" t="s">
        <v>10834</v>
      </c>
    </row>
    <row r="2524" ht="12.75" customHeight="1">
      <c r="A2524" s="5">
        <v>35893.0</v>
      </c>
      <c r="B2524" s="5" t="s">
        <v>3993</v>
      </c>
      <c r="C2524" s="5" t="s">
        <v>211</v>
      </c>
      <c r="D2524" s="5" t="s">
        <v>2852</v>
      </c>
      <c r="E2524" s="7" t="s">
        <v>10835</v>
      </c>
      <c r="F2524" s="5" t="s">
        <v>10786</v>
      </c>
      <c r="G2524" s="5" t="s">
        <v>10787</v>
      </c>
      <c r="H2524" s="5">
        <v>2002.0</v>
      </c>
      <c r="I2524" s="5">
        <v>0.0</v>
      </c>
      <c r="J2524" s="5">
        <v>0.0</v>
      </c>
      <c r="K2524" s="5">
        <v>1.0</v>
      </c>
      <c r="L2524" s="54"/>
      <c r="M2524" s="5" t="s">
        <v>10836</v>
      </c>
      <c r="N2524" s="53" t="s">
        <v>10837</v>
      </c>
      <c r="O2524">
        <v>50.821854</v>
      </c>
      <c r="P2524">
        <v>9.020215</v>
      </c>
      <c r="Q2524" s="5" t="s">
        <v>1523</v>
      </c>
      <c r="R2524" s="10">
        <f t="shared" si="10"/>
        <v>1</v>
      </c>
      <c r="S2524" s="5" t="s">
        <v>10838</v>
      </c>
      <c r="T2524" s="5"/>
      <c r="U2524" s="5" t="s">
        <v>10839</v>
      </c>
      <c r="V2524" s="5"/>
    </row>
    <row r="2525" ht="12.75" customHeight="1">
      <c r="A2525" s="5">
        <v>35894.0</v>
      </c>
      <c r="B2525" s="5" t="s">
        <v>636</v>
      </c>
      <c r="C2525" s="52" t="s">
        <v>50</v>
      </c>
      <c r="D2525" s="5" t="s">
        <v>2852</v>
      </c>
      <c r="E2525" s="7" t="s">
        <v>10840</v>
      </c>
      <c r="F2525" s="5" t="s">
        <v>10786</v>
      </c>
      <c r="G2525" s="5" t="s">
        <v>10841</v>
      </c>
      <c r="H2525" s="5">
        <v>2002.0</v>
      </c>
      <c r="I2525" s="5">
        <v>0.0</v>
      </c>
      <c r="J2525" s="5">
        <v>0.0</v>
      </c>
      <c r="K2525" s="5">
        <v>1.0</v>
      </c>
      <c r="L2525" s="54"/>
      <c r="M2525" s="5" t="s">
        <v>10842</v>
      </c>
      <c r="N2525" s="53" t="s">
        <v>10843</v>
      </c>
      <c r="O2525">
        <v>41.681808</v>
      </c>
      <c r="P2525">
        <v>26.562269</v>
      </c>
      <c r="Q2525" s="5" t="s">
        <v>1234</v>
      </c>
      <c r="R2525" s="10">
        <f t="shared" si="10"/>
        <v>2</v>
      </c>
      <c r="S2525" s="5" t="s">
        <v>10844</v>
      </c>
      <c r="T2525" s="6" t="s">
        <v>53</v>
      </c>
      <c r="U2525" s="5" t="s">
        <v>10799</v>
      </c>
      <c r="V2525" s="5"/>
    </row>
    <row r="2526" ht="12.75" customHeight="1">
      <c r="A2526" s="5">
        <v>35895.0</v>
      </c>
      <c r="B2526" s="5" t="s">
        <v>1076</v>
      </c>
      <c r="C2526" s="52" t="s">
        <v>50</v>
      </c>
      <c r="D2526" s="5" t="s">
        <v>2852</v>
      </c>
      <c r="E2526" s="7" t="s">
        <v>10845</v>
      </c>
      <c r="F2526" s="5" t="s">
        <v>10786</v>
      </c>
      <c r="G2526" s="5" t="s">
        <v>10841</v>
      </c>
      <c r="H2526" s="5">
        <v>2002.0</v>
      </c>
      <c r="I2526" s="5">
        <v>0.0</v>
      </c>
      <c r="J2526" s="5">
        <v>0.0</v>
      </c>
      <c r="K2526" s="5">
        <v>5.0</v>
      </c>
      <c r="L2526" s="54"/>
      <c r="M2526" s="5" t="s">
        <v>10846</v>
      </c>
      <c r="N2526" s="53" t="s">
        <v>10847</v>
      </c>
      <c r="O2526">
        <v>40.851775</v>
      </c>
      <c r="P2526">
        <v>14.268124</v>
      </c>
      <c r="Q2526" s="5" t="s">
        <v>1170</v>
      </c>
      <c r="R2526" s="10">
        <f t="shared" si="10"/>
        <v>7</v>
      </c>
      <c r="S2526" s="5" t="s">
        <v>10848</v>
      </c>
      <c r="T2526" s="5"/>
      <c r="U2526" s="5" t="s">
        <v>10849</v>
      </c>
      <c r="V2526" s="5" t="s">
        <v>9369</v>
      </c>
    </row>
    <row r="2527" ht="12.75" customHeight="1">
      <c r="A2527" s="5">
        <v>35896.0</v>
      </c>
      <c r="B2527" s="5" t="s">
        <v>5200</v>
      </c>
      <c r="C2527" s="5" t="s">
        <v>124</v>
      </c>
      <c r="D2527" s="5" t="s">
        <v>2852</v>
      </c>
      <c r="E2527" s="7" t="s">
        <v>10850</v>
      </c>
      <c r="F2527" s="5" t="s">
        <v>10786</v>
      </c>
      <c r="G2527" s="5" t="s">
        <v>10841</v>
      </c>
      <c r="H2527" s="5">
        <v>2002.0</v>
      </c>
      <c r="I2527" s="5">
        <v>0.0</v>
      </c>
      <c r="J2527" s="5">
        <v>0.0</v>
      </c>
      <c r="K2527" s="5">
        <v>1.0</v>
      </c>
      <c r="L2527" s="54"/>
      <c r="M2527" s="5" t="s">
        <v>10851</v>
      </c>
      <c r="N2527" s="53" t="s">
        <v>10852</v>
      </c>
      <c r="O2527">
        <v>41.58738</v>
      </c>
      <c r="P2527">
        <v>26.490198</v>
      </c>
      <c r="Q2527" s="5" t="s">
        <v>1229</v>
      </c>
      <c r="R2527" s="10">
        <f t="shared" si="10"/>
        <v>1</v>
      </c>
      <c r="S2527" s="5" t="s">
        <v>10853</v>
      </c>
      <c r="T2527" s="6" t="s">
        <v>53</v>
      </c>
      <c r="U2527" s="5" t="s">
        <v>5149</v>
      </c>
      <c r="V2527" s="5" t="s">
        <v>10854</v>
      </c>
    </row>
    <row r="2528" ht="12.75" customHeight="1">
      <c r="A2528" s="5">
        <v>35897.0</v>
      </c>
      <c r="B2528" s="5" t="s">
        <v>49</v>
      </c>
      <c r="C2528" s="52" t="s">
        <v>50</v>
      </c>
      <c r="D2528" s="5" t="s">
        <v>2852</v>
      </c>
      <c r="E2528" s="7" t="s">
        <v>10855</v>
      </c>
      <c r="F2528" s="5" t="s">
        <v>10786</v>
      </c>
      <c r="G2528" s="5" t="s">
        <v>10841</v>
      </c>
      <c r="H2528" s="5">
        <v>2002.0</v>
      </c>
      <c r="I2528" s="5">
        <v>0.0</v>
      </c>
      <c r="J2528" s="5">
        <v>0.0</v>
      </c>
      <c r="K2528" s="5">
        <v>9.0</v>
      </c>
      <c r="L2528" s="54"/>
      <c r="M2528" s="5" t="s">
        <v>10856</v>
      </c>
      <c r="N2528" s="53" t="s">
        <v>5814</v>
      </c>
      <c r="O2528">
        <v>28.358744</v>
      </c>
      <c r="P2528">
        <v>-14.053676</v>
      </c>
      <c r="Q2528" s="5" t="s">
        <v>390</v>
      </c>
      <c r="R2528" s="10">
        <f t="shared" si="10"/>
        <v>488</v>
      </c>
      <c r="S2528" s="5" t="s">
        <v>10857</v>
      </c>
      <c r="T2528" s="5" t="s">
        <v>1040</v>
      </c>
      <c r="U2528" s="5" t="s">
        <v>10858</v>
      </c>
      <c r="V2528" s="5"/>
    </row>
    <row r="2529" ht="12.75" customHeight="1">
      <c r="A2529" s="5">
        <v>35898.0</v>
      </c>
      <c r="B2529" s="5" t="s">
        <v>1076</v>
      </c>
      <c r="C2529" s="52" t="s">
        <v>50</v>
      </c>
      <c r="D2529" s="5" t="s">
        <v>2852</v>
      </c>
      <c r="E2529" s="7" t="s">
        <v>10859</v>
      </c>
      <c r="F2529" s="5" t="s">
        <v>10786</v>
      </c>
      <c r="G2529" s="5" t="s">
        <v>10841</v>
      </c>
      <c r="H2529" s="5">
        <v>2002.0</v>
      </c>
      <c r="I2529" s="5">
        <v>0.0</v>
      </c>
      <c r="J2529" s="5">
        <v>0.0</v>
      </c>
      <c r="K2529" s="5">
        <v>4.0</v>
      </c>
      <c r="L2529" s="54"/>
      <c r="M2529" s="5" t="s">
        <v>10860</v>
      </c>
      <c r="N2529" s="53" t="s">
        <v>3328</v>
      </c>
      <c r="O2529">
        <v>48.856614</v>
      </c>
      <c r="P2529">
        <v>2.352222</v>
      </c>
      <c r="Q2529" s="5" t="s">
        <v>3329</v>
      </c>
      <c r="R2529" s="10">
        <f t="shared" si="10"/>
        <v>30</v>
      </c>
      <c r="S2529" s="5" t="s">
        <v>10861</v>
      </c>
      <c r="T2529" s="5"/>
      <c r="U2529" s="5" t="s">
        <v>10862</v>
      </c>
      <c r="V2529" s="5" t="s">
        <v>10863</v>
      </c>
    </row>
    <row r="2530" ht="12.75" customHeight="1">
      <c r="A2530" s="5">
        <v>35899.0</v>
      </c>
      <c r="B2530" s="5" t="s">
        <v>68</v>
      </c>
      <c r="C2530" s="5" t="s">
        <v>69</v>
      </c>
      <c r="D2530" s="5" t="s">
        <v>2614</v>
      </c>
      <c r="E2530" s="7" t="s">
        <v>10864</v>
      </c>
      <c r="F2530" s="5" t="s">
        <v>10786</v>
      </c>
      <c r="G2530" s="5" t="s">
        <v>10841</v>
      </c>
      <c r="H2530" s="5">
        <v>2002.0</v>
      </c>
      <c r="I2530" s="5">
        <v>0.0</v>
      </c>
      <c r="J2530" s="5">
        <v>0.0</v>
      </c>
      <c r="K2530" s="5">
        <v>26.0</v>
      </c>
      <c r="L2530" s="54"/>
      <c r="M2530" s="5" t="s">
        <v>10865</v>
      </c>
      <c r="N2530" s="53" t="s">
        <v>2766</v>
      </c>
      <c r="O2530">
        <v>35.249299</v>
      </c>
      <c r="P2530">
        <v>-3.937112</v>
      </c>
      <c r="Q2530" s="5" t="s">
        <v>642</v>
      </c>
      <c r="R2530" s="10">
        <f t="shared" si="10"/>
        <v>149</v>
      </c>
      <c r="S2530" s="5" t="s">
        <v>10866</v>
      </c>
      <c r="T2530" s="6" t="s">
        <v>72</v>
      </c>
      <c r="U2530" s="5" t="s">
        <v>2326</v>
      </c>
      <c r="V2530" s="5" t="s">
        <v>7579</v>
      </c>
    </row>
    <row r="2531" ht="12.75" customHeight="1">
      <c r="A2531" s="5">
        <v>35900.0</v>
      </c>
      <c r="B2531" s="5" t="s">
        <v>68</v>
      </c>
      <c r="C2531" s="5" t="s">
        <v>69</v>
      </c>
      <c r="D2531" s="5" t="s">
        <v>2614</v>
      </c>
      <c r="E2531" s="7" t="s">
        <v>10867</v>
      </c>
      <c r="F2531" s="5" t="s">
        <v>10786</v>
      </c>
      <c r="G2531" s="5" t="s">
        <v>10841</v>
      </c>
      <c r="H2531" s="5">
        <v>2002.0</v>
      </c>
      <c r="I2531" s="5">
        <v>0.0</v>
      </c>
      <c r="J2531" s="5">
        <v>0.0</v>
      </c>
      <c r="K2531" s="5">
        <v>1.0</v>
      </c>
      <c r="L2531" s="54"/>
      <c r="M2531" s="5" t="s">
        <v>10868</v>
      </c>
      <c r="N2531" s="53" t="s">
        <v>2944</v>
      </c>
      <c r="O2531">
        <v>-12.8275</v>
      </c>
      <c r="P2531">
        <v>45.166244</v>
      </c>
      <c r="Q2531" s="5" t="s">
        <v>228</v>
      </c>
      <c r="R2531" s="10">
        <f t="shared" si="10"/>
        <v>757</v>
      </c>
      <c r="S2531" s="5" t="s">
        <v>10869</v>
      </c>
      <c r="T2531" s="5"/>
      <c r="U2531" s="5" t="s">
        <v>8097</v>
      </c>
      <c r="V2531" s="5" t="s">
        <v>8585</v>
      </c>
    </row>
    <row r="2532" ht="12.75" customHeight="1">
      <c r="A2532" s="5">
        <v>35902.0</v>
      </c>
      <c r="B2532" s="5" t="s">
        <v>49</v>
      </c>
      <c r="C2532" s="52" t="s">
        <v>50</v>
      </c>
      <c r="D2532" s="5" t="s">
        <v>2852</v>
      </c>
      <c r="E2532" s="7" t="s">
        <v>10867</v>
      </c>
      <c r="F2532" s="5" t="s">
        <v>10786</v>
      </c>
      <c r="G2532" s="5" t="s">
        <v>10841</v>
      </c>
      <c r="H2532" s="5">
        <v>2002.0</v>
      </c>
      <c r="I2532" s="5">
        <v>0.0</v>
      </c>
      <c r="J2532" s="5">
        <v>0.0</v>
      </c>
      <c r="K2532" s="5">
        <v>14.0</v>
      </c>
      <c r="L2532" s="54"/>
      <c r="M2532" s="5" t="s">
        <v>10870</v>
      </c>
      <c r="N2532" s="53" t="s">
        <v>4663</v>
      </c>
      <c r="O2532">
        <v>36.19002</v>
      </c>
      <c r="P2532">
        <v>-5.92248</v>
      </c>
      <c r="Q2532" s="5" t="s">
        <v>778</v>
      </c>
      <c r="R2532" s="10">
        <f t="shared" si="10"/>
        <v>74</v>
      </c>
      <c r="S2532" s="5" t="s">
        <v>10871</v>
      </c>
      <c r="T2532" s="6" t="s">
        <v>72</v>
      </c>
      <c r="U2532" s="5" t="s">
        <v>10166</v>
      </c>
      <c r="V2532" s="5"/>
    </row>
    <row r="2533" ht="12.75" customHeight="1">
      <c r="A2533" s="5">
        <v>35901.0</v>
      </c>
      <c r="B2533" s="5" t="s">
        <v>49</v>
      </c>
      <c r="C2533" s="52" t="s">
        <v>50</v>
      </c>
      <c r="D2533" s="5" t="s">
        <v>2852</v>
      </c>
      <c r="E2533" s="7" t="s">
        <v>10867</v>
      </c>
      <c r="F2533" s="5" t="s">
        <v>10786</v>
      </c>
      <c r="G2533" s="5" t="s">
        <v>10841</v>
      </c>
      <c r="H2533" s="5">
        <v>2002.0</v>
      </c>
      <c r="I2533" s="5">
        <v>0.0</v>
      </c>
      <c r="J2533" s="5">
        <v>0.0</v>
      </c>
      <c r="K2533" s="5">
        <v>2.0</v>
      </c>
      <c r="L2533" s="54"/>
      <c r="M2533" s="5" t="s">
        <v>10872</v>
      </c>
      <c r="N2533" s="53" t="s">
        <v>4663</v>
      </c>
      <c r="O2533">
        <v>36.19002</v>
      </c>
      <c r="P2533">
        <v>-5.92248</v>
      </c>
      <c r="Q2533" s="5" t="s">
        <v>778</v>
      </c>
      <c r="R2533" s="10">
        <f t="shared" si="10"/>
        <v>74</v>
      </c>
      <c r="S2533" s="5" t="s">
        <v>10871</v>
      </c>
      <c r="T2533" s="6" t="s">
        <v>72</v>
      </c>
      <c r="U2533" s="5" t="s">
        <v>10166</v>
      </c>
      <c r="V2533" s="5"/>
    </row>
    <row r="2534" ht="12.75" customHeight="1">
      <c r="A2534" s="5">
        <v>35903.0</v>
      </c>
      <c r="B2534" s="5" t="s">
        <v>49</v>
      </c>
      <c r="C2534" s="52" t="s">
        <v>50</v>
      </c>
      <c r="D2534" s="5" t="s">
        <v>2852</v>
      </c>
      <c r="E2534" s="7" t="s">
        <v>10873</v>
      </c>
      <c r="F2534" s="5" t="s">
        <v>10786</v>
      </c>
      <c r="G2534" s="5" t="s">
        <v>10841</v>
      </c>
      <c r="H2534" s="5">
        <v>2002.0</v>
      </c>
      <c r="I2534" s="5">
        <v>0.0</v>
      </c>
      <c r="J2534" s="5">
        <v>0.0</v>
      </c>
      <c r="K2534" s="5">
        <v>1.0</v>
      </c>
      <c r="L2534" s="54"/>
      <c r="M2534" s="5" t="s">
        <v>10874</v>
      </c>
      <c r="N2534" s="53" t="s">
        <v>10875</v>
      </c>
      <c r="O2534">
        <v>38.244854</v>
      </c>
      <c r="P2534">
        <v>27.13824</v>
      </c>
      <c r="Q2534" s="5" t="s">
        <v>1009</v>
      </c>
      <c r="R2534" s="10">
        <f t="shared" si="10"/>
        <v>7</v>
      </c>
      <c r="S2534" s="5" t="s">
        <v>10876</v>
      </c>
      <c r="T2534" s="6" t="s">
        <v>53</v>
      </c>
      <c r="U2534" s="5" t="s">
        <v>10799</v>
      </c>
      <c r="V2534" s="5"/>
    </row>
    <row r="2535" ht="12.75" customHeight="1">
      <c r="A2535" s="5">
        <v>35905.0</v>
      </c>
      <c r="B2535" s="5" t="s">
        <v>49</v>
      </c>
      <c r="C2535" s="52" t="s">
        <v>50</v>
      </c>
      <c r="D2535" s="5" t="s">
        <v>2852</v>
      </c>
      <c r="E2535" s="7" t="s">
        <v>10873</v>
      </c>
      <c r="F2535" s="5" t="s">
        <v>10786</v>
      </c>
      <c r="G2535" s="5" t="s">
        <v>10841</v>
      </c>
      <c r="H2535" s="5">
        <v>2002.0</v>
      </c>
      <c r="I2535" s="5">
        <v>0.0</v>
      </c>
      <c r="J2535" s="5">
        <v>0.0</v>
      </c>
      <c r="K2535" s="5">
        <v>4.0</v>
      </c>
      <c r="L2535" s="54"/>
      <c r="M2535" s="5" t="s">
        <v>10877</v>
      </c>
      <c r="N2535" s="53" t="s">
        <v>3698</v>
      </c>
      <c r="O2535">
        <v>40.792839</v>
      </c>
      <c r="P2535">
        <v>17.101193</v>
      </c>
      <c r="Q2535" s="5" t="s">
        <v>1163</v>
      </c>
      <c r="R2535" s="10">
        <f t="shared" si="10"/>
        <v>13</v>
      </c>
      <c r="S2535" s="5" t="s">
        <v>10878</v>
      </c>
      <c r="T2535" s="6" t="s">
        <v>1963</v>
      </c>
      <c r="U2535" s="5" t="s">
        <v>10879</v>
      </c>
      <c r="V2535" s="5"/>
    </row>
    <row r="2536" ht="12.75" customHeight="1">
      <c r="A2536" s="5">
        <v>35904.0</v>
      </c>
      <c r="B2536" s="5" t="s">
        <v>49</v>
      </c>
      <c r="C2536" s="52" t="s">
        <v>50</v>
      </c>
      <c r="D2536" s="5" t="s">
        <v>2852</v>
      </c>
      <c r="E2536" s="7" t="s">
        <v>10873</v>
      </c>
      <c r="F2536" s="5" t="s">
        <v>10786</v>
      </c>
      <c r="G2536" s="5" t="s">
        <v>10841</v>
      </c>
      <c r="H2536" s="5">
        <v>2002.0</v>
      </c>
      <c r="I2536" s="5">
        <v>0.0</v>
      </c>
      <c r="J2536" s="5">
        <v>0.0</v>
      </c>
      <c r="K2536" s="5">
        <v>1.0</v>
      </c>
      <c r="L2536" s="54"/>
      <c r="M2536" s="5" t="s">
        <v>10880</v>
      </c>
      <c r="N2536" s="53" t="s">
        <v>3698</v>
      </c>
      <c r="O2536">
        <v>40.792839</v>
      </c>
      <c r="P2536">
        <v>17.101193</v>
      </c>
      <c r="Q2536" s="5" t="s">
        <v>1163</v>
      </c>
      <c r="R2536" s="10">
        <f t="shared" si="10"/>
        <v>13</v>
      </c>
      <c r="S2536" s="5" t="s">
        <v>10878</v>
      </c>
      <c r="T2536" s="6" t="s">
        <v>1963</v>
      </c>
      <c r="U2536" s="5" t="s">
        <v>10799</v>
      </c>
      <c r="V2536" s="5"/>
    </row>
    <row r="2537" ht="12.75" customHeight="1">
      <c r="A2537" s="5">
        <v>35906.0</v>
      </c>
      <c r="B2537" s="5" t="s">
        <v>68</v>
      </c>
      <c r="C2537" s="5" t="s">
        <v>69</v>
      </c>
      <c r="D2537" s="5" t="s">
        <v>2614</v>
      </c>
      <c r="E2537" s="7" t="s">
        <v>10881</v>
      </c>
      <c r="F2537" s="5" t="s">
        <v>10786</v>
      </c>
      <c r="G2537" s="5" t="s">
        <v>10841</v>
      </c>
      <c r="H2537" s="5">
        <v>2002.0</v>
      </c>
      <c r="I2537" s="5">
        <v>0.0</v>
      </c>
      <c r="J2537" s="5">
        <v>0.0</v>
      </c>
      <c r="K2537" s="5">
        <v>34.0</v>
      </c>
      <c r="L2537" s="54"/>
      <c r="M2537" s="5" t="s">
        <v>10882</v>
      </c>
      <c r="N2537" s="53" t="s">
        <v>2944</v>
      </c>
      <c r="O2537">
        <v>-12.8275</v>
      </c>
      <c r="P2537">
        <v>45.166244</v>
      </c>
      <c r="Q2537" s="5" t="s">
        <v>228</v>
      </c>
      <c r="R2537" s="10">
        <f t="shared" si="10"/>
        <v>757</v>
      </c>
      <c r="S2537" s="5" t="s">
        <v>10883</v>
      </c>
      <c r="T2537" s="5"/>
      <c r="U2537" s="5" t="s">
        <v>8097</v>
      </c>
      <c r="V2537" s="5" t="s">
        <v>8585</v>
      </c>
    </row>
    <row r="2538" ht="12.75" customHeight="1">
      <c r="A2538" s="5">
        <v>35907.0</v>
      </c>
      <c r="B2538" s="5" t="s">
        <v>49</v>
      </c>
      <c r="C2538" s="52" t="s">
        <v>50</v>
      </c>
      <c r="D2538" s="5" t="s">
        <v>2614</v>
      </c>
      <c r="E2538" s="7" t="s">
        <v>10884</v>
      </c>
      <c r="F2538" s="5" t="s">
        <v>10786</v>
      </c>
      <c r="G2538" s="5" t="s">
        <v>10841</v>
      </c>
      <c r="H2538" s="5">
        <v>2002.0</v>
      </c>
      <c r="I2538" s="5">
        <v>0.0</v>
      </c>
      <c r="J2538" s="5">
        <v>0.0</v>
      </c>
      <c r="K2538" s="5">
        <v>13.0</v>
      </c>
      <c r="L2538" s="54"/>
      <c r="M2538" s="5" t="s">
        <v>10885</v>
      </c>
      <c r="N2538" s="53" t="s">
        <v>2680</v>
      </c>
      <c r="O2538">
        <v>36.018776</v>
      </c>
      <c r="P2538">
        <v>-5.600819</v>
      </c>
      <c r="Q2538" s="5" t="s">
        <v>761</v>
      </c>
      <c r="R2538" s="10">
        <f t="shared" si="10"/>
        <v>492</v>
      </c>
      <c r="S2538" s="5" t="s">
        <v>10886</v>
      </c>
      <c r="T2538" s="6" t="s">
        <v>72</v>
      </c>
      <c r="U2538" s="5" t="s">
        <v>2785</v>
      </c>
      <c r="V2538" s="5" t="s">
        <v>10887</v>
      </c>
    </row>
    <row r="2539" ht="12.75" customHeight="1">
      <c r="A2539" s="5">
        <v>35908.0</v>
      </c>
      <c r="B2539" s="5" t="s">
        <v>1857</v>
      </c>
      <c r="C2539" s="52" t="s">
        <v>50</v>
      </c>
      <c r="D2539" s="5" t="s">
        <v>2852</v>
      </c>
      <c r="E2539" s="7" t="s">
        <v>10888</v>
      </c>
      <c r="F2539" s="5" t="s">
        <v>10786</v>
      </c>
      <c r="G2539" s="5" t="s">
        <v>10889</v>
      </c>
      <c r="H2539" s="5">
        <v>2002.0</v>
      </c>
      <c r="I2539" s="5">
        <v>0.0</v>
      </c>
      <c r="J2539" s="5">
        <v>0.0</v>
      </c>
      <c r="K2539" s="5">
        <v>1.0</v>
      </c>
      <c r="L2539" s="54"/>
      <c r="M2539" s="5" t="s">
        <v>10890</v>
      </c>
      <c r="N2539" s="53" t="s">
        <v>5814</v>
      </c>
      <c r="O2539">
        <v>28.358744</v>
      </c>
      <c r="P2539">
        <v>-14.053676</v>
      </c>
      <c r="Q2539" s="5" t="s">
        <v>390</v>
      </c>
      <c r="R2539" s="10">
        <f t="shared" si="10"/>
        <v>488</v>
      </c>
      <c r="S2539" s="5" t="s">
        <v>10891</v>
      </c>
      <c r="T2539" s="5" t="s">
        <v>1040</v>
      </c>
      <c r="U2539" s="5" t="s">
        <v>10892</v>
      </c>
      <c r="V2539" s="5"/>
    </row>
    <row r="2540" ht="12.75" customHeight="1">
      <c r="A2540" s="5">
        <v>35909.0</v>
      </c>
      <c r="B2540" s="5" t="s">
        <v>2921</v>
      </c>
      <c r="C2540" s="5" t="s">
        <v>124</v>
      </c>
      <c r="D2540" s="5" t="s">
        <v>2852</v>
      </c>
      <c r="E2540" s="7" t="s">
        <v>10888</v>
      </c>
      <c r="F2540" s="5" t="s">
        <v>10786</v>
      </c>
      <c r="G2540" s="5" t="s">
        <v>10889</v>
      </c>
      <c r="H2540" s="5">
        <v>2002.0</v>
      </c>
      <c r="I2540" s="5">
        <v>0.0</v>
      </c>
      <c r="J2540" s="5">
        <v>0.0</v>
      </c>
      <c r="K2540" s="5">
        <v>1.0</v>
      </c>
      <c r="L2540" s="54"/>
      <c r="M2540" s="5" t="s">
        <v>10893</v>
      </c>
      <c r="N2540" s="53" t="s">
        <v>3328</v>
      </c>
      <c r="O2540">
        <v>48.856614</v>
      </c>
      <c r="P2540">
        <v>2.352222</v>
      </c>
      <c r="Q2540" s="5" t="s">
        <v>3329</v>
      </c>
      <c r="R2540" s="10">
        <f t="shared" si="10"/>
        <v>30</v>
      </c>
      <c r="S2540" s="5" t="s">
        <v>10894</v>
      </c>
      <c r="T2540" s="5"/>
      <c r="U2540" s="5" t="s">
        <v>10895</v>
      </c>
      <c r="V2540" s="5" t="s">
        <v>8704</v>
      </c>
    </row>
    <row r="2541" ht="12.75" customHeight="1">
      <c r="A2541" s="5">
        <v>35911.0</v>
      </c>
      <c r="B2541" s="5" t="s">
        <v>68</v>
      </c>
      <c r="C2541" s="5" t="s">
        <v>69</v>
      </c>
      <c r="D2541" s="5" t="s">
        <v>2852</v>
      </c>
      <c r="E2541" s="7" t="s">
        <v>10896</v>
      </c>
      <c r="F2541" s="5" t="s">
        <v>10786</v>
      </c>
      <c r="G2541" s="5" t="s">
        <v>10889</v>
      </c>
      <c r="H2541" s="5">
        <v>2002.0</v>
      </c>
      <c r="I2541" s="5">
        <v>0.0</v>
      </c>
      <c r="J2541" s="5">
        <v>0.0</v>
      </c>
      <c r="K2541" s="5">
        <v>15.0</v>
      </c>
      <c r="L2541" s="54"/>
      <c r="M2541" s="5" t="s">
        <v>10897</v>
      </c>
      <c r="N2541" s="53" t="s">
        <v>9206</v>
      </c>
      <c r="O2541">
        <v>40.471882</v>
      </c>
      <c r="P2541">
        <v>19.490219</v>
      </c>
      <c r="Q2541" s="5" t="s">
        <v>1145</v>
      </c>
      <c r="R2541" s="10">
        <f t="shared" si="10"/>
        <v>73</v>
      </c>
      <c r="S2541" s="5" t="s">
        <v>10898</v>
      </c>
      <c r="T2541" s="6" t="s">
        <v>1963</v>
      </c>
      <c r="U2541" s="5" t="s">
        <v>10899</v>
      </c>
      <c r="V2541" s="5"/>
    </row>
    <row r="2542" ht="12.75" customHeight="1">
      <c r="A2542" s="5">
        <v>35910.0</v>
      </c>
      <c r="B2542" s="5" t="s">
        <v>49</v>
      </c>
      <c r="C2542" s="52" t="s">
        <v>50</v>
      </c>
      <c r="D2542" s="5" t="s">
        <v>2852</v>
      </c>
      <c r="E2542" s="7" t="s">
        <v>10896</v>
      </c>
      <c r="F2542" s="5" t="s">
        <v>10786</v>
      </c>
      <c r="G2542" s="5" t="s">
        <v>10889</v>
      </c>
      <c r="H2542" s="5">
        <v>2002.0</v>
      </c>
      <c r="I2542" s="5">
        <v>0.0</v>
      </c>
      <c r="J2542" s="5">
        <v>0.0</v>
      </c>
      <c r="K2542" s="5">
        <v>7.0</v>
      </c>
      <c r="L2542" s="54"/>
      <c r="M2542" s="5" t="s">
        <v>10900</v>
      </c>
      <c r="N2542" s="53" t="s">
        <v>9206</v>
      </c>
      <c r="O2542">
        <v>40.471882</v>
      </c>
      <c r="P2542">
        <v>19.490219</v>
      </c>
      <c r="Q2542" s="5" t="s">
        <v>1145</v>
      </c>
      <c r="R2542" s="10">
        <f t="shared" si="10"/>
        <v>73</v>
      </c>
      <c r="S2542" s="5" t="s">
        <v>10898</v>
      </c>
      <c r="T2542" s="6" t="s">
        <v>1963</v>
      </c>
      <c r="U2542" s="5" t="s">
        <v>10901</v>
      </c>
      <c r="V2542" s="5" t="s">
        <v>10902</v>
      </c>
    </row>
    <row r="2543" ht="12.75" customHeight="1">
      <c r="A2543" s="5">
        <v>35913.0</v>
      </c>
      <c r="B2543" s="5" t="s">
        <v>68</v>
      </c>
      <c r="C2543" s="5" t="s">
        <v>69</v>
      </c>
      <c r="D2543" s="5" t="s">
        <v>2614</v>
      </c>
      <c r="E2543" s="7" t="s">
        <v>10903</v>
      </c>
      <c r="F2543" s="5" t="s">
        <v>10786</v>
      </c>
      <c r="G2543" s="5" t="s">
        <v>10889</v>
      </c>
      <c r="H2543" s="5">
        <v>2002.0</v>
      </c>
      <c r="I2543" s="5">
        <v>0.0</v>
      </c>
      <c r="J2543" s="5">
        <v>0.0</v>
      </c>
      <c r="K2543" s="5">
        <v>5.0</v>
      </c>
      <c r="L2543" s="54"/>
      <c r="M2543" s="5" t="s">
        <v>10904</v>
      </c>
      <c r="N2543" s="53" t="s">
        <v>5814</v>
      </c>
      <c r="O2543">
        <v>28.358744</v>
      </c>
      <c r="P2543">
        <v>-14.053676</v>
      </c>
      <c r="Q2543" s="5" t="s">
        <v>390</v>
      </c>
      <c r="R2543" s="10">
        <f t="shared" si="10"/>
        <v>488</v>
      </c>
      <c r="S2543" s="5" t="s">
        <v>10905</v>
      </c>
      <c r="T2543" s="5" t="s">
        <v>1040</v>
      </c>
      <c r="U2543" s="5" t="s">
        <v>2785</v>
      </c>
      <c r="V2543" s="5" t="s">
        <v>10906</v>
      </c>
    </row>
    <row r="2544" ht="12.75" customHeight="1">
      <c r="A2544" s="5">
        <v>35912.0</v>
      </c>
      <c r="B2544" s="5" t="s">
        <v>49</v>
      </c>
      <c r="C2544" s="52" t="s">
        <v>50</v>
      </c>
      <c r="D2544" s="5" t="s">
        <v>2614</v>
      </c>
      <c r="E2544" s="7" t="s">
        <v>10903</v>
      </c>
      <c r="F2544" s="5" t="s">
        <v>10786</v>
      </c>
      <c r="G2544" s="5" t="s">
        <v>10889</v>
      </c>
      <c r="H2544" s="5">
        <v>2002.0</v>
      </c>
      <c r="I2544" s="5">
        <v>0.0</v>
      </c>
      <c r="J2544" s="5">
        <v>0.0</v>
      </c>
      <c r="K2544" s="5">
        <v>1.0</v>
      </c>
      <c r="L2544" s="54"/>
      <c r="M2544" s="5" t="s">
        <v>10907</v>
      </c>
      <c r="N2544" s="53" t="s">
        <v>5814</v>
      </c>
      <c r="O2544">
        <v>28.358744</v>
      </c>
      <c r="P2544">
        <v>-14.053676</v>
      </c>
      <c r="Q2544" s="5" t="s">
        <v>390</v>
      </c>
      <c r="R2544" s="10">
        <f t="shared" si="10"/>
        <v>488</v>
      </c>
      <c r="S2544" s="5" t="s">
        <v>10905</v>
      </c>
      <c r="T2544" s="5" t="s">
        <v>1040</v>
      </c>
      <c r="U2544" s="5" t="s">
        <v>2785</v>
      </c>
      <c r="V2544" s="5" t="s">
        <v>10908</v>
      </c>
    </row>
    <row r="2545" ht="12.75" customHeight="1">
      <c r="A2545" s="5">
        <v>35914.0</v>
      </c>
      <c r="B2545" s="5" t="s">
        <v>68</v>
      </c>
      <c r="C2545" s="5" t="s">
        <v>69</v>
      </c>
      <c r="D2545" s="5" t="s">
        <v>2614</v>
      </c>
      <c r="E2545" s="7" t="s">
        <v>10909</v>
      </c>
      <c r="F2545" s="5" t="s">
        <v>10786</v>
      </c>
      <c r="G2545" s="5" t="s">
        <v>10889</v>
      </c>
      <c r="H2545" s="5">
        <v>2002.0</v>
      </c>
      <c r="I2545" s="5">
        <v>0.0</v>
      </c>
      <c r="J2545" s="5">
        <v>0.0</v>
      </c>
      <c r="K2545" s="5">
        <v>7.0</v>
      </c>
      <c r="L2545" s="54"/>
      <c r="M2545" s="5" t="s">
        <v>10910</v>
      </c>
      <c r="N2545" s="53" t="s">
        <v>4253</v>
      </c>
      <c r="O2545">
        <v>37.983716</v>
      </c>
      <c r="P2545">
        <v>23.72931</v>
      </c>
      <c r="Q2545" s="5" t="s">
        <v>974</v>
      </c>
      <c r="R2545" s="10">
        <f t="shared" si="10"/>
        <v>13</v>
      </c>
      <c r="S2545" s="5" t="s">
        <v>10911</v>
      </c>
      <c r="T2545" s="6" t="s">
        <v>53</v>
      </c>
      <c r="U2545" s="5" t="s">
        <v>3318</v>
      </c>
      <c r="V2545" s="5" t="s">
        <v>10912</v>
      </c>
    </row>
    <row r="2546" ht="12.75" customHeight="1">
      <c r="A2546" s="5">
        <v>35915.0</v>
      </c>
      <c r="B2546" s="5" t="s">
        <v>68</v>
      </c>
      <c r="C2546" s="5" t="s">
        <v>69</v>
      </c>
      <c r="D2546" s="5" t="s">
        <v>2614</v>
      </c>
      <c r="E2546" s="7" t="s">
        <v>10913</v>
      </c>
      <c r="F2546" s="5" t="s">
        <v>10786</v>
      </c>
      <c r="G2546" s="5" t="s">
        <v>10889</v>
      </c>
      <c r="H2546" s="5">
        <v>2002.0</v>
      </c>
      <c r="I2546" s="5">
        <v>0.0</v>
      </c>
      <c r="J2546" s="5">
        <v>0.0</v>
      </c>
      <c r="K2546" s="5">
        <v>1.0</v>
      </c>
      <c r="L2546" s="54"/>
      <c r="M2546" s="5" t="s">
        <v>10914</v>
      </c>
      <c r="N2546" s="53" t="s">
        <v>3131</v>
      </c>
      <c r="O2546">
        <v>45.440847</v>
      </c>
      <c r="P2546">
        <v>12.315515</v>
      </c>
      <c r="Q2546" s="5" t="s">
        <v>1317</v>
      </c>
      <c r="R2546" s="10">
        <f t="shared" si="10"/>
        <v>13</v>
      </c>
      <c r="S2546" s="5" t="s">
        <v>10915</v>
      </c>
      <c r="T2546" s="5"/>
      <c r="U2546" s="5" t="s">
        <v>2326</v>
      </c>
      <c r="V2546" s="5" t="s">
        <v>7579</v>
      </c>
    </row>
    <row r="2547" ht="12.75" customHeight="1">
      <c r="A2547" s="5">
        <v>35916.0</v>
      </c>
      <c r="B2547" s="5" t="s">
        <v>2962</v>
      </c>
      <c r="C2547" s="5" t="s">
        <v>211</v>
      </c>
      <c r="D2547" s="5" t="s">
        <v>2852</v>
      </c>
      <c r="E2547" s="7" t="s">
        <v>10913</v>
      </c>
      <c r="F2547" s="5" t="s">
        <v>10786</v>
      </c>
      <c r="G2547" s="5" t="s">
        <v>10889</v>
      </c>
      <c r="H2547" s="5">
        <v>2002.0</v>
      </c>
      <c r="I2547" s="5">
        <v>0.0</v>
      </c>
      <c r="J2547" s="5">
        <v>0.0</v>
      </c>
      <c r="K2547" s="5">
        <v>1.0</v>
      </c>
      <c r="L2547" s="54"/>
      <c r="M2547" s="5" t="s">
        <v>10916</v>
      </c>
      <c r="N2547" s="53" t="s">
        <v>8644</v>
      </c>
      <c r="O2547">
        <v>51.454513</v>
      </c>
      <c r="P2547">
        <v>-2.58791</v>
      </c>
      <c r="Q2547" s="5" t="s">
        <v>1626</v>
      </c>
      <c r="R2547" s="10">
        <f t="shared" si="10"/>
        <v>2</v>
      </c>
      <c r="S2547" s="5" t="s">
        <v>10917</v>
      </c>
      <c r="T2547" s="5"/>
      <c r="U2547" s="5" t="s">
        <v>10918</v>
      </c>
      <c r="V2547" s="5"/>
    </row>
    <row r="2548" ht="12.75" customHeight="1">
      <c r="A2548" s="5">
        <v>35917.0</v>
      </c>
      <c r="B2548" s="5" t="s">
        <v>1857</v>
      </c>
      <c r="C2548" s="52" t="s">
        <v>50</v>
      </c>
      <c r="D2548" s="5" t="s">
        <v>2614</v>
      </c>
      <c r="E2548" s="7" t="s">
        <v>10919</v>
      </c>
      <c r="F2548" s="5" t="s">
        <v>10786</v>
      </c>
      <c r="G2548" s="5" t="s">
        <v>10889</v>
      </c>
      <c r="H2548" s="5">
        <v>2002.0</v>
      </c>
      <c r="I2548" s="5">
        <v>0.0</v>
      </c>
      <c r="J2548" s="5">
        <v>0.0</v>
      </c>
      <c r="K2548" s="5">
        <v>1.0</v>
      </c>
      <c r="L2548" s="54"/>
      <c r="M2548" s="5" t="s">
        <v>10920</v>
      </c>
      <c r="N2548" s="53" t="s">
        <v>5814</v>
      </c>
      <c r="O2548">
        <v>28.358744</v>
      </c>
      <c r="P2548">
        <v>-14.053676</v>
      </c>
      <c r="Q2548" s="5" t="s">
        <v>390</v>
      </c>
      <c r="R2548" s="10">
        <f t="shared" si="10"/>
        <v>488</v>
      </c>
      <c r="S2548" s="5" t="s">
        <v>10921</v>
      </c>
      <c r="T2548" s="5" t="s">
        <v>1040</v>
      </c>
      <c r="U2548" s="5" t="s">
        <v>2785</v>
      </c>
      <c r="V2548" s="5" t="s">
        <v>10922</v>
      </c>
    </row>
    <row r="2549" ht="12.75" customHeight="1">
      <c r="A2549" s="5">
        <v>35920.0</v>
      </c>
      <c r="B2549" s="5" t="s">
        <v>68</v>
      </c>
      <c r="C2549" s="5" t="s">
        <v>69</v>
      </c>
      <c r="D2549" s="5" t="s">
        <v>2852</v>
      </c>
      <c r="E2549" s="7" t="s">
        <v>10923</v>
      </c>
      <c r="F2549" s="5" t="s">
        <v>10786</v>
      </c>
      <c r="G2549" s="5" t="s">
        <v>10889</v>
      </c>
      <c r="H2549" s="5">
        <v>2002.0</v>
      </c>
      <c r="I2549" s="5">
        <v>0.0</v>
      </c>
      <c r="J2549" s="5">
        <v>0.0</v>
      </c>
      <c r="K2549" s="5">
        <v>47.0</v>
      </c>
      <c r="L2549" s="54"/>
      <c r="M2549" s="5" t="s">
        <v>10924</v>
      </c>
      <c r="N2549" s="53" t="s">
        <v>2700</v>
      </c>
      <c r="O2549">
        <v>35.508622</v>
      </c>
      <c r="P2549">
        <v>12.59292</v>
      </c>
      <c r="Q2549" s="5" t="s">
        <v>669</v>
      </c>
      <c r="R2549" s="10">
        <f t="shared" si="10"/>
        <v>3843</v>
      </c>
      <c r="S2549" s="5" t="s">
        <v>10925</v>
      </c>
      <c r="T2549" s="6" t="s">
        <v>2130</v>
      </c>
      <c r="U2549" s="5" t="s">
        <v>10926</v>
      </c>
      <c r="V2549" s="5"/>
    </row>
    <row r="2550" ht="12.75" customHeight="1">
      <c r="A2550" s="5">
        <v>35919.0</v>
      </c>
      <c r="B2550" s="5" t="s">
        <v>49</v>
      </c>
      <c r="C2550" s="52" t="s">
        <v>50</v>
      </c>
      <c r="D2550" s="5" t="s">
        <v>2852</v>
      </c>
      <c r="E2550" s="7" t="s">
        <v>10923</v>
      </c>
      <c r="F2550" s="5" t="s">
        <v>10786</v>
      </c>
      <c r="G2550" s="5" t="s">
        <v>10889</v>
      </c>
      <c r="H2550" s="5">
        <v>2002.0</v>
      </c>
      <c r="I2550" s="5">
        <v>0.0</v>
      </c>
      <c r="J2550" s="5">
        <v>0.0</v>
      </c>
      <c r="K2550" s="5">
        <v>12.0</v>
      </c>
      <c r="L2550" s="54"/>
      <c r="M2550" s="5" t="s">
        <v>10927</v>
      </c>
      <c r="N2550" s="53" t="s">
        <v>2700</v>
      </c>
      <c r="O2550">
        <v>35.508622</v>
      </c>
      <c r="P2550">
        <v>12.59292</v>
      </c>
      <c r="Q2550" s="5" t="s">
        <v>669</v>
      </c>
      <c r="R2550" s="10">
        <f t="shared" si="10"/>
        <v>3843</v>
      </c>
      <c r="S2550" s="5" t="s">
        <v>10925</v>
      </c>
      <c r="T2550" s="6" t="s">
        <v>2130</v>
      </c>
      <c r="U2550" s="5" t="s">
        <v>10928</v>
      </c>
      <c r="V2550" s="5"/>
    </row>
    <row r="2551" ht="12.75" customHeight="1">
      <c r="A2551" s="5">
        <v>35918.0</v>
      </c>
      <c r="B2551" s="5" t="s">
        <v>68</v>
      </c>
      <c r="C2551" s="5" t="s">
        <v>69</v>
      </c>
      <c r="D2551" s="5" t="s">
        <v>2614</v>
      </c>
      <c r="E2551" s="7" t="s">
        <v>10923</v>
      </c>
      <c r="F2551" s="5" t="s">
        <v>10786</v>
      </c>
      <c r="G2551" s="5" t="s">
        <v>10889</v>
      </c>
      <c r="H2551" s="5">
        <v>2002.0</v>
      </c>
      <c r="I2551" s="5">
        <v>0.0</v>
      </c>
      <c r="J2551" s="5">
        <v>0.0</v>
      </c>
      <c r="K2551" s="5">
        <v>1.0</v>
      </c>
      <c r="L2551" s="54"/>
      <c r="M2551" s="5" t="s">
        <v>10929</v>
      </c>
      <c r="N2551" s="53" t="s">
        <v>2638</v>
      </c>
      <c r="O2551">
        <v>35.888384</v>
      </c>
      <c r="P2551">
        <v>-5.324636</v>
      </c>
      <c r="Q2551" s="5" t="s">
        <v>717</v>
      </c>
      <c r="R2551" s="10">
        <f t="shared" si="10"/>
        <v>213</v>
      </c>
      <c r="S2551" s="5" t="s">
        <v>10930</v>
      </c>
      <c r="T2551" s="6" t="s">
        <v>72</v>
      </c>
      <c r="U2551" s="5" t="s">
        <v>2785</v>
      </c>
      <c r="V2551" s="5" t="s">
        <v>10931</v>
      </c>
    </row>
    <row r="2552" ht="12.75" customHeight="1">
      <c r="A2552" s="5">
        <v>35921.0</v>
      </c>
      <c r="B2552" s="5" t="s">
        <v>1076</v>
      </c>
      <c r="C2552" s="52" t="s">
        <v>50</v>
      </c>
      <c r="D2552" s="5" t="s">
        <v>2614</v>
      </c>
      <c r="E2552" s="7" t="s">
        <v>10932</v>
      </c>
      <c r="F2552" s="5" t="s">
        <v>10786</v>
      </c>
      <c r="G2552" s="5" t="s">
        <v>10889</v>
      </c>
      <c r="H2552" s="5">
        <v>2002.0</v>
      </c>
      <c r="I2552" s="5">
        <v>0.0</v>
      </c>
      <c r="J2552" s="5">
        <v>0.0</v>
      </c>
      <c r="K2552" s="5">
        <v>2.0</v>
      </c>
      <c r="L2552" s="54"/>
      <c r="M2552" s="5" t="s">
        <v>10933</v>
      </c>
      <c r="N2552" s="53" t="s">
        <v>3846</v>
      </c>
      <c r="O2552">
        <v>40.632728</v>
      </c>
      <c r="P2552">
        <v>17.941762</v>
      </c>
      <c r="Q2552" s="5" t="s">
        <v>1151</v>
      </c>
      <c r="R2552" s="10">
        <f t="shared" si="10"/>
        <v>72</v>
      </c>
      <c r="S2552" s="5" t="s">
        <v>10934</v>
      </c>
      <c r="T2552" s="6" t="s">
        <v>1963</v>
      </c>
      <c r="U2552" s="5" t="s">
        <v>8502</v>
      </c>
      <c r="V2552" s="5" t="s">
        <v>9369</v>
      </c>
    </row>
    <row r="2553" ht="12.75" customHeight="1">
      <c r="A2553" s="5">
        <v>35922.0</v>
      </c>
      <c r="B2553" s="5" t="s">
        <v>68</v>
      </c>
      <c r="C2553" s="5" t="s">
        <v>69</v>
      </c>
      <c r="D2553" s="5" t="s">
        <v>2614</v>
      </c>
      <c r="E2553" s="7" t="s">
        <v>10935</v>
      </c>
      <c r="F2553" s="5" t="s">
        <v>10936</v>
      </c>
      <c r="G2553" s="5" t="s">
        <v>10937</v>
      </c>
      <c r="H2553" s="5">
        <v>2002.0</v>
      </c>
      <c r="I2553" s="5">
        <v>0.0</v>
      </c>
      <c r="J2553" s="5">
        <v>0.0</v>
      </c>
      <c r="K2553" s="5">
        <v>12.0</v>
      </c>
      <c r="L2553" s="54"/>
      <c r="M2553" s="5" t="s">
        <v>10938</v>
      </c>
      <c r="N2553" s="53" t="s">
        <v>2705</v>
      </c>
      <c r="O2553">
        <v>36.799851</v>
      </c>
      <c r="P2553">
        <v>27.102943</v>
      </c>
      <c r="Q2553" s="5" t="s">
        <v>848</v>
      </c>
      <c r="R2553" s="10">
        <f t="shared" si="10"/>
        <v>119</v>
      </c>
      <c r="S2553" s="5" t="s">
        <v>10939</v>
      </c>
      <c r="T2553" s="6" t="s">
        <v>53</v>
      </c>
      <c r="U2553" s="5" t="s">
        <v>5662</v>
      </c>
      <c r="V2553" s="5" t="s">
        <v>10940</v>
      </c>
    </row>
    <row r="2554" ht="12.75" customHeight="1">
      <c r="A2554" s="5">
        <v>35924.0</v>
      </c>
      <c r="B2554" s="5" t="s">
        <v>49</v>
      </c>
      <c r="C2554" s="52" t="s">
        <v>50</v>
      </c>
      <c r="D2554" s="5" t="s">
        <v>2852</v>
      </c>
      <c r="E2554" s="7" t="s">
        <v>10941</v>
      </c>
      <c r="F2554" s="5" t="s">
        <v>10936</v>
      </c>
      <c r="G2554" s="5" t="s">
        <v>10937</v>
      </c>
      <c r="H2554" s="5">
        <v>2002.0</v>
      </c>
      <c r="I2554" s="5">
        <v>0.0</v>
      </c>
      <c r="J2554" s="5">
        <v>0.0</v>
      </c>
      <c r="K2554" s="5">
        <v>6.0</v>
      </c>
      <c r="L2554" s="54"/>
      <c r="M2554" s="5" t="s">
        <v>10942</v>
      </c>
      <c r="N2554" s="53" t="s">
        <v>2705</v>
      </c>
      <c r="O2554">
        <v>36.799851</v>
      </c>
      <c r="P2554">
        <v>27.102943</v>
      </c>
      <c r="Q2554" s="5" t="s">
        <v>848</v>
      </c>
      <c r="R2554" s="10">
        <f t="shared" si="10"/>
        <v>119</v>
      </c>
      <c r="S2554" s="5" t="s">
        <v>10943</v>
      </c>
      <c r="T2554" s="6" t="s">
        <v>53</v>
      </c>
      <c r="U2554" s="5" t="s">
        <v>10944</v>
      </c>
      <c r="V2554" s="5"/>
    </row>
    <row r="2555" ht="12.75" customHeight="1">
      <c r="A2555" s="5">
        <v>35923.0</v>
      </c>
      <c r="B2555" s="5" t="s">
        <v>49</v>
      </c>
      <c r="C2555" s="52" t="s">
        <v>50</v>
      </c>
      <c r="D2555" s="5" t="s">
        <v>2852</v>
      </c>
      <c r="E2555" s="7" t="s">
        <v>10941</v>
      </c>
      <c r="F2555" s="5" t="s">
        <v>10936</v>
      </c>
      <c r="G2555" s="5" t="s">
        <v>10937</v>
      </c>
      <c r="H2555" s="5">
        <v>2002.0</v>
      </c>
      <c r="I2555" s="5">
        <v>0.0</v>
      </c>
      <c r="J2555" s="5">
        <v>0.0</v>
      </c>
      <c r="K2555" s="5">
        <v>5.0</v>
      </c>
      <c r="L2555" s="54"/>
      <c r="M2555" s="5" t="s">
        <v>10945</v>
      </c>
      <c r="N2555" s="53" t="s">
        <v>2705</v>
      </c>
      <c r="O2555">
        <v>36.799851</v>
      </c>
      <c r="P2555">
        <v>27.102943</v>
      </c>
      <c r="Q2555" s="5" t="s">
        <v>848</v>
      </c>
      <c r="R2555" s="10">
        <f t="shared" si="10"/>
        <v>119</v>
      </c>
      <c r="S2555" s="5" t="s">
        <v>10943</v>
      </c>
      <c r="T2555" s="6" t="s">
        <v>53</v>
      </c>
      <c r="U2555" s="5" t="s">
        <v>10944</v>
      </c>
      <c r="V2555" s="5"/>
    </row>
    <row r="2556" ht="12.75" customHeight="1">
      <c r="A2556" s="5">
        <v>35927.0</v>
      </c>
      <c r="B2556" s="5" t="s">
        <v>49</v>
      </c>
      <c r="C2556" s="52" t="s">
        <v>50</v>
      </c>
      <c r="D2556" s="5" t="s">
        <v>2852</v>
      </c>
      <c r="E2556" s="7" t="s">
        <v>10946</v>
      </c>
      <c r="F2556" s="5" t="s">
        <v>10936</v>
      </c>
      <c r="G2556" s="5" t="s">
        <v>10937</v>
      </c>
      <c r="H2556" s="5">
        <v>2002.0</v>
      </c>
      <c r="I2556" s="5">
        <v>0.0</v>
      </c>
      <c r="J2556" s="5">
        <v>0.0</v>
      </c>
      <c r="K2556" s="5">
        <v>1.0</v>
      </c>
      <c r="L2556" s="54"/>
      <c r="M2556" s="5" t="s">
        <v>10947</v>
      </c>
      <c r="N2556" s="53" t="s">
        <v>7822</v>
      </c>
      <c r="O2556">
        <v>35.010802</v>
      </c>
      <c r="P2556">
        <v>-7.514648</v>
      </c>
      <c r="Q2556" s="5" t="s">
        <v>614</v>
      </c>
      <c r="R2556" s="10">
        <f t="shared" si="10"/>
        <v>117</v>
      </c>
      <c r="S2556" s="5" t="s">
        <v>10948</v>
      </c>
      <c r="T2556" s="6" t="s">
        <v>72</v>
      </c>
      <c r="U2556" s="5" t="s">
        <v>3128</v>
      </c>
      <c r="V2556" s="5"/>
    </row>
    <row r="2557" ht="12.75" customHeight="1">
      <c r="A2557" s="5">
        <v>35926.0</v>
      </c>
      <c r="B2557" s="5" t="s">
        <v>763</v>
      </c>
      <c r="C2557" s="5" t="s">
        <v>124</v>
      </c>
      <c r="D2557" s="5" t="s">
        <v>2852</v>
      </c>
      <c r="E2557" s="7" t="s">
        <v>10946</v>
      </c>
      <c r="F2557" s="5" t="s">
        <v>10936</v>
      </c>
      <c r="G2557" s="5" t="s">
        <v>10937</v>
      </c>
      <c r="H2557" s="5">
        <v>2002.0</v>
      </c>
      <c r="I2557" s="5">
        <v>0.0</v>
      </c>
      <c r="J2557" s="5">
        <v>0.0</v>
      </c>
      <c r="K2557" s="5">
        <v>1.0</v>
      </c>
      <c r="L2557" s="54"/>
      <c r="M2557" s="5" t="s">
        <v>10949</v>
      </c>
      <c r="N2557" s="53" t="s">
        <v>7911</v>
      </c>
      <c r="O2557">
        <v>38.652771</v>
      </c>
      <c r="P2557">
        <v>26.613007</v>
      </c>
      <c r="Q2557" s="5" t="s">
        <v>1032</v>
      </c>
      <c r="R2557" s="10">
        <f t="shared" si="10"/>
        <v>69</v>
      </c>
      <c r="S2557" s="5" t="s">
        <v>10950</v>
      </c>
      <c r="T2557" s="6" t="s">
        <v>53</v>
      </c>
      <c r="U2557" s="5" t="s">
        <v>10799</v>
      </c>
      <c r="V2557" s="5"/>
    </row>
    <row r="2558" ht="12.75" customHeight="1">
      <c r="A2558" s="5">
        <v>35925.0</v>
      </c>
      <c r="B2558" s="5" t="s">
        <v>41</v>
      </c>
      <c r="C2558" s="5" t="s">
        <v>42</v>
      </c>
      <c r="D2558" s="5" t="s">
        <v>2614</v>
      </c>
      <c r="E2558" s="7" t="s">
        <v>10946</v>
      </c>
      <c r="F2558" s="5" t="s">
        <v>10936</v>
      </c>
      <c r="G2558" s="5" t="s">
        <v>10937</v>
      </c>
      <c r="H2558" s="5">
        <v>2002.0</v>
      </c>
      <c r="I2558" s="5">
        <v>0.0</v>
      </c>
      <c r="J2558" s="5">
        <v>0.0</v>
      </c>
      <c r="K2558" s="5">
        <v>2.0</v>
      </c>
      <c r="L2558" s="54"/>
      <c r="M2558" s="5" t="s">
        <v>10951</v>
      </c>
      <c r="N2558" s="53" t="s">
        <v>10952</v>
      </c>
      <c r="O2558">
        <v>39.75425</v>
      </c>
      <c r="P2558">
        <v>42.881542</v>
      </c>
      <c r="Q2558" s="5" t="s">
        <v>1108</v>
      </c>
      <c r="R2558" s="10">
        <f t="shared" si="10"/>
        <v>4</v>
      </c>
      <c r="S2558" s="5" t="s">
        <v>10953</v>
      </c>
      <c r="T2558" s="5"/>
      <c r="U2558" s="5" t="s">
        <v>10954</v>
      </c>
      <c r="V2558" s="5" t="s">
        <v>10800</v>
      </c>
    </row>
    <row r="2559" ht="12.75" customHeight="1">
      <c r="A2559" s="5">
        <v>35928.0</v>
      </c>
      <c r="B2559" s="5" t="s">
        <v>1995</v>
      </c>
      <c r="C2559" s="52" t="s">
        <v>50</v>
      </c>
      <c r="D2559" s="5" t="s">
        <v>2852</v>
      </c>
      <c r="E2559" s="7" t="s">
        <v>10955</v>
      </c>
      <c r="F2559" s="5" t="s">
        <v>10936</v>
      </c>
      <c r="G2559" s="5" t="s">
        <v>10937</v>
      </c>
      <c r="H2559" s="5">
        <v>2002.0</v>
      </c>
      <c r="I2559" s="5">
        <v>0.0</v>
      </c>
      <c r="J2559" s="5">
        <v>0.0</v>
      </c>
      <c r="K2559" s="5">
        <v>1.0</v>
      </c>
      <c r="L2559" s="54"/>
      <c r="M2559" s="5" t="s">
        <v>10956</v>
      </c>
      <c r="N2559" s="53" t="s">
        <v>10957</v>
      </c>
      <c r="O2559">
        <v>51.653306</v>
      </c>
      <c r="P2559">
        <v>5.294347</v>
      </c>
      <c r="Q2559" s="5" t="s">
        <v>1675</v>
      </c>
      <c r="R2559" s="10">
        <f t="shared" si="10"/>
        <v>1</v>
      </c>
      <c r="S2559" s="5" t="s">
        <v>10958</v>
      </c>
      <c r="T2559" s="5"/>
      <c r="U2559" s="5" t="s">
        <v>10959</v>
      </c>
      <c r="V2559" s="5"/>
    </row>
    <row r="2560" ht="12.75" customHeight="1">
      <c r="A2560" s="5">
        <v>35929.0</v>
      </c>
      <c r="B2560" s="5" t="s">
        <v>49</v>
      </c>
      <c r="C2560" s="52" t="s">
        <v>50</v>
      </c>
      <c r="D2560" s="5" t="s">
        <v>2852</v>
      </c>
      <c r="E2560" s="7" t="s">
        <v>10960</v>
      </c>
      <c r="F2560" s="5" t="s">
        <v>10936</v>
      </c>
      <c r="G2560" s="5" t="s">
        <v>10937</v>
      </c>
      <c r="H2560" s="5">
        <v>2002.0</v>
      </c>
      <c r="I2560" s="5">
        <v>0.0</v>
      </c>
      <c r="J2560" s="5">
        <v>0.0</v>
      </c>
      <c r="K2560" s="5">
        <v>3.0</v>
      </c>
      <c r="L2560" s="54"/>
      <c r="M2560" s="5" t="s">
        <v>10961</v>
      </c>
      <c r="N2560" s="53" t="s">
        <v>3151</v>
      </c>
      <c r="O2560">
        <v>29.046854</v>
      </c>
      <c r="P2560">
        <v>-13.589973</v>
      </c>
      <c r="Q2560" s="5" t="s">
        <v>400</v>
      </c>
      <c r="R2560" s="10">
        <f t="shared" si="10"/>
        <v>74</v>
      </c>
      <c r="S2560" s="5" t="s">
        <v>10962</v>
      </c>
      <c r="T2560" s="5" t="s">
        <v>1040</v>
      </c>
      <c r="U2560" s="5" t="s">
        <v>3128</v>
      </c>
      <c r="V2560" s="5" t="s">
        <v>10963</v>
      </c>
    </row>
    <row r="2561" ht="12.75" customHeight="1">
      <c r="A2561" s="5">
        <v>35930.0</v>
      </c>
      <c r="B2561" s="5" t="s">
        <v>41</v>
      </c>
      <c r="C2561" s="5" t="s">
        <v>42</v>
      </c>
      <c r="D2561" s="5" t="s">
        <v>2852</v>
      </c>
      <c r="E2561" s="7" t="s">
        <v>10960</v>
      </c>
      <c r="F2561" s="5" t="s">
        <v>10936</v>
      </c>
      <c r="G2561" s="5" t="s">
        <v>10937</v>
      </c>
      <c r="H2561" s="5">
        <v>2002.0</v>
      </c>
      <c r="I2561" s="5">
        <v>0.0</v>
      </c>
      <c r="J2561" s="5">
        <v>0.0</v>
      </c>
      <c r="K2561" s="5">
        <v>2.0</v>
      </c>
      <c r="L2561" s="54"/>
      <c r="M2561" s="5" t="s">
        <v>10964</v>
      </c>
      <c r="N2561" s="53" t="s">
        <v>10952</v>
      </c>
      <c r="O2561">
        <v>39.75425</v>
      </c>
      <c r="P2561">
        <v>42.881542</v>
      </c>
      <c r="Q2561" s="5" t="s">
        <v>1108</v>
      </c>
      <c r="R2561" s="10">
        <f t="shared" si="10"/>
        <v>4</v>
      </c>
      <c r="S2561" s="5" t="s">
        <v>10965</v>
      </c>
      <c r="T2561" s="5"/>
      <c r="U2561" s="5" t="s">
        <v>10966</v>
      </c>
      <c r="V2561" s="5"/>
    </row>
    <row r="2562" ht="12.75" customHeight="1">
      <c r="A2562" s="5">
        <v>35931.0</v>
      </c>
      <c r="B2562" s="5" t="s">
        <v>49</v>
      </c>
      <c r="C2562" s="52" t="s">
        <v>50</v>
      </c>
      <c r="D2562" s="5" t="s">
        <v>2852</v>
      </c>
      <c r="E2562" s="7" t="s">
        <v>10967</v>
      </c>
      <c r="F2562" s="5" t="s">
        <v>10936</v>
      </c>
      <c r="G2562" s="5" t="s">
        <v>10937</v>
      </c>
      <c r="H2562" s="5">
        <v>2002.0</v>
      </c>
      <c r="I2562" s="5">
        <v>0.0</v>
      </c>
      <c r="J2562" s="5">
        <v>0.0</v>
      </c>
      <c r="K2562" s="5">
        <v>10.0</v>
      </c>
      <c r="L2562" s="54"/>
      <c r="M2562" s="5" t="s">
        <v>10968</v>
      </c>
      <c r="N2562" s="53" t="s">
        <v>3314</v>
      </c>
      <c r="O2562">
        <v>37.599994</v>
      </c>
      <c r="P2562">
        <v>14.015356</v>
      </c>
      <c r="Q2562" s="5" t="s">
        <v>949</v>
      </c>
      <c r="R2562" s="10">
        <f t="shared" si="10"/>
        <v>363</v>
      </c>
      <c r="S2562" s="5" t="s">
        <v>10969</v>
      </c>
      <c r="T2562" s="6" t="s">
        <v>2130</v>
      </c>
      <c r="U2562" s="5" t="s">
        <v>10970</v>
      </c>
      <c r="V2562" s="5" t="s">
        <v>7579</v>
      </c>
    </row>
    <row r="2563" ht="12.75" customHeight="1">
      <c r="A2563" s="5">
        <v>35932.0</v>
      </c>
      <c r="B2563" s="5" t="s">
        <v>49</v>
      </c>
      <c r="C2563" s="52" t="s">
        <v>50</v>
      </c>
      <c r="D2563" s="5" t="s">
        <v>2614</v>
      </c>
      <c r="E2563" s="7" t="s">
        <v>10971</v>
      </c>
      <c r="F2563" s="5" t="s">
        <v>10936</v>
      </c>
      <c r="G2563" s="5" t="s">
        <v>10937</v>
      </c>
      <c r="H2563" s="5">
        <v>2002.0</v>
      </c>
      <c r="I2563" s="5">
        <v>0.0</v>
      </c>
      <c r="J2563" s="5">
        <v>0.0</v>
      </c>
      <c r="K2563" s="5">
        <v>1.0</v>
      </c>
      <c r="L2563" s="54"/>
      <c r="M2563" s="5" t="s">
        <v>10972</v>
      </c>
      <c r="N2563" s="53" t="s">
        <v>4838</v>
      </c>
      <c r="O2563">
        <v>52.355518</v>
      </c>
      <c r="P2563">
        <v>-1.17432</v>
      </c>
      <c r="Q2563" s="5" t="s">
        <v>1746</v>
      </c>
      <c r="R2563" s="10">
        <f t="shared" si="10"/>
        <v>6</v>
      </c>
      <c r="S2563" s="5" t="s">
        <v>10973</v>
      </c>
      <c r="T2563" s="5"/>
      <c r="U2563" s="5" t="s">
        <v>10216</v>
      </c>
      <c r="V2563" s="5" t="s">
        <v>10974</v>
      </c>
    </row>
    <row r="2564" ht="12.75" customHeight="1">
      <c r="A2564" s="5">
        <v>35933.0</v>
      </c>
      <c r="B2564" s="5" t="s">
        <v>49</v>
      </c>
      <c r="C2564" s="52" t="s">
        <v>50</v>
      </c>
      <c r="D2564" s="5" t="s">
        <v>2614</v>
      </c>
      <c r="E2564" s="7" t="s">
        <v>10975</v>
      </c>
      <c r="F2564" s="5" t="s">
        <v>10936</v>
      </c>
      <c r="G2564" s="5" t="s">
        <v>10937</v>
      </c>
      <c r="H2564" s="5">
        <v>2002.0</v>
      </c>
      <c r="I2564" s="5">
        <v>0.0</v>
      </c>
      <c r="J2564" s="5">
        <v>0.0</v>
      </c>
      <c r="K2564" s="5">
        <v>2.0</v>
      </c>
      <c r="L2564" s="54"/>
      <c r="M2564" s="5" t="s">
        <v>10976</v>
      </c>
      <c r="N2564" s="53" t="s">
        <v>3014</v>
      </c>
      <c r="O2564">
        <v>38.41885</v>
      </c>
      <c r="P2564">
        <v>27.12872</v>
      </c>
      <c r="Q2564" s="5" t="s">
        <v>1022</v>
      </c>
      <c r="R2564" s="10">
        <f t="shared" si="10"/>
        <v>152</v>
      </c>
      <c r="S2564" s="5" t="s">
        <v>10977</v>
      </c>
      <c r="T2564" s="6" t="s">
        <v>53</v>
      </c>
      <c r="U2564" s="5" t="s">
        <v>10954</v>
      </c>
      <c r="V2564" s="5" t="s">
        <v>10800</v>
      </c>
    </row>
    <row r="2565" ht="12.75" customHeight="1">
      <c r="A2565" s="5">
        <v>35935.0</v>
      </c>
      <c r="B2565" s="5" t="s">
        <v>49</v>
      </c>
      <c r="C2565" s="52" t="s">
        <v>50</v>
      </c>
      <c r="D2565" s="5" t="s">
        <v>2852</v>
      </c>
      <c r="E2565" s="7" t="s">
        <v>10978</v>
      </c>
      <c r="F2565" s="5" t="s">
        <v>10936</v>
      </c>
      <c r="G2565" s="5" t="s">
        <v>10937</v>
      </c>
      <c r="H2565" s="5">
        <v>2002.0</v>
      </c>
      <c r="I2565" s="5">
        <v>0.0</v>
      </c>
      <c r="J2565" s="5">
        <v>0.0</v>
      </c>
      <c r="K2565" s="5">
        <v>1.0</v>
      </c>
      <c r="L2565" s="54"/>
      <c r="M2565" s="5" t="s">
        <v>10979</v>
      </c>
      <c r="N2565" s="53" t="s">
        <v>2718</v>
      </c>
      <c r="O2565">
        <v>35.292278</v>
      </c>
      <c r="P2565">
        <v>-2.938097</v>
      </c>
      <c r="Q2565" s="5" t="s">
        <v>649</v>
      </c>
      <c r="R2565" s="10">
        <f t="shared" si="10"/>
        <v>79</v>
      </c>
      <c r="S2565" s="5" t="s">
        <v>10980</v>
      </c>
      <c r="T2565" s="6" t="s">
        <v>72</v>
      </c>
      <c r="U2565" s="5" t="s">
        <v>3128</v>
      </c>
      <c r="V2565" s="5"/>
    </row>
    <row r="2566" ht="12.75" customHeight="1">
      <c r="A2566" s="5">
        <v>35934.0</v>
      </c>
      <c r="B2566" s="5" t="s">
        <v>49</v>
      </c>
      <c r="C2566" s="52" t="s">
        <v>50</v>
      </c>
      <c r="D2566" s="5" t="s">
        <v>2614</v>
      </c>
      <c r="E2566" s="7" t="s">
        <v>10978</v>
      </c>
      <c r="F2566" s="5" t="s">
        <v>10936</v>
      </c>
      <c r="G2566" s="5" t="s">
        <v>10937</v>
      </c>
      <c r="H2566" s="5">
        <v>2002.0</v>
      </c>
      <c r="I2566" s="5">
        <v>0.0</v>
      </c>
      <c r="J2566" s="5">
        <v>0.0</v>
      </c>
      <c r="K2566" s="5">
        <v>4.0</v>
      </c>
      <c r="L2566" s="54"/>
      <c r="M2566" s="5" t="s">
        <v>10981</v>
      </c>
      <c r="N2566" s="53" t="s">
        <v>10982</v>
      </c>
      <c r="O2566">
        <v>40.351516</v>
      </c>
      <c r="P2566">
        <v>18.175016</v>
      </c>
      <c r="Q2566" s="5" t="s">
        <v>1133</v>
      </c>
      <c r="R2566" s="10">
        <f t="shared" si="10"/>
        <v>15</v>
      </c>
      <c r="S2566" s="5" t="s">
        <v>10983</v>
      </c>
      <c r="T2566" s="6" t="s">
        <v>1963</v>
      </c>
      <c r="U2566" s="5" t="s">
        <v>8502</v>
      </c>
      <c r="V2566" s="5" t="s">
        <v>10984</v>
      </c>
    </row>
    <row r="2567" ht="12.75" customHeight="1">
      <c r="A2567" s="5">
        <v>35936.0</v>
      </c>
      <c r="B2567" s="5" t="s">
        <v>68</v>
      </c>
      <c r="C2567" s="5" t="s">
        <v>69</v>
      </c>
      <c r="D2567" s="5" t="s">
        <v>2614</v>
      </c>
      <c r="E2567" s="7" t="s">
        <v>10985</v>
      </c>
      <c r="F2567" s="5" t="s">
        <v>10936</v>
      </c>
      <c r="G2567" s="5" t="s">
        <v>10937</v>
      </c>
      <c r="H2567" s="5">
        <v>2002.0</v>
      </c>
      <c r="I2567" s="5">
        <v>0.0</v>
      </c>
      <c r="J2567" s="5">
        <v>0.0</v>
      </c>
      <c r="K2567" s="5">
        <v>45.0</v>
      </c>
      <c r="L2567" s="54"/>
      <c r="M2567" s="5" t="s">
        <v>10986</v>
      </c>
      <c r="N2567" s="53" t="s">
        <v>6325</v>
      </c>
      <c r="O2567">
        <v>12.862807</v>
      </c>
      <c r="P2567">
        <v>30.217636</v>
      </c>
      <c r="Q2567" s="5" t="s">
        <v>245</v>
      </c>
      <c r="R2567" s="10">
        <f t="shared" si="10"/>
        <v>47</v>
      </c>
      <c r="S2567" s="5" t="s">
        <v>10987</v>
      </c>
      <c r="T2567" s="5"/>
      <c r="U2567" s="5" t="s">
        <v>2326</v>
      </c>
      <c r="V2567" s="5" t="s">
        <v>7579</v>
      </c>
    </row>
    <row r="2568" ht="12.75" customHeight="1">
      <c r="A2568" s="5">
        <v>35937.0</v>
      </c>
      <c r="B2568" s="5" t="s">
        <v>636</v>
      </c>
      <c r="C2568" s="52" t="s">
        <v>50</v>
      </c>
      <c r="D2568" s="5" t="s">
        <v>2614</v>
      </c>
      <c r="E2568" s="7" t="s">
        <v>10988</v>
      </c>
      <c r="F2568" s="5" t="s">
        <v>10936</v>
      </c>
      <c r="G2568" s="5" t="s">
        <v>10989</v>
      </c>
      <c r="H2568" s="5">
        <v>2002.0</v>
      </c>
      <c r="I2568" s="5">
        <v>0.0</v>
      </c>
      <c r="J2568" s="5">
        <v>0.0</v>
      </c>
      <c r="K2568" s="5">
        <v>19.0</v>
      </c>
      <c r="L2568" s="54"/>
      <c r="M2568" s="5" t="s">
        <v>10990</v>
      </c>
      <c r="N2568" s="53" t="s">
        <v>7081</v>
      </c>
      <c r="O2568">
        <v>32.427908</v>
      </c>
      <c r="P2568">
        <v>53.688046</v>
      </c>
      <c r="Q2568" s="5" t="s">
        <v>470</v>
      </c>
      <c r="R2568" s="10">
        <f t="shared" si="10"/>
        <v>95</v>
      </c>
      <c r="S2568" s="5" t="s">
        <v>10991</v>
      </c>
      <c r="T2568" s="5"/>
      <c r="U2568" s="5" t="s">
        <v>3318</v>
      </c>
      <c r="V2568" s="5" t="s">
        <v>10992</v>
      </c>
    </row>
    <row r="2569" ht="12.75" customHeight="1">
      <c r="A2569" s="5">
        <v>35938.0</v>
      </c>
      <c r="B2569" s="5" t="s">
        <v>49</v>
      </c>
      <c r="C2569" s="52" t="s">
        <v>50</v>
      </c>
      <c r="D2569" s="5" t="s">
        <v>2614</v>
      </c>
      <c r="E2569" s="7" t="s">
        <v>10988</v>
      </c>
      <c r="F2569" s="5" t="s">
        <v>10936</v>
      </c>
      <c r="G2569" s="5" t="s">
        <v>10989</v>
      </c>
      <c r="H2569" s="5">
        <v>2002.0</v>
      </c>
      <c r="I2569" s="5">
        <v>0.0</v>
      </c>
      <c r="J2569" s="5">
        <v>0.0</v>
      </c>
      <c r="K2569" s="5">
        <v>5.0</v>
      </c>
      <c r="L2569" s="54"/>
      <c r="M2569" s="5" t="s">
        <v>10993</v>
      </c>
      <c r="N2569" s="53" t="s">
        <v>3014</v>
      </c>
      <c r="O2569">
        <v>38.41885</v>
      </c>
      <c r="P2569">
        <v>27.12872</v>
      </c>
      <c r="Q2569" s="5" t="s">
        <v>1022</v>
      </c>
      <c r="R2569" s="10">
        <f t="shared" si="10"/>
        <v>152</v>
      </c>
      <c r="S2569" s="5" t="s">
        <v>10994</v>
      </c>
      <c r="T2569" s="6" t="s">
        <v>53</v>
      </c>
      <c r="U2569" s="5" t="s">
        <v>5662</v>
      </c>
      <c r="V2569" s="5" t="s">
        <v>10995</v>
      </c>
    </row>
    <row r="2570" ht="12.75" customHeight="1">
      <c r="A2570" s="5">
        <v>35939.0</v>
      </c>
      <c r="B2570" s="5" t="s">
        <v>68</v>
      </c>
      <c r="C2570" s="5" t="s">
        <v>69</v>
      </c>
      <c r="D2570" s="5" t="s">
        <v>2852</v>
      </c>
      <c r="E2570" s="7" t="s">
        <v>10996</v>
      </c>
      <c r="F2570" s="5" t="s">
        <v>10936</v>
      </c>
      <c r="G2570" s="5" t="s">
        <v>10989</v>
      </c>
      <c r="H2570" s="5">
        <v>2002.0</v>
      </c>
      <c r="I2570" s="5">
        <v>0.0</v>
      </c>
      <c r="J2570" s="5">
        <v>0.0</v>
      </c>
      <c r="K2570" s="5">
        <v>5.0</v>
      </c>
      <c r="L2570" s="54"/>
      <c r="M2570" s="5" t="s">
        <v>10997</v>
      </c>
      <c r="N2570" s="53" t="s">
        <v>3014</v>
      </c>
      <c r="O2570">
        <v>38.41885</v>
      </c>
      <c r="P2570">
        <v>27.12872</v>
      </c>
      <c r="Q2570" s="5" t="s">
        <v>1022</v>
      </c>
      <c r="R2570" s="10">
        <f t="shared" si="10"/>
        <v>152</v>
      </c>
      <c r="S2570" s="5" t="s">
        <v>10998</v>
      </c>
      <c r="T2570" s="6" t="s">
        <v>53</v>
      </c>
      <c r="U2570" s="5" t="s">
        <v>10999</v>
      </c>
      <c r="V2570" s="5"/>
    </row>
    <row r="2571" ht="12.75" customHeight="1">
      <c r="A2571" s="5">
        <v>35940.0</v>
      </c>
      <c r="B2571" s="5" t="s">
        <v>1076</v>
      </c>
      <c r="C2571" s="52" t="s">
        <v>50</v>
      </c>
      <c r="D2571" s="5" t="s">
        <v>2852</v>
      </c>
      <c r="E2571" s="7" t="s">
        <v>11000</v>
      </c>
      <c r="F2571" s="5" t="s">
        <v>10936</v>
      </c>
      <c r="G2571" s="5" t="s">
        <v>10989</v>
      </c>
      <c r="H2571" s="5">
        <v>2002.0</v>
      </c>
      <c r="I2571" s="5">
        <v>0.0</v>
      </c>
      <c r="J2571" s="5">
        <v>0.0</v>
      </c>
      <c r="K2571" s="5">
        <v>1.0</v>
      </c>
      <c r="L2571" s="54"/>
      <c r="M2571" s="5" t="s">
        <v>11001</v>
      </c>
      <c r="N2571" s="53" t="s">
        <v>2718</v>
      </c>
      <c r="O2571">
        <v>35.292278</v>
      </c>
      <c r="P2571">
        <v>-2.938097</v>
      </c>
      <c r="Q2571" s="5" t="s">
        <v>649</v>
      </c>
      <c r="R2571" s="10">
        <f t="shared" si="10"/>
        <v>79</v>
      </c>
      <c r="S2571" s="5" t="s">
        <v>11002</v>
      </c>
      <c r="T2571" s="6" t="s">
        <v>72</v>
      </c>
      <c r="U2571" s="5" t="s">
        <v>3128</v>
      </c>
      <c r="V2571" s="5" t="s">
        <v>11003</v>
      </c>
    </row>
    <row r="2572" ht="12.75" customHeight="1">
      <c r="A2572" s="5">
        <v>35941.0</v>
      </c>
      <c r="B2572" s="5" t="s">
        <v>41</v>
      </c>
      <c r="C2572" s="5" t="s">
        <v>42</v>
      </c>
      <c r="D2572" s="5" t="s">
        <v>2614</v>
      </c>
      <c r="E2572" s="7" t="s">
        <v>11004</v>
      </c>
      <c r="F2572" s="5" t="s">
        <v>10936</v>
      </c>
      <c r="G2572" s="5" t="s">
        <v>10989</v>
      </c>
      <c r="H2572" s="5">
        <v>2002.0</v>
      </c>
      <c r="I2572" s="5">
        <v>0.0</v>
      </c>
      <c r="J2572" s="5">
        <v>0.0</v>
      </c>
      <c r="K2572" s="5">
        <v>1.0</v>
      </c>
      <c r="L2572" s="54"/>
      <c r="M2572" s="5" t="s">
        <v>11005</v>
      </c>
      <c r="N2572" s="53" t="s">
        <v>7272</v>
      </c>
      <c r="O2572">
        <v>35.126413</v>
      </c>
      <c r="P2572">
        <v>33.429859</v>
      </c>
      <c r="Q2572" s="5" t="s">
        <v>624</v>
      </c>
      <c r="R2572" s="10">
        <f t="shared" si="10"/>
        <v>40</v>
      </c>
      <c r="S2572" s="5" t="s">
        <v>11006</v>
      </c>
      <c r="T2572" s="5"/>
      <c r="U2572" s="5" t="s">
        <v>3318</v>
      </c>
      <c r="V2572" s="5" t="s">
        <v>11007</v>
      </c>
    </row>
    <row r="2573" ht="12.75" customHeight="1">
      <c r="A2573" s="5">
        <v>35942.0</v>
      </c>
      <c r="B2573" s="5" t="s">
        <v>763</v>
      </c>
      <c r="C2573" s="5" t="s">
        <v>124</v>
      </c>
      <c r="D2573" s="5" t="s">
        <v>2852</v>
      </c>
      <c r="E2573" s="7" t="s">
        <v>11004</v>
      </c>
      <c r="F2573" s="5" t="s">
        <v>10936</v>
      </c>
      <c r="G2573" s="5" t="s">
        <v>10989</v>
      </c>
      <c r="H2573" s="5">
        <v>2002.0</v>
      </c>
      <c r="I2573" s="5">
        <v>0.0</v>
      </c>
      <c r="J2573" s="5">
        <v>0.0</v>
      </c>
      <c r="K2573" s="5">
        <v>1.0</v>
      </c>
      <c r="L2573" s="54"/>
      <c r="M2573" s="5" t="s">
        <v>11008</v>
      </c>
      <c r="N2573" s="53" t="s">
        <v>11009</v>
      </c>
      <c r="O2573">
        <v>39.968176</v>
      </c>
      <c r="P2573">
        <v>41.870802</v>
      </c>
      <c r="Q2573" s="5" t="s">
        <v>1118</v>
      </c>
      <c r="R2573" s="10">
        <f t="shared" si="10"/>
        <v>1</v>
      </c>
      <c r="S2573" s="5" t="s">
        <v>11010</v>
      </c>
      <c r="T2573" s="5"/>
      <c r="U2573" s="5" t="s">
        <v>10799</v>
      </c>
      <c r="V2573" s="5"/>
    </row>
    <row r="2574" ht="12.75" customHeight="1">
      <c r="A2574" s="5">
        <v>35943.0</v>
      </c>
      <c r="B2574" s="5" t="s">
        <v>41</v>
      </c>
      <c r="C2574" s="5" t="s">
        <v>42</v>
      </c>
      <c r="D2574" s="5" t="s">
        <v>2852</v>
      </c>
      <c r="E2574" s="7" t="s">
        <v>11011</v>
      </c>
      <c r="F2574" s="5" t="s">
        <v>10936</v>
      </c>
      <c r="G2574" s="5" t="s">
        <v>10989</v>
      </c>
      <c r="H2574" s="5">
        <v>2002.0</v>
      </c>
      <c r="I2574" s="5">
        <v>0.0</v>
      </c>
      <c r="J2574" s="5">
        <v>0.0</v>
      </c>
      <c r="K2574" s="5">
        <v>1.0</v>
      </c>
      <c r="L2574" s="54"/>
      <c r="M2574" s="5" t="s">
        <v>11012</v>
      </c>
      <c r="N2574" s="53" t="s">
        <v>3300</v>
      </c>
      <c r="O2574">
        <v>35.126413</v>
      </c>
      <c r="P2574">
        <v>33.429859</v>
      </c>
      <c r="Q2574" s="5" t="s">
        <v>624</v>
      </c>
      <c r="R2574" s="10">
        <f t="shared" si="10"/>
        <v>40</v>
      </c>
      <c r="S2574" s="5" t="s">
        <v>11013</v>
      </c>
      <c r="T2574" s="6" t="s">
        <v>53</v>
      </c>
      <c r="U2574" s="5" t="s">
        <v>11014</v>
      </c>
      <c r="V2574" s="5"/>
    </row>
    <row r="2575" ht="12.75" customHeight="1">
      <c r="A2575" s="5">
        <v>35944.0</v>
      </c>
      <c r="B2575" s="5" t="s">
        <v>49</v>
      </c>
      <c r="C2575" s="52" t="s">
        <v>50</v>
      </c>
      <c r="D2575" s="5" t="s">
        <v>2614</v>
      </c>
      <c r="E2575" s="7" t="s">
        <v>11015</v>
      </c>
      <c r="F2575" s="5" t="s">
        <v>10936</v>
      </c>
      <c r="G2575" s="5" t="s">
        <v>10989</v>
      </c>
      <c r="H2575" s="5">
        <v>2002.0</v>
      </c>
      <c r="I2575" s="5">
        <v>0.0</v>
      </c>
      <c r="J2575" s="5">
        <v>0.0</v>
      </c>
      <c r="K2575" s="5">
        <v>8.0</v>
      </c>
      <c r="L2575" s="54"/>
      <c r="M2575" s="5" t="s">
        <v>11016</v>
      </c>
      <c r="N2575" s="53" t="s">
        <v>11017</v>
      </c>
      <c r="O2575">
        <v>45.1</v>
      </c>
      <c r="P2575">
        <v>15.2</v>
      </c>
      <c r="Q2575" s="5" t="s">
        <v>1308</v>
      </c>
      <c r="R2575" s="10">
        <f t="shared" si="10"/>
        <v>9</v>
      </c>
      <c r="S2575" s="5" t="s">
        <v>11018</v>
      </c>
      <c r="T2575" s="6" t="s">
        <v>65</v>
      </c>
      <c r="U2575" s="5" t="s">
        <v>3318</v>
      </c>
      <c r="V2575" s="5" t="s">
        <v>11019</v>
      </c>
    </row>
    <row r="2576" ht="12.75" customHeight="1">
      <c r="A2576" s="5">
        <v>35945.0</v>
      </c>
      <c r="B2576" s="5" t="s">
        <v>2921</v>
      </c>
      <c r="C2576" s="5" t="s">
        <v>124</v>
      </c>
      <c r="D2576" s="5" t="s">
        <v>2852</v>
      </c>
      <c r="E2576" s="7" t="s">
        <v>11020</v>
      </c>
      <c r="F2576" s="5" t="s">
        <v>10936</v>
      </c>
      <c r="G2576" s="5" t="s">
        <v>10989</v>
      </c>
      <c r="H2576" s="5">
        <v>2002.0</v>
      </c>
      <c r="I2576" s="5">
        <v>0.0</v>
      </c>
      <c r="J2576" s="5">
        <v>0.0</v>
      </c>
      <c r="K2576" s="5">
        <v>1.0</v>
      </c>
      <c r="L2576" s="54"/>
      <c r="M2576" s="5" t="s">
        <v>11021</v>
      </c>
      <c r="N2576" s="53" t="s">
        <v>2893</v>
      </c>
      <c r="O2576">
        <v>51.47238</v>
      </c>
      <c r="P2576">
        <v>-0.45094</v>
      </c>
      <c r="Q2576" s="5" t="s">
        <v>1635</v>
      </c>
      <c r="R2576" s="10">
        <f t="shared" si="10"/>
        <v>13</v>
      </c>
      <c r="S2576" s="5" t="s">
        <v>11022</v>
      </c>
      <c r="T2576" s="5"/>
      <c r="U2576" s="5" t="s">
        <v>3219</v>
      </c>
      <c r="V2576" s="5" t="s">
        <v>11023</v>
      </c>
    </row>
    <row r="2577" ht="12.75" customHeight="1">
      <c r="A2577" s="5">
        <v>35946.0</v>
      </c>
      <c r="B2577" s="5" t="s">
        <v>2921</v>
      </c>
      <c r="C2577" s="5" t="s">
        <v>124</v>
      </c>
      <c r="D2577" s="5" t="s">
        <v>2852</v>
      </c>
      <c r="E2577" s="7" t="s">
        <v>11024</v>
      </c>
      <c r="F2577" s="5" t="s">
        <v>10936</v>
      </c>
      <c r="G2577" s="5" t="s">
        <v>10989</v>
      </c>
      <c r="H2577" s="5">
        <v>2002.0</v>
      </c>
      <c r="I2577" s="5">
        <v>0.0</v>
      </c>
      <c r="J2577" s="5">
        <v>0.0</v>
      </c>
      <c r="K2577" s="5">
        <v>1.0</v>
      </c>
      <c r="L2577" s="54"/>
      <c r="M2577" s="5" t="s">
        <v>11025</v>
      </c>
      <c r="N2577" s="53" t="s">
        <v>2893</v>
      </c>
      <c r="O2577">
        <v>51.47238</v>
      </c>
      <c r="P2577">
        <v>-0.45094</v>
      </c>
      <c r="Q2577" s="5" t="s">
        <v>1635</v>
      </c>
      <c r="R2577" s="10">
        <f t="shared" si="10"/>
        <v>13</v>
      </c>
      <c r="S2577" s="5" t="s">
        <v>11026</v>
      </c>
      <c r="T2577" s="5"/>
      <c r="U2577" s="5" t="s">
        <v>66</v>
      </c>
      <c r="V2577" s="5"/>
    </row>
    <row r="2578" ht="12.75" customHeight="1">
      <c r="A2578" s="5">
        <v>35948.0</v>
      </c>
      <c r="B2578" s="5" t="s">
        <v>49</v>
      </c>
      <c r="C2578" s="52" t="s">
        <v>50</v>
      </c>
      <c r="D2578" s="5" t="s">
        <v>2852</v>
      </c>
      <c r="E2578" s="7" t="s">
        <v>11027</v>
      </c>
      <c r="F2578" s="5" t="s">
        <v>10936</v>
      </c>
      <c r="G2578" s="5" t="s">
        <v>10989</v>
      </c>
      <c r="H2578" s="5">
        <v>2002.0</v>
      </c>
      <c r="I2578" s="5">
        <v>0.0</v>
      </c>
      <c r="J2578" s="5">
        <v>0.0</v>
      </c>
      <c r="K2578" s="5">
        <v>11.0</v>
      </c>
      <c r="L2578" s="54"/>
      <c r="M2578" s="5" t="s">
        <v>11028</v>
      </c>
      <c r="N2578" s="53" t="s">
        <v>11029</v>
      </c>
      <c r="O2578">
        <v>40.403712</v>
      </c>
      <c r="P2578">
        <v>17.557323</v>
      </c>
      <c r="Q2578" s="5" t="s">
        <v>1139</v>
      </c>
      <c r="R2578" s="10">
        <f t="shared" si="10"/>
        <v>39</v>
      </c>
      <c r="S2578" s="5" t="s">
        <v>11030</v>
      </c>
      <c r="T2578" s="6" t="s">
        <v>1963</v>
      </c>
      <c r="U2578" s="5" t="s">
        <v>11031</v>
      </c>
      <c r="V2578" s="5"/>
    </row>
    <row r="2579" ht="12.75" customHeight="1">
      <c r="A2579" s="5">
        <v>35947.0</v>
      </c>
      <c r="B2579" s="5" t="s">
        <v>49</v>
      </c>
      <c r="C2579" s="52" t="s">
        <v>50</v>
      </c>
      <c r="D2579" s="5" t="s">
        <v>2852</v>
      </c>
      <c r="E2579" s="7" t="s">
        <v>11027</v>
      </c>
      <c r="F2579" s="5" t="s">
        <v>10936</v>
      </c>
      <c r="G2579" s="5" t="s">
        <v>10989</v>
      </c>
      <c r="H2579" s="5">
        <v>2002.0</v>
      </c>
      <c r="I2579" s="5">
        <v>0.0</v>
      </c>
      <c r="J2579" s="5">
        <v>0.0</v>
      </c>
      <c r="K2579" s="5">
        <v>1.0</v>
      </c>
      <c r="L2579" s="54"/>
      <c r="M2579" s="5" t="s">
        <v>11032</v>
      </c>
      <c r="N2579" s="53" t="s">
        <v>11029</v>
      </c>
      <c r="O2579">
        <v>40.403712</v>
      </c>
      <c r="P2579">
        <v>17.557323</v>
      </c>
      <c r="Q2579" s="5" t="s">
        <v>1139</v>
      </c>
      <c r="R2579" s="10">
        <f t="shared" si="10"/>
        <v>39</v>
      </c>
      <c r="S2579" s="5" t="s">
        <v>11030</v>
      </c>
      <c r="T2579" s="6" t="s">
        <v>1963</v>
      </c>
      <c r="U2579" s="5" t="s">
        <v>11033</v>
      </c>
      <c r="V2579" s="5"/>
    </row>
    <row r="2580" ht="12.75" customHeight="1">
      <c r="A2580" s="5">
        <v>35949.0</v>
      </c>
      <c r="B2580" s="5" t="s">
        <v>1773</v>
      </c>
      <c r="C2580" s="5" t="s">
        <v>124</v>
      </c>
      <c r="D2580" s="5" t="s">
        <v>2614</v>
      </c>
      <c r="E2580" s="7" t="s">
        <v>11034</v>
      </c>
      <c r="F2580" s="5" t="s">
        <v>10936</v>
      </c>
      <c r="G2580" s="5" t="s">
        <v>10989</v>
      </c>
      <c r="H2580" s="5">
        <v>2002.0</v>
      </c>
      <c r="I2580" s="5">
        <v>0.0</v>
      </c>
      <c r="J2580" s="5">
        <v>0.0</v>
      </c>
      <c r="K2580" s="5">
        <v>1.0</v>
      </c>
      <c r="L2580" s="54"/>
      <c r="M2580" s="5" t="s">
        <v>11035</v>
      </c>
      <c r="N2580" s="53" t="s">
        <v>3328</v>
      </c>
      <c r="O2580">
        <v>48.856614</v>
      </c>
      <c r="P2580">
        <v>2.352222</v>
      </c>
      <c r="Q2580" s="5" t="s">
        <v>3329</v>
      </c>
      <c r="R2580" s="10">
        <f t="shared" si="10"/>
        <v>30</v>
      </c>
      <c r="S2580" s="5" t="s">
        <v>11036</v>
      </c>
      <c r="T2580" s="5"/>
      <c r="U2580" s="5" t="s">
        <v>8703</v>
      </c>
      <c r="V2580" s="5" t="s">
        <v>8704</v>
      </c>
    </row>
    <row r="2581" ht="12.75" customHeight="1">
      <c r="A2581" s="5">
        <v>35950.0</v>
      </c>
      <c r="B2581" s="5" t="s">
        <v>49</v>
      </c>
      <c r="C2581" s="52" t="s">
        <v>50</v>
      </c>
      <c r="D2581" s="5" t="s">
        <v>2852</v>
      </c>
      <c r="E2581" s="7" t="s">
        <v>11037</v>
      </c>
      <c r="F2581" s="5" t="s">
        <v>10936</v>
      </c>
      <c r="G2581" s="5" t="s">
        <v>10989</v>
      </c>
      <c r="H2581" s="5">
        <v>2002.0</v>
      </c>
      <c r="I2581" s="5">
        <v>0.0</v>
      </c>
      <c r="J2581" s="5">
        <v>0.0</v>
      </c>
      <c r="K2581" s="5">
        <v>2.0</v>
      </c>
      <c r="L2581" s="54"/>
      <c r="M2581" s="5" t="s">
        <v>11038</v>
      </c>
      <c r="N2581" s="53" t="s">
        <v>2680</v>
      </c>
      <c r="O2581">
        <v>36.018776</v>
      </c>
      <c r="P2581">
        <v>-5.600819</v>
      </c>
      <c r="Q2581" s="5" t="s">
        <v>761</v>
      </c>
      <c r="R2581" s="10">
        <f t="shared" si="10"/>
        <v>492</v>
      </c>
      <c r="S2581" s="5" t="s">
        <v>11039</v>
      </c>
      <c r="T2581" s="6" t="s">
        <v>72</v>
      </c>
      <c r="U2581" s="5" t="s">
        <v>3128</v>
      </c>
      <c r="V2581" s="5"/>
    </row>
    <row r="2582" ht="12.75" customHeight="1">
      <c r="A2582" s="5">
        <v>35951.0</v>
      </c>
      <c r="B2582" s="5" t="s">
        <v>215</v>
      </c>
      <c r="C2582" s="5" t="s">
        <v>62</v>
      </c>
      <c r="D2582" s="5" t="s">
        <v>2852</v>
      </c>
      <c r="E2582" s="7" t="s">
        <v>11040</v>
      </c>
      <c r="F2582" s="5" t="s">
        <v>10936</v>
      </c>
      <c r="G2582" s="5" t="s">
        <v>10989</v>
      </c>
      <c r="H2582" s="5">
        <v>2002.0</v>
      </c>
      <c r="I2582" s="5">
        <v>0.0</v>
      </c>
      <c r="J2582" s="5">
        <v>0.0</v>
      </c>
      <c r="K2582" s="5">
        <v>1.0</v>
      </c>
      <c r="L2582" s="54"/>
      <c r="M2582" s="5" t="s">
        <v>11041</v>
      </c>
      <c r="N2582" s="53" t="s">
        <v>3909</v>
      </c>
      <c r="O2582">
        <v>50.95129</v>
      </c>
      <c r="P2582">
        <v>1.858686</v>
      </c>
      <c r="Q2582" s="5" t="s">
        <v>1551</v>
      </c>
      <c r="R2582" s="10">
        <f t="shared" si="10"/>
        <v>30</v>
      </c>
      <c r="S2582" s="5" t="s">
        <v>11042</v>
      </c>
      <c r="T2582" s="5"/>
      <c r="U2582" s="5" t="s">
        <v>11043</v>
      </c>
      <c r="V2582" s="5"/>
    </row>
    <row r="2583" ht="12.75" customHeight="1">
      <c r="A2583" s="5">
        <v>35952.0</v>
      </c>
      <c r="B2583" s="5" t="s">
        <v>49</v>
      </c>
      <c r="C2583" s="52" t="s">
        <v>50</v>
      </c>
      <c r="D2583" s="5" t="s">
        <v>2852</v>
      </c>
      <c r="E2583" s="7" t="s">
        <v>11044</v>
      </c>
      <c r="F2583" s="5" t="s">
        <v>10936</v>
      </c>
      <c r="G2583" s="5" t="s">
        <v>11045</v>
      </c>
      <c r="H2583" s="5">
        <v>2002.0</v>
      </c>
      <c r="I2583" s="5">
        <v>0.0</v>
      </c>
      <c r="J2583" s="5">
        <v>0.0</v>
      </c>
      <c r="K2583" s="5">
        <v>11.0</v>
      </c>
      <c r="L2583" s="54"/>
      <c r="M2583" s="5" t="s">
        <v>11046</v>
      </c>
      <c r="N2583" s="53" t="s">
        <v>3151</v>
      </c>
      <c r="O2583">
        <v>29.046854</v>
      </c>
      <c r="P2583">
        <v>-13.589973</v>
      </c>
      <c r="Q2583" s="5" t="s">
        <v>400</v>
      </c>
      <c r="R2583" s="10">
        <f t="shared" si="10"/>
        <v>74</v>
      </c>
      <c r="S2583" s="5" t="s">
        <v>11047</v>
      </c>
      <c r="T2583" s="5" t="s">
        <v>1040</v>
      </c>
      <c r="U2583" s="5" t="s">
        <v>11048</v>
      </c>
      <c r="V2583" s="5" t="s">
        <v>11049</v>
      </c>
    </row>
    <row r="2584" ht="12.75" customHeight="1">
      <c r="A2584" s="5">
        <v>35954.0</v>
      </c>
      <c r="B2584" s="5" t="s">
        <v>68</v>
      </c>
      <c r="C2584" s="5" t="s">
        <v>69</v>
      </c>
      <c r="D2584" s="5" t="s">
        <v>2852</v>
      </c>
      <c r="E2584" s="7" t="s">
        <v>11050</v>
      </c>
      <c r="F2584" s="5" t="s">
        <v>10936</v>
      </c>
      <c r="G2584" s="5" t="s">
        <v>11045</v>
      </c>
      <c r="H2584" s="5">
        <v>2002.0</v>
      </c>
      <c r="I2584" s="5">
        <v>0.0</v>
      </c>
      <c r="J2584" s="5">
        <v>0.0</v>
      </c>
      <c r="K2584" s="5">
        <v>25.0</v>
      </c>
      <c r="L2584" s="54"/>
      <c r="M2584" s="5" t="s">
        <v>11051</v>
      </c>
      <c r="N2584" s="53" t="s">
        <v>11052</v>
      </c>
      <c r="O2584">
        <v>37.102103</v>
      </c>
      <c r="P2584">
        <v>25.376114</v>
      </c>
      <c r="Q2584" s="5" t="s">
        <v>901</v>
      </c>
      <c r="R2584" s="10">
        <f t="shared" si="10"/>
        <v>28</v>
      </c>
      <c r="S2584" s="5" t="s">
        <v>11053</v>
      </c>
      <c r="T2584" s="6" t="s">
        <v>53</v>
      </c>
      <c r="U2584" s="5" t="s">
        <v>11054</v>
      </c>
      <c r="V2584" s="5"/>
    </row>
    <row r="2585" ht="12.75" customHeight="1">
      <c r="A2585" s="5">
        <v>35953.0</v>
      </c>
      <c r="B2585" s="5" t="s">
        <v>49</v>
      </c>
      <c r="C2585" s="52" t="s">
        <v>50</v>
      </c>
      <c r="D2585" s="5" t="s">
        <v>2852</v>
      </c>
      <c r="E2585" s="7" t="s">
        <v>11050</v>
      </c>
      <c r="F2585" s="5" t="s">
        <v>10936</v>
      </c>
      <c r="G2585" s="5" t="s">
        <v>11045</v>
      </c>
      <c r="H2585" s="5">
        <v>2002.0</v>
      </c>
      <c r="I2585" s="5">
        <v>0.0</v>
      </c>
      <c r="J2585" s="5">
        <v>0.0</v>
      </c>
      <c r="K2585" s="5">
        <v>3.0</v>
      </c>
      <c r="L2585" s="54"/>
      <c r="M2585" s="5" t="s">
        <v>11055</v>
      </c>
      <c r="N2585" s="53" t="s">
        <v>11052</v>
      </c>
      <c r="O2585">
        <v>37.102103</v>
      </c>
      <c r="P2585">
        <v>25.376114</v>
      </c>
      <c r="Q2585" s="5" t="s">
        <v>901</v>
      </c>
      <c r="R2585" s="10">
        <f t="shared" si="10"/>
        <v>28</v>
      </c>
      <c r="S2585" s="5" t="s">
        <v>11053</v>
      </c>
      <c r="T2585" s="6" t="s">
        <v>53</v>
      </c>
      <c r="U2585" s="5" t="s">
        <v>11054</v>
      </c>
      <c r="V2585" s="5" t="s">
        <v>11056</v>
      </c>
    </row>
    <row r="2586" ht="12.75" customHeight="1">
      <c r="A2586" s="5">
        <v>35956.0</v>
      </c>
      <c r="B2586" s="5" t="s">
        <v>215</v>
      </c>
      <c r="C2586" s="5" t="s">
        <v>62</v>
      </c>
      <c r="D2586" s="5" t="s">
        <v>2852</v>
      </c>
      <c r="E2586" s="7" t="s">
        <v>11057</v>
      </c>
      <c r="F2586" s="5" t="s">
        <v>10936</v>
      </c>
      <c r="G2586" s="5" t="s">
        <v>11045</v>
      </c>
      <c r="H2586" s="5">
        <v>2002.0</v>
      </c>
      <c r="I2586" s="5">
        <v>0.0</v>
      </c>
      <c r="J2586" s="5">
        <v>0.0</v>
      </c>
      <c r="K2586" s="5">
        <v>1.0</v>
      </c>
      <c r="L2586" s="54"/>
      <c r="M2586" s="5" t="s">
        <v>11058</v>
      </c>
      <c r="N2586" s="53" t="s">
        <v>10113</v>
      </c>
      <c r="O2586">
        <v>51.127876</v>
      </c>
      <c r="P2586">
        <v>1.313403</v>
      </c>
      <c r="Q2586" s="5" t="s">
        <v>1586</v>
      </c>
      <c r="R2586" s="10">
        <f t="shared" si="10"/>
        <v>6</v>
      </c>
      <c r="S2586" s="5" t="s">
        <v>11059</v>
      </c>
      <c r="T2586" s="5"/>
      <c r="U2586" s="5" t="s">
        <v>4956</v>
      </c>
      <c r="V2586" s="5" t="s">
        <v>11060</v>
      </c>
    </row>
    <row r="2587" ht="12.75" customHeight="1">
      <c r="A2587" s="5">
        <v>35955.0</v>
      </c>
      <c r="B2587" s="5" t="s">
        <v>2921</v>
      </c>
      <c r="C2587" s="5" t="s">
        <v>124</v>
      </c>
      <c r="D2587" s="5" t="s">
        <v>2614</v>
      </c>
      <c r="E2587" s="7" t="s">
        <v>11057</v>
      </c>
      <c r="F2587" s="5" t="s">
        <v>10936</v>
      </c>
      <c r="G2587" s="5" t="s">
        <v>11045</v>
      </c>
      <c r="H2587" s="5">
        <v>2002.0</v>
      </c>
      <c r="I2587" s="5">
        <v>0.0</v>
      </c>
      <c r="J2587" s="5">
        <v>0.0</v>
      </c>
      <c r="K2587" s="5">
        <v>1.0</v>
      </c>
      <c r="L2587" s="54"/>
      <c r="M2587" s="5" t="s">
        <v>11061</v>
      </c>
      <c r="N2587" s="53" t="s">
        <v>2893</v>
      </c>
      <c r="O2587">
        <v>51.47238</v>
      </c>
      <c r="P2587">
        <v>-0.45094</v>
      </c>
      <c r="Q2587" s="5" t="s">
        <v>1635</v>
      </c>
      <c r="R2587" s="10">
        <f t="shared" si="10"/>
        <v>13</v>
      </c>
      <c r="S2587" s="5" t="s">
        <v>11062</v>
      </c>
      <c r="T2587" s="5"/>
      <c r="U2587" s="5" t="s">
        <v>66</v>
      </c>
      <c r="V2587" s="5" t="s">
        <v>11063</v>
      </c>
    </row>
    <row r="2588" ht="12.75" customHeight="1">
      <c r="A2588" s="5">
        <v>35957.0</v>
      </c>
      <c r="B2588" s="5" t="s">
        <v>1076</v>
      </c>
      <c r="C2588" s="52" t="s">
        <v>50</v>
      </c>
      <c r="D2588" s="5" t="s">
        <v>2614</v>
      </c>
      <c r="E2588" s="7" t="s">
        <v>11064</v>
      </c>
      <c r="F2588" s="5" t="s">
        <v>10936</v>
      </c>
      <c r="G2588" s="5" t="s">
        <v>11045</v>
      </c>
      <c r="H2588" s="5">
        <v>2002.0</v>
      </c>
      <c r="I2588" s="5">
        <v>0.0</v>
      </c>
      <c r="J2588" s="5">
        <v>0.0</v>
      </c>
      <c r="K2588" s="5">
        <v>3.0</v>
      </c>
      <c r="L2588" s="54"/>
      <c r="M2588" s="5" t="s">
        <v>11065</v>
      </c>
      <c r="N2588" s="53" t="s">
        <v>5392</v>
      </c>
      <c r="O2588">
        <v>41.00527</v>
      </c>
      <c r="P2588">
        <v>28.97696</v>
      </c>
      <c r="Q2588" s="5" t="s">
        <v>1180</v>
      </c>
      <c r="R2588" s="10">
        <f t="shared" si="10"/>
        <v>47</v>
      </c>
      <c r="S2588" s="5" t="s">
        <v>11066</v>
      </c>
      <c r="T2588" s="5"/>
      <c r="U2588" s="5" t="s">
        <v>10954</v>
      </c>
      <c r="V2588" s="5" t="s">
        <v>10800</v>
      </c>
    </row>
    <row r="2589" ht="12.75" customHeight="1">
      <c r="A2589" s="5">
        <v>35958.0</v>
      </c>
      <c r="B2589" s="5" t="s">
        <v>2921</v>
      </c>
      <c r="C2589" s="5" t="s">
        <v>124</v>
      </c>
      <c r="D2589" s="5" t="s">
        <v>2852</v>
      </c>
      <c r="E2589" s="7" t="s">
        <v>11064</v>
      </c>
      <c r="F2589" s="5" t="s">
        <v>10936</v>
      </c>
      <c r="G2589" s="5" t="s">
        <v>11045</v>
      </c>
      <c r="H2589" s="5">
        <v>2002.0</v>
      </c>
      <c r="I2589" s="5">
        <v>0.0</v>
      </c>
      <c r="J2589" s="5">
        <v>0.0</v>
      </c>
      <c r="K2589" s="5">
        <v>1.0</v>
      </c>
      <c r="L2589" s="54"/>
      <c r="M2589" s="5" t="s">
        <v>11067</v>
      </c>
      <c r="N2589" s="53" t="s">
        <v>5086</v>
      </c>
      <c r="O2589">
        <v>51.511214</v>
      </c>
      <c r="P2589">
        <v>-0.119824</v>
      </c>
      <c r="Q2589" s="5" t="s">
        <v>1662</v>
      </c>
      <c r="R2589" s="10">
        <f t="shared" si="10"/>
        <v>9</v>
      </c>
      <c r="S2589" s="5" t="s">
        <v>11068</v>
      </c>
      <c r="T2589" s="5"/>
      <c r="U2589" s="5" t="s">
        <v>11069</v>
      </c>
      <c r="V2589" s="5"/>
    </row>
    <row r="2590" ht="12.75" customHeight="1">
      <c r="A2590" s="5">
        <v>35959.0</v>
      </c>
      <c r="B2590" s="5" t="s">
        <v>98</v>
      </c>
      <c r="C2590" s="5" t="s">
        <v>62</v>
      </c>
      <c r="D2590" s="5" t="s">
        <v>2852</v>
      </c>
      <c r="E2590" s="7" t="s">
        <v>11070</v>
      </c>
      <c r="F2590" s="5" t="s">
        <v>10936</v>
      </c>
      <c r="G2590" s="5" t="s">
        <v>11045</v>
      </c>
      <c r="H2590" s="5">
        <v>2002.0</v>
      </c>
      <c r="I2590" s="5">
        <v>0.0</v>
      </c>
      <c r="J2590" s="5">
        <v>0.0</v>
      </c>
      <c r="K2590" s="5">
        <v>2.0</v>
      </c>
      <c r="L2590" s="54"/>
      <c r="M2590" s="5" t="s">
        <v>11071</v>
      </c>
      <c r="N2590" s="53" t="s">
        <v>11072</v>
      </c>
      <c r="O2590">
        <v>54.906869</v>
      </c>
      <c r="P2590">
        <v>-1.383801</v>
      </c>
      <c r="Q2590" s="5" t="s">
        <v>1872</v>
      </c>
      <c r="R2590" s="10">
        <f t="shared" si="10"/>
        <v>2</v>
      </c>
      <c r="S2590" s="5" t="s">
        <v>11073</v>
      </c>
      <c r="T2590" s="5"/>
      <c r="U2590" s="5" t="s">
        <v>11074</v>
      </c>
      <c r="V2590" s="5"/>
    </row>
    <row r="2591" ht="12.75" customHeight="1">
      <c r="A2591" s="5">
        <v>35960.0</v>
      </c>
      <c r="B2591" s="5" t="s">
        <v>636</v>
      </c>
      <c r="C2591" s="52" t="s">
        <v>50</v>
      </c>
      <c r="D2591" s="5" t="s">
        <v>2852</v>
      </c>
      <c r="E2591" s="7" t="s">
        <v>11075</v>
      </c>
      <c r="F2591" s="5" t="s">
        <v>10936</v>
      </c>
      <c r="G2591" s="5" t="s">
        <v>11045</v>
      </c>
      <c r="H2591" s="5">
        <v>2002.0</v>
      </c>
      <c r="I2591" s="5">
        <v>0.0</v>
      </c>
      <c r="J2591" s="5">
        <v>0.0</v>
      </c>
      <c r="K2591" s="5">
        <v>1.0</v>
      </c>
      <c r="L2591" s="54"/>
      <c r="M2591" s="5" t="s">
        <v>11076</v>
      </c>
      <c r="N2591" s="53" t="s">
        <v>8124</v>
      </c>
      <c r="O2591">
        <v>42.733883</v>
      </c>
      <c r="P2591">
        <v>25.48583</v>
      </c>
      <c r="Q2591" s="5" t="s">
        <v>1261</v>
      </c>
      <c r="R2591" s="10">
        <f t="shared" si="10"/>
        <v>13</v>
      </c>
      <c r="S2591" s="5" t="s">
        <v>11077</v>
      </c>
      <c r="T2591" s="6" t="s">
        <v>53</v>
      </c>
      <c r="U2591" s="5" t="s">
        <v>3128</v>
      </c>
      <c r="V2591" s="5"/>
    </row>
    <row r="2592" ht="12.75" customHeight="1">
      <c r="A2592" s="5">
        <v>35961.0</v>
      </c>
      <c r="B2592" s="5" t="s">
        <v>2962</v>
      </c>
      <c r="C2592" s="5" t="s">
        <v>211</v>
      </c>
      <c r="D2592" s="5" t="s">
        <v>2852</v>
      </c>
      <c r="E2592" s="7" t="s">
        <v>11078</v>
      </c>
      <c r="F2592" s="5" t="s">
        <v>11079</v>
      </c>
      <c r="G2592" s="5" t="s">
        <v>11080</v>
      </c>
      <c r="H2592" s="5">
        <v>2002.0</v>
      </c>
      <c r="I2592" s="5">
        <v>0.0</v>
      </c>
      <c r="J2592" s="5">
        <v>0.0</v>
      </c>
      <c r="K2592" s="5">
        <v>1.0</v>
      </c>
      <c r="L2592" s="54"/>
      <c r="M2592" s="5" t="s">
        <v>11081</v>
      </c>
      <c r="N2592" s="53" t="s">
        <v>11082</v>
      </c>
      <c r="O2592">
        <v>50.413333</v>
      </c>
      <c r="P2592">
        <v>12.451111</v>
      </c>
      <c r="Q2592" s="5" t="s">
        <v>1493</v>
      </c>
      <c r="R2592" s="10">
        <f t="shared" si="10"/>
        <v>2</v>
      </c>
      <c r="S2592" s="5" t="s">
        <v>11083</v>
      </c>
      <c r="T2592" s="5"/>
      <c r="U2592" s="5" t="s">
        <v>4578</v>
      </c>
      <c r="V2592" s="5"/>
    </row>
    <row r="2593" ht="12.75" customHeight="1">
      <c r="A2593" s="5">
        <v>35962.0</v>
      </c>
      <c r="B2593" s="5" t="s">
        <v>5200</v>
      </c>
      <c r="C2593" s="5" t="s">
        <v>124</v>
      </c>
      <c r="D2593" s="5" t="s">
        <v>2852</v>
      </c>
      <c r="E2593" s="7" t="s">
        <v>11084</v>
      </c>
      <c r="F2593" s="5" t="s">
        <v>11079</v>
      </c>
      <c r="G2593" s="5" t="s">
        <v>11080</v>
      </c>
      <c r="H2593" s="5">
        <v>2002.0</v>
      </c>
      <c r="I2593" s="5">
        <v>0.0</v>
      </c>
      <c r="J2593" s="5">
        <v>0.0</v>
      </c>
      <c r="K2593" s="5">
        <v>1.0</v>
      </c>
      <c r="L2593" s="54"/>
      <c r="M2593" s="5" t="s">
        <v>11085</v>
      </c>
      <c r="N2593" s="53" t="s">
        <v>2834</v>
      </c>
      <c r="O2593">
        <v>41.244376</v>
      </c>
      <c r="P2593">
        <v>26.135943</v>
      </c>
      <c r="Q2593" s="5" t="s">
        <v>1214</v>
      </c>
      <c r="R2593" s="10">
        <f t="shared" si="10"/>
        <v>188</v>
      </c>
      <c r="S2593" s="5" t="s">
        <v>11086</v>
      </c>
      <c r="T2593" s="6" t="s">
        <v>53</v>
      </c>
      <c r="U2593" s="5" t="s">
        <v>11087</v>
      </c>
      <c r="V2593" s="5" t="s">
        <v>11088</v>
      </c>
    </row>
    <row r="2594" ht="12.75" customHeight="1">
      <c r="A2594" s="5">
        <v>35963.0</v>
      </c>
      <c r="B2594" s="5" t="s">
        <v>491</v>
      </c>
      <c r="C2594" s="52" t="s">
        <v>50</v>
      </c>
      <c r="D2594" s="5" t="s">
        <v>2614</v>
      </c>
      <c r="E2594" s="7" t="s">
        <v>11089</v>
      </c>
      <c r="F2594" s="5" t="s">
        <v>11079</v>
      </c>
      <c r="G2594" s="5" t="s">
        <v>11080</v>
      </c>
      <c r="H2594" s="5">
        <v>2002.0</v>
      </c>
      <c r="I2594" s="5">
        <v>0.0</v>
      </c>
      <c r="J2594" s="5">
        <v>0.0</v>
      </c>
      <c r="K2594" s="5">
        <v>5.0</v>
      </c>
      <c r="L2594" s="54"/>
      <c r="M2594" s="5" t="s">
        <v>11090</v>
      </c>
      <c r="N2594" s="53" t="s">
        <v>2928</v>
      </c>
      <c r="O2594">
        <v>26.3351</v>
      </c>
      <c r="P2594">
        <v>17.228331</v>
      </c>
      <c r="Q2594" s="5" t="s">
        <v>337</v>
      </c>
      <c r="R2594" s="10">
        <f t="shared" si="10"/>
        <v>1371</v>
      </c>
      <c r="S2594" s="5" t="s">
        <v>11091</v>
      </c>
      <c r="T2594" s="5"/>
      <c r="U2594" s="5" t="s">
        <v>2326</v>
      </c>
      <c r="V2594" s="5" t="s">
        <v>7579</v>
      </c>
    </row>
    <row r="2595" ht="12.75" customHeight="1">
      <c r="A2595" s="5">
        <v>35964.0</v>
      </c>
      <c r="B2595" s="5" t="s">
        <v>5200</v>
      </c>
      <c r="C2595" s="5" t="s">
        <v>124</v>
      </c>
      <c r="D2595" s="5" t="s">
        <v>2852</v>
      </c>
      <c r="E2595" s="7" t="s">
        <v>11092</v>
      </c>
      <c r="F2595" s="5" t="s">
        <v>11079</v>
      </c>
      <c r="G2595" s="5" t="s">
        <v>11080</v>
      </c>
      <c r="H2595" s="5">
        <v>2002.0</v>
      </c>
      <c r="I2595" s="5">
        <v>0.0</v>
      </c>
      <c r="J2595" s="5">
        <v>0.0</v>
      </c>
      <c r="K2595" s="5">
        <v>2.0</v>
      </c>
      <c r="L2595" s="54"/>
      <c r="M2595" s="5" t="s">
        <v>11093</v>
      </c>
      <c r="N2595" s="53" t="s">
        <v>2834</v>
      </c>
      <c r="O2595">
        <v>41.244376</v>
      </c>
      <c r="P2595">
        <v>26.135943</v>
      </c>
      <c r="Q2595" s="5" t="s">
        <v>1214</v>
      </c>
      <c r="R2595" s="10">
        <f t="shared" si="10"/>
        <v>188</v>
      </c>
      <c r="S2595" s="5" t="s">
        <v>11094</v>
      </c>
      <c r="T2595" s="6" t="s">
        <v>53</v>
      </c>
      <c r="U2595" s="5" t="s">
        <v>11095</v>
      </c>
      <c r="V2595" s="5" t="s">
        <v>11088</v>
      </c>
    </row>
    <row r="2596" ht="12.75" customHeight="1">
      <c r="A2596" s="5">
        <v>35965.0</v>
      </c>
      <c r="B2596" s="5" t="s">
        <v>1773</v>
      </c>
      <c r="C2596" s="5" t="s">
        <v>124</v>
      </c>
      <c r="D2596" s="5" t="s">
        <v>2852</v>
      </c>
      <c r="E2596" s="7" t="s">
        <v>11096</v>
      </c>
      <c r="F2596" s="5" t="s">
        <v>11079</v>
      </c>
      <c r="G2596" s="5" t="s">
        <v>11080</v>
      </c>
      <c r="H2596" s="5">
        <v>2002.0</v>
      </c>
      <c r="I2596" s="5">
        <v>0.0</v>
      </c>
      <c r="J2596" s="5">
        <v>0.0</v>
      </c>
      <c r="K2596" s="5">
        <v>1.0</v>
      </c>
      <c r="L2596" s="54"/>
      <c r="M2596" s="5" t="s">
        <v>11097</v>
      </c>
      <c r="N2596" s="53" t="s">
        <v>2718</v>
      </c>
      <c r="O2596">
        <v>35.292278</v>
      </c>
      <c r="P2596">
        <v>-2.938097</v>
      </c>
      <c r="Q2596" s="5" t="s">
        <v>649</v>
      </c>
      <c r="R2596" s="10">
        <f t="shared" si="10"/>
        <v>79</v>
      </c>
      <c r="S2596" s="5" t="s">
        <v>11098</v>
      </c>
      <c r="T2596" s="6" t="s">
        <v>72</v>
      </c>
      <c r="U2596" s="5" t="s">
        <v>3128</v>
      </c>
      <c r="V2596" s="5" t="s">
        <v>11099</v>
      </c>
    </row>
    <row r="2597" ht="12.75" customHeight="1">
      <c r="A2597" s="5">
        <v>35966.0</v>
      </c>
      <c r="B2597" s="5" t="s">
        <v>68</v>
      </c>
      <c r="C2597" s="5" t="s">
        <v>69</v>
      </c>
      <c r="D2597" s="5" t="s">
        <v>2614</v>
      </c>
      <c r="E2597" s="7" t="s">
        <v>11100</v>
      </c>
      <c r="F2597" s="5" t="s">
        <v>11079</v>
      </c>
      <c r="G2597" s="5" t="s">
        <v>11080</v>
      </c>
      <c r="H2597" s="5">
        <v>2002.0</v>
      </c>
      <c r="I2597" s="5">
        <v>0.0</v>
      </c>
      <c r="J2597" s="5">
        <v>0.0</v>
      </c>
      <c r="K2597" s="5">
        <v>6.0</v>
      </c>
      <c r="L2597" s="54"/>
      <c r="M2597" s="5" t="s">
        <v>11101</v>
      </c>
      <c r="N2597" s="53" t="s">
        <v>11102</v>
      </c>
      <c r="O2597">
        <v>40.143898</v>
      </c>
      <c r="P2597">
        <v>18.491168</v>
      </c>
      <c r="Q2597" s="5" t="s">
        <v>1121</v>
      </c>
      <c r="R2597" s="10">
        <f t="shared" si="10"/>
        <v>48</v>
      </c>
      <c r="S2597" s="5" t="s">
        <v>11103</v>
      </c>
      <c r="T2597" s="6" t="s">
        <v>1963</v>
      </c>
      <c r="U2597" s="5" t="s">
        <v>8502</v>
      </c>
      <c r="V2597" s="5" t="s">
        <v>11104</v>
      </c>
    </row>
    <row r="2598" ht="12.75" customHeight="1">
      <c r="A2598" s="5">
        <v>35967.0</v>
      </c>
      <c r="B2598" s="5" t="s">
        <v>68</v>
      </c>
      <c r="C2598" s="5" t="s">
        <v>69</v>
      </c>
      <c r="D2598" s="5" t="s">
        <v>2614</v>
      </c>
      <c r="E2598" s="7" t="s">
        <v>11105</v>
      </c>
      <c r="F2598" s="5" t="s">
        <v>11079</v>
      </c>
      <c r="G2598" s="5" t="s">
        <v>11080</v>
      </c>
      <c r="H2598" s="5">
        <v>2002.0</v>
      </c>
      <c r="I2598" s="5">
        <v>0.0</v>
      </c>
      <c r="J2598" s="5">
        <v>0.0</v>
      </c>
      <c r="K2598" s="5">
        <v>59.0</v>
      </c>
      <c r="L2598" s="54"/>
      <c r="M2598" s="5" t="s">
        <v>11106</v>
      </c>
      <c r="N2598" s="53" t="s">
        <v>2700</v>
      </c>
      <c r="O2598">
        <v>35.508622</v>
      </c>
      <c r="P2598">
        <v>12.59292</v>
      </c>
      <c r="Q2598" s="5" t="s">
        <v>669</v>
      </c>
      <c r="R2598" s="10">
        <f t="shared" si="10"/>
        <v>3843</v>
      </c>
      <c r="S2598" s="5" t="s">
        <v>11107</v>
      </c>
      <c r="T2598" s="6" t="s">
        <v>2130</v>
      </c>
      <c r="U2598" s="5" t="s">
        <v>8502</v>
      </c>
      <c r="V2598" s="5" t="s">
        <v>11104</v>
      </c>
    </row>
    <row r="2599" ht="12.75" customHeight="1">
      <c r="A2599" s="5">
        <v>35968.0</v>
      </c>
      <c r="B2599" s="5" t="s">
        <v>41</v>
      </c>
      <c r="C2599" s="5" t="s">
        <v>42</v>
      </c>
      <c r="D2599" s="5" t="s">
        <v>2614</v>
      </c>
      <c r="E2599" s="7" t="s">
        <v>11108</v>
      </c>
      <c r="F2599" s="5" t="s">
        <v>11079</v>
      </c>
      <c r="G2599" s="5" t="s">
        <v>11080</v>
      </c>
      <c r="H2599" s="5">
        <v>2002.0</v>
      </c>
      <c r="I2599" s="5">
        <v>0.0</v>
      </c>
      <c r="J2599" s="5">
        <v>0.0</v>
      </c>
      <c r="K2599" s="5">
        <v>3.0</v>
      </c>
      <c r="L2599" s="54"/>
      <c r="M2599" s="5" t="s">
        <v>11109</v>
      </c>
      <c r="N2599" s="53" t="s">
        <v>8782</v>
      </c>
      <c r="O2599">
        <v>34.802075</v>
      </c>
      <c r="P2599">
        <v>38.996815</v>
      </c>
      <c r="Q2599" s="5" t="s">
        <v>598</v>
      </c>
      <c r="R2599" s="10">
        <f t="shared" si="10"/>
        <v>7</v>
      </c>
      <c r="S2599" s="5" t="s">
        <v>11110</v>
      </c>
      <c r="T2599" s="5"/>
      <c r="U2599" s="5" t="s">
        <v>1657</v>
      </c>
      <c r="V2599" s="5" t="s">
        <v>11111</v>
      </c>
    </row>
    <row r="2600" ht="12.75" customHeight="1">
      <c r="A2600" s="5">
        <v>35969.0</v>
      </c>
      <c r="B2600" s="5" t="s">
        <v>49</v>
      </c>
      <c r="C2600" s="52" t="s">
        <v>50</v>
      </c>
      <c r="D2600" s="5" t="s">
        <v>2614</v>
      </c>
      <c r="E2600" s="7" t="s">
        <v>11112</v>
      </c>
      <c r="F2600" s="5" t="s">
        <v>11079</v>
      </c>
      <c r="G2600" s="5" t="s">
        <v>11080</v>
      </c>
      <c r="H2600" s="5">
        <v>2002.0</v>
      </c>
      <c r="I2600" s="5">
        <v>0.0</v>
      </c>
      <c r="J2600" s="5">
        <v>0.0</v>
      </c>
      <c r="K2600" s="5">
        <v>1.0</v>
      </c>
      <c r="L2600" s="54"/>
      <c r="M2600" s="5" t="s">
        <v>11113</v>
      </c>
      <c r="N2600" s="53" t="s">
        <v>10194</v>
      </c>
      <c r="O2600">
        <v>45.940181</v>
      </c>
      <c r="P2600">
        <v>13.620175</v>
      </c>
      <c r="Q2600" s="5" t="s">
        <v>1342</v>
      </c>
      <c r="R2600" s="10">
        <f t="shared" si="10"/>
        <v>2</v>
      </c>
      <c r="S2600" s="5" t="s">
        <v>11114</v>
      </c>
      <c r="T2600" s="6" t="s">
        <v>65</v>
      </c>
      <c r="U2600" s="5" t="s">
        <v>2326</v>
      </c>
      <c r="V2600" s="5" t="s">
        <v>7579</v>
      </c>
    </row>
    <row r="2601" ht="12.75" customHeight="1">
      <c r="A2601" s="5">
        <v>35970.0</v>
      </c>
      <c r="B2601" s="5" t="s">
        <v>1995</v>
      </c>
      <c r="C2601" s="52" t="s">
        <v>50</v>
      </c>
      <c r="D2601" s="5" t="s">
        <v>2852</v>
      </c>
      <c r="E2601" s="7" t="s">
        <v>11112</v>
      </c>
      <c r="F2601" s="5" t="s">
        <v>11079</v>
      </c>
      <c r="G2601" s="5" t="s">
        <v>11080</v>
      </c>
      <c r="H2601" s="5">
        <v>2002.0</v>
      </c>
      <c r="I2601" s="5">
        <v>0.0</v>
      </c>
      <c r="J2601" s="5">
        <v>0.0</v>
      </c>
      <c r="K2601" s="5">
        <v>1.0</v>
      </c>
      <c r="L2601" s="54"/>
      <c r="M2601" s="5" t="s">
        <v>11115</v>
      </c>
      <c r="N2601" s="53" t="s">
        <v>3322</v>
      </c>
      <c r="O2601">
        <v>50.503887</v>
      </c>
      <c r="P2601">
        <v>4.469936</v>
      </c>
      <c r="Q2601" s="5" t="s">
        <v>1499</v>
      </c>
      <c r="R2601" s="10">
        <f t="shared" si="10"/>
        <v>11</v>
      </c>
      <c r="S2601" s="5" t="s">
        <v>11116</v>
      </c>
      <c r="T2601" s="5"/>
      <c r="U2601" s="5" t="s">
        <v>11117</v>
      </c>
      <c r="V2601" s="5"/>
    </row>
    <row r="2602" ht="12.75" customHeight="1">
      <c r="A2602" s="5">
        <v>35972.0</v>
      </c>
      <c r="B2602" s="5" t="s">
        <v>49</v>
      </c>
      <c r="C2602" s="52" t="s">
        <v>50</v>
      </c>
      <c r="D2602" s="5" t="s">
        <v>2852</v>
      </c>
      <c r="E2602" s="7" t="s">
        <v>11118</v>
      </c>
      <c r="F2602" s="5" t="s">
        <v>11079</v>
      </c>
      <c r="G2602" s="5" t="s">
        <v>11119</v>
      </c>
      <c r="H2602" s="5">
        <v>2002.0</v>
      </c>
      <c r="I2602" s="5">
        <v>0.0</v>
      </c>
      <c r="J2602" s="5">
        <v>0.0</v>
      </c>
      <c r="K2602" s="5">
        <v>3.0</v>
      </c>
      <c r="L2602" s="54"/>
      <c r="M2602" s="5" t="s">
        <v>11120</v>
      </c>
      <c r="N2602" s="53" t="s">
        <v>2718</v>
      </c>
      <c r="O2602">
        <v>35.292278</v>
      </c>
      <c r="P2602">
        <v>-2.938097</v>
      </c>
      <c r="Q2602" s="5" t="s">
        <v>649</v>
      </c>
      <c r="R2602" s="10">
        <f t="shared" si="10"/>
        <v>79</v>
      </c>
      <c r="S2602" s="5" t="s">
        <v>11121</v>
      </c>
      <c r="T2602" s="6" t="s">
        <v>72</v>
      </c>
      <c r="U2602" s="5" t="s">
        <v>9777</v>
      </c>
      <c r="V2602" s="5" t="s">
        <v>7579</v>
      </c>
    </row>
    <row r="2603" ht="12.75" customHeight="1">
      <c r="A2603" s="5">
        <v>35973.0</v>
      </c>
      <c r="B2603" s="5" t="s">
        <v>2962</v>
      </c>
      <c r="C2603" s="5" t="s">
        <v>211</v>
      </c>
      <c r="D2603" s="5" t="s">
        <v>2852</v>
      </c>
      <c r="E2603" s="7" t="s">
        <v>11118</v>
      </c>
      <c r="F2603" s="5" t="s">
        <v>11079</v>
      </c>
      <c r="G2603" s="5" t="s">
        <v>11119</v>
      </c>
      <c r="H2603" s="5">
        <v>2002.0</v>
      </c>
      <c r="I2603" s="5">
        <v>0.0</v>
      </c>
      <c r="J2603" s="5">
        <v>0.0</v>
      </c>
      <c r="K2603" s="5">
        <v>1.0</v>
      </c>
      <c r="L2603" s="54"/>
      <c r="M2603" s="5" t="s">
        <v>11122</v>
      </c>
      <c r="N2603" s="53" t="s">
        <v>11123</v>
      </c>
      <c r="O2603">
        <v>50.871818</v>
      </c>
      <c r="P2603">
        <v>-0.005832</v>
      </c>
      <c r="Q2603" s="5" t="s">
        <v>1530</v>
      </c>
      <c r="R2603" s="10">
        <f t="shared" si="10"/>
        <v>1</v>
      </c>
      <c r="S2603" s="5" t="s">
        <v>11124</v>
      </c>
      <c r="T2603" s="5"/>
      <c r="U2603" s="5" t="s">
        <v>3219</v>
      </c>
      <c r="V2603" s="5"/>
    </row>
    <row r="2604" ht="12.75" customHeight="1">
      <c r="A2604" s="5">
        <v>35971.0</v>
      </c>
      <c r="B2604" s="5" t="s">
        <v>2333</v>
      </c>
      <c r="C2604" s="5" t="s">
        <v>124</v>
      </c>
      <c r="D2604" s="5" t="s">
        <v>2852</v>
      </c>
      <c r="E2604" s="7" t="s">
        <v>11118</v>
      </c>
      <c r="F2604" s="5" t="s">
        <v>11079</v>
      </c>
      <c r="G2604" s="5" t="s">
        <v>11119</v>
      </c>
      <c r="H2604" s="5">
        <v>2002.0</v>
      </c>
      <c r="I2604" s="5">
        <v>0.0</v>
      </c>
      <c r="J2604" s="5">
        <v>0.0</v>
      </c>
      <c r="K2604" s="5">
        <v>1.0</v>
      </c>
      <c r="L2604" s="54"/>
      <c r="M2604" s="5" t="s">
        <v>11125</v>
      </c>
      <c r="N2604" s="53" t="s">
        <v>2427</v>
      </c>
      <c r="O2604">
        <v>50.95129</v>
      </c>
      <c r="P2604">
        <v>1.858686</v>
      </c>
      <c r="Q2604" s="5" t="s">
        <v>1551</v>
      </c>
      <c r="R2604" s="10">
        <f t="shared" si="10"/>
        <v>30</v>
      </c>
      <c r="S2604" s="5" t="s">
        <v>11126</v>
      </c>
      <c r="T2604" s="5"/>
      <c r="U2604" s="5" t="s">
        <v>11127</v>
      </c>
      <c r="V2604" s="5" t="s">
        <v>7249</v>
      </c>
    </row>
    <row r="2605" ht="12.75" customHeight="1">
      <c r="A2605" s="5">
        <v>35974.0</v>
      </c>
      <c r="B2605" s="5" t="s">
        <v>1773</v>
      </c>
      <c r="C2605" s="5" t="s">
        <v>124</v>
      </c>
      <c r="D2605" s="5" t="s">
        <v>2852</v>
      </c>
      <c r="E2605" s="7" t="s">
        <v>11128</v>
      </c>
      <c r="F2605" s="5" t="s">
        <v>11079</v>
      </c>
      <c r="G2605" s="5" t="s">
        <v>11119</v>
      </c>
      <c r="H2605" s="5">
        <v>2002.0</v>
      </c>
      <c r="I2605" s="5">
        <v>0.0</v>
      </c>
      <c r="J2605" s="5">
        <v>0.0</v>
      </c>
      <c r="K2605" s="5">
        <v>1.0</v>
      </c>
      <c r="L2605" s="54"/>
      <c r="M2605" s="5" t="s">
        <v>11129</v>
      </c>
      <c r="N2605" s="53" t="s">
        <v>5963</v>
      </c>
      <c r="O2605">
        <v>46.227638</v>
      </c>
      <c r="P2605">
        <v>2.213749</v>
      </c>
      <c r="Q2605" s="5" t="s">
        <v>1351</v>
      </c>
      <c r="R2605" s="10">
        <f t="shared" si="10"/>
        <v>8</v>
      </c>
      <c r="S2605" s="5" t="s">
        <v>11130</v>
      </c>
      <c r="T2605" s="5"/>
      <c r="U2605" s="5" t="s">
        <v>11131</v>
      </c>
      <c r="V2605" s="5"/>
    </row>
    <row r="2606" ht="12.75" customHeight="1">
      <c r="A2606" s="5">
        <v>35975.0</v>
      </c>
      <c r="B2606" s="5" t="s">
        <v>1555</v>
      </c>
      <c r="C2606" s="5" t="s">
        <v>42</v>
      </c>
      <c r="D2606" s="5" t="s">
        <v>2852</v>
      </c>
      <c r="E2606" s="7" t="s">
        <v>11132</v>
      </c>
      <c r="F2606" s="5" t="s">
        <v>11079</v>
      </c>
      <c r="G2606" s="5" t="s">
        <v>11119</v>
      </c>
      <c r="H2606" s="5">
        <v>2002.0</v>
      </c>
      <c r="I2606" s="5">
        <v>0.0</v>
      </c>
      <c r="J2606" s="5">
        <v>0.0</v>
      </c>
      <c r="K2606" s="5">
        <v>1.0</v>
      </c>
      <c r="L2606" s="54"/>
      <c r="M2606" s="5" t="s">
        <v>11133</v>
      </c>
      <c r="N2606" s="53" t="s">
        <v>8124</v>
      </c>
      <c r="O2606">
        <v>42.733883</v>
      </c>
      <c r="P2606">
        <v>25.48583</v>
      </c>
      <c r="Q2606" s="5" t="s">
        <v>1261</v>
      </c>
      <c r="R2606" s="10">
        <f t="shared" si="10"/>
        <v>13</v>
      </c>
      <c r="S2606" s="5" t="s">
        <v>11134</v>
      </c>
      <c r="T2606" s="6" t="s">
        <v>53</v>
      </c>
      <c r="U2606" s="5" t="s">
        <v>10083</v>
      </c>
      <c r="V2606" s="5"/>
    </row>
    <row r="2607" ht="12.75" customHeight="1">
      <c r="A2607" s="5">
        <v>35976.0</v>
      </c>
      <c r="B2607" s="5" t="s">
        <v>2962</v>
      </c>
      <c r="C2607" s="5" t="s">
        <v>211</v>
      </c>
      <c r="D2607" s="5" t="s">
        <v>2852</v>
      </c>
      <c r="E2607" s="7" t="s">
        <v>11135</v>
      </c>
      <c r="F2607" s="5" t="s">
        <v>11079</v>
      </c>
      <c r="G2607" s="5" t="s">
        <v>11119</v>
      </c>
      <c r="H2607" s="5">
        <v>2002.0</v>
      </c>
      <c r="I2607" s="5">
        <v>0.0</v>
      </c>
      <c r="J2607" s="5">
        <v>0.0</v>
      </c>
      <c r="K2607" s="5">
        <v>1.0</v>
      </c>
      <c r="L2607" s="54"/>
      <c r="M2607" s="5" t="s">
        <v>11136</v>
      </c>
      <c r="N2607" s="53" t="s">
        <v>11137</v>
      </c>
      <c r="O2607">
        <v>47.594657</v>
      </c>
      <c r="P2607">
        <v>8.136299</v>
      </c>
      <c r="Q2607" s="5" t="s">
        <v>1390</v>
      </c>
      <c r="R2607" s="10">
        <f t="shared" si="10"/>
        <v>2</v>
      </c>
      <c r="S2607" s="5" t="s">
        <v>11138</v>
      </c>
      <c r="T2607" s="5"/>
      <c r="U2607" s="5" t="s">
        <v>11139</v>
      </c>
      <c r="V2607" s="5"/>
    </row>
    <row r="2608" ht="12.75" customHeight="1">
      <c r="A2608" s="5">
        <v>35977.0</v>
      </c>
      <c r="B2608" s="5" t="s">
        <v>49</v>
      </c>
      <c r="C2608" s="52" t="s">
        <v>50</v>
      </c>
      <c r="D2608" s="5" t="s">
        <v>2614</v>
      </c>
      <c r="E2608" s="7" t="s">
        <v>11140</v>
      </c>
      <c r="F2608" s="5" t="s">
        <v>11079</v>
      </c>
      <c r="G2608" s="5" t="s">
        <v>11119</v>
      </c>
      <c r="H2608" s="5">
        <v>2002.0</v>
      </c>
      <c r="I2608" s="5">
        <v>0.0</v>
      </c>
      <c r="J2608" s="5">
        <v>0.0</v>
      </c>
      <c r="K2608" s="5">
        <v>4.0</v>
      </c>
      <c r="L2608" s="54"/>
      <c r="M2608" s="5" t="s">
        <v>11141</v>
      </c>
      <c r="N2608" s="53" t="s">
        <v>2680</v>
      </c>
      <c r="O2608">
        <v>36.018776</v>
      </c>
      <c r="P2608">
        <v>-5.600819</v>
      </c>
      <c r="Q2608" s="5" t="s">
        <v>761</v>
      </c>
      <c r="R2608" s="10">
        <f t="shared" si="10"/>
        <v>492</v>
      </c>
      <c r="S2608" s="5" t="s">
        <v>11142</v>
      </c>
      <c r="T2608" s="6" t="s">
        <v>72</v>
      </c>
      <c r="U2608" s="5" t="s">
        <v>2785</v>
      </c>
      <c r="V2608" s="5" t="s">
        <v>11143</v>
      </c>
    </row>
    <row r="2609" ht="12.75" customHeight="1">
      <c r="A2609" s="5">
        <v>35978.0</v>
      </c>
      <c r="B2609" s="5" t="s">
        <v>2921</v>
      </c>
      <c r="C2609" s="5" t="s">
        <v>124</v>
      </c>
      <c r="D2609" s="5" t="s">
        <v>2852</v>
      </c>
      <c r="E2609" s="7" t="s">
        <v>11144</v>
      </c>
      <c r="F2609" s="5" t="s">
        <v>11079</v>
      </c>
      <c r="G2609" s="5" t="s">
        <v>11119</v>
      </c>
      <c r="H2609" s="5">
        <v>2002.0</v>
      </c>
      <c r="I2609" s="5">
        <v>0.0</v>
      </c>
      <c r="J2609" s="5">
        <v>0.0</v>
      </c>
      <c r="K2609" s="5">
        <v>2.0</v>
      </c>
      <c r="L2609" s="54"/>
      <c r="M2609" s="5" t="s">
        <v>11145</v>
      </c>
      <c r="N2609" s="53" t="s">
        <v>2893</v>
      </c>
      <c r="O2609">
        <v>51.47238</v>
      </c>
      <c r="P2609">
        <v>-0.45094</v>
      </c>
      <c r="Q2609" s="5" t="s">
        <v>1635</v>
      </c>
      <c r="R2609" s="10">
        <f t="shared" si="10"/>
        <v>13</v>
      </c>
      <c r="S2609" s="5" t="s">
        <v>11146</v>
      </c>
      <c r="T2609" s="5"/>
      <c r="U2609" s="5" t="s">
        <v>11147</v>
      </c>
      <c r="V2609" s="5"/>
    </row>
    <row r="2610" ht="12.75" customHeight="1">
      <c r="A2610" s="5">
        <v>35979.0</v>
      </c>
      <c r="B2610" s="5" t="s">
        <v>1555</v>
      </c>
      <c r="C2610" s="5" t="s">
        <v>42</v>
      </c>
      <c r="D2610" s="5" t="s">
        <v>2852</v>
      </c>
      <c r="E2610" s="7" t="s">
        <v>11148</v>
      </c>
      <c r="F2610" s="5" t="s">
        <v>11079</v>
      </c>
      <c r="G2610" s="5" t="s">
        <v>11119</v>
      </c>
      <c r="H2610" s="5">
        <v>2002.0</v>
      </c>
      <c r="I2610" s="5">
        <v>0.0</v>
      </c>
      <c r="J2610" s="5">
        <v>0.0</v>
      </c>
      <c r="K2610" s="5">
        <v>1.0</v>
      </c>
      <c r="L2610" s="54"/>
      <c r="M2610" s="5" t="s">
        <v>11149</v>
      </c>
      <c r="N2610" s="53" t="s">
        <v>10686</v>
      </c>
      <c r="O2610">
        <v>40.519269</v>
      </c>
      <c r="P2610">
        <v>21.268717</v>
      </c>
      <c r="Q2610" s="5" t="s">
        <v>1150</v>
      </c>
      <c r="R2610" s="10">
        <f t="shared" si="10"/>
        <v>4</v>
      </c>
      <c r="S2610" s="5" t="s">
        <v>11150</v>
      </c>
      <c r="T2610" s="5"/>
      <c r="U2610" s="5" t="s">
        <v>11151</v>
      </c>
      <c r="V2610" s="5"/>
    </row>
    <row r="2611" ht="12.75" customHeight="1">
      <c r="A2611" s="5">
        <v>35980.0</v>
      </c>
      <c r="B2611" s="5" t="s">
        <v>2962</v>
      </c>
      <c r="C2611" s="5" t="s">
        <v>211</v>
      </c>
      <c r="D2611" s="5" t="s">
        <v>2852</v>
      </c>
      <c r="E2611" s="7" t="s">
        <v>11152</v>
      </c>
      <c r="F2611" s="5" t="s">
        <v>11079</v>
      </c>
      <c r="G2611" s="5" t="s">
        <v>11119</v>
      </c>
      <c r="H2611" s="5">
        <v>2002.0</v>
      </c>
      <c r="I2611" s="5">
        <v>0.0</v>
      </c>
      <c r="J2611" s="5">
        <v>0.0</v>
      </c>
      <c r="K2611" s="5">
        <v>1.0</v>
      </c>
      <c r="L2611" s="54"/>
      <c r="M2611" s="5" t="s">
        <v>11153</v>
      </c>
      <c r="N2611" s="53" t="s">
        <v>11154</v>
      </c>
      <c r="O2611">
        <v>54.77525</v>
      </c>
      <c r="P2611">
        <v>-1.584852</v>
      </c>
      <c r="Q2611" s="5" t="s">
        <v>1868</v>
      </c>
      <c r="R2611" s="10">
        <f t="shared" si="10"/>
        <v>1</v>
      </c>
      <c r="S2611" s="5" t="s">
        <v>11155</v>
      </c>
      <c r="T2611" s="5"/>
      <c r="U2611" s="5" t="s">
        <v>8646</v>
      </c>
      <c r="V2611" s="5"/>
    </row>
    <row r="2612" ht="12.75" customHeight="1">
      <c r="A2612" s="5">
        <v>35981.0</v>
      </c>
      <c r="B2612" s="5" t="s">
        <v>636</v>
      </c>
      <c r="C2612" s="52" t="s">
        <v>50</v>
      </c>
      <c r="D2612" s="5" t="s">
        <v>2614</v>
      </c>
      <c r="E2612" s="7" t="s">
        <v>11156</v>
      </c>
      <c r="F2612" s="5" t="s">
        <v>11079</v>
      </c>
      <c r="G2612" s="5" t="s">
        <v>11119</v>
      </c>
      <c r="H2612" s="5">
        <v>2002.0</v>
      </c>
      <c r="I2612" s="5">
        <v>0.0</v>
      </c>
      <c r="J2612" s="5">
        <v>0.0</v>
      </c>
      <c r="K2612" s="5">
        <v>1.0</v>
      </c>
      <c r="L2612" s="54"/>
      <c r="M2612" s="5" t="s">
        <v>11157</v>
      </c>
      <c r="N2612" s="53" t="s">
        <v>8124</v>
      </c>
      <c r="O2612">
        <v>42.733883</v>
      </c>
      <c r="P2612">
        <v>25.48583</v>
      </c>
      <c r="Q2612" s="5" t="s">
        <v>1261</v>
      </c>
      <c r="R2612" s="10">
        <f t="shared" si="10"/>
        <v>13</v>
      </c>
      <c r="S2612" s="5" t="s">
        <v>11158</v>
      </c>
      <c r="T2612" s="6" t="s">
        <v>53</v>
      </c>
      <c r="U2612" s="5" t="s">
        <v>8703</v>
      </c>
      <c r="V2612" s="5" t="s">
        <v>8704</v>
      </c>
    </row>
    <row r="2613" ht="12.75" customHeight="1">
      <c r="A2613" s="5">
        <v>35983.0</v>
      </c>
      <c r="B2613" s="5" t="s">
        <v>1076</v>
      </c>
      <c r="C2613" s="52" t="s">
        <v>50</v>
      </c>
      <c r="D2613" s="5" t="s">
        <v>2614</v>
      </c>
      <c r="E2613" s="7" t="s">
        <v>11159</v>
      </c>
      <c r="F2613" s="5" t="s">
        <v>11079</v>
      </c>
      <c r="G2613" s="5" t="s">
        <v>11119</v>
      </c>
      <c r="H2613" s="5">
        <v>2002.0</v>
      </c>
      <c r="I2613" s="5">
        <v>0.0</v>
      </c>
      <c r="J2613" s="5">
        <v>0.0</v>
      </c>
      <c r="K2613" s="5">
        <v>2.0</v>
      </c>
      <c r="L2613" s="54"/>
      <c r="M2613" s="5" t="s">
        <v>11160</v>
      </c>
      <c r="N2613" s="53" t="s">
        <v>3379</v>
      </c>
      <c r="O2613">
        <v>36.834047</v>
      </c>
      <c r="P2613">
        <v>-2.463714</v>
      </c>
      <c r="Q2613" s="5" t="s">
        <v>863</v>
      </c>
      <c r="R2613" s="10">
        <f t="shared" si="10"/>
        <v>208</v>
      </c>
      <c r="S2613" s="5" t="s">
        <v>11161</v>
      </c>
      <c r="T2613" s="6" t="s">
        <v>72</v>
      </c>
      <c r="U2613" s="5" t="s">
        <v>2785</v>
      </c>
      <c r="V2613" s="5" t="s">
        <v>11162</v>
      </c>
    </row>
    <row r="2614" ht="12.75" customHeight="1">
      <c r="A2614" s="5">
        <v>35982.0</v>
      </c>
      <c r="B2614" s="5" t="s">
        <v>68</v>
      </c>
      <c r="C2614" s="5" t="s">
        <v>69</v>
      </c>
      <c r="D2614" s="5" t="s">
        <v>2614</v>
      </c>
      <c r="E2614" s="7" t="s">
        <v>11159</v>
      </c>
      <c r="F2614" s="5" t="s">
        <v>11079</v>
      </c>
      <c r="G2614" s="5" t="s">
        <v>11119</v>
      </c>
      <c r="H2614" s="5">
        <v>2002.0</v>
      </c>
      <c r="I2614" s="5">
        <v>0.0</v>
      </c>
      <c r="J2614" s="5">
        <v>0.0</v>
      </c>
      <c r="K2614" s="5">
        <v>1.0</v>
      </c>
      <c r="L2614" s="54"/>
      <c r="M2614" s="5" t="s">
        <v>11163</v>
      </c>
      <c r="N2614" s="53" t="s">
        <v>10982</v>
      </c>
      <c r="O2614">
        <v>40.351516</v>
      </c>
      <c r="P2614">
        <v>18.175016</v>
      </c>
      <c r="Q2614" s="5" t="s">
        <v>1133</v>
      </c>
      <c r="R2614" s="10">
        <f t="shared" si="10"/>
        <v>15</v>
      </c>
      <c r="S2614" s="5" t="s">
        <v>11164</v>
      </c>
      <c r="T2614" s="6" t="s">
        <v>1963</v>
      </c>
      <c r="U2614" s="5" t="s">
        <v>2326</v>
      </c>
      <c r="V2614" s="5" t="s">
        <v>7579</v>
      </c>
    </row>
    <row r="2615" ht="12.75" customHeight="1">
      <c r="A2615" s="5">
        <v>35984.0</v>
      </c>
      <c r="B2615" s="5" t="s">
        <v>49</v>
      </c>
      <c r="C2615" s="52" t="s">
        <v>50</v>
      </c>
      <c r="D2615" s="5" t="s">
        <v>2852</v>
      </c>
      <c r="E2615" s="7" t="s">
        <v>11159</v>
      </c>
      <c r="F2615" s="5" t="s">
        <v>11079</v>
      </c>
      <c r="G2615" s="5" t="s">
        <v>11119</v>
      </c>
      <c r="H2615" s="5">
        <v>2002.0</v>
      </c>
      <c r="I2615" s="5">
        <v>0.0</v>
      </c>
      <c r="J2615" s="5">
        <v>0.0</v>
      </c>
      <c r="K2615" s="5">
        <v>1.0</v>
      </c>
      <c r="L2615" s="54"/>
      <c r="M2615" s="5" t="s">
        <v>11165</v>
      </c>
      <c r="N2615" s="53" t="s">
        <v>3268</v>
      </c>
      <c r="O2615">
        <v>44.348399</v>
      </c>
      <c r="P2615">
        <v>9.234647</v>
      </c>
      <c r="Q2615" s="5" t="s">
        <v>1290</v>
      </c>
      <c r="R2615" s="10">
        <f t="shared" si="10"/>
        <v>57</v>
      </c>
      <c r="S2615" s="5" t="s">
        <v>11166</v>
      </c>
      <c r="T2615" s="6" t="s">
        <v>2130</v>
      </c>
      <c r="U2615" s="5" t="s">
        <v>5429</v>
      </c>
      <c r="V2615" s="5"/>
    </row>
    <row r="2616" ht="12.75" customHeight="1">
      <c r="A2616" s="5">
        <v>35824.0</v>
      </c>
      <c r="B2616" s="5" t="s">
        <v>1076</v>
      </c>
      <c r="C2616" s="52" t="s">
        <v>50</v>
      </c>
      <c r="D2616" s="5" t="s">
        <v>2852</v>
      </c>
      <c r="E2616" s="7" t="s">
        <v>11167</v>
      </c>
      <c r="F2616" s="5" t="s">
        <v>11168</v>
      </c>
      <c r="G2616" s="5" t="s">
        <v>11169</v>
      </c>
      <c r="H2616" s="5">
        <v>2002.0</v>
      </c>
      <c r="I2616" s="5">
        <v>0.0</v>
      </c>
      <c r="J2616" s="5">
        <v>0.0</v>
      </c>
      <c r="K2616" s="5">
        <v>1.0</v>
      </c>
      <c r="L2616" s="54"/>
      <c r="M2616" s="5" t="s">
        <v>11170</v>
      </c>
      <c r="N2616" s="53" t="s">
        <v>8693</v>
      </c>
      <c r="O2616">
        <v>16.966667</v>
      </c>
      <c r="P2616">
        <v>7.983333</v>
      </c>
      <c r="Q2616" s="5" t="s">
        <v>277</v>
      </c>
      <c r="R2616" s="10">
        <f t="shared" si="10"/>
        <v>38</v>
      </c>
      <c r="S2616" s="5" t="s">
        <v>11171</v>
      </c>
      <c r="T2616" s="5"/>
      <c r="U2616" s="5" t="s">
        <v>3834</v>
      </c>
      <c r="V2616" s="5"/>
    </row>
    <row r="2617" ht="12.75" customHeight="1">
      <c r="A2617" s="5">
        <v>35822.0</v>
      </c>
      <c r="B2617" s="5" t="s">
        <v>49</v>
      </c>
      <c r="C2617" s="52" t="s">
        <v>50</v>
      </c>
      <c r="D2617" s="5" t="s">
        <v>2852</v>
      </c>
      <c r="E2617" s="7" t="s">
        <v>11167</v>
      </c>
      <c r="F2617" s="5" t="s">
        <v>11168</v>
      </c>
      <c r="G2617" s="5" t="s">
        <v>11169</v>
      </c>
      <c r="H2617" s="5">
        <v>2002.0</v>
      </c>
      <c r="I2617" s="5">
        <v>0.0</v>
      </c>
      <c r="J2617" s="5">
        <v>0.0</v>
      </c>
      <c r="K2617" s="5">
        <v>1.0</v>
      </c>
      <c r="L2617" s="54"/>
      <c r="M2617" s="5" t="s">
        <v>11172</v>
      </c>
      <c r="N2617" s="53" t="s">
        <v>10736</v>
      </c>
      <c r="O2617">
        <v>36.585572</v>
      </c>
      <c r="P2617">
        <v>27.842865</v>
      </c>
      <c r="Q2617" s="5" t="s">
        <v>804</v>
      </c>
      <c r="R2617" s="10">
        <f t="shared" si="10"/>
        <v>12</v>
      </c>
      <c r="S2617" s="5" t="s">
        <v>11173</v>
      </c>
      <c r="T2617" s="6" t="s">
        <v>53</v>
      </c>
      <c r="U2617" s="5" t="s">
        <v>11174</v>
      </c>
      <c r="V2617" s="5"/>
    </row>
    <row r="2618" ht="12.75" customHeight="1">
      <c r="A2618" s="5">
        <v>35821.0</v>
      </c>
      <c r="B2618" s="5" t="s">
        <v>49</v>
      </c>
      <c r="C2618" s="52" t="s">
        <v>50</v>
      </c>
      <c r="D2618" s="5" t="s">
        <v>2852</v>
      </c>
      <c r="E2618" s="7" t="s">
        <v>11167</v>
      </c>
      <c r="F2618" s="5" t="s">
        <v>11168</v>
      </c>
      <c r="G2618" s="5" t="s">
        <v>11169</v>
      </c>
      <c r="H2618" s="5">
        <v>2002.0</v>
      </c>
      <c r="I2618" s="5">
        <v>0.0</v>
      </c>
      <c r="J2618" s="5">
        <v>0.0</v>
      </c>
      <c r="K2618" s="5">
        <v>5.0</v>
      </c>
      <c r="L2618" s="54"/>
      <c r="M2618" s="5" t="s">
        <v>11175</v>
      </c>
      <c r="N2618" s="53" t="s">
        <v>10736</v>
      </c>
      <c r="O2618">
        <v>36.585572</v>
      </c>
      <c r="P2618">
        <v>27.842865</v>
      </c>
      <c r="Q2618" s="5" t="s">
        <v>804</v>
      </c>
      <c r="R2618" s="10">
        <f t="shared" si="10"/>
        <v>12</v>
      </c>
      <c r="S2618" s="5" t="s">
        <v>11173</v>
      </c>
      <c r="T2618" s="6" t="s">
        <v>53</v>
      </c>
      <c r="U2618" s="5" t="s">
        <v>11174</v>
      </c>
      <c r="V2618" s="5"/>
    </row>
    <row r="2619" ht="12.75" customHeight="1">
      <c r="A2619" s="5">
        <v>35820.0</v>
      </c>
      <c r="B2619" s="5" t="s">
        <v>49</v>
      </c>
      <c r="C2619" s="52" t="s">
        <v>50</v>
      </c>
      <c r="D2619" s="5" t="s">
        <v>2852</v>
      </c>
      <c r="E2619" s="7" t="s">
        <v>11167</v>
      </c>
      <c r="F2619" s="5" t="s">
        <v>11168</v>
      </c>
      <c r="G2619" s="5" t="s">
        <v>11169</v>
      </c>
      <c r="H2619" s="5">
        <v>2002.0</v>
      </c>
      <c r="I2619" s="5">
        <v>0.0</v>
      </c>
      <c r="J2619" s="5">
        <v>0.0</v>
      </c>
      <c r="K2619" s="5">
        <v>1.0</v>
      </c>
      <c r="L2619" s="54"/>
      <c r="M2619" s="5" t="s">
        <v>11176</v>
      </c>
      <c r="N2619" s="53" t="s">
        <v>8378</v>
      </c>
      <c r="O2619">
        <v>38.523604</v>
      </c>
      <c r="P2619">
        <v>23.858474</v>
      </c>
      <c r="Q2619" s="5" t="s">
        <v>1030</v>
      </c>
      <c r="R2619" s="10">
        <f t="shared" si="10"/>
        <v>70</v>
      </c>
      <c r="S2619" s="5" t="s">
        <v>11177</v>
      </c>
      <c r="T2619" s="6" t="s">
        <v>53</v>
      </c>
      <c r="U2619" s="5" t="s">
        <v>5149</v>
      </c>
      <c r="V2619" s="5"/>
    </row>
    <row r="2620" ht="12.75" customHeight="1">
      <c r="A2620" s="5">
        <v>35823.0</v>
      </c>
      <c r="B2620" s="5" t="s">
        <v>2902</v>
      </c>
      <c r="C2620" s="5" t="s">
        <v>211</v>
      </c>
      <c r="D2620" s="5" t="s">
        <v>2852</v>
      </c>
      <c r="E2620" s="7" t="s">
        <v>11167</v>
      </c>
      <c r="F2620" s="5" t="s">
        <v>11168</v>
      </c>
      <c r="G2620" s="5" t="s">
        <v>11169</v>
      </c>
      <c r="H2620" s="5">
        <v>2002.0</v>
      </c>
      <c r="I2620" s="5">
        <v>0.0</v>
      </c>
      <c r="J2620" s="5">
        <v>0.0</v>
      </c>
      <c r="K2620" s="5">
        <v>1.0</v>
      </c>
      <c r="L2620" s="54"/>
      <c r="M2620" s="5" t="s">
        <v>11178</v>
      </c>
      <c r="N2620" s="53" t="s">
        <v>11179</v>
      </c>
      <c r="O2620">
        <v>51.871292</v>
      </c>
      <c r="P2620">
        <v>8.647819</v>
      </c>
      <c r="Q2620" s="5" t="s">
        <v>1688</v>
      </c>
      <c r="R2620" s="10">
        <f t="shared" si="10"/>
        <v>1</v>
      </c>
      <c r="S2620" s="5" t="s">
        <v>11180</v>
      </c>
      <c r="T2620" s="5"/>
      <c r="U2620" s="5" t="s">
        <v>11181</v>
      </c>
      <c r="V2620" s="5"/>
    </row>
    <row r="2621" ht="12.75" customHeight="1">
      <c r="A2621" s="5">
        <v>35825.0</v>
      </c>
      <c r="B2621" s="5" t="s">
        <v>1076</v>
      </c>
      <c r="C2621" s="52" t="s">
        <v>50</v>
      </c>
      <c r="D2621" s="5" t="s">
        <v>2852</v>
      </c>
      <c r="E2621" s="7" t="s">
        <v>11182</v>
      </c>
      <c r="F2621" s="5" t="s">
        <v>11168</v>
      </c>
      <c r="G2621" s="5" t="s">
        <v>11169</v>
      </c>
      <c r="H2621" s="5">
        <v>2002.0</v>
      </c>
      <c r="I2621" s="5">
        <v>0.0</v>
      </c>
      <c r="J2621" s="5">
        <v>0.0</v>
      </c>
      <c r="K2621" s="5">
        <v>1.0</v>
      </c>
      <c r="L2621" s="54"/>
      <c r="M2621" s="5" t="s">
        <v>11183</v>
      </c>
      <c r="N2621" s="53" t="s">
        <v>3328</v>
      </c>
      <c r="O2621">
        <v>48.856614</v>
      </c>
      <c r="P2621">
        <v>2.352222</v>
      </c>
      <c r="Q2621" s="5" t="s">
        <v>3329</v>
      </c>
      <c r="R2621" s="10">
        <f t="shared" si="10"/>
        <v>30</v>
      </c>
      <c r="S2621" s="5" t="s">
        <v>11184</v>
      </c>
      <c r="T2621" s="5"/>
      <c r="U2621" s="5" t="s">
        <v>11185</v>
      </c>
      <c r="V2621" s="5" t="s">
        <v>11186</v>
      </c>
    </row>
    <row r="2622" ht="12.75" customHeight="1">
      <c r="A2622" s="5">
        <v>35826.0</v>
      </c>
      <c r="B2622" s="5" t="s">
        <v>3409</v>
      </c>
      <c r="C2622" s="5" t="s">
        <v>211</v>
      </c>
      <c r="D2622" s="5" t="s">
        <v>2852</v>
      </c>
      <c r="E2622" s="7" t="s">
        <v>11187</v>
      </c>
      <c r="F2622" s="5" t="s">
        <v>11168</v>
      </c>
      <c r="G2622" s="5" t="s">
        <v>11169</v>
      </c>
      <c r="H2622" s="5">
        <v>2002.0</v>
      </c>
      <c r="I2622" s="5">
        <v>0.0</v>
      </c>
      <c r="J2622" s="5">
        <v>0.0</v>
      </c>
      <c r="K2622" s="5">
        <v>1.0</v>
      </c>
      <c r="L2622" s="54"/>
      <c r="M2622" s="5" t="s">
        <v>11188</v>
      </c>
      <c r="N2622" s="53" t="s">
        <v>11189</v>
      </c>
      <c r="O2622">
        <v>56.067227</v>
      </c>
      <c r="P2622">
        <v>12.230939</v>
      </c>
      <c r="Q2622" s="5" t="s">
        <v>1899</v>
      </c>
      <c r="R2622" s="10">
        <f t="shared" si="10"/>
        <v>1</v>
      </c>
      <c r="S2622" s="5" t="s">
        <v>11190</v>
      </c>
      <c r="T2622" s="5"/>
      <c r="U2622" s="5" t="s">
        <v>10747</v>
      </c>
      <c r="V2622" s="5"/>
    </row>
    <row r="2623" ht="12.75" customHeight="1">
      <c r="A2623" s="5">
        <v>35827.0</v>
      </c>
      <c r="B2623" s="5" t="s">
        <v>1076</v>
      </c>
      <c r="C2623" s="52" t="s">
        <v>50</v>
      </c>
      <c r="D2623" s="5" t="s">
        <v>2852</v>
      </c>
      <c r="E2623" s="7" t="s">
        <v>11191</v>
      </c>
      <c r="F2623" s="5" t="s">
        <v>11168</v>
      </c>
      <c r="G2623" s="5" t="s">
        <v>11169</v>
      </c>
      <c r="H2623" s="5">
        <v>2002.0</v>
      </c>
      <c r="I2623" s="5">
        <v>0.0</v>
      </c>
      <c r="J2623" s="5">
        <v>0.0</v>
      </c>
      <c r="K2623" s="5">
        <v>3.0</v>
      </c>
      <c r="L2623" s="54"/>
      <c r="M2623" s="5" t="s">
        <v>11192</v>
      </c>
      <c r="N2623" s="53" t="s">
        <v>4648</v>
      </c>
      <c r="O2623">
        <v>36.721261</v>
      </c>
      <c r="P2623">
        <v>-4.421266</v>
      </c>
      <c r="Q2623" s="5" t="s">
        <v>823</v>
      </c>
      <c r="R2623" s="10">
        <f t="shared" si="10"/>
        <v>17</v>
      </c>
      <c r="S2623" s="5" t="s">
        <v>11193</v>
      </c>
      <c r="T2623" s="6" t="s">
        <v>72</v>
      </c>
      <c r="U2623" s="5" t="s">
        <v>11194</v>
      </c>
      <c r="V2623" s="5"/>
    </row>
    <row r="2624" ht="12.75" customHeight="1">
      <c r="A2624" s="5">
        <v>35828.0</v>
      </c>
      <c r="B2624" s="5" t="s">
        <v>49</v>
      </c>
      <c r="C2624" s="52" t="s">
        <v>50</v>
      </c>
      <c r="D2624" s="5" t="s">
        <v>2852</v>
      </c>
      <c r="E2624" s="7" t="s">
        <v>11195</v>
      </c>
      <c r="F2624" s="5" t="s">
        <v>11168</v>
      </c>
      <c r="G2624" s="5" t="s">
        <v>11169</v>
      </c>
      <c r="H2624" s="5">
        <v>2002.0</v>
      </c>
      <c r="I2624" s="5">
        <v>0.0</v>
      </c>
      <c r="J2624" s="5">
        <v>0.0</v>
      </c>
      <c r="K2624" s="5">
        <v>7.0</v>
      </c>
      <c r="L2624" s="54"/>
      <c r="M2624" s="5" t="s">
        <v>11196</v>
      </c>
      <c r="N2624" s="53" t="s">
        <v>2680</v>
      </c>
      <c r="O2624">
        <v>36.018776</v>
      </c>
      <c r="P2624">
        <v>-5.600819</v>
      </c>
      <c r="Q2624" s="5" t="s">
        <v>761</v>
      </c>
      <c r="R2624" s="10">
        <f t="shared" si="10"/>
        <v>492</v>
      </c>
      <c r="S2624" s="5" t="s">
        <v>11197</v>
      </c>
      <c r="T2624" s="6" t="s">
        <v>72</v>
      </c>
      <c r="U2624" s="5" t="s">
        <v>3219</v>
      </c>
      <c r="V2624" s="5"/>
    </row>
    <row r="2625" ht="12.75" customHeight="1">
      <c r="A2625" s="5">
        <v>35830.0</v>
      </c>
      <c r="B2625" s="5" t="s">
        <v>49</v>
      </c>
      <c r="C2625" s="52" t="s">
        <v>50</v>
      </c>
      <c r="D2625" s="5" t="s">
        <v>2852</v>
      </c>
      <c r="E2625" s="7" t="s">
        <v>11198</v>
      </c>
      <c r="F2625" s="5" t="s">
        <v>11168</v>
      </c>
      <c r="G2625" s="5" t="s">
        <v>11169</v>
      </c>
      <c r="H2625" s="5">
        <v>2002.0</v>
      </c>
      <c r="I2625" s="5">
        <v>0.0</v>
      </c>
      <c r="J2625" s="5">
        <v>0.0</v>
      </c>
      <c r="K2625" s="5">
        <v>4.0</v>
      </c>
      <c r="L2625" s="54"/>
      <c r="M2625" s="5" t="s">
        <v>11199</v>
      </c>
      <c r="N2625" s="53" t="s">
        <v>2844</v>
      </c>
      <c r="O2625">
        <v>38.370981</v>
      </c>
      <c r="P2625">
        <v>26.136346</v>
      </c>
      <c r="Q2625" s="5" t="s">
        <v>1020</v>
      </c>
      <c r="R2625" s="10">
        <f t="shared" si="10"/>
        <v>31</v>
      </c>
      <c r="S2625" s="5" t="s">
        <v>11200</v>
      </c>
      <c r="T2625" s="6" t="s">
        <v>53</v>
      </c>
      <c r="U2625" s="5" t="s">
        <v>950</v>
      </c>
      <c r="V2625" s="5"/>
    </row>
    <row r="2626" ht="12.75" customHeight="1">
      <c r="A2626" s="5">
        <v>35829.0</v>
      </c>
      <c r="B2626" s="5" t="s">
        <v>49</v>
      </c>
      <c r="C2626" s="52" t="s">
        <v>50</v>
      </c>
      <c r="D2626" s="5" t="s">
        <v>2852</v>
      </c>
      <c r="E2626" s="7" t="s">
        <v>11198</v>
      </c>
      <c r="F2626" s="5" t="s">
        <v>11168</v>
      </c>
      <c r="G2626" s="5" t="s">
        <v>11169</v>
      </c>
      <c r="H2626" s="5">
        <v>2002.0</v>
      </c>
      <c r="I2626" s="5">
        <v>0.0</v>
      </c>
      <c r="J2626" s="5">
        <v>0.0</v>
      </c>
      <c r="K2626" s="5">
        <v>4.0</v>
      </c>
      <c r="L2626" s="54"/>
      <c r="M2626" s="5" t="s">
        <v>11201</v>
      </c>
      <c r="N2626" s="53" t="s">
        <v>2844</v>
      </c>
      <c r="O2626">
        <v>38.370981</v>
      </c>
      <c r="P2626">
        <v>26.136346</v>
      </c>
      <c r="Q2626" s="5" t="s">
        <v>1020</v>
      </c>
      <c r="R2626" s="10">
        <f t="shared" si="10"/>
        <v>31</v>
      </c>
      <c r="S2626" s="5" t="s">
        <v>11200</v>
      </c>
      <c r="T2626" s="6" t="s">
        <v>53</v>
      </c>
      <c r="U2626" s="5" t="s">
        <v>950</v>
      </c>
      <c r="V2626" s="5" t="s">
        <v>11202</v>
      </c>
    </row>
    <row r="2627" ht="12.75" customHeight="1">
      <c r="A2627" s="5">
        <v>35831.0</v>
      </c>
      <c r="B2627" s="5" t="s">
        <v>49</v>
      </c>
      <c r="C2627" s="52" t="s">
        <v>50</v>
      </c>
      <c r="D2627" s="5" t="s">
        <v>2852</v>
      </c>
      <c r="E2627" s="7" t="s">
        <v>11203</v>
      </c>
      <c r="F2627" s="5" t="s">
        <v>11168</v>
      </c>
      <c r="G2627" s="5" t="s">
        <v>11169</v>
      </c>
      <c r="H2627" s="5">
        <v>2002.0</v>
      </c>
      <c r="I2627" s="5">
        <v>0.0</v>
      </c>
      <c r="J2627" s="5">
        <v>0.0</v>
      </c>
      <c r="K2627" s="5">
        <v>2.0</v>
      </c>
      <c r="L2627" s="54"/>
      <c r="M2627" s="5" t="s">
        <v>11204</v>
      </c>
      <c r="N2627" s="53" t="s">
        <v>11205</v>
      </c>
      <c r="O2627">
        <v>39.611839</v>
      </c>
      <c r="P2627">
        <v>19.830605</v>
      </c>
      <c r="Q2627" s="5" t="s">
        <v>1102</v>
      </c>
      <c r="R2627" s="10">
        <f t="shared" si="10"/>
        <v>35</v>
      </c>
      <c r="S2627" s="5" t="s">
        <v>11206</v>
      </c>
      <c r="T2627" s="6" t="s">
        <v>53</v>
      </c>
      <c r="U2627" s="5" t="s">
        <v>11207</v>
      </c>
      <c r="V2627" s="5"/>
    </row>
    <row r="2628" ht="12.75" customHeight="1">
      <c r="A2628" s="5">
        <v>35832.0</v>
      </c>
      <c r="B2628" s="5" t="s">
        <v>2902</v>
      </c>
      <c r="C2628" s="5" t="s">
        <v>211</v>
      </c>
      <c r="D2628" s="5" t="s">
        <v>2852</v>
      </c>
      <c r="E2628" s="7" t="s">
        <v>11203</v>
      </c>
      <c r="F2628" s="5" t="s">
        <v>11168</v>
      </c>
      <c r="G2628" s="5" t="s">
        <v>11169</v>
      </c>
      <c r="H2628" s="5">
        <v>2002.0</v>
      </c>
      <c r="I2628" s="5">
        <v>0.0</v>
      </c>
      <c r="J2628" s="5">
        <v>0.0</v>
      </c>
      <c r="K2628" s="5">
        <v>1.0</v>
      </c>
      <c r="L2628" s="54"/>
      <c r="M2628" s="5" t="s">
        <v>11208</v>
      </c>
      <c r="N2628" s="53" t="s">
        <v>11209</v>
      </c>
      <c r="O2628">
        <v>53.645792</v>
      </c>
      <c r="P2628">
        <v>-1.785035</v>
      </c>
      <c r="Q2628" s="5" t="s">
        <v>1855</v>
      </c>
      <c r="R2628" s="10">
        <f t="shared" si="10"/>
        <v>1</v>
      </c>
      <c r="S2628" s="5" t="s">
        <v>11210</v>
      </c>
      <c r="T2628" s="5"/>
      <c r="U2628" s="5" t="s">
        <v>11211</v>
      </c>
      <c r="V2628" s="5"/>
    </row>
    <row r="2629" ht="12.75" customHeight="1">
      <c r="A2629" s="5">
        <v>35833.0</v>
      </c>
      <c r="B2629" s="5" t="s">
        <v>68</v>
      </c>
      <c r="C2629" s="5" t="s">
        <v>69</v>
      </c>
      <c r="D2629" s="5" t="s">
        <v>2614</v>
      </c>
      <c r="E2629" s="7" t="s">
        <v>11212</v>
      </c>
      <c r="F2629" s="5" t="s">
        <v>11168</v>
      </c>
      <c r="G2629" s="5" t="s">
        <v>11169</v>
      </c>
      <c r="H2629" s="5">
        <v>2002.0</v>
      </c>
      <c r="I2629" s="5">
        <v>0.0</v>
      </c>
      <c r="J2629" s="5">
        <v>0.0</v>
      </c>
      <c r="K2629" s="5">
        <v>1.0</v>
      </c>
      <c r="L2629" s="54"/>
      <c r="M2629" s="5" t="s">
        <v>11213</v>
      </c>
      <c r="N2629" s="53" t="s">
        <v>2700</v>
      </c>
      <c r="O2629">
        <v>35.508622</v>
      </c>
      <c r="P2629">
        <v>12.59292</v>
      </c>
      <c r="Q2629" s="5" t="s">
        <v>669</v>
      </c>
      <c r="R2629" s="10">
        <f t="shared" si="10"/>
        <v>3843</v>
      </c>
      <c r="S2629" s="5" t="s">
        <v>11214</v>
      </c>
      <c r="T2629" s="6" t="s">
        <v>2130</v>
      </c>
      <c r="U2629" s="5" t="s">
        <v>2326</v>
      </c>
      <c r="V2629" s="5" t="s">
        <v>7579</v>
      </c>
    </row>
    <row r="2630" ht="12.75" customHeight="1">
      <c r="A2630" s="5">
        <v>35834.0</v>
      </c>
      <c r="B2630" s="5" t="s">
        <v>68</v>
      </c>
      <c r="C2630" s="5" t="s">
        <v>69</v>
      </c>
      <c r="D2630" s="5" t="s">
        <v>2614</v>
      </c>
      <c r="E2630" s="7" t="s">
        <v>11215</v>
      </c>
      <c r="F2630" s="5" t="s">
        <v>11168</v>
      </c>
      <c r="G2630" s="5" t="s">
        <v>11169</v>
      </c>
      <c r="H2630" s="5">
        <v>2002.0</v>
      </c>
      <c r="I2630" s="5">
        <v>0.0</v>
      </c>
      <c r="J2630" s="5">
        <v>0.0</v>
      </c>
      <c r="K2630" s="5">
        <v>12.0</v>
      </c>
      <c r="L2630" s="54"/>
      <c r="M2630" s="5" t="s">
        <v>11216</v>
      </c>
      <c r="N2630" s="53" t="s">
        <v>8378</v>
      </c>
      <c r="O2630">
        <v>38.523604</v>
      </c>
      <c r="P2630">
        <v>23.858474</v>
      </c>
      <c r="Q2630" s="5" t="s">
        <v>1030</v>
      </c>
      <c r="R2630" s="10">
        <f t="shared" si="10"/>
        <v>70</v>
      </c>
      <c r="S2630" s="5" t="s">
        <v>11217</v>
      </c>
      <c r="T2630" s="6" t="s">
        <v>53</v>
      </c>
      <c r="U2630" s="5" t="s">
        <v>3318</v>
      </c>
      <c r="V2630" s="5" t="s">
        <v>11218</v>
      </c>
    </row>
    <row r="2631" ht="12.75" customHeight="1">
      <c r="A2631" s="5">
        <v>35836.0</v>
      </c>
      <c r="B2631" s="5" t="s">
        <v>49</v>
      </c>
      <c r="C2631" s="52" t="s">
        <v>50</v>
      </c>
      <c r="D2631" s="5" t="s">
        <v>2852</v>
      </c>
      <c r="E2631" s="7" t="s">
        <v>11219</v>
      </c>
      <c r="F2631" s="5" t="s">
        <v>11168</v>
      </c>
      <c r="G2631" s="5" t="s">
        <v>11169</v>
      </c>
      <c r="H2631" s="5">
        <v>2002.0</v>
      </c>
      <c r="I2631" s="5">
        <v>0.0</v>
      </c>
      <c r="J2631" s="5">
        <v>0.0</v>
      </c>
      <c r="K2631" s="5">
        <v>10.0</v>
      </c>
      <c r="L2631" s="54"/>
      <c r="M2631" s="5" t="s">
        <v>11220</v>
      </c>
      <c r="N2631" s="53" t="s">
        <v>8378</v>
      </c>
      <c r="O2631">
        <v>38.523604</v>
      </c>
      <c r="P2631">
        <v>23.858474</v>
      </c>
      <c r="Q2631" s="5" t="s">
        <v>1030</v>
      </c>
      <c r="R2631" s="10">
        <f t="shared" si="10"/>
        <v>70</v>
      </c>
      <c r="S2631" s="5" t="s">
        <v>11221</v>
      </c>
      <c r="T2631" s="6" t="s">
        <v>53</v>
      </c>
      <c r="U2631" s="5" t="s">
        <v>11207</v>
      </c>
      <c r="V2631" s="5"/>
    </row>
    <row r="2632" ht="12.75" customHeight="1">
      <c r="A2632" s="5">
        <v>35835.0</v>
      </c>
      <c r="B2632" s="5" t="s">
        <v>49</v>
      </c>
      <c r="C2632" s="52" t="s">
        <v>50</v>
      </c>
      <c r="D2632" s="5" t="s">
        <v>2852</v>
      </c>
      <c r="E2632" s="7" t="s">
        <v>11219</v>
      </c>
      <c r="F2632" s="5" t="s">
        <v>11168</v>
      </c>
      <c r="G2632" s="5" t="s">
        <v>11169</v>
      </c>
      <c r="H2632" s="5">
        <v>2002.0</v>
      </c>
      <c r="I2632" s="5">
        <v>0.0</v>
      </c>
      <c r="J2632" s="5">
        <v>0.0</v>
      </c>
      <c r="K2632" s="5">
        <v>10.0</v>
      </c>
      <c r="L2632" s="54"/>
      <c r="M2632" s="5" t="s">
        <v>11222</v>
      </c>
      <c r="N2632" s="53" t="s">
        <v>8378</v>
      </c>
      <c r="O2632">
        <v>38.523604</v>
      </c>
      <c r="P2632">
        <v>23.858474</v>
      </c>
      <c r="Q2632" s="5" t="s">
        <v>1030</v>
      </c>
      <c r="R2632" s="10">
        <f t="shared" si="10"/>
        <v>70</v>
      </c>
      <c r="S2632" s="5" t="s">
        <v>11221</v>
      </c>
      <c r="T2632" s="6" t="s">
        <v>53</v>
      </c>
      <c r="U2632" s="5" t="s">
        <v>11207</v>
      </c>
      <c r="V2632" s="5"/>
    </row>
    <row r="2633" ht="12.75" customHeight="1">
      <c r="A2633" s="5">
        <v>35837.0</v>
      </c>
      <c r="B2633" s="5" t="s">
        <v>68</v>
      </c>
      <c r="C2633" s="5" t="s">
        <v>69</v>
      </c>
      <c r="D2633" s="5" t="s">
        <v>2614</v>
      </c>
      <c r="E2633" s="7" t="s">
        <v>11223</v>
      </c>
      <c r="F2633" s="5" t="s">
        <v>11168</v>
      </c>
      <c r="G2633" s="5" t="s">
        <v>11169</v>
      </c>
      <c r="H2633" s="5">
        <v>2002.0</v>
      </c>
      <c r="I2633" s="5">
        <v>0.0</v>
      </c>
      <c r="J2633" s="5">
        <v>0.0</v>
      </c>
      <c r="K2633" s="5">
        <v>1.0</v>
      </c>
      <c r="L2633" s="54"/>
      <c r="M2633" s="5" t="s">
        <v>11224</v>
      </c>
      <c r="N2633" s="53" t="s">
        <v>3251</v>
      </c>
      <c r="O2633">
        <v>39.074208</v>
      </c>
      <c r="P2633">
        <v>21.824312</v>
      </c>
      <c r="Q2633" s="5" t="s">
        <v>1061</v>
      </c>
      <c r="R2633" s="10">
        <f t="shared" si="10"/>
        <v>20</v>
      </c>
      <c r="S2633" s="5" t="s">
        <v>11225</v>
      </c>
      <c r="T2633" s="5"/>
      <c r="U2633" s="5" t="s">
        <v>3318</v>
      </c>
      <c r="V2633" s="5" t="s">
        <v>11226</v>
      </c>
    </row>
    <row r="2634" ht="12.75" customHeight="1">
      <c r="A2634" s="5">
        <v>35838.0</v>
      </c>
      <c r="B2634" s="5" t="s">
        <v>763</v>
      </c>
      <c r="C2634" s="5" t="s">
        <v>124</v>
      </c>
      <c r="D2634" s="5" t="s">
        <v>2852</v>
      </c>
      <c r="E2634" s="7" t="s">
        <v>11223</v>
      </c>
      <c r="F2634" s="5" t="s">
        <v>11168</v>
      </c>
      <c r="G2634" s="5" t="s">
        <v>11169</v>
      </c>
      <c r="H2634" s="5">
        <v>2002.0</v>
      </c>
      <c r="I2634" s="5">
        <v>0.0</v>
      </c>
      <c r="J2634" s="5">
        <v>0.0</v>
      </c>
      <c r="K2634" s="5">
        <v>1.0</v>
      </c>
      <c r="L2634" s="54"/>
      <c r="M2634" s="5" t="s">
        <v>11227</v>
      </c>
      <c r="N2634" s="53" t="s">
        <v>3909</v>
      </c>
      <c r="O2634">
        <v>50.95129</v>
      </c>
      <c r="P2634">
        <v>1.858686</v>
      </c>
      <c r="Q2634" s="5" t="s">
        <v>1551</v>
      </c>
      <c r="R2634" s="10">
        <f t="shared" si="10"/>
        <v>30</v>
      </c>
      <c r="S2634" s="5" t="s">
        <v>11228</v>
      </c>
      <c r="T2634" s="5"/>
      <c r="U2634" s="5" t="s">
        <v>11229</v>
      </c>
      <c r="V2634" s="5" t="s">
        <v>11230</v>
      </c>
    </row>
    <row r="2635" ht="12.75" customHeight="1">
      <c r="A2635" s="5">
        <v>35839.0</v>
      </c>
      <c r="B2635" s="5" t="s">
        <v>636</v>
      </c>
      <c r="C2635" s="52" t="s">
        <v>50</v>
      </c>
      <c r="D2635" s="5" t="s">
        <v>2852</v>
      </c>
      <c r="E2635" s="7" t="s">
        <v>11231</v>
      </c>
      <c r="F2635" s="5" t="s">
        <v>11168</v>
      </c>
      <c r="G2635" s="5" t="s">
        <v>11169</v>
      </c>
      <c r="H2635" s="5">
        <v>2002.0</v>
      </c>
      <c r="I2635" s="5">
        <v>0.0</v>
      </c>
      <c r="J2635" s="5">
        <v>0.0</v>
      </c>
      <c r="K2635" s="5">
        <v>1.0</v>
      </c>
      <c r="L2635" s="54"/>
      <c r="M2635" s="5" t="s">
        <v>11232</v>
      </c>
      <c r="N2635" s="53" t="s">
        <v>9958</v>
      </c>
      <c r="O2635">
        <v>42.0</v>
      </c>
      <c r="P2635">
        <v>26.0</v>
      </c>
      <c r="Q2635" s="5" t="s">
        <v>1248</v>
      </c>
      <c r="R2635" s="10">
        <f t="shared" si="10"/>
        <v>9</v>
      </c>
      <c r="S2635" s="5" t="s">
        <v>11233</v>
      </c>
      <c r="T2635" s="6" t="s">
        <v>53</v>
      </c>
      <c r="U2635" s="5" t="s">
        <v>5296</v>
      </c>
      <c r="V2635" s="5" t="s">
        <v>11234</v>
      </c>
    </row>
    <row r="2636" ht="12.75" customHeight="1">
      <c r="A2636" s="5">
        <v>35840.0</v>
      </c>
      <c r="B2636" s="5" t="s">
        <v>68</v>
      </c>
      <c r="C2636" s="5" t="s">
        <v>69</v>
      </c>
      <c r="D2636" s="5" t="s">
        <v>2852</v>
      </c>
      <c r="E2636" s="7" t="s">
        <v>11235</v>
      </c>
      <c r="F2636" s="5" t="s">
        <v>11168</v>
      </c>
      <c r="G2636" s="5" t="s">
        <v>11169</v>
      </c>
      <c r="H2636" s="5">
        <v>2002.0</v>
      </c>
      <c r="I2636" s="5">
        <v>0.0</v>
      </c>
      <c r="J2636" s="5">
        <v>0.0</v>
      </c>
      <c r="K2636" s="5">
        <v>1.0</v>
      </c>
      <c r="L2636" s="54"/>
      <c r="M2636" s="5" t="s">
        <v>11236</v>
      </c>
      <c r="N2636" s="53" t="s">
        <v>5983</v>
      </c>
      <c r="O2636">
        <v>36.132977</v>
      </c>
      <c r="P2636">
        <v>-5.453909</v>
      </c>
      <c r="Q2636" s="5" t="s">
        <v>770</v>
      </c>
      <c r="R2636" s="10">
        <f t="shared" si="10"/>
        <v>29</v>
      </c>
      <c r="S2636" s="5" t="s">
        <v>11237</v>
      </c>
      <c r="T2636" s="6" t="s">
        <v>72</v>
      </c>
      <c r="U2636" s="5" t="s">
        <v>5951</v>
      </c>
      <c r="V2636" s="5"/>
    </row>
    <row r="2637" ht="12.75" customHeight="1">
      <c r="A2637" s="5">
        <v>35841.0</v>
      </c>
      <c r="B2637" s="5" t="s">
        <v>49</v>
      </c>
      <c r="C2637" s="52" t="s">
        <v>50</v>
      </c>
      <c r="D2637" s="5" t="s">
        <v>2852</v>
      </c>
      <c r="E2637" s="7" t="s">
        <v>11238</v>
      </c>
      <c r="F2637" s="5" t="s">
        <v>11168</v>
      </c>
      <c r="G2637" s="5" t="s">
        <v>11169</v>
      </c>
      <c r="H2637" s="5">
        <v>2002.0</v>
      </c>
      <c r="I2637" s="5">
        <v>0.0</v>
      </c>
      <c r="J2637" s="5">
        <v>0.0</v>
      </c>
      <c r="K2637" s="5">
        <v>1.0</v>
      </c>
      <c r="L2637" s="54"/>
      <c r="M2637" s="5" t="s">
        <v>11239</v>
      </c>
      <c r="N2637" s="53" t="s">
        <v>5963</v>
      </c>
      <c r="O2637">
        <v>46.227638</v>
      </c>
      <c r="P2637">
        <v>2.213749</v>
      </c>
      <c r="Q2637" s="5" t="s">
        <v>1351</v>
      </c>
      <c r="R2637" s="10">
        <f t="shared" si="10"/>
        <v>8</v>
      </c>
      <c r="S2637" s="5" t="s">
        <v>11240</v>
      </c>
      <c r="T2637" s="5"/>
      <c r="U2637" s="5" t="s">
        <v>11241</v>
      </c>
      <c r="V2637" s="5"/>
    </row>
    <row r="2638" ht="12.75" customHeight="1">
      <c r="A2638" s="5">
        <v>35843.0</v>
      </c>
      <c r="B2638" s="5" t="s">
        <v>1773</v>
      </c>
      <c r="C2638" s="5" t="s">
        <v>124</v>
      </c>
      <c r="D2638" s="5" t="s">
        <v>2852</v>
      </c>
      <c r="E2638" s="7" t="s">
        <v>11242</v>
      </c>
      <c r="F2638" s="5" t="s">
        <v>11168</v>
      </c>
      <c r="G2638" s="5" t="s">
        <v>11169</v>
      </c>
      <c r="H2638" s="5">
        <v>2002.0</v>
      </c>
      <c r="I2638" s="5">
        <v>0.0</v>
      </c>
      <c r="J2638" s="5">
        <v>0.0</v>
      </c>
      <c r="K2638" s="5">
        <v>1.0</v>
      </c>
      <c r="L2638" s="54"/>
      <c r="M2638" s="5" t="s">
        <v>11243</v>
      </c>
      <c r="N2638" s="53" t="s">
        <v>11244</v>
      </c>
      <c r="O2638">
        <v>48.975751</v>
      </c>
      <c r="P2638">
        <v>2.327234</v>
      </c>
      <c r="Q2638" s="5" t="s">
        <v>1455</v>
      </c>
      <c r="R2638" s="10">
        <f t="shared" si="10"/>
        <v>1</v>
      </c>
      <c r="S2638" s="5" t="s">
        <v>11245</v>
      </c>
      <c r="T2638" s="5"/>
      <c r="U2638" s="5" t="s">
        <v>3128</v>
      </c>
      <c r="V2638" s="5"/>
    </row>
    <row r="2639" ht="12.75" customHeight="1">
      <c r="A2639" s="5">
        <v>35842.0</v>
      </c>
      <c r="B2639" s="5" t="s">
        <v>68</v>
      </c>
      <c r="C2639" s="5" t="s">
        <v>69</v>
      </c>
      <c r="D2639" s="5" t="s">
        <v>2614</v>
      </c>
      <c r="E2639" s="7" t="s">
        <v>11242</v>
      </c>
      <c r="F2639" s="5" t="s">
        <v>11168</v>
      </c>
      <c r="G2639" s="5" t="s">
        <v>11169</v>
      </c>
      <c r="H2639" s="5">
        <v>2002.0</v>
      </c>
      <c r="I2639" s="5">
        <v>0.0</v>
      </c>
      <c r="J2639" s="5">
        <v>0.0</v>
      </c>
      <c r="K2639" s="5">
        <v>2.0</v>
      </c>
      <c r="L2639" s="54"/>
      <c r="M2639" s="5" t="s">
        <v>11246</v>
      </c>
      <c r="N2639" s="53" t="s">
        <v>2893</v>
      </c>
      <c r="O2639">
        <v>51.47238</v>
      </c>
      <c r="P2639">
        <v>-0.45094</v>
      </c>
      <c r="Q2639" s="5" t="s">
        <v>1635</v>
      </c>
      <c r="R2639" s="10">
        <f t="shared" si="10"/>
        <v>13</v>
      </c>
      <c r="S2639" s="5" t="s">
        <v>11247</v>
      </c>
      <c r="T2639" s="5"/>
      <c r="U2639" s="5" t="s">
        <v>11248</v>
      </c>
      <c r="V2639" s="5" t="s">
        <v>11249</v>
      </c>
    </row>
    <row r="2640" ht="12.75" customHeight="1">
      <c r="A2640" s="5">
        <v>35844.0</v>
      </c>
      <c r="B2640" s="5" t="s">
        <v>2902</v>
      </c>
      <c r="C2640" s="5" t="s">
        <v>211</v>
      </c>
      <c r="D2640" s="5" t="s">
        <v>2852</v>
      </c>
      <c r="E2640" s="7" t="s">
        <v>11250</v>
      </c>
      <c r="F2640" s="5" t="s">
        <v>11168</v>
      </c>
      <c r="G2640" s="5" t="s">
        <v>11169</v>
      </c>
      <c r="H2640" s="5">
        <v>2002.0</v>
      </c>
      <c r="I2640" s="5">
        <v>0.0</v>
      </c>
      <c r="J2640" s="5">
        <v>0.0</v>
      </c>
      <c r="K2640" s="5">
        <v>1.0</v>
      </c>
      <c r="L2640" s="54"/>
      <c r="M2640" s="5" t="s">
        <v>11251</v>
      </c>
      <c r="N2640" s="53" t="s">
        <v>11252</v>
      </c>
      <c r="O2640">
        <v>52.486243</v>
      </c>
      <c r="P2640">
        <v>-1.890401</v>
      </c>
      <c r="Q2640" s="5" t="s">
        <v>1767</v>
      </c>
      <c r="R2640" s="10">
        <f t="shared" si="10"/>
        <v>2</v>
      </c>
      <c r="S2640" s="5" t="s">
        <v>11253</v>
      </c>
      <c r="T2640" s="5"/>
      <c r="U2640" s="5" t="s">
        <v>11254</v>
      </c>
      <c r="V2640" s="5"/>
    </row>
    <row r="2641" ht="12.75" customHeight="1">
      <c r="A2641" s="5">
        <v>35845.0</v>
      </c>
      <c r="B2641" s="5" t="s">
        <v>49</v>
      </c>
      <c r="C2641" s="52" t="s">
        <v>50</v>
      </c>
      <c r="D2641" s="5" t="s">
        <v>2852</v>
      </c>
      <c r="E2641" s="7" t="s">
        <v>11255</v>
      </c>
      <c r="F2641" s="5" t="s">
        <v>11168</v>
      </c>
      <c r="G2641" s="5" t="s">
        <v>11169</v>
      </c>
      <c r="H2641" s="5">
        <v>2002.0</v>
      </c>
      <c r="I2641" s="5">
        <v>0.0</v>
      </c>
      <c r="J2641" s="5">
        <v>0.0</v>
      </c>
      <c r="K2641" s="5">
        <v>4.0</v>
      </c>
      <c r="L2641" s="54"/>
      <c r="M2641" s="5" t="s">
        <v>11256</v>
      </c>
      <c r="N2641" s="53" t="s">
        <v>2857</v>
      </c>
      <c r="O2641">
        <v>36.527061</v>
      </c>
      <c r="P2641">
        <v>-6.288596</v>
      </c>
      <c r="Q2641" s="5" t="s">
        <v>802</v>
      </c>
      <c r="R2641" s="10">
        <f t="shared" si="10"/>
        <v>185</v>
      </c>
      <c r="S2641" s="5" t="s">
        <v>11257</v>
      </c>
      <c r="T2641" s="6" t="s">
        <v>72</v>
      </c>
      <c r="U2641" s="5" t="s">
        <v>9777</v>
      </c>
      <c r="V2641" s="5"/>
    </row>
    <row r="2642" ht="12.75" customHeight="1">
      <c r="A2642" s="5">
        <v>35846.0</v>
      </c>
      <c r="B2642" s="5" t="s">
        <v>2902</v>
      </c>
      <c r="C2642" s="5" t="s">
        <v>211</v>
      </c>
      <c r="D2642" s="5" t="s">
        <v>2852</v>
      </c>
      <c r="E2642" s="7" t="s">
        <v>11255</v>
      </c>
      <c r="F2642" s="5" t="s">
        <v>11168</v>
      </c>
      <c r="G2642" s="5" t="s">
        <v>11169</v>
      </c>
      <c r="H2642" s="5">
        <v>2002.0</v>
      </c>
      <c r="I2642" s="5">
        <v>0.0</v>
      </c>
      <c r="J2642" s="5">
        <v>0.0</v>
      </c>
      <c r="K2642" s="5">
        <v>1.0</v>
      </c>
      <c r="L2642" s="54"/>
      <c r="M2642" s="5" t="s">
        <v>11258</v>
      </c>
      <c r="N2642" s="53" t="s">
        <v>9194</v>
      </c>
      <c r="O2642">
        <v>38.963745</v>
      </c>
      <c r="P2642">
        <v>35.243322</v>
      </c>
      <c r="Q2642" s="5" t="s">
        <v>1051</v>
      </c>
      <c r="R2642" s="10">
        <f t="shared" si="10"/>
        <v>23</v>
      </c>
      <c r="S2642" s="5" t="s">
        <v>11259</v>
      </c>
      <c r="T2642" s="5"/>
      <c r="U2642" s="5" t="s">
        <v>4578</v>
      </c>
      <c r="V2642" s="5"/>
    </row>
    <row r="2643" ht="12.75" customHeight="1">
      <c r="A2643" s="5">
        <v>35848.0</v>
      </c>
      <c r="B2643" s="5" t="s">
        <v>41</v>
      </c>
      <c r="C2643" s="5" t="s">
        <v>42</v>
      </c>
      <c r="D2643" s="5" t="s">
        <v>2852</v>
      </c>
      <c r="E2643" s="7" t="s">
        <v>11260</v>
      </c>
      <c r="F2643" s="5" t="s">
        <v>11168</v>
      </c>
      <c r="G2643" s="5" t="s">
        <v>11261</v>
      </c>
      <c r="H2643" s="5">
        <v>2002.0</v>
      </c>
      <c r="I2643" s="5">
        <v>0.0</v>
      </c>
      <c r="J2643" s="5">
        <v>0.0</v>
      </c>
      <c r="K2643" s="5">
        <v>2.0</v>
      </c>
      <c r="L2643" s="54"/>
      <c r="M2643" s="5" t="s">
        <v>11262</v>
      </c>
      <c r="N2643" s="53" t="s">
        <v>7081</v>
      </c>
      <c r="O2643">
        <v>32.427908</v>
      </c>
      <c r="P2643">
        <v>53.688046</v>
      </c>
      <c r="Q2643" s="5" t="s">
        <v>470</v>
      </c>
      <c r="R2643" s="10">
        <f t="shared" si="10"/>
        <v>95</v>
      </c>
      <c r="S2643" s="5" t="s">
        <v>11263</v>
      </c>
      <c r="T2643" s="5"/>
      <c r="U2643" s="5" t="s">
        <v>10799</v>
      </c>
      <c r="V2643" s="5"/>
    </row>
    <row r="2644" ht="12.75" customHeight="1">
      <c r="A2644" s="5">
        <v>35847.0</v>
      </c>
      <c r="B2644" s="5" t="s">
        <v>636</v>
      </c>
      <c r="C2644" s="52" t="s">
        <v>50</v>
      </c>
      <c r="D2644" s="5" t="s">
        <v>2614</v>
      </c>
      <c r="E2644" s="7" t="s">
        <v>11260</v>
      </c>
      <c r="F2644" s="5" t="s">
        <v>11168</v>
      </c>
      <c r="G2644" s="5" t="s">
        <v>11261</v>
      </c>
      <c r="H2644" s="5">
        <v>2002.0</v>
      </c>
      <c r="I2644" s="5">
        <v>0.0</v>
      </c>
      <c r="J2644" s="5">
        <v>0.0</v>
      </c>
      <c r="K2644" s="5">
        <v>8.0</v>
      </c>
      <c r="L2644" s="54"/>
      <c r="M2644" s="5" t="s">
        <v>11264</v>
      </c>
      <c r="N2644" s="53" t="s">
        <v>6371</v>
      </c>
      <c r="O2644">
        <v>34.686667</v>
      </c>
      <c r="P2644">
        <v>-1.911389</v>
      </c>
      <c r="Q2644" s="5" t="s">
        <v>586</v>
      </c>
      <c r="R2644" s="10">
        <f t="shared" si="10"/>
        <v>17</v>
      </c>
      <c r="S2644" s="5" t="s">
        <v>11265</v>
      </c>
      <c r="T2644" s="6" t="s">
        <v>72</v>
      </c>
      <c r="U2644" s="5" t="s">
        <v>5833</v>
      </c>
      <c r="V2644" s="5" t="s">
        <v>11266</v>
      </c>
    </row>
    <row r="2645" ht="12.75" customHeight="1">
      <c r="A2645" s="5">
        <v>35851.0</v>
      </c>
      <c r="B2645" s="5" t="s">
        <v>49</v>
      </c>
      <c r="C2645" s="52" t="s">
        <v>50</v>
      </c>
      <c r="D2645" s="5" t="s">
        <v>2852</v>
      </c>
      <c r="E2645" s="7" t="s">
        <v>11267</v>
      </c>
      <c r="F2645" s="5" t="s">
        <v>11168</v>
      </c>
      <c r="G2645" s="5" t="s">
        <v>11261</v>
      </c>
      <c r="H2645" s="5">
        <v>2002.0</v>
      </c>
      <c r="I2645" s="5">
        <v>0.0</v>
      </c>
      <c r="J2645" s="5">
        <v>0.0</v>
      </c>
      <c r="K2645" s="5">
        <v>32.0</v>
      </c>
      <c r="L2645" s="54"/>
      <c r="M2645" s="5" t="s">
        <v>11268</v>
      </c>
      <c r="N2645" s="53" t="s">
        <v>7071</v>
      </c>
      <c r="O2645">
        <v>27.153611</v>
      </c>
      <c r="P2645">
        <v>-13.203333</v>
      </c>
      <c r="Q2645" s="5" t="s">
        <v>349</v>
      </c>
      <c r="R2645" s="10">
        <f t="shared" si="10"/>
        <v>348</v>
      </c>
      <c r="S2645" s="5" t="s">
        <v>11269</v>
      </c>
      <c r="T2645" s="5" t="s">
        <v>1040</v>
      </c>
      <c r="U2645" s="5" t="s">
        <v>11270</v>
      </c>
      <c r="V2645" s="5" t="s">
        <v>11271</v>
      </c>
    </row>
    <row r="2646" ht="12.75" customHeight="1">
      <c r="A2646" s="5">
        <v>35852.0</v>
      </c>
      <c r="B2646" s="5" t="s">
        <v>49</v>
      </c>
      <c r="C2646" s="52" t="s">
        <v>50</v>
      </c>
      <c r="D2646" s="5" t="s">
        <v>2852</v>
      </c>
      <c r="E2646" s="7" t="s">
        <v>11267</v>
      </c>
      <c r="F2646" s="5" t="s">
        <v>11168</v>
      </c>
      <c r="G2646" s="5" t="s">
        <v>11261</v>
      </c>
      <c r="H2646" s="5">
        <v>2002.0</v>
      </c>
      <c r="I2646" s="5">
        <v>0.0</v>
      </c>
      <c r="J2646" s="5">
        <v>0.0</v>
      </c>
      <c r="K2646" s="5">
        <v>56.0</v>
      </c>
      <c r="L2646" s="54"/>
      <c r="M2646" s="5" t="s">
        <v>11272</v>
      </c>
      <c r="N2646" s="53" t="s">
        <v>2917</v>
      </c>
      <c r="O2646">
        <v>32.876174</v>
      </c>
      <c r="P2646">
        <v>13.187507</v>
      </c>
      <c r="Q2646" s="5" t="s">
        <v>481</v>
      </c>
      <c r="R2646" s="10">
        <f t="shared" si="10"/>
        <v>1281</v>
      </c>
      <c r="S2646" s="5" t="s">
        <v>11273</v>
      </c>
      <c r="T2646" s="6" t="s">
        <v>2130</v>
      </c>
      <c r="U2646" s="5" t="s">
        <v>11274</v>
      </c>
      <c r="V2646" s="5" t="s">
        <v>11271</v>
      </c>
    </row>
    <row r="2647" ht="12.75" customHeight="1">
      <c r="A2647" s="5">
        <v>35850.0</v>
      </c>
      <c r="B2647" s="5" t="s">
        <v>49</v>
      </c>
      <c r="C2647" s="52" t="s">
        <v>50</v>
      </c>
      <c r="D2647" s="5" t="s">
        <v>2852</v>
      </c>
      <c r="E2647" s="7" t="s">
        <v>11267</v>
      </c>
      <c r="F2647" s="5" t="s">
        <v>11168</v>
      </c>
      <c r="G2647" s="5" t="s">
        <v>11261</v>
      </c>
      <c r="H2647" s="5">
        <v>2002.0</v>
      </c>
      <c r="I2647" s="5">
        <v>0.0</v>
      </c>
      <c r="J2647" s="5">
        <v>0.0</v>
      </c>
      <c r="K2647" s="5">
        <v>12.0</v>
      </c>
      <c r="L2647" s="54"/>
      <c r="M2647" s="5" t="s">
        <v>11275</v>
      </c>
      <c r="N2647" s="53" t="s">
        <v>2917</v>
      </c>
      <c r="O2647">
        <v>32.876174</v>
      </c>
      <c r="P2647">
        <v>13.187507</v>
      </c>
      <c r="Q2647" s="5" t="s">
        <v>481</v>
      </c>
      <c r="R2647" s="10">
        <f t="shared" si="10"/>
        <v>1281</v>
      </c>
      <c r="S2647" s="5" t="s">
        <v>11273</v>
      </c>
      <c r="T2647" s="6" t="s">
        <v>2130</v>
      </c>
      <c r="U2647" s="5" t="s">
        <v>11274</v>
      </c>
      <c r="V2647" s="5"/>
    </row>
    <row r="2648" ht="12.75" customHeight="1">
      <c r="A2648" s="5">
        <v>35849.0</v>
      </c>
      <c r="B2648" s="5" t="s">
        <v>68</v>
      </c>
      <c r="C2648" s="5" t="s">
        <v>69</v>
      </c>
      <c r="D2648" s="5" t="s">
        <v>2614</v>
      </c>
      <c r="E2648" s="7" t="s">
        <v>11267</v>
      </c>
      <c r="F2648" s="5" t="s">
        <v>11168</v>
      </c>
      <c r="G2648" s="5" t="s">
        <v>11261</v>
      </c>
      <c r="H2648" s="5">
        <v>2002.0</v>
      </c>
      <c r="I2648" s="5">
        <v>0.0</v>
      </c>
      <c r="J2648" s="5">
        <v>0.0</v>
      </c>
      <c r="K2648" s="5">
        <v>2.0</v>
      </c>
      <c r="L2648" s="54"/>
      <c r="M2648" s="5" t="s">
        <v>11276</v>
      </c>
      <c r="N2648" s="53" t="s">
        <v>6113</v>
      </c>
      <c r="O2648">
        <v>37.075546</v>
      </c>
      <c r="P2648">
        <v>25.520736</v>
      </c>
      <c r="Q2648" s="5" t="s">
        <v>899</v>
      </c>
      <c r="R2648" s="10">
        <f t="shared" si="10"/>
        <v>70</v>
      </c>
      <c r="S2648" s="5" t="s">
        <v>11277</v>
      </c>
      <c r="T2648" s="6" t="s">
        <v>53</v>
      </c>
      <c r="U2648" s="5" t="s">
        <v>3318</v>
      </c>
      <c r="V2648" s="5" t="s">
        <v>11278</v>
      </c>
    </row>
    <row r="2649" ht="12.75" customHeight="1">
      <c r="A2649" s="5">
        <v>35853.0</v>
      </c>
      <c r="B2649" s="5" t="s">
        <v>68</v>
      </c>
      <c r="C2649" s="5" t="s">
        <v>69</v>
      </c>
      <c r="D2649" s="5" t="s">
        <v>2614</v>
      </c>
      <c r="E2649" s="7" t="s">
        <v>11279</v>
      </c>
      <c r="F2649" s="5" t="s">
        <v>11168</v>
      </c>
      <c r="G2649" s="5" t="s">
        <v>11261</v>
      </c>
      <c r="H2649" s="5">
        <v>2002.0</v>
      </c>
      <c r="I2649" s="5">
        <v>0.0</v>
      </c>
      <c r="J2649" s="5">
        <v>0.0</v>
      </c>
      <c r="K2649" s="5">
        <v>2.0</v>
      </c>
      <c r="L2649" s="54"/>
      <c r="M2649" s="5" t="s">
        <v>11280</v>
      </c>
      <c r="N2649" s="53" t="s">
        <v>2680</v>
      </c>
      <c r="O2649">
        <v>36.018776</v>
      </c>
      <c r="P2649">
        <v>-5.600819</v>
      </c>
      <c r="Q2649" s="5" t="s">
        <v>761</v>
      </c>
      <c r="R2649" s="10">
        <f t="shared" si="10"/>
        <v>492</v>
      </c>
      <c r="S2649" s="5" t="s">
        <v>11281</v>
      </c>
      <c r="T2649" s="6" t="s">
        <v>72</v>
      </c>
      <c r="U2649" s="5" t="s">
        <v>2785</v>
      </c>
      <c r="V2649" s="5" t="s">
        <v>11282</v>
      </c>
    </row>
    <row r="2650" ht="12.75" customHeight="1">
      <c r="A2650" s="5">
        <v>35854.0</v>
      </c>
      <c r="B2650" s="5" t="s">
        <v>2902</v>
      </c>
      <c r="C2650" s="5" t="s">
        <v>211</v>
      </c>
      <c r="D2650" s="5" t="s">
        <v>2852</v>
      </c>
      <c r="E2650" s="7" t="s">
        <v>11283</v>
      </c>
      <c r="F2650" s="5" t="s">
        <v>11168</v>
      </c>
      <c r="G2650" s="5" t="s">
        <v>11261</v>
      </c>
      <c r="H2650" s="5">
        <v>2002.0</v>
      </c>
      <c r="I2650" s="5">
        <v>0.0</v>
      </c>
      <c r="J2650" s="5">
        <v>0.0</v>
      </c>
      <c r="K2650" s="5">
        <v>1.0</v>
      </c>
      <c r="L2650" s="54"/>
      <c r="M2650" s="5" t="s">
        <v>11284</v>
      </c>
      <c r="N2650" s="53" t="s">
        <v>4971</v>
      </c>
      <c r="O2650">
        <v>47.162494</v>
      </c>
      <c r="P2650">
        <v>19.503304</v>
      </c>
      <c r="Q2650" s="5" t="s">
        <v>1370</v>
      </c>
      <c r="R2650" s="10">
        <f t="shared" si="10"/>
        <v>3</v>
      </c>
      <c r="S2650" s="5" t="s">
        <v>11285</v>
      </c>
      <c r="T2650" s="6" t="s">
        <v>65</v>
      </c>
      <c r="U2650" s="5" t="s">
        <v>11286</v>
      </c>
      <c r="V2650" s="5"/>
    </row>
    <row r="2651" ht="12.75" customHeight="1">
      <c r="A2651" s="5">
        <v>35855.0</v>
      </c>
      <c r="B2651" s="5" t="s">
        <v>3409</v>
      </c>
      <c r="C2651" s="5" t="s">
        <v>211</v>
      </c>
      <c r="D2651" s="5" t="s">
        <v>2852</v>
      </c>
      <c r="E2651" s="7" t="s">
        <v>11287</v>
      </c>
      <c r="F2651" s="5" t="s">
        <v>11168</v>
      </c>
      <c r="G2651" s="5" t="s">
        <v>11261</v>
      </c>
      <c r="H2651" s="5">
        <v>2002.0</v>
      </c>
      <c r="I2651" s="5">
        <v>0.0</v>
      </c>
      <c r="J2651" s="5">
        <v>0.0</v>
      </c>
      <c r="K2651" s="5">
        <v>1.0</v>
      </c>
      <c r="L2651" s="54"/>
      <c r="M2651" s="5" t="s">
        <v>11288</v>
      </c>
      <c r="N2651" s="53" t="s">
        <v>11289</v>
      </c>
      <c r="O2651">
        <v>52.912679</v>
      </c>
      <c r="P2651">
        <v>8.818135</v>
      </c>
      <c r="Q2651" s="5" t="s">
        <v>1803</v>
      </c>
      <c r="R2651" s="10">
        <f t="shared" si="10"/>
        <v>1</v>
      </c>
      <c r="S2651" s="5" t="s">
        <v>11290</v>
      </c>
      <c r="T2651" s="5"/>
      <c r="U2651" s="5" t="s">
        <v>4578</v>
      </c>
      <c r="V2651" s="5"/>
    </row>
    <row r="2652" ht="12.75" customHeight="1">
      <c r="A2652" s="5">
        <v>35857.0</v>
      </c>
      <c r="B2652" s="5" t="s">
        <v>49</v>
      </c>
      <c r="C2652" s="52" t="s">
        <v>50</v>
      </c>
      <c r="D2652" s="5" t="s">
        <v>2852</v>
      </c>
      <c r="E2652" s="7" t="s">
        <v>11291</v>
      </c>
      <c r="F2652" s="5" t="s">
        <v>11168</v>
      </c>
      <c r="G2652" s="5" t="s">
        <v>11261</v>
      </c>
      <c r="H2652" s="5">
        <v>2002.0</v>
      </c>
      <c r="I2652" s="5">
        <v>0.0</v>
      </c>
      <c r="J2652" s="5">
        <v>0.0</v>
      </c>
      <c r="K2652" s="5">
        <v>4.0</v>
      </c>
      <c r="L2652" s="54"/>
      <c r="M2652" s="5" t="s">
        <v>11292</v>
      </c>
      <c r="N2652" s="53" t="s">
        <v>10575</v>
      </c>
      <c r="O2652">
        <v>35.183333</v>
      </c>
      <c r="P2652">
        <v>-6.15</v>
      </c>
      <c r="Q2652" s="5" t="s">
        <v>635</v>
      </c>
      <c r="R2652" s="10">
        <f t="shared" si="10"/>
        <v>87</v>
      </c>
      <c r="S2652" s="5" t="s">
        <v>11293</v>
      </c>
      <c r="T2652" s="6" t="s">
        <v>72</v>
      </c>
      <c r="U2652" s="5" t="s">
        <v>254</v>
      </c>
      <c r="V2652" s="5"/>
    </row>
    <row r="2653" ht="12.75" customHeight="1">
      <c r="A2653" s="5">
        <v>35856.0</v>
      </c>
      <c r="B2653" s="5" t="s">
        <v>49</v>
      </c>
      <c r="C2653" s="52" t="s">
        <v>50</v>
      </c>
      <c r="D2653" s="5" t="s">
        <v>2852</v>
      </c>
      <c r="E2653" s="7" t="s">
        <v>11291</v>
      </c>
      <c r="F2653" s="5" t="s">
        <v>11168</v>
      </c>
      <c r="G2653" s="5" t="s">
        <v>11261</v>
      </c>
      <c r="H2653" s="5">
        <v>2002.0</v>
      </c>
      <c r="I2653" s="5">
        <v>0.0</v>
      </c>
      <c r="J2653" s="5">
        <v>0.0</v>
      </c>
      <c r="K2653" s="5">
        <v>2.0</v>
      </c>
      <c r="L2653" s="54"/>
      <c r="M2653" s="5" t="s">
        <v>11294</v>
      </c>
      <c r="N2653" s="53" t="s">
        <v>10575</v>
      </c>
      <c r="O2653">
        <v>35.183333</v>
      </c>
      <c r="P2653">
        <v>-6.15</v>
      </c>
      <c r="Q2653" s="5" t="s">
        <v>635</v>
      </c>
      <c r="R2653" s="10">
        <f t="shared" si="10"/>
        <v>87</v>
      </c>
      <c r="S2653" s="5" t="s">
        <v>11293</v>
      </c>
      <c r="T2653" s="6" t="s">
        <v>72</v>
      </c>
      <c r="U2653" s="5" t="s">
        <v>254</v>
      </c>
      <c r="V2653" s="5"/>
    </row>
    <row r="2654" ht="12.75" customHeight="1">
      <c r="A2654" s="5">
        <v>35858.0</v>
      </c>
      <c r="B2654" s="5" t="s">
        <v>68</v>
      </c>
      <c r="C2654" s="5" t="s">
        <v>69</v>
      </c>
      <c r="D2654" s="5" t="s">
        <v>2614</v>
      </c>
      <c r="E2654" s="7" t="s">
        <v>11295</v>
      </c>
      <c r="F2654" s="5" t="s">
        <v>11168</v>
      </c>
      <c r="G2654" s="5" t="s">
        <v>11261</v>
      </c>
      <c r="H2654" s="5">
        <v>2002.0</v>
      </c>
      <c r="I2654" s="5">
        <v>0.0</v>
      </c>
      <c r="J2654" s="5">
        <v>0.0</v>
      </c>
      <c r="K2654" s="5">
        <v>47.0</v>
      </c>
      <c r="L2654" s="54"/>
      <c r="M2654" s="5" t="s">
        <v>11296</v>
      </c>
      <c r="N2654" s="53" t="s">
        <v>10575</v>
      </c>
      <c r="O2654">
        <v>35.183333</v>
      </c>
      <c r="P2654">
        <v>-6.15</v>
      </c>
      <c r="Q2654" s="5" t="s">
        <v>635</v>
      </c>
      <c r="R2654" s="10">
        <f t="shared" si="10"/>
        <v>87</v>
      </c>
      <c r="S2654" s="5" t="s">
        <v>11297</v>
      </c>
      <c r="T2654" s="6" t="s">
        <v>72</v>
      </c>
      <c r="U2654" s="5" t="s">
        <v>11298</v>
      </c>
      <c r="V2654" s="5" t="s">
        <v>11299</v>
      </c>
    </row>
    <row r="2655" ht="12.75" customHeight="1">
      <c r="A2655" s="5">
        <v>35859.0</v>
      </c>
      <c r="B2655" s="5" t="s">
        <v>1076</v>
      </c>
      <c r="C2655" s="52" t="s">
        <v>50</v>
      </c>
      <c r="D2655" s="5" t="s">
        <v>2852</v>
      </c>
      <c r="E2655" s="7" t="s">
        <v>11300</v>
      </c>
      <c r="F2655" s="5" t="s">
        <v>11168</v>
      </c>
      <c r="G2655" s="5" t="s">
        <v>11261</v>
      </c>
      <c r="H2655" s="5">
        <v>2002.0</v>
      </c>
      <c r="I2655" s="5">
        <v>0.0</v>
      </c>
      <c r="J2655" s="5">
        <v>0.0</v>
      </c>
      <c r="K2655" s="5">
        <v>5.0</v>
      </c>
      <c r="L2655" s="54"/>
      <c r="M2655" s="5" t="s">
        <v>11301</v>
      </c>
      <c r="N2655" s="53" t="s">
        <v>11302</v>
      </c>
      <c r="O2655">
        <v>37.388096</v>
      </c>
      <c r="P2655">
        <v>-5.98233</v>
      </c>
      <c r="Q2655" s="5" t="s">
        <v>932</v>
      </c>
      <c r="R2655" s="10">
        <f t="shared" si="10"/>
        <v>7</v>
      </c>
      <c r="S2655" s="5" t="s">
        <v>11303</v>
      </c>
      <c r="T2655" s="6" t="s">
        <v>72</v>
      </c>
      <c r="U2655" s="5" t="s">
        <v>11304</v>
      </c>
      <c r="V2655" s="5"/>
    </row>
    <row r="2656" ht="12.75" customHeight="1">
      <c r="A2656" s="5">
        <v>35860.0</v>
      </c>
      <c r="B2656" s="5" t="s">
        <v>636</v>
      </c>
      <c r="C2656" s="52" t="s">
        <v>50</v>
      </c>
      <c r="D2656" s="5" t="s">
        <v>2614</v>
      </c>
      <c r="E2656" s="7" t="s">
        <v>11305</v>
      </c>
      <c r="F2656" s="5" t="s">
        <v>11168</v>
      </c>
      <c r="G2656" s="5" t="s">
        <v>11261</v>
      </c>
      <c r="H2656" s="5">
        <v>2002.0</v>
      </c>
      <c r="I2656" s="5">
        <v>0.0</v>
      </c>
      <c r="J2656" s="5">
        <v>0.0</v>
      </c>
      <c r="K2656" s="5">
        <v>1.0</v>
      </c>
      <c r="L2656" s="54"/>
      <c r="M2656" s="5" t="s">
        <v>11306</v>
      </c>
      <c r="N2656" s="53" t="s">
        <v>3251</v>
      </c>
      <c r="O2656">
        <v>39.074208</v>
      </c>
      <c r="P2656">
        <v>21.824312</v>
      </c>
      <c r="Q2656" s="5" t="s">
        <v>1061</v>
      </c>
      <c r="R2656" s="10">
        <f t="shared" si="10"/>
        <v>20</v>
      </c>
      <c r="S2656" s="5" t="s">
        <v>11307</v>
      </c>
      <c r="T2656" s="5"/>
      <c r="U2656" s="5" t="s">
        <v>3318</v>
      </c>
      <c r="V2656" s="5" t="s">
        <v>11308</v>
      </c>
    </row>
    <row r="2657" ht="12.75" customHeight="1">
      <c r="A2657" s="5">
        <v>35861.0</v>
      </c>
      <c r="B2657" s="5" t="s">
        <v>49</v>
      </c>
      <c r="C2657" s="52" t="s">
        <v>50</v>
      </c>
      <c r="D2657" s="5" t="s">
        <v>2852</v>
      </c>
      <c r="E2657" s="7" t="s">
        <v>11309</v>
      </c>
      <c r="F2657" s="5" t="s">
        <v>11168</v>
      </c>
      <c r="G2657" s="5" t="s">
        <v>11261</v>
      </c>
      <c r="H2657" s="5">
        <v>2002.0</v>
      </c>
      <c r="I2657" s="5">
        <v>0.0</v>
      </c>
      <c r="J2657" s="5">
        <v>0.0</v>
      </c>
      <c r="K2657" s="5">
        <v>1.0</v>
      </c>
      <c r="L2657" s="54"/>
      <c r="M2657" s="5" t="s">
        <v>11310</v>
      </c>
      <c r="N2657" s="53" t="s">
        <v>10875</v>
      </c>
      <c r="O2657">
        <v>38.244854</v>
      </c>
      <c r="P2657">
        <v>27.13824</v>
      </c>
      <c r="Q2657" s="5" t="s">
        <v>1009</v>
      </c>
      <c r="R2657" s="10">
        <f t="shared" si="10"/>
        <v>7</v>
      </c>
      <c r="S2657" s="5" t="s">
        <v>11311</v>
      </c>
      <c r="T2657" s="6" t="s">
        <v>53</v>
      </c>
      <c r="U2657" s="5" t="s">
        <v>10799</v>
      </c>
      <c r="V2657" s="5"/>
    </row>
    <row r="2658" ht="12.75" customHeight="1">
      <c r="A2658" s="5">
        <v>35862.0</v>
      </c>
      <c r="B2658" s="5" t="s">
        <v>3409</v>
      </c>
      <c r="C2658" s="5" t="s">
        <v>211</v>
      </c>
      <c r="D2658" s="5" t="s">
        <v>2852</v>
      </c>
      <c r="E2658" s="7" t="s">
        <v>11312</v>
      </c>
      <c r="F2658" s="5" t="s">
        <v>11168</v>
      </c>
      <c r="G2658" s="5" t="s">
        <v>11261</v>
      </c>
      <c r="H2658" s="5">
        <v>2002.0</v>
      </c>
      <c r="I2658" s="5">
        <v>0.0</v>
      </c>
      <c r="J2658" s="5">
        <v>0.0</v>
      </c>
      <c r="K2658" s="5">
        <v>1.0</v>
      </c>
      <c r="L2658" s="54"/>
      <c r="M2658" s="5" t="s">
        <v>11313</v>
      </c>
      <c r="N2658" s="53" t="s">
        <v>4095</v>
      </c>
      <c r="O2658">
        <v>55.378051</v>
      </c>
      <c r="P2658">
        <v>-3.435973</v>
      </c>
      <c r="Q2658" s="5" t="s">
        <v>1882</v>
      </c>
      <c r="R2658" s="10">
        <f t="shared" si="10"/>
        <v>23</v>
      </c>
      <c r="S2658" s="5" t="s">
        <v>11314</v>
      </c>
      <c r="T2658" s="5"/>
      <c r="U2658" s="5" t="s">
        <v>11315</v>
      </c>
      <c r="V2658" s="5"/>
    </row>
    <row r="2659" ht="12.75" customHeight="1">
      <c r="A2659" s="5">
        <v>35864.0</v>
      </c>
      <c r="B2659" s="5" t="s">
        <v>49</v>
      </c>
      <c r="C2659" s="52" t="s">
        <v>50</v>
      </c>
      <c r="D2659" s="5" t="s">
        <v>2852</v>
      </c>
      <c r="E2659" s="7" t="s">
        <v>11316</v>
      </c>
      <c r="F2659" s="5" t="s">
        <v>11168</v>
      </c>
      <c r="G2659" s="5" t="s">
        <v>11261</v>
      </c>
      <c r="H2659" s="5">
        <v>2002.0</v>
      </c>
      <c r="I2659" s="5">
        <v>0.0</v>
      </c>
      <c r="J2659" s="5">
        <v>0.0</v>
      </c>
      <c r="K2659" s="5">
        <v>1.0</v>
      </c>
      <c r="L2659" s="54"/>
      <c r="M2659" s="5" t="s">
        <v>11317</v>
      </c>
      <c r="N2659" s="53" t="s">
        <v>11102</v>
      </c>
      <c r="O2659">
        <v>40.143898</v>
      </c>
      <c r="P2659">
        <v>18.491168</v>
      </c>
      <c r="Q2659" s="5" t="s">
        <v>1121</v>
      </c>
      <c r="R2659" s="10">
        <f t="shared" si="10"/>
        <v>48</v>
      </c>
      <c r="S2659" s="5" t="s">
        <v>11318</v>
      </c>
      <c r="T2659" s="6" t="s">
        <v>1963</v>
      </c>
      <c r="U2659" s="5" t="s">
        <v>11319</v>
      </c>
      <c r="V2659" s="5"/>
    </row>
    <row r="2660" ht="12.75" customHeight="1">
      <c r="A2660" s="5">
        <v>35863.0</v>
      </c>
      <c r="B2660" s="5" t="s">
        <v>49</v>
      </c>
      <c r="C2660" s="52" t="s">
        <v>50</v>
      </c>
      <c r="D2660" s="5" t="s">
        <v>2852</v>
      </c>
      <c r="E2660" s="7" t="s">
        <v>11316</v>
      </c>
      <c r="F2660" s="5" t="s">
        <v>11168</v>
      </c>
      <c r="G2660" s="5" t="s">
        <v>11261</v>
      </c>
      <c r="H2660" s="5">
        <v>2002.0</v>
      </c>
      <c r="I2660" s="5">
        <v>0.0</v>
      </c>
      <c r="J2660" s="5">
        <v>0.0</v>
      </c>
      <c r="K2660" s="5">
        <v>6.0</v>
      </c>
      <c r="L2660" s="54"/>
      <c r="M2660" s="5" t="s">
        <v>11320</v>
      </c>
      <c r="N2660" s="53" t="s">
        <v>11102</v>
      </c>
      <c r="O2660">
        <v>40.143898</v>
      </c>
      <c r="P2660">
        <v>18.491168</v>
      </c>
      <c r="Q2660" s="5" t="s">
        <v>1121</v>
      </c>
      <c r="R2660" s="10">
        <f t="shared" si="10"/>
        <v>48</v>
      </c>
      <c r="S2660" s="5" t="s">
        <v>11318</v>
      </c>
      <c r="T2660" s="6" t="s">
        <v>1963</v>
      </c>
      <c r="U2660" s="5" t="s">
        <v>11321</v>
      </c>
      <c r="V2660" s="5"/>
    </row>
    <row r="2661" ht="12.75" customHeight="1">
      <c r="A2661" s="5">
        <v>35865.0</v>
      </c>
      <c r="B2661" s="5" t="s">
        <v>2902</v>
      </c>
      <c r="C2661" s="5" t="s">
        <v>211</v>
      </c>
      <c r="D2661" s="5" t="s">
        <v>2852</v>
      </c>
      <c r="E2661" s="7" t="s">
        <v>11322</v>
      </c>
      <c r="F2661" s="5" t="s">
        <v>11168</v>
      </c>
      <c r="G2661" s="5" t="s">
        <v>11261</v>
      </c>
      <c r="H2661" s="5">
        <v>2002.0</v>
      </c>
      <c r="I2661" s="5">
        <v>0.0</v>
      </c>
      <c r="J2661" s="5">
        <v>0.0</v>
      </c>
      <c r="K2661" s="5">
        <v>1.0</v>
      </c>
      <c r="L2661" s="54"/>
      <c r="M2661" s="5" t="s">
        <v>11323</v>
      </c>
      <c r="N2661" s="53" t="s">
        <v>11324</v>
      </c>
      <c r="O2661">
        <v>55.676097</v>
      </c>
      <c r="P2661">
        <v>12.568337</v>
      </c>
      <c r="Q2661" s="5" t="s">
        <v>1892</v>
      </c>
      <c r="R2661" s="10">
        <f t="shared" si="10"/>
        <v>1</v>
      </c>
      <c r="S2661" s="5" t="s">
        <v>11325</v>
      </c>
      <c r="T2661" s="5"/>
      <c r="U2661" s="5" t="s">
        <v>11326</v>
      </c>
      <c r="V2661" s="5"/>
    </row>
    <row r="2662" ht="12.75" customHeight="1">
      <c r="A2662" s="5">
        <v>35866.0</v>
      </c>
      <c r="B2662" s="5" t="s">
        <v>68</v>
      </c>
      <c r="C2662" s="5" t="s">
        <v>69</v>
      </c>
      <c r="D2662" s="5" t="s">
        <v>2614</v>
      </c>
      <c r="E2662" s="7" t="s">
        <v>11327</v>
      </c>
      <c r="F2662" s="5" t="s">
        <v>11168</v>
      </c>
      <c r="G2662" s="5" t="s">
        <v>11328</v>
      </c>
      <c r="H2662" s="5">
        <v>2002.0</v>
      </c>
      <c r="I2662" s="5">
        <v>0.0</v>
      </c>
      <c r="J2662" s="5">
        <v>0.0</v>
      </c>
      <c r="K2662" s="5">
        <v>23.0</v>
      </c>
      <c r="L2662" s="54"/>
      <c r="M2662" s="5" t="s">
        <v>11329</v>
      </c>
      <c r="N2662" s="53" t="s">
        <v>2944</v>
      </c>
      <c r="O2662">
        <v>-12.8275</v>
      </c>
      <c r="P2662">
        <v>45.166244</v>
      </c>
      <c r="Q2662" s="5" t="s">
        <v>228</v>
      </c>
      <c r="R2662" s="10">
        <f t="shared" si="10"/>
        <v>757</v>
      </c>
      <c r="S2662" s="5" t="s">
        <v>11330</v>
      </c>
      <c r="T2662" s="5"/>
      <c r="U2662" s="5" t="s">
        <v>8097</v>
      </c>
      <c r="V2662" s="5" t="s">
        <v>8585</v>
      </c>
    </row>
    <row r="2663" ht="12.75" customHeight="1">
      <c r="A2663" s="5">
        <v>35867.0</v>
      </c>
      <c r="B2663" s="5" t="s">
        <v>49</v>
      </c>
      <c r="C2663" s="52" t="s">
        <v>50</v>
      </c>
      <c r="D2663" s="5" t="s">
        <v>2852</v>
      </c>
      <c r="E2663" s="7" t="s">
        <v>11331</v>
      </c>
      <c r="F2663" s="5" t="s">
        <v>11168</v>
      </c>
      <c r="G2663" s="5" t="s">
        <v>11328</v>
      </c>
      <c r="H2663" s="5">
        <v>2002.0</v>
      </c>
      <c r="I2663" s="5">
        <v>0.0</v>
      </c>
      <c r="J2663" s="5">
        <v>0.0</v>
      </c>
      <c r="K2663" s="5">
        <v>2.0</v>
      </c>
      <c r="L2663" s="54"/>
      <c r="M2663" s="5" t="s">
        <v>11332</v>
      </c>
      <c r="N2663" s="53" t="s">
        <v>9311</v>
      </c>
      <c r="O2663">
        <v>39.16408</v>
      </c>
      <c r="P2663">
        <v>26.372171</v>
      </c>
      <c r="Q2663" s="5" t="s">
        <v>1068</v>
      </c>
      <c r="R2663" s="10">
        <f t="shared" si="10"/>
        <v>101</v>
      </c>
      <c r="S2663" s="5" t="s">
        <v>11333</v>
      </c>
      <c r="T2663" s="6" t="s">
        <v>53</v>
      </c>
      <c r="U2663" s="5" t="s">
        <v>3128</v>
      </c>
      <c r="V2663" s="5"/>
    </row>
    <row r="2664" ht="12.75" customHeight="1">
      <c r="A2664" s="5">
        <v>35868.0</v>
      </c>
      <c r="B2664" s="5" t="s">
        <v>68</v>
      </c>
      <c r="C2664" s="5" t="s">
        <v>69</v>
      </c>
      <c r="D2664" s="5" t="s">
        <v>2614</v>
      </c>
      <c r="E2664" s="7" t="s">
        <v>11334</v>
      </c>
      <c r="F2664" s="5" t="s">
        <v>11168</v>
      </c>
      <c r="G2664" s="5" t="s">
        <v>11328</v>
      </c>
      <c r="H2664" s="5">
        <v>2002.0</v>
      </c>
      <c r="I2664" s="5">
        <v>0.0</v>
      </c>
      <c r="J2664" s="5">
        <v>0.0</v>
      </c>
      <c r="K2664" s="5">
        <v>9.0</v>
      </c>
      <c r="L2664" s="54"/>
      <c r="M2664" s="5" t="s">
        <v>11335</v>
      </c>
      <c r="N2664" s="53" t="s">
        <v>3524</v>
      </c>
      <c r="O2664">
        <v>36.81881</v>
      </c>
      <c r="P2664">
        <v>10.16596</v>
      </c>
      <c r="Q2664" s="5" t="s">
        <v>854</v>
      </c>
      <c r="R2664" s="10">
        <f t="shared" si="10"/>
        <v>540</v>
      </c>
      <c r="S2664" s="5" t="s">
        <v>11336</v>
      </c>
      <c r="T2664" s="6" t="s">
        <v>2130</v>
      </c>
      <c r="U2664" s="5" t="s">
        <v>2326</v>
      </c>
      <c r="V2664" s="5" t="s">
        <v>7579</v>
      </c>
    </row>
    <row r="2665" ht="12.75" customHeight="1">
      <c r="A2665" s="5">
        <v>35869.0</v>
      </c>
      <c r="B2665" s="5" t="s">
        <v>49</v>
      </c>
      <c r="C2665" s="52" t="s">
        <v>50</v>
      </c>
      <c r="D2665" s="5" t="s">
        <v>2852</v>
      </c>
      <c r="E2665" s="7" t="s">
        <v>11337</v>
      </c>
      <c r="F2665" s="5" t="s">
        <v>11168</v>
      </c>
      <c r="G2665" s="5" t="s">
        <v>11328</v>
      </c>
      <c r="H2665" s="5">
        <v>2002.0</v>
      </c>
      <c r="I2665" s="5">
        <v>0.0</v>
      </c>
      <c r="J2665" s="5">
        <v>0.0</v>
      </c>
      <c r="K2665" s="5">
        <v>6.0</v>
      </c>
      <c r="L2665" s="54"/>
      <c r="M2665" s="5" t="s">
        <v>11338</v>
      </c>
      <c r="N2665" s="53" t="s">
        <v>9311</v>
      </c>
      <c r="O2665">
        <v>39.16408</v>
      </c>
      <c r="P2665">
        <v>26.372171</v>
      </c>
      <c r="Q2665" s="5" t="s">
        <v>1068</v>
      </c>
      <c r="R2665" s="10">
        <f t="shared" si="10"/>
        <v>101</v>
      </c>
      <c r="S2665" s="5" t="s">
        <v>11339</v>
      </c>
      <c r="T2665" s="6" t="s">
        <v>53</v>
      </c>
      <c r="U2665" s="5" t="s">
        <v>11340</v>
      </c>
      <c r="V2665" s="5" t="s">
        <v>7579</v>
      </c>
    </row>
    <row r="2666" ht="12.75" customHeight="1">
      <c r="A2666" s="5">
        <v>35870.0</v>
      </c>
      <c r="B2666" s="5" t="s">
        <v>68</v>
      </c>
      <c r="C2666" s="5" t="s">
        <v>69</v>
      </c>
      <c r="D2666" s="5" t="s">
        <v>2614</v>
      </c>
      <c r="E2666" s="7" t="s">
        <v>11341</v>
      </c>
      <c r="F2666" s="5" t="s">
        <v>11168</v>
      </c>
      <c r="G2666" s="5" t="s">
        <v>11328</v>
      </c>
      <c r="H2666" s="5">
        <v>2002.0</v>
      </c>
      <c r="I2666" s="5">
        <v>0.0</v>
      </c>
      <c r="J2666" s="5">
        <v>0.0</v>
      </c>
      <c r="K2666" s="5">
        <v>5.0</v>
      </c>
      <c r="L2666" s="54"/>
      <c r="M2666" s="5" t="s">
        <v>11342</v>
      </c>
      <c r="N2666" s="53" t="s">
        <v>5983</v>
      </c>
      <c r="O2666">
        <v>36.132977</v>
      </c>
      <c r="P2666">
        <v>-5.453909</v>
      </c>
      <c r="Q2666" s="5" t="s">
        <v>770</v>
      </c>
      <c r="R2666" s="10">
        <f t="shared" si="10"/>
        <v>29</v>
      </c>
      <c r="S2666" s="5" t="s">
        <v>11343</v>
      </c>
      <c r="T2666" s="6" t="s">
        <v>72</v>
      </c>
      <c r="U2666" s="5" t="s">
        <v>11344</v>
      </c>
      <c r="V2666" s="5" t="s">
        <v>11345</v>
      </c>
    </row>
    <row r="2667" ht="12.75" customHeight="1">
      <c r="A2667" s="5">
        <v>35871.0</v>
      </c>
      <c r="B2667" s="5" t="s">
        <v>1076</v>
      </c>
      <c r="C2667" s="52" t="s">
        <v>50</v>
      </c>
      <c r="D2667" s="5" t="s">
        <v>2614</v>
      </c>
      <c r="E2667" s="7" t="s">
        <v>11346</v>
      </c>
      <c r="F2667" s="5" t="s">
        <v>11168</v>
      </c>
      <c r="G2667" s="5" t="s">
        <v>11328</v>
      </c>
      <c r="H2667" s="5">
        <v>2002.0</v>
      </c>
      <c r="I2667" s="5">
        <v>0.0</v>
      </c>
      <c r="J2667" s="5">
        <v>0.0</v>
      </c>
      <c r="K2667" s="5">
        <v>5.0</v>
      </c>
      <c r="L2667" s="54"/>
      <c r="M2667" s="5" t="s">
        <v>11347</v>
      </c>
      <c r="N2667" s="53" t="s">
        <v>5983</v>
      </c>
      <c r="O2667">
        <v>36.132977</v>
      </c>
      <c r="P2667">
        <v>-5.453909</v>
      </c>
      <c r="Q2667" s="5" t="s">
        <v>770</v>
      </c>
      <c r="R2667" s="10">
        <f t="shared" si="10"/>
        <v>29</v>
      </c>
      <c r="S2667" s="5" t="s">
        <v>11348</v>
      </c>
      <c r="T2667" s="6" t="s">
        <v>72</v>
      </c>
      <c r="U2667" s="5" t="s">
        <v>2785</v>
      </c>
      <c r="V2667" s="5" t="s">
        <v>11349</v>
      </c>
    </row>
    <row r="2668" ht="12.75" customHeight="1">
      <c r="A2668" s="5">
        <v>35872.0</v>
      </c>
      <c r="B2668" s="5" t="s">
        <v>49</v>
      </c>
      <c r="C2668" s="52" t="s">
        <v>50</v>
      </c>
      <c r="D2668" s="5" t="s">
        <v>2852</v>
      </c>
      <c r="E2668" s="7" t="s">
        <v>11350</v>
      </c>
      <c r="F2668" s="5" t="s">
        <v>11168</v>
      </c>
      <c r="G2668" s="5" t="s">
        <v>11328</v>
      </c>
      <c r="H2668" s="5">
        <v>2002.0</v>
      </c>
      <c r="I2668" s="5">
        <v>0.0</v>
      </c>
      <c r="J2668" s="5">
        <v>0.0</v>
      </c>
      <c r="K2668" s="5">
        <v>2.0</v>
      </c>
      <c r="L2668" s="54"/>
      <c r="M2668" s="5" t="s">
        <v>11351</v>
      </c>
      <c r="N2668" s="53" t="s">
        <v>7911</v>
      </c>
      <c r="O2668">
        <v>38.652771</v>
      </c>
      <c r="P2668">
        <v>26.613007</v>
      </c>
      <c r="Q2668" s="5" t="s">
        <v>1032</v>
      </c>
      <c r="R2668" s="10">
        <f t="shared" si="10"/>
        <v>69</v>
      </c>
      <c r="S2668" s="5" t="s">
        <v>11352</v>
      </c>
      <c r="T2668" s="6" t="s">
        <v>53</v>
      </c>
      <c r="U2668" s="5" t="s">
        <v>254</v>
      </c>
      <c r="V2668" s="5"/>
    </row>
    <row r="2669" ht="12.75" customHeight="1">
      <c r="A2669" s="5">
        <v>35873.0</v>
      </c>
      <c r="B2669" s="5" t="s">
        <v>49</v>
      </c>
      <c r="C2669" s="52" t="s">
        <v>50</v>
      </c>
      <c r="D2669" s="5" t="s">
        <v>2852</v>
      </c>
      <c r="E2669" s="7" t="s">
        <v>11350</v>
      </c>
      <c r="F2669" s="5" t="s">
        <v>11168</v>
      </c>
      <c r="G2669" s="5" t="s">
        <v>11328</v>
      </c>
      <c r="H2669" s="5">
        <v>2002.0</v>
      </c>
      <c r="I2669" s="5">
        <v>0.0</v>
      </c>
      <c r="J2669" s="5">
        <v>0.0</v>
      </c>
      <c r="K2669" s="5">
        <v>7.0</v>
      </c>
      <c r="L2669" s="54"/>
      <c r="M2669" s="5" t="s">
        <v>11353</v>
      </c>
      <c r="N2669" s="53" t="s">
        <v>11354</v>
      </c>
      <c r="O2669" s="10">
        <v>39.0</v>
      </c>
      <c r="P2669" s="10">
        <v>25.0</v>
      </c>
      <c r="Q2669" s="5" t="str">
        <f>O2669&amp;", "&amp;P2669</f>
        <v>39, 25</v>
      </c>
      <c r="R2669" s="10">
        <f t="shared" si="10"/>
        <v>7</v>
      </c>
      <c r="S2669" s="5" t="s">
        <v>11355</v>
      </c>
      <c r="T2669" s="6" t="s">
        <v>53</v>
      </c>
      <c r="U2669" s="5" t="s">
        <v>254</v>
      </c>
      <c r="V2669" s="5" t="s">
        <v>7579</v>
      </c>
    </row>
    <row r="2670" ht="12.75" customHeight="1">
      <c r="A2670" s="5">
        <v>35874.0</v>
      </c>
      <c r="B2670" s="5" t="s">
        <v>68</v>
      </c>
      <c r="C2670" s="5" t="s">
        <v>69</v>
      </c>
      <c r="D2670" s="5" t="s">
        <v>2614</v>
      </c>
      <c r="E2670" s="7" t="s">
        <v>11356</v>
      </c>
      <c r="F2670" s="5" t="s">
        <v>11168</v>
      </c>
      <c r="G2670" s="5" t="s">
        <v>11328</v>
      </c>
      <c r="H2670" s="5">
        <v>2002.0</v>
      </c>
      <c r="I2670" s="5">
        <v>0.0</v>
      </c>
      <c r="J2670" s="5">
        <v>0.0</v>
      </c>
      <c r="K2670" s="5">
        <v>14.0</v>
      </c>
      <c r="L2670" s="54"/>
      <c r="M2670" s="5" t="s">
        <v>11357</v>
      </c>
      <c r="N2670" s="53" t="s">
        <v>4663</v>
      </c>
      <c r="O2670">
        <v>36.19002</v>
      </c>
      <c r="P2670">
        <v>-5.92248</v>
      </c>
      <c r="Q2670" s="5" t="s">
        <v>778</v>
      </c>
      <c r="R2670" s="10">
        <f t="shared" si="10"/>
        <v>74</v>
      </c>
      <c r="S2670" s="5" t="s">
        <v>11358</v>
      </c>
      <c r="T2670" s="6" t="s">
        <v>72</v>
      </c>
      <c r="U2670" s="5" t="s">
        <v>2785</v>
      </c>
      <c r="V2670" s="5" t="s">
        <v>11359</v>
      </c>
    </row>
    <row r="2671" ht="12.75" customHeight="1">
      <c r="A2671" s="5">
        <v>35876.0</v>
      </c>
      <c r="B2671" s="5" t="s">
        <v>49</v>
      </c>
      <c r="C2671" s="52" t="s">
        <v>50</v>
      </c>
      <c r="D2671" s="5" t="s">
        <v>2852</v>
      </c>
      <c r="E2671" s="7" t="s">
        <v>11360</v>
      </c>
      <c r="F2671" s="5" t="s">
        <v>11168</v>
      </c>
      <c r="G2671" s="5" t="s">
        <v>11328</v>
      </c>
      <c r="H2671" s="5">
        <v>2002.0</v>
      </c>
      <c r="I2671" s="5">
        <v>0.0</v>
      </c>
      <c r="J2671" s="5">
        <v>0.0</v>
      </c>
      <c r="K2671" s="5">
        <v>5.0</v>
      </c>
      <c r="L2671" s="54"/>
      <c r="M2671" s="5" t="s">
        <v>11361</v>
      </c>
      <c r="N2671" s="53" t="s">
        <v>4941</v>
      </c>
      <c r="O2671">
        <v>28.291564</v>
      </c>
      <c r="P2671">
        <v>-16.62913</v>
      </c>
      <c r="Q2671" s="5" t="s">
        <v>382</v>
      </c>
      <c r="R2671" s="10">
        <f t="shared" si="10"/>
        <v>1120</v>
      </c>
      <c r="S2671" s="5" t="s">
        <v>11362</v>
      </c>
      <c r="T2671" s="5" t="s">
        <v>1040</v>
      </c>
      <c r="U2671" s="5" t="s">
        <v>3128</v>
      </c>
      <c r="V2671" s="5"/>
    </row>
    <row r="2672" ht="12.75" customHeight="1">
      <c r="A2672" s="5">
        <v>35875.0</v>
      </c>
      <c r="B2672" s="5" t="s">
        <v>49</v>
      </c>
      <c r="C2672" s="52" t="s">
        <v>50</v>
      </c>
      <c r="D2672" s="5" t="s">
        <v>2852</v>
      </c>
      <c r="E2672" s="7" t="s">
        <v>11360</v>
      </c>
      <c r="F2672" s="5" t="s">
        <v>11168</v>
      </c>
      <c r="G2672" s="5" t="s">
        <v>11328</v>
      </c>
      <c r="H2672" s="5">
        <v>2002.0</v>
      </c>
      <c r="I2672" s="5">
        <v>0.0</v>
      </c>
      <c r="J2672" s="5">
        <v>0.0</v>
      </c>
      <c r="K2672" s="5">
        <v>1.0</v>
      </c>
      <c r="L2672" s="54"/>
      <c r="M2672" s="5" t="s">
        <v>11363</v>
      </c>
      <c r="N2672" s="53" t="s">
        <v>5814</v>
      </c>
      <c r="O2672">
        <v>28.358744</v>
      </c>
      <c r="P2672">
        <v>-14.053676</v>
      </c>
      <c r="Q2672" s="5" t="s">
        <v>390</v>
      </c>
      <c r="R2672" s="10">
        <f t="shared" si="10"/>
        <v>488</v>
      </c>
      <c r="S2672" s="5" t="s">
        <v>11364</v>
      </c>
      <c r="T2672" s="5" t="s">
        <v>1040</v>
      </c>
      <c r="U2672" s="5" t="s">
        <v>3128</v>
      </c>
      <c r="V2672" s="5"/>
    </row>
    <row r="2673" ht="12.75" customHeight="1">
      <c r="A2673" s="5">
        <v>35878.0</v>
      </c>
      <c r="B2673" s="5" t="s">
        <v>49</v>
      </c>
      <c r="C2673" s="52" t="s">
        <v>50</v>
      </c>
      <c r="D2673" s="5" t="s">
        <v>2852</v>
      </c>
      <c r="E2673" s="7" t="s">
        <v>11365</v>
      </c>
      <c r="F2673" s="5" t="s">
        <v>11168</v>
      </c>
      <c r="G2673" s="5" t="s">
        <v>11328</v>
      </c>
      <c r="H2673" s="5">
        <v>2002.0</v>
      </c>
      <c r="I2673" s="5">
        <v>0.0</v>
      </c>
      <c r="J2673" s="5">
        <v>0.0</v>
      </c>
      <c r="K2673" s="5">
        <v>7.0</v>
      </c>
      <c r="L2673" s="54"/>
      <c r="M2673" s="5" t="s">
        <v>11366</v>
      </c>
      <c r="N2673" s="53" t="s">
        <v>7822</v>
      </c>
      <c r="O2673">
        <v>35.010802</v>
      </c>
      <c r="P2673">
        <v>-7.514648</v>
      </c>
      <c r="Q2673" s="5" t="s">
        <v>614</v>
      </c>
      <c r="R2673" s="10">
        <f t="shared" si="10"/>
        <v>117</v>
      </c>
      <c r="S2673" s="5" t="s">
        <v>11367</v>
      </c>
      <c r="T2673" s="6" t="s">
        <v>72</v>
      </c>
      <c r="U2673" s="5" t="s">
        <v>3219</v>
      </c>
      <c r="V2673" s="5"/>
    </row>
    <row r="2674" ht="12.75" customHeight="1">
      <c r="A2674" s="5">
        <v>35877.0</v>
      </c>
      <c r="B2674" s="5" t="s">
        <v>49</v>
      </c>
      <c r="C2674" s="52" t="s">
        <v>50</v>
      </c>
      <c r="D2674" s="5" t="s">
        <v>2852</v>
      </c>
      <c r="E2674" s="7" t="s">
        <v>11365</v>
      </c>
      <c r="F2674" s="5" t="s">
        <v>11168</v>
      </c>
      <c r="G2674" s="5" t="s">
        <v>11328</v>
      </c>
      <c r="H2674" s="5">
        <v>2002.0</v>
      </c>
      <c r="I2674" s="5">
        <v>0.0</v>
      </c>
      <c r="J2674" s="5">
        <v>0.0</v>
      </c>
      <c r="K2674" s="5">
        <v>6.0</v>
      </c>
      <c r="L2674" s="54"/>
      <c r="M2674" s="5" t="s">
        <v>11368</v>
      </c>
      <c r="N2674" s="53" t="s">
        <v>7822</v>
      </c>
      <c r="O2674">
        <v>35.010802</v>
      </c>
      <c r="P2674">
        <v>-7.514648</v>
      </c>
      <c r="Q2674" s="5" t="s">
        <v>614</v>
      </c>
      <c r="R2674" s="10">
        <f t="shared" si="10"/>
        <v>117</v>
      </c>
      <c r="S2674" s="5" t="s">
        <v>11367</v>
      </c>
      <c r="T2674" s="6" t="s">
        <v>72</v>
      </c>
      <c r="U2674" s="5" t="s">
        <v>3219</v>
      </c>
      <c r="V2674" s="5"/>
    </row>
    <row r="2675" ht="12.75" customHeight="1">
      <c r="A2675" s="5">
        <v>35879.0</v>
      </c>
      <c r="B2675" s="5" t="s">
        <v>49</v>
      </c>
      <c r="C2675" s="52" t="s">
        <v>50</v>
      </c>
      <c r="D2675" s="5" t="s">
        <v>2852</v>
      </c>
      <c r="E2675" s="7" t="s">
        <v>11369</v>
      </c>
      <c r="F2675" s="5" t="s">
        <v>11168</v>
      </c>
      <c r="G2675" s="5" t="s">
        <v>11328</v>
      </c>
      <c r="H2675" s="5">
        <v>2002.0</v>
      </c>
      <c r="I2675" s="5">
        <v>0.0</v>
      </c>
      <c r="J2675" s="5">
        <v>0.0</v>
      </c>
      <c r="K2675" s="5">
        <v>9.0</v>
      </c>
      <c r="L2675" s="54"/>
      <c r="M2675" s="5" t="s">
        <v>11370</v>
      </c>
      <c r="N2675" s="53" t="s">
        <v>2857</v>
      </c>
      <c r="O2675">
        <v>36.527061</v>
      </c>
      <c r="P2675">
        <v>-6.288596</v>
      </c>
      <c r="Q2675" s="5" t="s">
        <v>802</v>
      </c>
      <c r="R2675" s="10">
        <f t="shared" si="10"/>
        <v>185</v>
      </c>
      <c r="S2675" s="5" t="s">
        <v>11371</v>
      </c>
      <c r="T2675" s="6" t="s">
        <v>72</v>
      </c>
      <c r="U2675" s="5" t="s">
        <v>11372</v>
      </c>
      <c r="V2675" s="5"/>
    </row>
    <row r="2676" ht="12.75" customHeight="1">
      <c r="A2676" s="5">
        <v>35985.0</v>
      </c>
      <c r="B2676" s="5" t="s">
        <v>1995</v>
      </c>
      <c r="C2676" s="52" t="s">
        <v>50</v>
      </c>
      <c r="D2676" s="5" t="s">
        <v>2852</v>
      </c>
      <c r="E2676" s="7" t="s">
        <v>11373</v>
      </c>
      <c r="F2676" s="5" t="s">
        <v>11079</v>
      </c>
      <c r="G2676" s="5" t="s">
        <v>11374</v>
      </c>
      <c r="H2676" s="5">
        <v>2002.0</v>
      </c>
      <c r="I2676" s="5">
        <v>0.0</v>
      </c>
      <c r="J2676" s="5">
        <v>0.0</v>
      </c>
      <c r="K2676" s="5">
        <v>1.0</v>
      </c>
      <c r="L2676" s="54"/>
      <c r="M2676" s="5" t="s">
        <v>11375</v>
      </c>
      <c r="N2676" s="53" t="s">
        <v>11376</v>
      </c>
      <c r="O2676">
        <v>52.118759</v>
      </c>
      <c r="P2676">
        <v>5.40633</v>
      </c>
      <c r="Q2676" s="5" t="s">
        <v>1713</v>
      </c>
      <c r="R2676" s="10">
        <f t="shared" si="10"/>
        <v>1</v>
      </c>
      <c r="S2676" s="5" t="s">
        <v>11377</v>
      </c>
      <c r="T2676" s="5"/>
      <c r="U2676" s="5" t="s">
        <v>10959</v>
      </c>
      <c r="V2676" s="5"/>
    </row>
    <row r="2677" ht="12.75" customHeight="1">
      <c r="A2677" s="5">
        <v>35986.0</v>
      </c>
      <c r="B2677" s="5" t="s">
        <v>68</v>
      </c>
      <c r="C2677" s="5" t="s">
        <v>69</v>
      </c>
      <c r="D2677" s="5" t="s">
        <v>2852</v>
      </c>
      <c r="E2677" s="7" t="s">
        <v>11378</v>
      </c>
      <c r="F2677" s="5" t="s">
        <v>11079</v>
      </c>
      <c r="G2677" s="5" t="s">
        <v>11374</v>
      </c>
      <c r="H2677" s="5">
        <v>2002.0</v>
      </c>
      <c r="I2677" s="5">
        <v>0.0</v>
      </c>
      <c r="J2677" s="5">
        <v>0.0</v>
      </c>
      <c r="K2677" s="5">
        <v>1.0</v>
      </c>
      <c r="L2677" s="54"/>
      <c r="M2677" s="5" t="s">
        <v>11379</v>
      </c>
      <c r="N2677" s="53" t="s">
        <v>10134</v>
      </c>
      <c r="O2677">
        <v>40.463667</v>
      </c>
      <c r="P2677">
        <v>-3.74922</v>
      </c>
      <c r="Q2677" s="5" t="s">
        <v>1142</v>
      </c>
      <c r="R2677" s="10">
        <f t="shared" si="10"/>
        <v>6</v>
      </c>
      <c r="S2677" s="5" t="s">
        <v>11380</v>
      </c>
      <c r="T2677" s="6" t="s">
        <v>72</v>
      </c>
      <c r="U2677" s="5" t="s">
        <v>9274</v>
      </c>
      <c r="V2677" s="5"/>
    </row>
    <row r="2678" ht="12.75" customHeight="1">
      <c r="A2678" s="5">
        <v>35987.0</v>
      </c>
      <c r="B2678" s="5" t="s">
        <v>49</v>
      </c>
      <c r="C2678" s="52" t="s">
        <v>50</v>
      </c>
      <c r="D2678" s="5" t="s">
        <v>2852</v>
      </c>
      <c r="E2678" s="7" t="s">
        <v>11381</v>
      </c>
      <c r="F2678" s="5" t="s">
        <v>11079</v>
      </c>
      <c r="G2678" s="5" t="s">
        <v>11374</v>
      </c>
      <c r="H2678" s="5">
        <v>2002.0</v>
      </c>
      <c r="I2678" s="5">
        <v>0.0</v>
      </c>
      <c r="J2678" s="5">
        <v>0.0</v>
      </c>
      <c r="K2678" s="5">
        <v>16.0</v>
      </c>
      <c r="L2678" s="54"/>
      <c r="M2678" s="5" t="s">
        <v>11382</v>
      </c>
      <c r="N2678" s="53" t="s">
        <v>4941</v>
      </c>
      <c r="O2678">
        <v>28.291564</v>
      </c>
      <c r="P2678">
        <v>-16.62913</v>
      </c>
      <c r="Q2678" s="5" t="s">
        <v>382</v>
      </c>
      <c r="R2678" s="10">
        <f t="shared" si="10"/>
        <v>1120</v>
      </c>
      <c r="S2678" s="5" t="s">
        <v>11383</v>
      </c>
      <c r="T2678" s="5" t="s">
        <v>1040</v>
      </c>
      <c r="U2678" s="5" t="s">
        <v>3128</v>
      </c>
      <c r="V2678" s="5"/>
    </row>
    <row r="2679" ht="12.75" customHeight="1">
      <c r="A2679" s="5">
        <v>35988.0</v>
      </c>
      <c r="B2679" s="5" t="s">
        <v>98</v>
      </c>
      <c r="C2679" s="5" t="s">
        <v>62</v>
      </c>
      <c r="D2679" s="5" t="s">
        <v>2852</v>
      </c>
      <c r="E2679" s="7" t="s">
        <v>11384</v>
      </c>
      <c r="F2679" s="5" t="s">
        <v>11079</v>
      </c>
      <c r="G2679" s="5" t="s">
        <v>11374</v>
      </c>
      <c r="H2679" s="5">
        <v>2002.0</v>
      </c>
      <c r="I2679" s="5">
        <v>0.0</v>
      </c>
      <c r="J2679" s="5">
        <v>0.0</v>
      </c>
      <c r="K2679" s="5">
        <v>1.0</v>
      </c>
      <c r="L2679" s="54"/>
      <c r="M2679" s="5" t="s">
        <v>11385</v>
      </c>
      <c r="N2679" s="53" t="s">
        <v>7081</v>
      </c>
      <c r="O2679">
        <v>32.427908</v>
      </c>
      <c r="P2679">
        <v>53.688046</v>
      </c>
      <c r="Q2679" s="5" t="s">
        <v>470</v>
      </c>
      <c r="R2679" s="10">
        <f t="shared" si="10"/>
        <v>95</v>
      </c>
      <c r="S2679" s="5" t="s">
        <v>11386</v>
      </c>
      <c r="T2679" s="5"/>
      <c r="U2679" s="5" t="s">
        <v>11387</v>
      </c>
      <c r="V2679" s="5"/>
    </row>
    <row r="2680" ht="12.75" customHeight="1">
      <c r="A2680" s="5">
        <v>35989.0</v>
      </c>
      <c r="B2680" s="5" t="s">
        <v>1105</v>
      </c>
      <c r="C2680" s="5" t="s">
        <v>75</v>
      </c>
      <c r="D2680" s="5" t="s">
        <v>2852</v>
      </c>
      <c r="E2680" s="7" t="s">
        <v>11388</v>
      </c>
      <c r="F2680" s="5" t="s">
        <v>11079</v>
      </c>
      <c r="G2680" s="5" t="s">
        <v>11374</v>
      </c>
      <c r="H2680" s="5">
        <v>2002.0</v>
      </c>
      <c r="I2680" s="5">
        <v>0.0</v>
      </c>
      <c r="J2680" s="5">
        <v>0.0</v>
      </c>
      <c r="K2680" s="5">
        <v>1.0</v>
      </c>
      <c r="L2680" s="54"/>
      <c r="M2680" s="5" t="s">
        <v>11389</v>
      </c>
      <c r="N2680" s="53" t="s">
        <v>11390</v>
      </c>
      <c r="O2680">
        <v>50.917288</v>
      </c>
      <c r="P2680">
        <v>1.824342</v>
      </c>
      <c r="Q2680" s="5" t="s">
        <v>1541</v>
      </c>
      <c r="R2680" s="10">
        <f t="shared" si="10"/>
        <v>1</v>
      </c>
      <c r="S2680" s="5" t="s">
        <v>11391</v>
      </c>
      <c r="T2680" s="5"/>
      <c r="U2680" s="5" t="s">
        <v>11392</v>
      </c>
      <c r="V2680" s="5"/>
    </row>
    <row r="2681" ht="12.75" customHeight="1">
      <c r="A2681" s="5">
        <v>35990.0</v>
      </c>
      <c r="B2681" s="5" t="s">
        <v>49</v>
      </c>
      <c r="C2681" s="52" t="s">
        <v>50</v>
      </c>
      <c r="D2681" s="5" t="s">
        <v>2852</v>
      </c>
      <c r="E2681" s="7" t="s">
        <v>11393</v>
      </c>
      <c r="F2681" s="5" t="s">
        <v>11079</v>
      </c>
      <c r="G2681" s="5" t="s">
        <v>11374</v>
      </c>
      <c r="H2681" s="5">
        <v>2002.0</v>
      </c>
      <c r="I2681" s="5">
        <v>0.0</v>
      </c>
      <c r="J2681" s="5">
        <v>0.0</v>
      </c>
      <c r="K2681" s="5">
        <v>44.0</v>
      </c>
      <c r="L2681" s="54"/>
      <c r="M2681" s="5" t="s">
        <v>11394</v>
      </c>
      <c r="N2681" s="53" t="s">
        <v>2705</v>
      </c>
      <c r="O2681">
        <v>36.799851</v>
      </c>
      <c r="P2681">
        <v>27.102943</v>
      </c>
      <c r="Q2681" s="5" t="s">
        <v>848</v>
      </c>
      <c r="R2681" s="10">
        <f t="shared" si="10"/>
        <v>119</v>
      </c>
      <c r="S2681" s="5" t="s">
        <v>11395</v>
      </c>
      <c r="T2681" s="6" t="s">
        <v>53</v>
      </c>
      <c r="U2681" s="5" t="s">
        <v>11396</v>
      </c>
      <c r="V2681" s="5"/>
    </row>
    <row r="2682" ht="12.75" customHeight="1">
      <c r="A2682" s="5">
        <v>35991.0</v>
      </c>
      <c r="B2682" s="5" t="s">
        <v>763</v>
      </c>
      <c r="C2682" s="5" t="s">
        <v>124</v>
      </c>
      <c r="D2682" s="5" t="s">
        <v>2852</v>
      </c>
      <c r="E2682" s="7" t="s">
        <v>11393</v>
      </c>
      <c r="F2682" s="5" t="s">
        <v>11079</v>
      </c>
      <c r="G2682" s="5" t="s">
        <v>11374</v>
      </c>
      <c r="H2682" s="5">
        <v>2002.0</v>
      </c>
      <c r="I2682" s="5">
        <v>0.0</v>
      </c>
      <c r="J2682" s="5">
        <v>0.0</v>
      </c>
      <c r="K2682" s="5">
        <v>1.0</v>
      </c>
      <c r="L2682" s="54"/>
      <c r="M2682" s="5" t="s">
        <v>11397</v>
      </c>
      <c r="N2682" s="53" t="s">
        <v>3171</v>
      </c>
      <c r="O2682">
        <v>38.24664</v>
      </c>
      <c r="P2682">
        <v>21.734574</v>
      </c>
      <c r="Q2682" s="5" t="s">
        <v>1010</v>
      </c>
      <c r="R2682" s="10">
        <f t="shared" si="10"/>
        <v>7</v>
      </c>
      <c r="S2682" s="5" t="s">
        <v>11398</v>
      </c>
      <c r="T2682" s="5"/>
      <c r="U2682" s="5" t="s">
        <v>3219</v>
      </c>
      <c r="V2682" s="5"/>
    </row>
    <row r="2683" ht="12.75" customHeight="1">
      <c r="A2683" s="5">
        <v>35992.0</v>
      </c>
      <c r="B2683" s="5" t="s">
        <v>1076</v>
      </c>
      <c r="C2683" s="52" t="s">
        <v>50</v>
      </c>
      <c r="D2683" s="5" t="s">
        <v>2852</v>
      </c>
      <c r="E2683" s="7" t="s">
        <v>11393</v>
      </c>
      <c r="F2683" s="5" t="s">
        <v>11079</v>
      </c>
      <c r="G2683" s="5" t="s">
        <v>11374</v>
      </c>
      <c r="H2683" s="5">
        <v>2002.0</v>
      </c>
      <c r="I2683" s="5">
        <v>0.0</v>
      </c>
      <c r="J2683" s="5">
        <v>0.0</v>
      </c>
      <c r="K2683" s="5">
        <v>4.0</v>
      </c>
      <c r="L2683" s="54"/>
      <c r="M2683" s="5" t="s">
        <v>11399</v>
      </c>
      <c r="N2683" s="53" t="s">
        <v>9412</v>
      </c>
      <c r="O2683">
        <v>43.548473</v>
      </c>
      <c r="P2683">
        <v>10.310567</v>
      </c>
      <c r="Q2683" s="5" t="s">
        <v>1281</v>
      </c>
      <c r="R2683" s="10">
        <f t="shared" si="10"/>
        <v>15</v>
      </c>
      <c r="S2683" s="5" t="s">
        <v>11400</v>
      </c>
      <c r="T2683" s="5"/>
      <c r="U2683" s="5" t="s">
        <v>3219</v>
      </c>
      <c r="V2683" s="5"/>
    </row>
    <row r="2684" ht="12.75" customHeight="1">
      <c r="A2684" s="5">
        <v>35993.0</v>
      </c>
      <c r="B2684" s="5" t="s">
        <v>636</v>
      </c>
      <c r="C2684" s="52" t="s">
        <v>50</v>
      </c>
      <c r="D2684" s="5" t="s">
        <v>2852</v>
      </c>
      <c r="E2684" s="7" t="s">
        <v>11401</v>
      </c>
      <c r="F2684" s="5" t="s">
        <v>11079</v>
      </c>
      <c r="G2684" s="5" t="s">
        <v>11374</v>
      </c>
      <c r="H2684" s="5">
        <v>2002.0</v>
      </c>
      <c r="I2684" s="5">
        <v>0.0</v>
      </c>
      <c r="J2684" s="5">
        <v>0.0</v>
      </c>
      <c r="K2684" s="5">
        <v>1.0</v>
      </c>
      <c r="L2684" s="54"/>
      <c r="M2684" s="5" t="s">
        <v>11402</v>
      </c>
      <c r="N2684" s="53" t="s">
        <v>7911</v>
      </c>
      <c r="O2684">
        <v>38.652771</v>
      </c>
      <c r="P2684">
        <v>26.613007</v>
      </c>
      <c r="Q2684" s="5" t="s">
        <v>1032</v>
      </c>
      <c r="R2684" s="10">
        <f t="shared" si="10"/>
        <v>69</v>
      </c>
      <c r="S2684" s="5" t="s">
        <v>11403</v>
      </c>
      <c r="T2684" s="6" t="s">
        <v>53</v>
      </c>
      <c r="U2684" s="5" t="s">
        <v>3219</v>
      </c>
      <c r="V2684" s="5"/>
    </row>
    <row r="2685" ht="12.75" customHeight="1">
      <c r="A2685" s="5">
        <v>35994.0</v>
      </c>
      <c r="B2685" s="5" t="s">
        <v>1995</v>
      </c>
      <c r="C2685" s="52" t="s">
        <v>50</v>
      </c>
      <c r="D2685" s="5" t="s">
        <v>2852</v>
      </c>
      <c r="E2685" s="7" t="s">
        <v>11401</v>
      </c>
      <c r="F2685" s="5" t="s">
        <v>11079</v>
      </c>
      <c r="G2685" s="5" t="s">
        <v>11374</v>
      </c>
      <c r="H2685" s="5">
        <v>2002.0</v>
      </c>
      <c r="I2685" s="5">
        <v>0.0</v>
      </c>
      <c r="J2685" s="5">
        <v>0.0</v>
      </c>
      <c r="K2685" s="5">
        <v>1.0</v>
      </c>
      <c r="L2685" s="54"/>
      <c r="M2685" s="5" t="s">
        <v>11404</v>
      </c>
      <c r="N2685" s="53" t="s">
        <v>11405</v>
      </c>
      <c r="O2685">
        <v>52.9524</v>
      </c>
      <c r="P2685">
        <v>6.356303</v>
      </c>
      <c r="Q2685" s="5" t="s">
        <v>1806</v>
      </c>
      <c r="R2685" s="10">
        <f t="shared" si="10"/>
        <v>1</v>
      </c>
      <c r="S2685" s="5" t="s">
        <v>11406</v>
      </c>
      <c r="T2685" s="5"/>
      <c r="U2685" s="5" t="s">
        <v>11407</v>
      </c>
      <c r="V2685" s="5"/>
    </row>
    <row r="2686" ht="12.75" customHeight="1">
      <c r="A2686" s="5">
        <v>36001.0</v>
      </c>
      <c r="B2686" s="5" t="s">
        <v>49</v>
      </c>
      <c r="C2686" s="52" t="s">
        <v>50</v>
      </c>
      <c r="D2686" s="5" t="s">
        <v>2852</v>
      </c>
      <c r="E2686" s="7" t="s">
        <v>11408</v>
      </c>
      <c r="F2686" s="5" t="s">
        <v>11079</v>
      </c>
      <c r="G2686" s="5" t="s">
        <v>11374</v>
      </c>
      <c r="H2686" s="5">
        <v>2002.0</v>
      </c>
      <c r="I2686" s="5">
        <v>0.0</v>
      </c>
      <c r="J2686" s="5">
        <v>0.0</v>
      </c>
      <c r="K2686" s="5">
        <v>12.0</v>
      </c>
      <c r="L2686" s="54"/>
      <c r="M2686" s="5" t="s">
        <v>11409</v>
      </c>
      <c r="N2686" s="53" t="s">
        <v>2944</v>
      </c>
      <c r="O2686">
        <v>-12.8275</v>
      </c>
      <c r="P2686">
        <v>45.166244</v>
      </c>
      <c r="Q2686" s="5" t="s">
        <v>228</v>
      </c>
      <c r="R2686" s="10">
        <f t="shared" si="10"/>
        <v>757</v>
      </c>
      <c r="S2686" s="5" t="s">
        <v>11410</v>
      </c>
      <c r="T2686" s="5"/>
      <c r="U2686" s="5" t="s">
        <v>254</v>
      </c>
      <c r="V2686" s="5"/>
    </row>
    <row r="2687" ht="12.75" customHeight="1">
      <c r="A2687" s="5">
        <v>35997.0</v>
      </c>
      <c r="B2687" s="5" t="s">
        <v>49</v>
      </c>
      <c r="C2687" s="52" t="s">
        <v>50</v>
      </c>
      <c r="D2687" s="5" t="s">
        <v>2852</v>
      </c>
      <c r="E2687" s="7" t="s">
        <v>11408</v>
      </c>
      <c r="F2687" s="5" t="s">
        <v>11079</v>
      </c>
      <c r="G2687" s="5" t="s">
        <v>11374</v>
      </c>
      <c r="H2687" s="5">
        <v>2002.0</v>
      </c>
      <c r="I2687" s="5">
        <v>0.0</v>
      </c>
      <c r="J2687" s="5">
        <v>0.0</v>
      </c>
      <c r="K2687" s="5">
        <v>8.0</v>
      </c>
      <c r="L2687" s="54"/>
      <c r="M2687" s="5" t="s">
        <v>11411</v>
      </c>
      <c r="N2687" s="53" t="s">
        <v>2944</v>
      </c>
      <c r="O2687">
        <v>-12.8275</v>
      </c>
      <c r="P2687">
        <v>45.166244</v>
      </c>
      <c r="Q2687" s="5" t="s">
        <v>228</v>
      </c>
      <c r="R2687" s="10">
        <f t="shared" si="10"/>
        <v>757</v>
      </c>
      <c r="S2687" s="5" t="s">
        <v>11410</v>
      </c>
      <c r="T2687" s="5"/>
      <c r="U2687" s="5" t="s">
        <v>254</v>
      </c>
      <c r="V2687" s="5"/>
    </row>
    <row r="2688" ht="12.75" customHeight="1">
      <c r="A2688" s="5">
        <v>36000.0</v>
      </c>
      <c r="B2688" s="5" t="s">
        <v>68</v>
      </c>
      <c r="C2688" s="5" t="s">
        <v>69</v>
      </c>
      <c r="D2688" s="5" t="s">
        <v>2852</v>
      </c>
      <c r="E2688" s="7" t="s">
        <v>11408</v>
      </c>
      <c r="F2688" s="5" t="s">
        <v>11079</v>
      </c>
      <c r="G2688" s="5" t="s">
        <v>11374</v>
      </c>
      <c r="H2688" s="5">
        <v>2002.0</v>
      </c>
      <c r="I2688" s="5">
        <v>0.0</v>
      </c>
      <c r="J2688" s="5">
        <v>0.0</v>
      </c>
      <c r="K2688" s="5">
        <v>5.0</v>
      </c>
      <c r="L2688" s="54"/>
      <c r="M2688" s="5" t="s">
        <v>11412</v>
      </c>
      <c r="N2688" s="53" t="s">
        <v>4663</v>
      </c>
      <c r="O2688">
        <v>36.19002</v>
      </c>
      <c r="P2688">
        <v>-5.92248</v>
      </c>
      <c r="Q2688" s="5" t="s">
        <v>778</v>
      </c>
      <c r="R2688" s="10">
        <f t="shared" si="10"/>
        <v>74</v>
      </c>
      <c r="S2688" s="5" t="s">
        <v>11413</v>
      </c>
      <c r="T2688" s="6" t="s">
        <v>72</v>
      </c>
      <c r="U2688" s="5" t="s">
        <v>3219</v>
      </c>
      <c r="V2688" s="5"/>
    </row>
    <row r="2689" ht="12.75" customHeight="1">
      <c r="A2689" s="5">
        <v>35996.0</v>
      </c>
      <c r="B2689" s="5" t="s">
        <v>49</v>
      </c>
      <c r="C2689" s="52" t="s">
        <v>50</v>
      </c>
      <c r="D2689" s="5" t="s">
        <v>2852</v>
      </c>
      <c r="E2689" s="7" t="s">
        <v>11408</v>
      </c>
      <c r="F2689" s="5" t="s">
        <v>11079</v>
      </c>
      <c r="G2689" s="5" t="s">
        <v>11374</v>
      </c>
      <c r="H2689" s="5">
        <v>2002.0</v>
      </c>
      <c r="I2689" s="5">
        <v>0.0</v>
      </c>
      <c r="J2689" s="5">
        <v>0.0</v>
      </c>
      <c r="K2689" s="5">
        <v>9.0</v>
      </c>
      <c r="L2689" s="54"/>
      <c r="M2689" s="5" t="s">
        <v>11414</v>
      </c>
      <c r="N2689" s="53" t="s">
        <v>4663</v>
      </c>
      <c r="O2689">
        <v>36.19002</v>
      </c>
      <c r="P2689">
        <v>-5.92248</v>
      </c>
      <c r="Q2689" s="5" t="s">
        <v>778</v>
      </c>
      <c r="R2689" s="10">
        <f t="shared" si="10"/>
        <v>74</v>
      </c>
      <c r="S2689" s="5" t="s">
        <v>11413</v>
      </c>
      <c r="T2689" s="6" t="s">
        <v>72</v>
      </c>
      <c r="U2689" s="5" t="s">
        <v>3219</v>
      </c>
      <c r="V2689" s="5"/>
    </row>
    <row r="2690" ht="12.75" customHeight="1">
      <c r="A2690" s="5">
        <v>36002.0</v>
      </c>
      <c r="B2690" s="5" t="s">
        <v>68</v>
      </c>
      <c r="C2690" s="5" t="s">
        <v>69</v>
      </c>
      <c r="D2690" s="5" t="s">
        <v>2852</v>
      </c>
      <c r="E2690" s="7" t="s">
        <v>11408</v>
      </c>
      <c r="F2690" s="5" t="s">
        <v>11079</v>
      </c>
      <c r="G2690" s="5" t="s">
        <v>11374</v>
      </c>
      <c r="H2690" s="5">
        <v>2002.0</v>
      </c>
      <c r="I2690" s="5">
        <v>0.0</v>
      </c>
      <c r="J2690" s="5">
        <v>0.0</v>
      </c>
      <c r="K2690" s="5">
        <v>1.0</v>
      </c>
      <c r="L2690" s="54"/>
      <c r="M2690" s="5" t="s">
        <v>11415</v>
      </c>
      <c r="N2690" s="53" t="s">
        <v>3524</v>
      </c>
      <c r="O2690">
        <v>36.81881</v>
      </c>
      <c r="P2690">
        <v>10.16596</v>
      </c>
      <c r="Q2690" s="5" t="s">
        <v>854</v>
      </c>
      <c r="R2690" s="10">
        <f t="shared" si="10"/>
        <v>540</v>
      </c>
      <c r="S2690" s="5" t="s">
        <v>11416</v>
      </c>
      <c r="T2690" s="6" t="s">
        <v>2130</v>
      </c>
      <c r="U2690" s="5" t="s">
        <v>11417</v>
      </c>
      <c r="V2690" s="5"/>
    </row>
    <row r="2691" ht="12.75" customHeight="1">
      <c r="A2691" s="5">
        <v>35999.0</v>
      </c>
      <c r="B2691" s="5" t="s">
        <v>49</v>
      </c>
      <c r="C2691" s="52" t="s">
        <v>50</v>
      </c>
      <c r="D2691" s="5" t="s">
        <v>2852</v>
      </c>
      <c r="E2691" s="7" t="s">
        <v>11408</v>
      </c>
      <c r="F2691" s="5" t="s">
        <v>11079</v>
      </c>
      <c r="G2691" s="5" t="s">
        <v>11374</v>
      </c>
      <c r="H2691" s="5">
        <v>2002.0</v>
      </c>
      <c r="I2691" s="5">
        <v>0.0</v>
      </c>
      <c r="J2691" s="5">
        <v>0.0</v>
      </c>
      <c r="K2691" s="5">
        <v>9.0</v>
      </c>
      <c r="L2691" s="54"/>
      <c r="M2691" s="5" t="s">
        <v>11418</v>
      </c>
      <c r="N2691" s="53" t="s">
        <v>3524</v>
      </c>
      <c r="O2691">
        <v>36.81881</v>
      </c>
      <c r="P2691">
        <v>10.16596</v>
      </c>
      <c r="Q2691" s="5" t="s">
        <v>854</v>
      </c>
      <c r="R2691" s="10">
        <f t="shared" si="10"/>
        <v>540</v>
      </c>
      <c r="S2691" s="5" t="s">
        <v>11416</v>
      </c>
      <c r="T2691" s="6" t="s">
        <v>2130</v>
      </c>
      <c r="U2691" s="5" t="s">
        <v>11417</v>
      </c>
      <c r="V2691" s="5"/>
    </row>
    <row r="2692" ht="12.75" customHeight="1">
      <c r="A2692" s="5">
        <v>35998.0</v>
      </c>
      <c r="B2692" s="5" t="s">
        <v>49</v>
      </c>
      <c r="C2692" s="52" t="s">
        <v>50</v>
      </c>
      <c r="D2692" s="5" t="s">
        <v>2852</v>
      </c>
      <c r="E2692" s="7" t="s">
        <v>11408</v>
      </c>
      <c r="F2692" s="5" t="s">
        <v>11079</v>
      </c>
      <c r="G2692" s="5" t="s">
        <v>11374</v>
      </c>
      <c r="H2692" s="5">
        <v>2002.0</v>
      </c>
      <c r="I2692" s="5">
        <v>0.0</v>
      </c>
      <c r="J2692" s="5">
        <v>0.0</v>
      </c>
      <c r="K2692" s="5">
        <v>1.0</v>
      </c>
      <c r="L2692" s="54"/>
      <c r="M2692" s="5" t="s">
        <v>11419</v>
      </c>
      <c r="N2692" s="53" t="s">
        <v>11420</v>
      </c>
      <c r="O2692">
        <v>37.349722</v>
      </c>
      <c r="P2692">
        <v>22.352222</v>
      </c>
      <c r="Q2692" s="5" t="s">
        <v>924</v>
      </c>
      <c r="R2692" s="10">
        <f t="shared" si="10"/>
        <v>1</v>
      </c>
      <c r="S2692" s="5" t="s">
        <v>11421</v>
      </c>
      <c r="T2692" s="6" t="s">
        <v>53</v>
      </c>
      <c r="U2692" s="5" t="s">
        <v>3219</v>
      </c>
      <c r="V2692" s="5"/>
    </row>
    <row r="2693" ht="12.75" customHeight="1">
      <c r="A2693" s="5">
        <v>35995.0</v>
      </c>
      <c r="B2693" s="5" t="s">
        <v>68</v>
      </c>
      <c r="C2693" s="5" t="s">
        <v>69</v>
      </c>
      <c r="D2693" s="5" t="s">
        <v>2614</v>
      </c>
      <c r="E2693" s="7" t="s">
        <v>11408</v>
      </c>
      <c r="F2693" s="5" t="s">
        <v>11079</v>
      </c>
      <c r="G2693" s="5" t="s">
        <v>11374</v>
      </c>
      <c r="H2693" s="5">
        <v>2002.0</v>
      </c>
      <c r="I2693" s="5">
        <v>0.0</v>
      </c>
      <c r="J2693" s="5">
        <v>0.0</v>
      </c>
      <c r="K2693" s="5">
        <v>1.0</v>
      </c>
      <c r="L2693" s="54"/>
      <c r="M2693" s="5" t="s">
        <v>11422</v>
      </c>
      <c r="N2693" s="53" t="s">
        <v>3846</v>
      </c>
      <c r="O2693">
        <v>40.632728</v>
      </c>
      <c r="P2693">
        <v>17.941762</v>
      </c>
      <c r="Q2693" s="5" t="s">
        <v>1151</v>
      </c>
      <c r="R2693" s="10">
        <f t="shared" si="10"/>
        <v>72</v>
      </c>
      <c r="S2693" s="5" t="s">
        <v>11423</v>
      </c>
      <c r="T2693" s="6" t="s">
        <v>1963</v>
      </c>
      <c r="U2693" s="5" t="s">
        <v>2326</v>
      </c>
      <c r="V2693" s="5" t="s">
        <v>7579</v>
      </c>
    </row>
    <row r="2694" ht="12.75" customHeight="1">
      <c r="A2694" s="5">
        <v>36003.0</v>
      </c>
      <c r="B2694" s="5" t="s">
        <v>3993</v>
      </c>
      <c r="C2694" s="5" t="s">
        <v>211</v>
      </c>
      <c r="D2694" s="5" t="s">
        <v>2852</v>
      </c>
      <c r="E2694" s="7" t="s">
        <v>11408</v>
      </c>
      <c r="F2694" s="5" t="s">
        <v>11079</v>
      </c>
      <c r="G2694" s="5" t="s">
        <v>11374</v>
      </c>
      <c r="H2694" s="5">
        <v>2002.0</v>
      </c>
      <c r="I2694" s="5">
        <v>0.0</v>
      </c>
      <c r="J2694" s="5">
        <v>0.0</v>
      </c>
      <c r="K2694" s="5">
        <v>1.0</v>
      </c>
      <c r="L2694" s="54"/>
      <c r="M2694" s="5" t="s">
        <v>11424</v>
      </c>
      <c r="N2694" s="53" t="s">
        <v>11425</v>
      </c>
      <c r="O2694">
        <v>52.516775</v>
      </c>
      <c r="P2694">
        <v>6.083022</v>
      </c>
      <c r="Q2694" s="5" t="s">
        <v>1771</v>
      </c>
      <c r="R2694" s="10">
        <f t="shared" si="10"/>
        <v>1</v>
      </c>
      <c r="S2694" s="5" t="s">
        <v>11426</v>
      </c>
      <c r="T2694" s="5"/>
      <c r="U2694" s="5" t="s">
        <v>3128</v>
      </c>
      <c r="V2694" s="5"/>
    </row>
    <row r="2695" ht="12.75" customHeight="1">
      <c r="A2695" s="5">
        <v>36008.0</v>
      </c>
      <c r="B2695" s="5" t="s">
        <v>49</v>
      </c>
      <c r="C2695" s="52" t="s">
        <v>50</v>
      </c>
      <c r="D2695" s="5" t="s">
        <v>2852</v>
      </c>
      <c r="E2695" s="7" t="s">
        <v>11427</v>
      </c>
      <c r="F2695" s="5" t="s">
        <v>11079</v>
      </c>
      <c r="G2695" s="5" t="s">
        <v>11374</v>
      </c>
      <c r="H2695" s="5">
        <v>2002.0</v>
      </c>
      <c r="I2695" s="5">
        <v>0.0</v>
      </c>
      <c r="J2695" s="5">
        <v>0.0</v>
      </c>
      <c r="K2695" s="5">
        <v>13.0</v>
      </c>
      <c r="L2695" s="54"/>
      <c r="M2695" s="5" t="s">
        <v>11428</v>
      </c>
      <c r="N2695" s="53" t="s">
        <v>5473</v>
      </c>
      <c r="O2695">
        <v>34.264061</v>
      </c>
      <c r="P2695">
        <v>-6.578296</v>
      </c>
      <c r="Q2695" s="5" t="s">
        <v>578</v>
      </c>
      <c r="R2695" s="10">
        <f t="shared" si="10"/>
        <v>203</v>
      </c>
      <c r="S2695" s="5" t="s">
        <v>11429</v>
      </c>
      <c r="T2695" s="6" t="s">
        <v>72</v>
      </c>
      <c r="U2695" s="5" t="s">
        <v>11430</v>
      </c>
      <c r="V2695" s="5"/>
    </row>
    <row r="2696" ht="12.75" customHeight="1">
      <c r="A2696" s="5">
        <v>36005.0</v>
      </c>
      <c r="B2696" s="5" t="s">
        <v>49</v>
      </c>
      <c r="C2696" s="52" t="s">
        <v>50</v>
      </c>
      <c r="D2696" s="5" t="s">
        <v>2852</v>
      </c>
      <c r="E2696" s="7" t="s">
        <v>11427</v>
      </c>
      <c r="F2696" s="5" t="s">
        <v>11079</v>
      </c>
      <c r="G2696" s="5" t="s">
        <v>11374</v>
      </c>
      <c r="H2696" s="5">
        <v>2002.0</v>
      </c>
      <c r="I2696" s="5">
        <v>0.0</v>
      </c>
      <c r="J2696" s="5">
        <v>0.0</v>
      </c>
      <c r="K2696" s="5">
        <v>11.0</v>
      </c>
      <c r="L2696" s="54"/>
      <c r="M2696" s="5" t="s">
        <v>11431</v>
      </c>
      <c r="N2696" s="53" t="s">
        <v>3314</v>
      </c>
      <c r="O2696">
        <v>37.599994</v>
      </c>
      <c r="P2696">
        <v>14.015356</v>
      </c>
      <c r="Q2696" s="5" t="s">
        <v>949</v>
      </c>
      <c r="R2696" s="10">
        <f t="shared" si="10"/>
        <v>363</v>
      </c>
      <c r="S2696" s="5" t="s">
        <v>11432</v>
      </c>
      <c r="T2696" s="6" t="s">
        <v>2130</v>
      </c>
      <c r="U2696" s="5" t="s">
        <v>4956</v>
      </c>
      <c r="V2696" s="5"/>
    </row>
    <row r="2697" ht="12.75" customHeight="1">
      <c r="A2697" s="5">
        <v>36004.0</v>
      </c>
      <c r="B2697" s="5" t="s">
        <v>49</v>
      </c>
      <c r="C2697" s="52" t="s">
        <v>50</v>
      </c>
      <c r="D2697" s="5" t="s">
        <v>2852</v>
      </c>
      <c r="E2697" s="7" t="s">
        <v>11427</v>
      </c>
      <c r="F2697" s="5" t="s">
        <v>11079</v>
      </c>
      <c r="G2697" s="5" t="s">
        <v>11374</v>
      </c>
      <c r="H2697" s="5">
        <v>2002.0</v>
      </c>
      <c r="I2697" s="5">
        <v>0.0</v>
      </c>
      <c r="J2697" s="5">
        <v>0.0</v>
      </c>
      <c r="K2697" s="5">
        <v>3.0</v>
      </c>
      <c r="L2697" s="54"/>
      <c r="M2697" s="5" t="s">
        <v>11433</v>
      </c>
      <c r="N2697" s="53" t="s">
        <v>3314</v>
      </c>
      <c r="O2697">
        <v>37.599994</v>
      </c>
      <c r="P2697">
        <v>14.015356</v>
      </c>
      <c r="Q2697" s="5" t="s">
        <v>949</v>
      </c>
      <c r="R2697" s="10">
        <f t="shared" si="10"/>
        <v>363</v>
      </c>
      <c r="S2697" s="5" t="s">
        <v>11432</v>
      </c>
      <c r="T2697" s="6" t="s">
        <v>2130</v>
      </c>
      <c r="U2697" s="5" t="s">
        <v>4956</v>
      </c>
      <c r="V2697" s="5"/>
    </row>
    <row r="2698" ht="12.75" customHeight="1">
      <c r="A2698" s="5">
        <v>36009.0</v>
      </c>
      <c r="B2698" s="5" t="s">
        <v>68</v>
      </c>
      <c r="C2698" s="5" t="s">
        <v>69</v>
      </c>
      <c r="D2698" s="5" t="s">
        <v>2852</v>
      </c>
      <c r="E2698" s="7" t="s">
        <v>11427</v>
      </c>
      <c r="F2698" s="5" t="s">
        <v>11079</v>
      </c>
      <c r="G2698" s="5" t="s">
        <v>11374</v>
      </c>
      <c r="H2698" s="5">
        <v>2002.0</v>
      </c>
      <c r="I2698" s="5">
        <v>0.0</v>
      </c>
      <c r="J2698" s="5">
        <v>0.0</v>
      </c>
      <c r="K2698" s="5">
        <v>5.0</v>
      </c>
      <c r="L2698" s="54"/>
      <c r="M2698" s="5" t="s">
        <v>11434</v>
      </c>
      <c r="N2698" s="53" t="s">
        <v>7911</v>
      </c>
      <c r="O2698">
        <v>38.652771</v>
      </c>
      <c r="P2698">
        <v>26.613007</v>
      </c>
      <c r="Q2698" s="5" t="s">
        <v>1032</v>
      </c>
      <c r="R2698" s="10">
        <f t="shared" si="10"/>
        <v>69</v>
      </c>
      <c r="S2698" s="5" t="s">
        <v>11435</v>
      </c>
      <c r="T2698" s="6" t="s">
        <v>53</v>
      </c>
      <c r="U2698" s="5" t="s">
        <v>10177</v>
      </c>
      <c r="V2698" s="5"/>
    </row>
    <row r="2699" ht="12.75" customHeight="1">
      <c r="A2699" s="5">
        <v>36007.0</v>
      </c>
      <c r="B2699" s="5" t="s">
        <v>49</v>
      </c>
      <c r="C2699" s="52" t="s">
        <v>50</v>
      </c>
      <c r="D2699" s="5" t="s">
        <v>2852</v>
      </c>
      <c r="E2699" s="7" t="s">
        <v>11427</v>
      </c>
      <c r="F2699" s="5" t="s">
        <v>11079</v>
      </c>
      <c r="G2699" s="5" t="s">
        <v>11374</v>
      </c>
      <c r="H2699" s="5">
        <v>2002.0</v>
      </c>
      <c r="I2699" s="5">
        <v>0.0</v>
      </c>
      <c r="J2699" s="5">
        <v>0.0</v>
      </c>
      <c r="K2699" s="5">
        <v>2.0</v>
      </c>
      <c r="L2699" s="54"/>
      <c r="M2699" s="5" t="s">
        <v>11436</v>
      </c>
      <c r="N2699" s="53" t="s">
        <v>7911</v>
      </c>
      <c r="O2699">
        <v>38.652771</v>
      </c>
      <c r="P2699">
        <v>26.613007</v>
      </c>
      <c r="Q2699" s="5" t="s">
        <v>1032</v>
      </c>
      <c r="R2699" s="10">
        <f t="shared" si="10"/>
        <v>69</v>
      </c>
      <c r="S2699" s="5" t="s">
        <v>11435</v>
      </c>
      <c r="T2699" s="6" t="s">
        <v>53</v>
      </c>
      <c r="U2699" s="5" t="s">
        <v>3219</v>
      </c>
      <c r="V2699" s="5"/>
    </row>
    <row r="2700" ht="12.75" customHeight="1">
      <c r="A2700" s="5">
        <v>36006.0</v>
      </c>
      <c r="B2700" s="5" t="s">
        <v>49</v>
      </c>
      <c r="C2700" s="52" t="s">
        <v>50</v>
      </c>
      <c r="D2700" s="5" t="s">
        <v>2852</v>
      </c>
      <c r="E2700" s="7" t="s">
        <v>11427</v>
      </c>
      <c r="F2700" s="5" t="s">
        <v>11079</v>
      </c>
      <c r="G2700" s="5" t="s">
        <v>11374</v>
      </c>
      <c r="H2700" s="5">
        <v>2002.0</v>
      </c>
      <c r="I2700" s="5">
        <v>0.0</v>
      </c>
      <c r="J2700" s="5">
        <v>0.0</v>
      </c>
      <c r="K2700" s="5">
        <v>1.0</v>
      </c>
      <c r="L2700" s="54"/>
      <c r="M2700" s="5" t="s">
        <v>11437</v>
      </c>
      <c r="N2700" s="53" t="s">
        <v>7911</v>
      </c>
      <c r="O2700">
        <v>38.652771</v>
      </c>
      <c r="P2700">
        <v>26.613007</v>
      </c>
      <c r="Q2700" s="5" t="s">
        <v>1032</v>
      </c>
      <c r="R2700" s="10">
        <f t="shared" si="10"/>
        <v>69</v>
      </c>
      <c r="S2700" s="5" t="s">
        <v>11435</v>
      </c>
      <c r="T2700" s="6" t="s">
        <v>53</v>
      </c>
      <c r="U2700" s="5" t="s">
        <v>3219</v>
      </c>
      <c r="V2700" s="5"/>
    </row>
    <row r="2701" ht="12.75" customHeight="1">
      <c r="A2701" s="5">
        <v>36010.0</v>
      </c>
      <c r="B2701" s="5" t="s">
        <v>2962</v>
      </c>
      <c r="C2701" s="5" t="s">
        <v>211</v>
      </c>
      <c r="D2701" s="5" t="s">
        <v>2852</v>
      </c>
      <c r="E2701" s="7" t="s">
        <v>11427</v>
      </c>
      <c r="F2701" s="5" t="s">
        <v>11079</v>
      </c>
      <c r="G2701" s="5" t="s">
        <v>11374</v>
      </c>
      <c r="H2701" s="5">
        <v>2002.0</v>
      </c>
      <c r="I2701" s="5">
        <v>0.0</v>
      </c>
      <c r="J2701" s="5">
        <v>0.0</v>
      </c>
      <c r="K2701" s="5">
        <v>1.0</v>
      </c>
      <c r="L2701" s="54"/>
      <c r="M2701" s="5" t="s">
        <v>11438</v>
      </c>
      <c r="N2701" s="53" t="s">
        <v>3810</v>
      </c>
      <c r="O2701">
        <v>55.57156</v>
      </c>
      <c r="P2701">
        <v>-4.410332</v>
      </c>
      <c r="Q2701" s="5" t="s">
        <v>1888</v>
      </c>
      <c r="R2701" s="10">
        <f t="shared" si="10"/>
        <v>11</v>
      </c>
      <c r="S2701" s="5" t="s">
        <v>11439</v>
      </c>
      <c r="T2701" s="5"/>
      <c r="U2701" s="5" t="s">
        <v>3128</v>
      </c>
      <c r="V2701" s="5"/>
    </row>
    <row r="2702" ht="12.75" customHeight="1">
      <c r="A2702" s="5">
        <v>36015.0</v>
      </c>
      <c r="B2702" s="5" t="s">
        <v>49</v>
      </c>
      <c r="C2702" s="52" t="s">
        <v>50</v>
      </c>
      <c r="D2702" s="5" t="s">
        <v>2852</v>
      </c>
      <c r="E2702" s="7" t="s">
        <v>11440</v>
      </c>
      <c r="F2702" s="5" t="s">
        <v>11079</v>
      </c>
      <c r="G2702" s="5" t="s">
        <v>11374</v>
      </c>
      <c r="H2702" s="5">
        <v>2002.0</v>
      </c>
      <c r="I2702" s="5">
        <v>0.0</v>
      </c>
      <c r="J2702" s="5">
        <v>0.0</v>
      </c>
      <c r="K2702" s="5">
        <v>17.0</v>
      </c>
      <c r="L2702" s="54"/>
      <c r="M2702" s="5" t="s">
        <v>11441</v>
      </c>
      <c r="N2702" s="53" t="s">
        <v>2680</v>
      </c>
      <c r="O2702">
        <v>36.018776</v>
      </c>
      <c r="P2702">
        <v>-5.600819</v>
      </c>
      <c r="Q2702" s="5" t="s">
        <v>761</v>
      </c>
      <c r="R2702" s="10">
        <f t="shared" si="10"/>
        <v>492</v>
      </c>
      <c r="S2702" s="5" t="s">
        <v>11442</v>
      </c>
      <c r="T2702" s="6" t="s">
        <v>72</v>
      </c>
      <c r="U2702" s="5" t="s">
        <v>11443</v>
      </c>
      <c r="V2702" s="5"/>
    </row>
    <row r="2703" ht="12.75" customHeight="1">
      <c r="A2703" s="5">
        <v>36014.0</v>
      </c>
      <c r="B2703" s="5" t="s">
        <v>49</v>
      </c>
      <c r="C2703" s="52" t="s">
        <v>50</v>
      </c>
      <c r="D2703" s="5" t="s">
        <v>2852</v>
      </c>
      <c r="E2703" s="7" t="s">
        <v>11440</v>
      </c>
      <c r="F2703" s="5" t="s">
        <v>11079</v>
      </c>
      <c r="G2703" s="5" t="s">
        <v>11374</v>
      </c>
      <c r="H2703" s="5">
        <v>2002.0</v>
      </c>
      <c r="I2703" s="5">
        <v>0.0</v>
      </c>
      <c r="J2703" s="5">
        <v>0.0</v>
      </c>
      <c r="K2703" s="5">
        <v>2.0</v>
      </c>
      <c r="L2703" s="54"/>
      <c r="M2703" s="5" t="s">
        <v>11444</v>
      </c>
      <c r="N2703" s="53" t="s">
        <v>2680</v>
      </c>
      <c r="O2703">
        <v>36.018776</v>
      </c>
      <c r="P2703">
        <v>-5.600819</v>
      </c>
      <c r="Q2703" s="5" t="s">
        <v>761</v>
      </c>
      <c r="R2703" s="10">
        <f t="shared" si="10"/>
        <v>492</v>
      </c>
      <c r="S2703" s="5" t="s">
        <v>11442</v>
      </c>
      <c r="T2703" s="6" t="s">
        <v>72</v>
      </c>
      <c r="U2703" s="5" t="s">
        <v>11445</v>
      </c>
      <c r="V2703" s="5"/>
    </row>
    <row r="2704" ht="12.75" customHeight="1">
      <c r="A2704" s="5">
        <v>36011.0</v>
      </c>
      <c r="B2704" s="5" t="s">
        <v>49</v>
      </c>
      <c r="C2704" s="52" t="s">
        <v>50</v>
      </c>
      <c r="D2704" s="5" t="s">
        <v>2852</v>
      </c>
      <c r="E2704" s="7" t="s">
        <v>11440</v>
      </c>
      <c r="F2704" s="5" t="s">
        <v>11079</v>
      </c>
      <c r="G2704" s="5" t="s">
        <v>11374</v>
      </c>
      <c r="H2704" s="5">
        <v>2002.0</v>
      </c>
      <c r="I2704" s="5">
        <v>0.0</v>
      </c>
      <c r="J2704" s="5">
        <v>0.0</v>
      </c>
      <c r="K2704" s="5">
        <v>11.0</v>
      </c>
      <c r="L2704" s="54"/>
      <c r="M2704" s="5" t="s">
        <v>11446</v>
      </c>
      <c r="N2704" s="53" t="s">
        <v>2680</v>
      </c>
      <c r="O2704">
        <v>36.018776</v>
      </c>
      <c r="P2704">
        <v>-5.600819</v>
      </c>
      <c r="Q2704" s="5" t="s">
        <v>761</v>
      </c>
      <c r="R2704" s="10">
        <f t="shared" si="10"/>
        <v>492</v>
      </c>
      <c r="S2704" s="5" t="s">
        <v>11442</v>
      </c>
      <c r="T2704" s="6" t="s">
        <v>72</v>
      </c>
      <c r="U2704" s="5" t="s">
        <v>11445</v>
      </c>
      <c r="V2704" s="5"/>
    </row>
    <row r="2705" ht="12.75" customHeight="1">
      <c r="A2705" s="5">
        <v>36013.0</v>
      </c>
      <c r="B2705" s="5" t="s">
        <v>1076</v>
      </c>
      <c r="C2705" s="52" t="s">
        <v>50</v>
      </c>
      <c r="D2705" s="5" t="s">
        <v>2852</v>
      </c>
      <c r="E2705" s="7" t="s">
        <v>11440</v>
      </c>
      <c r="F2705" s="5" t="s">
        <v>11079</v>
      </c>
      <c r="G2705" s="5" t="s">
        <v>11374</v>
      </c>
      <c r="H2705" s="5">
        <v>2002.0</v>
      </c>
      <c r="I2705" s="5">
        <v>0.0</v>
      </c>
      <c r="J2705" s="5">
        <v>0.0</v>
      </c>
      <c r="K2705" s="5">
        <v>5.0</v>
      </c>
      <c r="L2705" s="54"/>
      <c r="M2705" s="5" t="s">
        <v>11447</v>
      </c>
      <c r="N2705" s="53" t="s">
        <v>11448</v>
      </c>
      <c r="O2705">
        <v>40.914384</v>
      </c>
      <c r="P2705">
        <v>14.79028</v>
      </c>
      <c r="Q2705" s="5" t="s">
        <v>1178</v>
      </c>
      <c r="R2705" s="10">
        <f t="shared" si="10"/>
        <v>5</v>
      </c>
      <c r="S2705" s="5" t="s">
        <v>11449</v>
      </c>
      <c r="T2705" s="5"/>
      <c r="U2705" s="5" t="s">
        <v>11450</v>
      </c>
      <c r="V2705" s="5"/>
    </row>
    <row r="2706" ht="12.75" customHeight="1">
      <c r="A2706" s="5">
        <v>36012.0</v>
      </c>
      <c r="B2706" s="5" t="s">
        <v>68</v>
      </c>
      <c r="C2706" s="5" t="s">
        <v>69</v>
      </c>
      <c r="D2706" s="5" t="s">
        <v>2852</v>
      </c>
      <c r="E2706" s="7" t="s">
        <v>11440</v>
      </c>
      <c r="F2706" s="5" t="s">
        <v>11079</v>
      </c>
      <c r="G2706" s="5" t="s">
        <v>11374</v>
      </c>
      <c r="H2706" s="5">
        <v>2002.0</v>
      </c>
      <c r="I2706" s="5">
        <v>0.0</v>
      </c>
      <c r="J2706" s="5">
        <v>0.0</v>
      </c>
      <c r="K2706" s="5">
        <v>2.0</v>
      </c>
      <c r="L2706" s="54"/>
      <c r="M2706" s="5" t="s">
        <v>11451</v>
      </c>
      <c r="N2706" s="53" t="s">
        <v>3608</v>
      </c>
      <c r="O2706">
        <v>41.117143</v>
      </c>
      <c r="P2706">
        <v>16.871871</v>
      </c>
      <c r="Q2706" s="5" t="s">
        <v>1188</v>
      </c>
      <c r="R2706" s="10">
        <f t="shared" si="10"/>
        <v>32</v>
      </c>
      <c r="S2706" s="5" t="s">
        <v>11452</v>
      </c>
      <c r="T2706" s="6" t="s">
        <v>1963</v>
      </c>
      <c r="U2706" s="5" t="s">
        <v>11453</v>
      </c>
      <c r="V2706" s="5"/>
    </row>
    <row r="2707" ht="12.75" customHeight="1">
      <c r="A2707" s="5">
        <v>36020.0</v>
      </c>
      <c r="B2707" s="5" t="s">
        <v>49</v>
      </c>
      <c r="C2707" s="52" t="s">
        <v>50</v>
      </c>
      <c r="D2707" s="5" t="s">
        <v>2852</v>
      </c>
      <c r="E2707" s="7" t="s">
        <v>11454</v>
      </c>
      <c r="F2707" s="5" t="s">
        <v>11079</v>
      </c>
      <c r="G2707" s="5" t="s">
        <v>11374</v>
      </c>
      <c r="H2707" s="5">
        <v>2002.0</v>
      </c>
      <c r="I2707" s="5">
        <v>0.0</v>
      </c>
      <c r="J2707" s="5">
        <v>0.0</v>
      </c>
      <c r="K2707" s="5">
        <v>4.0</v>
      </c>
      <c r="L2707" s="54"/>
      <c r="M2707" s="5" t="s">
        <v>11455</v>
      </c>
      <c r="N2707" s="53" t="s">
        <v>5814</v>
      </c>
      <c r="O2707">
        <v>28.358744</v>
      </c>
      <c r="P2707">
        <v>-14.053676</v>
      </c>
      <c r="Q2707" s="5" t="s">
        <v>390</v>
      </c>
      <c r="R2707" s="10">
        <f t="shared" si="10"/>
        <v>488</v>
      </c>
      <c r="S2707" s="5" t="s">
        <v>11456</v>
      </c>
      <c r="T2707" s="5" t="s">
        <v>1040</v>
      </c>
      <c r="U2707" s="5" t="s">
        <v>3219</v>
      </c>
      <c r="V2707" s="5"/>
    </row>
    <row r="2708" ht="12.75" customHeight="1">
      <c r="A2708" s="5">
        <v>36018.0</v>
      </c>
      <c r="B2708" s="5" t="s">
        <v>49</v>
      </c>
      <c r="C2708" s="52" t="s">
        <v>50</v>
      </c>
      <c r="D2708" s="5" t="s">
        <v>2852</v>
      </c>
      <c r="E2708" s="7" t="s">
        <v>11454</v>
      </c>
      <c r="F2708" s="5" t="s">
        <v>11079</v>
      </c>
      <c r="G2708" s="5" t="s">
        <v>11374</v>
      </c>
      <c r="H2708" s="5">
        <v>2002.0</v>
      </c>
      <c r="I2708" s="5">
        <v>0.0</v>
      </c>
      <c r="J2708" s="5">
        <v>0.0</v>
      </c>
      <c r="K2708" s="5">
        <v>1.0</v>
      </c>
      <c r="L2708" s="54"/>
      <c r="M2708" s="5" t="s">
        <v>11457</v>
      </c>
      <c r="N2708" s="53" t="s">
        <v>5814</v>
      </c>
      <c r="O2708">
        <v>28.358744</v>
      </c>
      <c r="P2708">
        <v>-14.053676</v>
      </c>
      <c r="Q2708" s="5" t="s">
        <v>390</v>
      </c>
      <c r="R2708" s="10">
        <f t="shared" si="10"/>
        <v>488</v>
      </c>
      <c r="S2708" s="5" t="s">
        <v>11456</v>
      </c>
      <c r="T2708" s="5" t="s">
        <v>1040</v>
      </c>
      <c r="U2708" s="5" t="s">
        <v>3219</v>
      </c>
      <c r="V2708" s="5"/>
    </row>
    <row r="2709" ht="12.75" customHeight="1">
      <c r="A2709" s="5">
        <v>36017.0</v>
      </c>
      <c r="B2709" s="5" t="s">
        <v>68</v>
      </c>
      <c r="C2709" s="5" t="s">
        <v>69</v>
      </c>
      <c r="D2709" s="5" t="s">
        <v>2852</v>
      </c>
      <c r="E2709" s="7" t="s">
        <v>11454</v>
      </c>
      <c r="F2709" s="5" t="s">
        <v>11079</v>
      </c>
      <c r="G2709" s="5" t="s">
        <v>11374</v>
      </c>
      <c r="H2709" s="5">
        <v>2002.0</v>
      </c>
      <c r="I2709" s="5">
        <v>0.0</v>
      </c>
      <c r="J2709" s="5">
        <v>0.0</v>
      </c>
      <c r="K2709" s="5">
        <v>1.0</v>
      </c>
      <c r="L2709" s="54"/>
      <c r="M2709" s="5" t="s">
        <v>11458</v>
      </c>
      <c r="N2709" s="53" t="s">
        <v>5814</v>
      </c>
      <c r="O2709">
        <v>28.358744</v>
      </c>
      <c r="P2709">
        <v>-14.053676</v>
      </c>
      <c r="Q2709" s="5" t="s">
        <v>390</v>
      </c>
      <c r="R2709" s="10">
        <f t="shared" si="10"/>
        <v>488</v>
      </c>
      <c r="S2709" s="5" t="s">
        <v>11456</v>
      </c>
      <c r="T2709" s="5" t="s">
        <v>1040</v>
      </c>
      <c r="U2709" s="5" t="s">
        <v>9274</v>
      </c>
      <c r="V2709" s="5"/>
    </row>
    <row r="2710" ht="12.75" customHeight="1">
      <c r="A2710" s="5">
        <v>36016.0</v>
      </c>
      <c r="B2710" s="5" t="s">
        <v>68</v>
      </c>
      <c r="C2710" s="5" t="s">
        <v>69</v>
      </c>
      <c r="D2710" s="5" t="s">
        <v>2852</v>
      </c>
      <c r="E2710" s="7" t="s">
        <v>11454</v>
      </c>
      <c r="F2710" s="5" t="s">
        <v>11079</v>
      </c>
      <c r="G2710" s="5" t="s">
        <v>11374</v>
      </c>
      <c r="H2710" s="5">
        <v>2002.0</v>
      </c>
      <c r="I2710" s="5">
        <v>0.0</v>
      </c>
      <c r="J2710" s="5">
        <v>0.0</v>
      </c>
      <c r="K2710" s="5">
        <v>1.0</v>
      </c>
      <c r="L2710" s="54"/>
      <c r="M2710" s="5" t="s">
        <v>11459</v>
      </c>
      <c r="N2710" s="53" t="s">
        <v>2638</v>
      </c>
      <c r="O2710">
        <v>35.888384</v>
      </c>
      <c r="P2710">
        <v>-5.324636</v>
      </c>
      <c r="Q2710" s="5" t="s">
        <v>717</v>
      </c>
      <c r="R2710" s="10">
        <f t="shared" si="10"/>
        <v>213</v>
      </c>
      <c r="S2710" s="5" t="s">
        <v>11460</v>
      </c>
      <c r="T2710" s="6" t="s">
        <v>72</v>
      </c>
      <c r="U2710" s="5" t="s">
        <v>9274</v>
      </c>
      <c r="V2710" s="5"/>
    </row>
    <row r="2711" ht="12.75" customHeight="1">
      <c r="A2711" s="5">
        <v>36019.0</v>
      </c>
      <c r="B2711" s="5" t="s">
        <v>2333</v>
      </c>
      <c r="C2711" s="5" t="s">
        <v>124</v>
      </c>
      <c r="D2711" s="5" t="s">
        <v>2852</v>
      </c>
      <c r="E2711" s="7" t="s">
        <v>11454</v>
      </c>
      <c r="F2711" s="5" t="s">
        <v>11079</v>
      </c>
      <c r="G2711" s="5" t="s">
        <v>11374</v>
      </c>
      <c r="H2711" s="5">
        <v>2002.0</v>
      </c>
      <c r="I2711" s="5">
        <v>0.0</v>
      </c>
      <c r="J2711" s="5">
        <v>0.0</v>
      </c>
      <c r="K2711" s="5">
        <v>2.0</v>
      </c>
      <c r="L2711" s="54"/>
      <c r="M2711" s="5" t="s">
        <v>11461</v>
      </c>
      <c r="N2711" s="53" t="s">
        <v>10119</v>
      </c>
      <c r="O2711">
        <v>39.587628</v>
      </c>
      <c r="P2711">
        <v>18.94043</v>
      </c>
      <c r="Q2711" s="5" t="s">
        <v>1097</v>
      </c>
      <c r="R2711" s="10">
        <f t="shared" si="10"/>
        <v>12</v>
      </c>
      <c r="S2711" s="5" t="s">
        <v>11462</v>
      </c>
      <c r="T2711" s="6" t="s">
        <v>1963</v>
      </c>
      <c r="U2711" s="5" t="s">
        <v>10799</v>
      </c>
      <c r="V2711" s="5"/>
    </row>
    <row r="2712" ht="12.75" customHeight="1">
      <c r="A2712" s="5">
        <v>36021.0</v>
      </c>
      <c r="B2712" s="5" t="s">
        <v>1076</v>
      </c>
      <c r="C2712" s="52" t="s">
        <v>50</v>
      </c>
      <c r="D2712" s="5" t="s">
        <v>2852</v>
      </c>
      <c r="E2712" s="7" t="s">
        <v>11454</v>
      </c>
      <c r="F2712" s="5" t="s">
        <v>11079</v>
      </c>
      <c r="G2712" s="5" t="s">
        <v>11374</v>
      </c>
      <c r="H2712" s="5">
        <v>2002.0</v>
      </c>
      <c r="I2712" s="5">
        <v>0.0</v>
      </c>
      <c r="J2712" s="5">
        <v>0.0</v>
      </c>
      <c r="K2712" s="5">
        <v>2.0</v>
      </c>
      <c r="L2712" s="54"/>
      <c r="M2712" s="5" t="s">
        <v>11463</v>
      </c>
      <c r="N2712" s="53" t="s">
        <v>3846</v>
      </c>
      <c r="O2712">
        <v>40.632728</v>
      </c>
      <c r="P2712">
        <v>17.941762</v>
      </c>
      <c r="Q2712" s="5" t="s">
        <v>1151</v>
      </c>
      <c r="R2712" s="10">
        <f t="shared" si="10"/>
        <v>72</v>
      </c>
      <c r="S2712" s="5" t="s">
        <v>11464</v>
      </c>
      <c r="T2712" s="6" t="s">
        <v>1963</v>
      </c>
      <c r="U2712" s="5" t="s">
        <v>3219</v>
      </c>
      <c r="V2712" s="5"/>
    </row>
    <row r="2713" ht="12.75" customHeight="1">
      <c r="A2713" s="5">
        <v>36024.0</v>
      </c>
      <c r="B2713" s="5" t="s">
        <v>636</v>
      </c>
      <c r="C2713" s="52" t="s">
        <v>50</v>
      </c>
      <c r="D2713" s="5" t="s">
        <v>2852</v>
      </c>
      <c r="E2713" s="7" t="s">
        <v>11465</v>
      </c>
      <c r="F2713" s="5" t="s">
        <v>11079</v>
      </c>
      <c r="G2713" s="5" t="s">
        <v>11374</v>
      </c>
      <c r="H2713" s="5">
        <v>2002.0</v>
      </c>
      <c r="I2713" s="5">
        <v>0.0</v>
      </c>
      <c r="J2713" s="5">
        <v>0.0</v>
      </c>
      <c r="K2713" s="5">
        <v>9.0</v>
      </c>
      <c r="L2713" s="54"/>
      <c r="M2713" s="5" t="s">
        <v>11466</v>
      </c>
      <c r="N2713" s="53" t="s">
        <v>11467</v>
      </c>
      <c r="O2713">
        <v>37.909534</v>
      </c>
      <c r="P2713">
        <v>40.232029</v>
      </c>
      <c r="Q2713" s="5" t="s">
        <v>961</v>
      </c>
      <c r="R2713" s="10">
        <f t="shared" si="10"/>
        <v>19</v>
      </c>
      <c r="S2713" s="5" t="s">
        <v>11468</v>
      </c>
      <c r="T2713" s="5"/>
      <c r="U2713" s="5" t="s">
        <v>3219</v>
      </c>
      <c r="V2713" s="5"/>
    </row>
    <row r="2714" ht="12.75" customHeight="1">
      <c r="A2714" s="5">
        <v>36023.0</v>
      </c>
      <c r="B2714" s="5" t="s">
        <v>636</v>
      </c>
      <c r="C2714" s="52" t="s">
        <v>50</v>
      </c>
      <c r="D2714" s="5" t="s">
        <v>2852</v>
      </c>
      <c r="E2714" s="7" t="s">
        <v>11465</v>
      </c>
      <c r="F2714" s="5" t="s">
        <v>11079</v>
      </c>
      <c r="G2714" s="5" t="s">
        <v>11374</v>
      </c>
      <c r="H2714" s="5">
        <v>2002.0</v>
      </c>
      <c r="I2714" s="5">
        <v>0.0</v>
      </c>
      <c r="J2714" s="5">
        <v>0.0</v>
      </c>
      <c r="K2714" s="5">
        <v>10.0</v>
      </c>
      <c r="L2714" s="54"/>
      <c r="M2714" s="5" t="s">
        <v>11469</v>
      </c>
      <c r="N2714" s="53" t="s">
        <v>11467</v>
      </c>
      <c r="O2714">
        <v>37.909534</v>
      </c>
      <c r="P2714">
        <v>40.232029</v>
      </c>
      <c r="Q2714" s="5" t="s">
        <v>961</v>
      </c>
      <c r="R2714" s="10">
        <f t="shared" si="10"/>
        <v>19</v>
      </c>
      <c r="S2714" s="5" t="s">
        <v>11468</v>
      </c>
      <c r="T2714" s="5"/>
      <c r="U2714" s="5" t="s">
        <v>3219</v>
      </c>
      <c r="V2714" s="5"/>
    </row>
    <row r="2715" ht="12.75" customHeight="1">
      <c r="A2715" s="5">
        <v>36026.0</v>
      </c>
      <c r="B2715" s="5" t="s">
        <v>49</v>
      </c>
      <c r="C2715" s="52" t="s">
        <v>50</v>
      </c>
      <c r="D2715" s="5" t="s">
        <v>2852</v>
      </c>
      <c r="E2715" s="7" t="s">
        <v>11465</v>
      </c>
      <c r="F2715" s="5" t="s">
        <v>11079</v>
      </c>
      <c r="G2715" s="5" t="s">
        <v>11374</v>
      </c>
      <c r="H2715" s="5">
        <v>2002.0</v>
      </c>
      <c r="I2715" s="5">
        <v>0.0</v>
      </c>
      <c r="J2715" s="5">
        <v>0.0</v>
      </c>
      <c r="K2715" s="5">
        <v>1.0</v>
      </c>
      <c r="L2715" s="54"/>
      <c r="M2715" s="5" t="s">
        <v>11470</v>
      </c>
      <c r="N2715" s="53" t="s">
        <v>11471</v>
      </c>
      <c r="O2715">
        <v>38.002298</v>
      </c>
      <c r="P2715">
        <v>22.524509</v>
      </c>
      <c r="Q2715" s="5" t="s">
        <v>986</v>
      </c>
      <c r="R2715" s="10">
        <f t="shared" si="10"/>
        <v>3</v>
      </c>
      <c r="S2715" s="5" t="s">
        <v>11472</v>
      </c>
      <c r="T2715" s="6" t="s">
        <v>53</v>
      </c>
      <c r="U2715" s="5" t="s">
        <v>3219</v>
      </c>
      <c r="V2715" s="5"/>
    </row>
    <row r="2716" ht="12.75" customHeight="1">
      <c r="A2716" s="5">
        <v>36025.0</v>
      </c>
      <c r="B2716" s="5" t="s">
        <v>49</v>
      </c>
      <c r="C2716" s="52" t="s">
        <v>50</v>
      </c>
      <c r="D2716" s="5" t="s">
        <v>2852</v>
      </c>
      <c r="E2716" s="7" t="s">
        <v>11465</v>
      </c>
      <c r="F2716" s="5" t="s">
        <v>11079</v>
      </c>
      <c r="G2716" s="5" t="s">
        <v>11374</v>
      </c>
      <c r="H2716" s="5">
        <v>2002.0</v>
      </c>
      <c r="I2716" s="5">
        <v>0.0</v>
      </c>
      <c r="J2716" s="5">
        <v>0.0</v>
      </c>
      <c r="K2716" s="5">
        <v>1.0</v>
      </c>
      <c r="L2716" s="54"/>
      <c r="M2716" s="5" t="s">
        <v>11473</v>
      </c>
      <c r="N2716" s="53" t="s">
        <v>11471</v>
      </c>
      <c r="O2716">
        <v>38.002298</v>
      </c>
      <c r="P2716">
        <v>22.524509</v>
      </c>
      <c r="Q2716" s="5" t="s">
        <v>986</v>
      </c>
      <c r="R2716" s="10">
        <f t="shared" si="10"/>
        <v>3</v>
      </c>
      <c r="S2716" s="5" t="s">
        <v>11472</v>
      </c>
      <c r="T2716" s="6" t="s">
        <v>53</v>
      </c>
      <c r="U2716" s="5" t="s">
        <v>3219</v>
      </c>
      <c r="V2716" s="5"/>
    </row>
    <row r="2717" ht="12.75" customHeight="1">
      <c r="A2717" s="5">
        <v>36022.0</v>
      </c>
      <c r="B2717" s="5" t="s">
        <v>636</v>
      </c>
      <c r="C2717" s="52" t="s">
        <v>50</v>
      </c>
      <c r="D2717" s="5" t="s">
        <v>2852</v>
      </c>
      <c r="E2717" s="7" t="s">
        <v>11465</v>
      </c>
      <c r="F2717" s="5" t="s">
        <v>11079</v>
      </c>
      <c r="G2717" s="5" t="s">
        <v>11374</v>
      </c>
      <c r="H2717" s="5">
        <v>2002.0</v>
      </c>
      <c r="I2717" s="5">
        <v>0.0</v>
      </c>
      <c r="J2717" s="5">
        <v>0.0</v>
      </c>
      <c r="K2717" s="5">
        <v>5.0</v>
      </c>
      <c r="L2717" s="54"/>
      <c r="M2717" s="5" t="s">
        <v>11474</v>
      </c>
      <c r="N2717" s="53" t="s">
        <v>11475</v>
      </c>
      <c r="O2717">
        <v>38.244854</v>
      </c>
      <c r="P2717">
        <v>27.13824</v>
      </c>
      <c r="Q2717" s="5" t="s">
        <v>1009</v>
      </c>
      <c r="R2717" s="10">
        <f t="shared" si="10"/>
        <v>7</v>
      </c>
      <c r="S2717" s="5" t="s">
        <v>11476</v>
      </c>
      <c r="T2717" s="6" t="s">
        <v>53</v>
      </c>
      <c r="U2717" s="5" t="s">
        <v>3219</v>
      </c>
      <c r="V2717" s="5"/>
    </row>
    <row r="2718" ht="12.75" customHeight="1">
      <c r="A2718" s="5">
        <v>36027.0</v>
      </c>
      <c r="B2718" s="5" t="s">
        <v>1076</v>
      </c>
      <c r="C2718" s="52" t="s">
        <v>50</v>
      </c>
      <c r="D2718" s="5" t="s">
        <v>2852</v>
      </c>
      <c r="E2718" s="7" t="s">
        <v>11477</v>
      </c>
      <c r="F2718" s="5" t="s">
        <v>11079</v>
      </c>
      <c r="G2718" s="5" t="s">
        <v>11374</v>
      </c>
      <c r="H2718" s="5">
        <v>2002.0</v>
      </c>
      <c r="I2718" s="5">
        <v>0.0</v>
      </c>
      <c r="J2718" s="5">
        <v>0.0</v>
      </c>
      <c r="K2718" s="5">
        <v>3.0</v>
      </c>
      <c r="L2718" s="54"/>
      <c r="M2718" s="5" t="s">
        <v>11478</v>
      </c>
      <c r="N2718" s="53" t="s">
        <v>11479</v>
      </c>
      <c r="O2718">
        <v>41.140406</v>
      </c>
      <c r="P2718">
        <v>28.465958</v>
      </c>
      <c r="Q2718" s="5" t="s">
        <v>1204</v>
      </c>
      <c r="R2718" s="10">
        <f t="shared" si="10"/>
        <v>3</v>
      </c>
      <c r="S2718" s="5" t="s">
        <v>11480</v>
      </c>
      <c r="T2718" s="5"/>
      <c r="U2718" s="5" t="s">
        <v>10799</v>
      </c>
      <c r="V2718" s="5"/>
    </row>
    <row r="2719" ht="12.75" customHeight="1">
      <c r="A2719" s="5">
        <v>36028.0</v>
      </c>
      <c r="B2719" s="5" t="s">
        <v>49</v>
      </c>
      <c r="C2719" s="52" t="s">
        <v>50</v>
      </c>
      <c r="D2719" s="5" t="s">
        <v>2852</v>
      </c>
      <c r="E2719" s="7" t="s">
        <v>11481</v>
      </c>
      <c r="F2719" s="5" t="s">
        <v>11079</v>
      </c>
      <c r="G2719" s="5" t="s">
        <v>11374</v>
      </c>
      <c r="H2719" s="5">
        <v>2002.0</v>
      </c>
      <c r="I2719" s="5">
        <v>0.0</v>
      </c>
      <c r="J2719" s="5">
        <v>0.0</v>
      </c>
      <c r="K2719" s="5">
        <v>11.0</v>
      </c>
      <c r="L2719" s="54"/>
      <c r="M2719" s="5" t="s">
        <v>11482</v>
      </c>
      <c r="N2719" s="53" t="s">
        <v>3151</v>
      </c>
      <c r="O2719">
        <v>29.046854</v>
      </c>
      <c r="P2719">
        <v>-13.589973</v>
      </c>
      <c r="Q2719" s="5" t="s">
        <v>400</v>
      </c>
      <c r="R2719" s="10">
        <f t="shared" si="10"/>
        <v>74</v>
      </c>
      <c r="S2719" s="5" t="s">
        <v>11483</v>
      </c>
      <c r="T2719" s="5" t="s">
        <v>1040</v>
      </c>
      <c r="U2719" s="5" t="s">
        <v>3219</v>
      </c>
      <c r="V2719" s="5"/>
    </row>
    <row r="2720" ht="12.75" customHeight="1">
      <c r="A2720" s="5">
        <v>36029.0</v>
      </c>
      <c r="B2720" s="5" t="s">
        <v>41</v>
      </c>
      <c r="C2720" s="5" t="s">
        <v>42</v>
      </c>
      <c r="D2720" s="5" t="s">
        <v>2852</v>
      </c>
      <c r="E2720" s="7" t="s">
        <v>11481</v>
      </c>
      <c r="F2720" s="5" t="s">
        <v>11079</v>
      </c>
      <c r="G2720" s="5" t="s">
        <v>11374</v>
      </c>
      <c r="H2720" s="5">
        <v>2002.0</v>
      </c>
      <c r="I2720" s="5">
        <v>0.0</v>
      </c>
      <c r="J2720" s="5">
        <v>0.0</v>
      </c>
      <c r="K2720" s="5">
        <v>8.0</v>
      </c>
      <c r="L2720" s="54"/>
      <c r="M2720" s="5" t="s">
        <v>11484</v>
      </c>
      <c r="N2720" s="53" t="s">
        <v>11485</v>
      </c>
      <c r="O2720">
        <v>41.997346</v>
      </c>
      <c r="P2720">
        <v>21.427996</v>
      </c>
      <c r="Q2720" s="5" t="s">
        <v>1246</v>
      </c>
      <c r="R2720" s="10">
        <f t="shared" si="10"/>
        <v>8</v>
      </c>
      <c r="S2720" s="5" t="s">
        <v>11486</v>
      </c>
      <c r="T2720" s="5"/>
      <c r="U2720" s="5" t="s">
        <v>4255</v>
      </c>
      <c r="V2720" s="5"/>
    </row>
    <row r="2721" ht="12.75" customHeight="1">
      <c r="A2721" s="5">
        <v>36032.0</v>
      </c>
      <c r="B2721" s="5" t="s">
        <v>1076</v>
      </c>
      <c r="C2721" s="52" t="s">
        <v>50</v>
      </c>
      <c r="D2721" s="5" t="s">
        <v>2852</v>
      </c>
      <c r="E2721" s="7" t="s">
        <v>11487</v>
      </c>
      <c r="F2721" s="5" t="s">
        <v>11079</v>
      </c>
      <c r="G2721" s="5" t="s">
        <v>11374</v>
      </c>
      <c r="H2721" s="5">
        <v>2002.0</v>
      </c>
      <c r="I2721" s="5">
        <v>0.0</v>
      </c>
      <c r="J2721" s="5">
        <v>0.0</v>
      </c>
      <c r="K2721" s="5">
        <v>2.0</v>
      </c>
      <c r="L2721" s="54"/>
      <c r="M2721" s="5" t="s">
        <v>11488</v>
      </c>
      <c r="N2721" s="53" t="s">
        <v>4054</v>
      </c>
      <c r="O2721">
        <v>35.964373</v>
      </c>
      <c r="P2721">
        <v>-5.196533</v>
      </c>
      <c r="Q2721" s="5" t="s">
        <v>744</v>
      </c>
      <c r="R2721" s="10">
        <f t="shared" si="10"/>
        <v>63</v>
      </c>
      <c r="S2721" s="5" t="s">
        <v>11489</v>
      </c>
      <c r="T2721" s="6" t="s">
        <v>72</v>
      </c>
      <c r="U2721" s="5" t="s">
        <v>3128</v>
      </c>
      <c r="V2721" s="5"/>
    </row>
    <row r="2722" ht="12.75" customHeight="1">
      <c r="A2722" s="5">
        <v>36031.0</v>
      </c>
      <c r="B2722" s="5" t="s">
        <v>1076</v>
      </c>
      <c r="C2722" s="52" t="s">
        <v>50</v>
      </c>
      <c r="D2722" s="5" t="s">
        <v>2852</v>
      </c>
      <c r="E2722" s="7" t="s">
        <v>11487</v>
      </c>
      <c r="F2722" s="5" t="s">
        <v>11079</v>
      </c>
      <c r="G2722" s="5" t="s">
        <v>11374</v>
      </c>
      <c r="H2722" s="5">
        <v>2002.0</v>
      </c>
      <c r="I2722" s="5">
        <v>0.0</v>
      </c>
      <c r="J2722" s="5">
        <v>0.0</v>
      </c>
      <c r="K2722" s="5">
        <v>1.0</v>
      </c>
      <c r="L2722" s="54"/>
      <c r="M2722" s="5" t="s">
        <v>11490</v>
      </c>
      <c r="N2722" s="53" t="s">
        <v>10119</v>
      </c>
      <c r="O2722">
        <v>39.587628</v>
      </c>
      <c r="P2722">
        <v>18.94043</v>
      </c>
      <c r="Q2722" s="5" t="s">
        <v>1097</v>
      </c>
      <c r="R2722" s="10">
        <f t="shared" si="10"/>
        <v>12</v>
      </c>
      <c r="S2722" s="5" t="s">
        <v>11491</v>
      </c>
      <c r="T2722" s="6" t="s">
        <v>1963</v>
      </c>
      <c r="U2722" s="5" t="s">
        <v>11492</v>
      </c>
      <c r="V2722" s="5"/>
    </row>
    <row r="2723" ht="12.75" customHeight="1">
      <c r="A2723" s="5">
        <v>36033.0</v>
      </c>
      <c r="B2723" s="5" t="s">
        <v>2902</v>
      </c>
      <c r="C2723" s="5" t="s">
        <v>211</v>
      </c>
      <c r="D2723" s="5" t="s">
        <v>2852</v>
      </c>
      <c r="E2723" s="7" t="s">
        <v>11487</v>
      </c>
      <c r="F2723" s="5" t="s">
        <v>11079</v>
      </c>
      <c r="G2723" s="5" t="s">
        <v>11374</v>
      </c>
      <c r="H2723" s="5">
        <v>2002.0</v>
      </c>
      <c r="I2723" s="5">
        <v>0.0</v>
      </c>
      <c r="J2723" s="5">
        <v>0.0</v>
      </c>
      <c r="K2723" s="5">
        <v>1.0</v>
      </c>
      <c r="L2723" s="54"/>
      <c r="M2723" s="5" t="s">
        <v>11493</v>
      </c>
      <c r="N2723" s="53" t="s">
        <v>11082</v>
      </c>
      <c r="O2723">
        <v>50.413333</v>
      </c>
      <c r="P2723">
        <v>12.451111</v>
      </c>
      <c r="Q2723" s="5" t="s">
        <v>1493</v>
      </c>
      <c r="R2723" s="10">
        <f t="shared" si="10"/>
        <v>2</v>
      </c>
      <c r="S2723" s="5" t="s">
        <v>11494</v>
      </c>
      <c r="T2723" s="5"/>
      <c r="U2723" s="5" t="s">
        <v>3219</v>
      </c>
      <c r="V2723" s="5"/>
    </row>
    <row r="2724" ht="12.75" customHeight="1">
      <c r="A2724" s="5">
        <v>36030.0</v>
      </c>
      <c r="B2724" s="5" t="s">
        <v>2730</v>
      </c>
      <c r="C2724" s="52" t="s">
        <v>50</v>
      </c>
      <c r="D2724" s="5" t="s">
        <v>2852</v>
      </c>
      <c r="E2724" s="7" t="s">
        <v>11487</v>
      </c>
      <c r="F2724" s="5" t="s">
        <v>11079</v>
      </c>
      <c r="G2724" s="5" t="s">
        <v>11374</v>
      </c>
      <c r="H2724" s="5">
        <v>2002.0</v>
      </c>
      <c r="I2724" s="5">
        <v>0.0</v>
      </c>
      <c r="J2724" s="5">
        <v>0.0</v>
      </c>
      <c r="K2724" s="5">
        <v>1.0</v>
      </c>
      <c r="L2724" s="54"/>
      <c r="M2724" s="5" t="s">
        <v>11495</v>
      </c>
      <c r="N2724" s="53" t="s">
        <v>11496</v>
      </c>
      <c r="O2724">
        <v>53.349805</v>
      </c>
      <c r="P2724">
        <v>-6.26031</v>
      </c>
      <c r="Q2724" s="5" t="s">
        <v>1817</v>
      </c>
      <c r="R2724" s="10">
        <f t="shared" si="10"/>
        <v>2</v>
      </c>
      <c r="S2724" s="5" t="s">
        <v>11497</v>
      </c>
      <c r="T2724" s="5"/>
      <c r="U2724" s="5" t="s">
        <v>11498</v>
      </c>
      <c r="V2724" s="5"/>
    </row>
    <row r="2725" ht="12.75" customHeight="1">
      <c r="A2725" s="5">
        <v>36087.0</v>
      </c>
      <c r="B2725" s="5" t="s">
        <v>2902</v>
      </c>
      <c r="C2725" s="5" t="s">
        <v>211</v>
      </c>
      <c r="D2725" s="5" t="s">
        <v>2852</v>
      </c>
      <c r="E2725" s="7" t="s">
        <v>11499</v>
      </c>
      <c r="F2725" s="5" t="s">
        <v>11500</v>
      </c>
      <c r="G2725" s="5" t="s">
        <v>11501</v>
      </c>
      <c r="H2725" s="5">
        <v>2001.0</v>
      </c>
      <c r="I2725" s="5">
        <v>0.0</v>
      </c>
      <c r="J2725" s="5">
        <v>0.0</v>
      </c>
      <c r="K2725" s="5">
        <v>1.0</v>
      </c>
      <c r="L2725" s="54"/>
      <c r="M2725" s="5" t="s">
        <v>11502</v>
      </c>
      <c r="N2725" s="53" t="s">
        <v>3322</v>
      </c>
      <c r="O2725">
        <v>50.503887</v>
      </c>
      <c r="P2725">
        <v>4.469936</v>
      </c>
      <c r="Q2725" s="5" t="s">
        <v>1499</v>
      </c>
      <c r="R2725" s="10">
        <f t="shared" si="10"/>
        <v>11</v>
      </c>
      <c r="S2725" s="5" t="s">
        <v>11503</v>
      </c>
      <c r="T2725" s="5"/>
      <c r="U2725" s="5" t="s">
        <v>3128</v>
      </c>
      <c r="V2725" s="5"/>
    </row>
    <row r="2726" ht="12.75" customHeight="1">
      <c r="A2726" s="5">
        <v>36088.0</v>
      </c>
      <c r="B2726" s="5" t="s">
        <v>5200</v>
      </c>
      <c r="C2726" s="5" t="s">
        <v>124</v>
      </c>
      <c r="D2726" s="5" t="s">
        <v>2852</v>
      </c>
      <c r="E2726" s="7" t="s">
        <v>11504</v>
      </c>
      <c r="F2726" s="5" t="s">
        <v>11500</v>
      </c>
      <c r="G2726" s="5" t="s">
        <v>11501</v>
      </c>
      <c r="H2726" s="5">
        <v>2001.0</v>
      </c>
      <c r="I2726" s="5">
        <v>0.0</v>
      </c>
      <c r="J2726" s="5">
        <v>0.0</v>
      </c>
      <c r="K2726" s="5">
        <v>1.0</v>
      </c>
      <c r="L2726" s="54"/>
      <c r="M2726" s="5" t="s">
        <v>11505</v>
      </c>
      <c r="N2726" s="53" t="s">
        <v>11506</v>
      </c>
      <c r="O2726">
        <v>40.962655</v>
      </c>
      <c r="P2726">
        <v>26.330751</v>
      </c>
      <c r="Q2726" s="5" t="s">
        <v>1179</v>
      </c>
      <c r="R2726" s="10">
        <f t="shared" si="10"/>
        <v>5</v>
      </c>
      <c r="S2726" s="5" t="s">
        <v>11507</v>
      </c>
      <c r="T2726" s="5"/>
      <c r="U2726" s="5" t="s">
        <v>3128</v>
      </c>
      <c r="V2726" s="5" t="s">
        <v>11508</v>
      </c>
    </row>
    <row r="2727" ht="12.75" customHeight="1">
      <c r="A2727" s="5">
        <v>36089.0</v>
      </c>
      <c r="B2727" s="5" t="s">
        <v>68</v>
      </c>
      <c r="C2727" s="5" t="s">
        <v>69</v>
      </c>
      <c r="D2727" s="5" t="s">
        <v>2614</v>
      </c>
      <c r="E2727" s="7" t="s">
        <v>11509</v>
      </c>
      <c r="F2727" s="5" t="s">
        <v>11500</v>
      </c>
      <c r="G2727" s="5" t="s">
        <v>11501</v>
      </c>
      <c r="H2727" s="5">
        <v>2001.0</v>
      </c>
      <c r="I2727" s="5">
        <v>0.0</v>
      </c>
      <c r="J2727" s="5">
        <v>0.0</v>
      </c>
      <c r="K2727" s="5">
        <v>1.0</v>
      </c>
      <c r="L2727" s="54"/>
      <c r="M2727" s="5" t="s">
        <v>11510</v>
      </c>
      <c r="N2727" s="53" t="s">
        <v>3846</v>
      </c>
      <c r="O2727">
        <v>40.632728</v>
      </c>
      <c r="P2727">
        <v>17.941762</v>
      </c>
      <c r="Q2727" s="5" t="s">
        <v>1151</v>
      </c>
      <c r="R2727" s="10">
        <f t="shared" si="10"/>
        <v>72</v>
      </c>
      <c r="S2727" s="5" t="s">
        <v>11511</v>
      </c>
      <c r="T2727" s="6" t="s">
        <v>1963</v>
      </c>
      <c r="U2727" s="5" t="s">
        <v>2326</v>
      </c>
      <c r="V2727" s="5" t="s">
        <v>7579</v>
      </c>
    </row>
    <row r="2728" ht="12.75" customHeight="1">
      <c r="A2728" s="5">
        <v>36090.0</v>
      </c>
      <c r="B2728" s="5" t="s">
        <v>68</v>
      </c>
      <c r="C2728" s="5" t="s">
        <v>69</v>
      </c>
      <c r="D2728" s="5" t="s">
        <v>2614</v>
      </c>
      <c r="E2728" s="7" t="s">
        <v>11512</v>
      </c>
      <c r="F2728" s="5" t="s">
        <v>11500</v>
      </c>
      <c r="G2728" s="5" t="s">
        <v>11501</v>
      </c>
      <c r="H2728" s="5">
        <v>2001.0</v>
      </c>
      <c r="I2728" s="5">
        <v>0.0</v>
      </c>
      <c r="J2728" s="5">
        <v>0.0</v>
      </c>
      <c r="K2728" s="5">
        <v>12.0</v>
      </c>
      <c r="L2728" s="54"/>
      <c r="M2728" s="5" t="s">
        <v>11513</v>
      </c>
      <c r="N2728" s="53" t="s">
        <v>11514</v>
      </c>
      <c r="O2728">
        <v>30.840842</v>
      </c>
      <c r="P2728">
        <v>32.32634</v>
      </c>
      <c r="Q2728" s="5" t="s">
        <v>423</v>
      </c>
      <c r="R2728" s="10">
        <f t="shared" si="10"/>
        <v>12</v>
      </c>
      <c r="S2728" s="5" t="s">
        <v>11515</v>
      </c>
      <c r="T2728" s="5"/>
      <c r="U2728" s="5" t="s">
        <v>2326</v>
      </c>
      <c r="V2728" s="5" t="s">
        <v>7579</v>
      </c>
    </row>
    <row r="2729" ht="12.75" customHeight="1">
      <c r="A2729" s="5">
        <v>36092.0</v>
      </c>
      <c r="B2729" s="5" t="s">
        <v>2962</v>
      </c>
      <c r="C2729" s="5" t="s">
        <v>211</v>
      </c>
      <c r="D2729" s="5" t="s">
        <v>2852</v>
      </c>
      <c r="E2729" s="7" t="s">
        <v>11516</v>
      </c>
      <c r="F2729" s="5" t="s">
        <v>11500</v>
      </c>
      <c r="G2729" s="5" t="s">
        <v>11501</v>
      </c>
      <c r="H2729" s="5">
        <v>2001.0</v>
      </c>
      <c r="I2729" s="5">
        <v>0.0</v>
      </c>
      <c r="J2729" s="5">
        <v>0.0</v>
      </c>
      <c r="K2729" s="5">
        <v>1.0</v>
      </c>
      <c r="L2729" s="54"/>
      <c r="M2729" s="5" t="s">
        <v>11517</v>
      </c>
      <c r="N2729" s="53" t="s">
        <v>11518</v>
      </c>
      <c r="O2729">
        <v>46.656987</v>
      </c>
      <c r="P2729">
        <v>9.578026</v>
      </c>
      <c r="Q2729" s="5" t="s">
        <v>1363</v>
      </c>
      <c r="R2729" s="10">
        <f t="shared" si="10"/>
        <v>1</v>
      </c>
      <c r="S2729" s="5" t="s">
        <v>11519</v>
      </c>
      <c r="T2729" s="5"/>
      <c r="U2729" s="5" t="s">
        <v>5951</v>
      </c>
      <c r="V2729" s="5"/>
    </row>
    <row r="2730" ht="12.75" customHeight="1">
      <c r="A2730" s="5">
        <v>36091.0</v>
      </c>
      <c r="B2730" s="5" t="s">
        <v>68</v>
      </c>
      <c r="C2730" s="5" t="s">
        <v>69</v>
      </c>
      <c r="D2730" s="5" t="s">
        <v>2852</v>
      </c>
      <c r="E2730" s="7" t="s">
        <v>11516</v>
      </c>
      <c r="F2730" s="5" t="s">
        <v>11500</v>
      </c>
      <c r="G2730" s="5" t="s">
        <v>11501</v>
      </c>
      <c r="H2730" s="5">
        <v>2001.0</v>
      </c>
      <c r="I2730" s="5">
        <v>0.0</v>
      </c>
      <c r="J2730" s="5">
        <v>0.0</v>
      </c>
      <c r="K2730" s="5">
        <v>1.0</v>
      </c>
      <c r="L2730" s="54"/>
      <c r="M2730" s="5" t="s">
        <v>11520</v>
      </c>
      <c r="N2730" s="53" t="s">
        <v>11521</v>
      </c>
      <c r="O2730">
        <v>49.328575</v>
      </c>
      <c r="P2730">
        <v>6.771879</v>
      </c>
      <c r="Q2730" s="5" t="s">
        <v>1459</v>
      </c>
      <c r="R2730" s="10">
        <f t="shared" si="10"/>
        <v>1</v>
      </c>
      <c r="S2730" s="5" t="s">
        <v>11522</v>
      </c>
      <c r="T2730" s="5"/>
      <c r="U2730" s="5" t="s">
        <v>11523</v>
      </c>
      <c r="V2730" s="5"/>
    </row>
    <row r="2731" ht="12.75" customHeight="1">
      <c r="A2731" s="5">
        <v>36094.0</v>
      </c>
      <c r="B2731" s="5" t="s">
        <v>68</v>
      </c>
      <c r="C2731" s="5" t="s">
        <v>69</v>
      </c>
      <c r="D2731" s="5" t="s">
        <v>2614</v>
      </c>
      <c r="E2731" s="7" t="s">
        <v>11524</v>
      </c>
      <c r="F2731" s="5" t="s">
        <v>11500</v>
      </c>
      <c r="G2731" s="5" t="s">
        <v>11501</v>
      </c>
      <c r="H2731" s="5">
        <v>2001.0</v>
      </c>
      <c r="I2731" s="5">
        <v>0.0</v>
      </c>
      <c r="J2731" s="5">
        <v>0.0</v>
      </c>
      <c r="K2731" s="5">
        <v>52.0</v>
      </c>
      <c r="L2731" s="54"/>
      <c r="M2731" s="5" t="s">
        <v>11525</v>
      </c>
      <c r="N2731" s="53" t="s">
        <v>5260</v>
      </c>
      <c r="O2731">
        <v>23.803497</v>
      </c>
      <c r="P2731">
        <v>11.291889</v>
      </c>
      <c r="Q2731" s="5" t="s">
        <v>324</v>
      </c>
      <c r="R2731" s="10">
        <f t="shared" si="10"/>
        <v>234</v>
      </c>
      <c r="S2731" s="5" t="s">
        <v>11526</v>
      </c>
      <c r="T2731" s="5"/>
      <c r="U2731" s="5" t="s">
        <v>2326</v>
      </c>
      <c r="V2731" s="5" t="s">
        <v>7579</v>
      </c>
    </row>
    <row r="2732" ht="12.75" customHeight="1">
      <c r="A2732" s="5">
        <v>36093.0</v>
      </c>
      <c r="B2732" s="5" t="s">
        <v>68</v>
      </c>
      <c r="C2732" s="5" t="s">
        <v>69</v>
      </c>
      <c r="D2732" s="5" t="s">
        <v>2614</v>
      </c>
      <c r="E2732" s="7" t="s">
        <v>11524</v>
      </c>
      <c r="F2732" s="5" t="s">
        <v>11500</v>
      </c>
      <c r="G2732" s="5" t="s">
        <v>11501</v>
      </c>
      <c r="H2732" s="5">
        <v>2001.0</v>
      </c>
      <c r="I2732" s="5">
        <v>0.0</v>
      </c>
      <c r="J2732" s="5">
        <v>0.0</v>
      </c>
      <c r="K2732" s="5">
        <v>5.0</v>
      </c>
      <c r="L2732" s="54"/>
      <c r="M2732" s="5" t="s">
        <v>11527</v>
      </c>
      <c r="N2732" s="53" t="s">
        <v>8183</v>
      </c>
      <c r="O2732">
        <v>34.015049</v>
      </c>
      <c r="P2732">
        <v>-6.83272</v>
      </c>
      <c r="Q2732" s="5" t="s">
        <v>571</v>
      </c>
      <c r="R2732" s="10">
        <f t="shared" si="10"/>
        <v>19</v>
      </c>
      <c r="S2732" s="5" t="s">
        <v>11528</v>
      </c>
      <c r="T2732" s="5"/>
      <c r="U2732" s="5" t="s">
        <v>2165</v>
      </c>
      <c r="V2732" s="5" t="s">
        <v>11529</v>
      </c>
    </row>
    <row r="2733" ht="12.75" customHeight="1">
      <c r="A2733" s="5">
        <v>36095.0</v>
      </c>
      <c r="B2733" s="5" t="s">
        <v>68</v>
      </c>
      <c r="C2733" s="5" t="s">
        <v>69</v>
      </c>
      <c r="D2733" s="5" t="s">
        <v>2614</v>
      </c>
      <c r="E2733" s="7" t="s">
        <v>11530</v>
      </c>
      <c r="F2733" s="5" t="s">
        <v>11500</v>
      </c>
      <c r="G2733" s="5" t="s">
        <v>11501</v>
      </c>
      <c r="H2733" s="5">
        <v>2001.0</v>
      </c>
      <c r="I2733" s="5">
        <v>0.0</v>
      </c>
      <c r="J2733" s="5">
        <v>0.0</v>
      </c>
      <c r="K2733" s="5">
        <v>4.0</v>
      </c>
      <c r="L2733" s="54"/>
      <c r="M2733" s="5" t="s">
        <v>11531</v>
      </c>
      <c r="N2733" s="53" t="s">
        <v>9206</v>
      </c>
      <c r="O2733">
        <v>40.471882</v>
      </c>
      <c r="P2733">
        <v>19.490219</v>
      </c>
      <c r="Q2733" s="5" t="s">
        <v>1145</v>
      </c>
      <c r="R2733" s="10">
        <f t="shared" si="10"/>
        <v>73</v>
      </c>
      <c r="S2733" s="5" t="s">
        <v>11532</v>
      </c>
      <c r="T2733" s="5"/>
      <c r="U2733" s="5" t="s">
        <v>2326</v>
      </c>
      <c r="V2733" s="5" t="s">
        <v>7579</v>
      </c>
    </row>
    <row r="2734" ht="12.75" customHeight="1">
      <c r="A2734" s="5">
        <v>36097.0</v>
      </c>
      <c r="B2734" s="5" t="s">
        <v>49</v>
      </c>
      <c r="C2734" s="52" t="s">
        <v>50</v>
      </c>
      <c r="D2734" s="5" t="s">
        <v>2852</v>
      </c>
      <c r="E2734" s="7" t="s">
        <v>11533</v>
      </c>
      <c r="F2734" s="5" t="s">
        <v>11500</v>
      </c>
      <c r="G2734" s="5" t="s">
        <v>11501</v>
      </c>
      <c r="H2734" s="5">
        <v>2001.0</v>
      </c>
      <c r="I2734" s="5">
        <v>0.0</v>
      </c>
      <c r="J2734" s="5">
        <v>0.0</v>
      </c>
      <c r="K2734" s="5">
        <v>7.0</v>
      </c>
      <c r="L2734" s="54"/>
      <c r="M2734" s="5" t="s">
        <v>11534</v>
      </c>
      <c r="N2734" s="53" t="s">
        <v>5814</v>
      </c>
      <c r="O2734">
        <v>28.358744</v>
      </c>
      <c r="P2734">
        <v>-14.053676</v>
      </c>
      <c r="Q2734" s="5" t="s">
        <v>390</v>
      </c>
      <c r="R2734" s="10">
        <f t="shared" si="10"/>
        <v>488</v>
      </c>
      <c r="S2734" s="5" t="s">
        <v>11535</v>
      </c>
      <c r="T2734" s="5" t="s">
        <v>1040</v>
      </c>
      <c r="U2734" s="5" t="s">
        <v>9274</v>
      </c>
      <c r="V2734" s="5"/>
    </row>
    <row r="2735" ht="12.75" customHeight="1">
      <c r="A2735" s="5">
        <v>36096.0</v>
      </c>
      <c r="B2735" s="5" t="s">
        <v>68</v>
      </c>
      <c r="C2735" s="5" t="s">
        <v>69</v>
      </c>
      <c r="D2735" s="5" t="s">
        <v>2614</v>
      </c>
      <c r="E2735" s="7" t="s">
        <v>11533</v>
      </c>
      <c r="F2735" s="5" t="s">
        <v>11500</v>
      </c>
      <c r="G2735" s="5" t="s">
        <v>11501</v>
      </c>
      <c r="H2735" s="5">
        <v>2001.0</v>
      </c>
      <c r="I2735" s="5">
        <v>0.0</v>
      </c>
      <c r="J2735" s="5">
        <v>0.0</v>
      </c>
      <c r="K2735" s="5">
        <v>3.0</v>
      </c>
      <c r="L2735" s="54"/>
      <c r="M2735" s="5" t="s">
        <v>11536</v>
      </c>
      <c r="N2735" s="53" t="s">
        <v>3379</v>
      </c>
      <c r="O2735">
        <v>36.834047</v>
      </c>
      <c r="P2735">
        <v>-2.463714</v>
      </c>
      <c r="Q2735" s="5" t="s">
        <v>863</v>
      </c>
      <c r="R2735" s="10">
        <f t="shared" si="10"/>
        <v>208</v>
      </c>
      <c r="S2735" s="5" t="s">
        <v>11537</v>
      </c>
      <c r="T2735" s="6" t="s">
        <v>72</v>
      </c>
      <c r="U2735" s="5" t="s">
        <v>2785</v>
      </c>
      <c r="V2735" s="5" t="s">
        <v>11538</v>
      </c>
    </row>
    <row r="2736" ht="12.75" customHeight="1">
      <c r="A2736" s="5">
        <v>36098.0</v>
      </c>
      <c r="B2736" s="5" t="s">
        <v>4108</v>
      </c>
      <c r="C2736" s="5" t="s">
        <v>211</v>
      </c>
      <c r="D2736" s="5" t="s">
        <v>2852</v>
      </c>
      <c r="E2736" s="7" t="s">
        <v>11539</v>
      </c>
      <c r="F2736" s="5" t="s">
        <v>11500</v>
      </c>
      <c r="G2736" s="5" t="s">
        <v>11501</v>
      </c>
      <c r="H2736" s="5">
        <v>2001.0</v>
      </c>
      <c r="I2736" s="5">
        <v>0.0</v>
      </c>
      <c r="J2736" s="5">
        <v>0.0</v>
      </c>
      <c r="K2736" s="5">
        <v>1.0</v>
      </c>
      <c r="L2736" s="54"/>
      <c r="M2736" s="5" t="s">
        <v>11540</v>
      </c>
      <c r="N2736" s="53" t="s">
        <v>5874</v>
      </c>
      <c r="O2736">
        <v>52.520007</v>
      </c>
      <c r="P2736">
        <v>13.404954</v>
      </c>
      <c r="Q2736" s="5" t="s">
        <v>1774</v>
      </c>
      <c r="R2736" s="10">
        <f t="shared" si="10"/>
        <v>6</v>
      </c>
      <c r="S2736" s="5" t="s">
        <v>11541</v>
      </c>
      <c r="T2736" s="5"/>
      <c r="U2736" s="5" t="s">
        <v>4578</v>
      </c>
      <c r="V2736" s="5"/>
    </row>
    <row r="2737" ht="12.75" customHeight="1">
      <c r="A2737" s="5">
        <v>36099.0</v>
      </c>
      <c r="B2737" s="5" t="s">
        <v>49</v>
      </c>
      <c r="C2737" s="52" t="s">
        <v>50</v>
      </c>
      <c r="D2737" s="5" t="s">
        <v>2852</v>
      </c>
      <c r="E2737" s="7" t="s">
        <v>11542</v>
      </c>
      <c r="F2737" s="5" t="s">
        <v>11500</v>
      </c>
      <c r="G2737" s="5" t="s">
        <v>11501</v>
      </c>
      <c r="H2737" s="5">
        <v>2001.0</v>
      </c>
      <c r="I2737" s="5">
        <v>0.0</v>
      </c>
      <c r="J2737" s="5">
        <v>0.0</v>
      </c>
      <c r="K2737" s="5">
        <v>13.0</v>
      </c>
      <c r="L2737" s="54"/>
      <c r="M2737" s="5" t="s">
        <v>11543</v>
      </c>
      <c r="N2737" s="53" t="s">
        <v>8183</v>
      </c>
      <c r="O2737">
        <v>34.015049</v>
      </c>
      <c r="P2737">
        <v>-6.83272</v>
      </c>
      <c r="Q2737" s="5" t="s">
        <v>571</v>
      </c>
      <c r="R2737" s="10">
        <f t="shared" si="10"/>
        <v>19</v>
      </c>
      <c r="S2737" s="5" t="s">
        <v>11544</v>
      </c>
      <c r="T2737" s="6" t="s">
        <v>72</v>
      </c>
      <c r="U2737" s="5" t="s">
        <v>11545</v>
      </c>
      <c r="V2737" s="5"/>
    </row>
    <row r="2738" ht="12.75" customHeight="1">
      <c r="A2738" s="5">
        <v>36100.0</v>
      </c>
      <c r="B2738" s="5" t="s">
        <v>49</v>
      </c>
      <c r="C2738" s="52" t="s">
        <v>50</v>
      </c>
      <c r="D2738" s="5" t="s">
        <v>2852</v>
      </c>
      <c r="E2738" s="7" t="s">
        <v>11542</v>
      </c>
      <c r="F2738" s="5" t="s">
        <v>11500</v>
      </c>
      <c r="G2738" s="5" t="s">
        <v>11501</v>
      </c>
      <c r="H2738" s="5">
        <v>2001.0</v>
      </c>
      <c r="I2738" s="5">
        <v>0.0</v>
      </c>
      <c r="J2738" s="5">
        <v>0.0</v>
      </c>
      <c r="K2738" s="5">
        <v>41.0</v>
      </c>
      <c r="L2738" s="54"/>
      <c r="M2738" s="5" t="s">
        <v>11546</v>
      </c>
      <c r="N2738" s="53" t="s">
        <v>5473</v>
      </c>
      <c r="O2738">
        <v>34.264061</v>
      </c>
      <c r="P2738">
        <v>-6.578296</v>
      </c>
      <c r="Q2738" s="5" t="s">
        <v>578</v>
      </c>
      <c r="R2738" s="10">
        <f t="shared" si="10"/>
        <v>203</v>
      </c>
      <c r="S2738" s="5" t="s">
        <v>11547</v>
      </c>
      <c r="T2738" s="6" t="s">
        <v>72</v>
      </c>
      <c r="U2738" s="5" t="s">
        <v>11545</v>
      </c>
      <c r="V2738" s="5" t="s">
        <v>9072</v>
      </c>
    </row>
    <row r="2739" ht="12.75" customHeight="1">
      <c r="A2739" s="5">
        <v>36102.0</v>
      </c>
      <c r="B2739" s="5" t="s">
        <v>1076</v>
      </c>
      <c r="C2739" s="52" t="s">
        <v>50</v>
      </c>
      <c r="D2739" s="5" t="s">
        <v>2852</v>
      </c>
      <c r="E2739" s="7" t="s">
        <v>11548</v>
      </c>
      <c r="F2739" s="5" t="s">
        <v>11500</v>
      </c>
      <c r="G2739" s="5" t="s">
        <v>11501</v>
      </c>
      <c r="H2739" s="5">
        <v>2001.0</v>
      </c>
      <c r="I2739" s="5">
        <v>0.0</v>
      </c>
      <c r="J2739" s="5">
        <v>0.0</v>
      </c>
      <c r="K2739" s="5">
        <v>1.0</v>
      </c>
      <c r="L2739" s="54"/>
      <c r="M2739" s="5" t="s">
        <v>11549</v>
      </c>
      <c r="N2739" s="53" t="s">
        <v>2638</v>
      </c>
      <c r="O2739">
        <v>35.888384</v>
      </c>
      <c r="P2739">
        <v>-5.324636</v>
      </c>
      <c r="Q2739" s="5" t="s">
        <v>717</v>
      </c>
      <c r="R2739" s="10">
        <f t="shared" si="10"/>
        <v>213</v>
      </c>
      <c r="S2739" s="5" t="s">
        <v>11550</v>
      </c>
      <c r="T2739" s="6" t="s">
        <v>72</v>
      </c>
      <c r="U2739" s="5" t="s">
        <v>11551</v>
      </c>
      <c r="V2739" s="5"/>
    </row>
    <row r="2740" ht="12.75" customHeight="1">
      <c r="A2740" s="5">
        <v>36101.0</v>
      </c>
      <c r="B2740" s="5" t="s">
        <v>49</v>
      </c>
      <c r="C2740" s="52" t="s">
        <v>50</v>
      </c>
      <c r="D2740" s="5" t="s">
        <v>2852</v>
      </c>
      <c r="E2740" s="7" t="s">
        <v>11548</v>
      </c>
      <c r="F2740" s="5" t="s">
        <v>11500</v>
      </c>
      <c r="G2740" s="5" t="s">
        <v>11501</v>
      </c>
      <c r="H2740" s="5">
        <v>2001.0</v>
      </c>
      <c r="I2740" s="5">
        <v>0.0</v>
      </c>
      <c r="J2740" s="5">
        <v>0.0</v>
      </c>
      <c r="K2740" s="5">
        <v>1.0</v>
      </c>
      <c r="L2740" s="54"/>
      <c r="M2740" s="5" t="s">
        <v>11552</v>
      </c>
      <c r="N2740" s="53" t="s">
        <v>2680</v>
      </c>
      <c r="O2740">
        <v>36.018776</v>
      </c>
      <c r="P2740">
        <v>-5.600819</v>
      </c>
      <c r="Q2740" s="5" t="s">
        <v>761</v>
      </c>
      <c r="R2740" s="10">
        <f t="shared" si="10"/>
        <v>492</v>
      </c>
      <c r="S2740" s="5" t="s">
        <v>11553</v>
      </c>
      <c r="T2740" s="6" t="s">
        <v>72</v>
      </c>
      <c r="U2740" s="5" t="s">
        <v>11554</v>
      </c>
      <c r="V2740" s="5"/>
    </row>
    <row r="2741" ht="12.75" customHeight="1">
      <c r="A2741" s="5">
        <v>36105.0</v>
      </c>
      <c r="B2741" s="5" t="s">
        <v>68</v>
      </c>
      <c r="C2741" s="5" t="s">
        <v>69</v>
      </c>
      <c r="D2741" s="5" t="s">
        <v>2852</v>
      </c>
      <c r="E2741" s="7" t="s">
        <v>11555</v>
      </c>
      <c r="F2741" s="5" t="s">
        <v>11500</v>
      </c>
      <c r="G2741" s="5" t="s">
        <v>11501</v>
      </c>
      <c r="H2741" s="5">
        <v>2001.0</v>
      </c>
      <c r="I2741" s="5">
        <v>0.0</v>
      </c>
      <c r="J2741" s="5">
        <v>0.0</v>
      </c>
      <c r="K2741" s="5">
        <v>1.0</v>
      </c>
      <c r="L2741" s="54"/>
      <c r="M2741" s="5" t="s">
        <v>11556</v>
      </c>
      <c r="N2741" s="53" t="s">
        <v>2680</v>
      </c>
      <c r="O2741">
        <v>36.018776</v>
      </c>
      <c r="P2741">
        <v>-5.600819</v>
      </c>
      <c r="Q2741" s="5" t="s">
        <v>761</v>
      </c>
      <c r="R2741" s="10">
        <f t="shared" si="10"/>
        <v>492</v>
      </c>
      <c r="S2741" s="5" t="s">
        <v>11557</v>
      </c>
      <c r="T2741" s="6" t="s">
        <v>72</v>
      </c>
      <c r="U2741" s="5" t="s">
        <v>11558</v>
      </c>
      <c r="V2741" s="5"/>
    </row>
    <row r="2742" ht="12.75" customHeight="1">
      <c r="A2742" s="5">
        <v>36104.0</v>
      </c>
      <c r="B2742" s="5" t="s">
        <v>68</v>
      </c>
      <c r="C2742" s="5" t="s">
        <v>69</v>
      </c>
      <c r="D2742" s="5" t="s">
        <v>2852</v>
      </c>
      <c r="E2742" s="7" t="s">
        <v>11555</v>
      </c>
      <c r="F2742" s="5" t="s">
        <v>11500</v>
      </c>
      <c r="G2742" s="5" t="s">
        <v>11501</v>
      </c>
      <c r="H2742" s="5">
        <v>2001.0</v>
      </c>
      <c r="I2742" s="5">
        <v>0.0</v>
      </c>
      <c r="J2742" s="5">
        <v>0.0</v>
      </c>
      <c r="K2742" s="5">
        <v>1.0</v>
      </c>
      <c r="L2742" s="54"/>
      <c r="M2742" s="5" t="s">
        <v>11559</v>
      </c>
      <c r="N2742" s="53" t="s">
        <v>2680</v>
      </c>
      <c r="O2742">
        <v>36.018776</v>
      </c>
      <c r="P2742">
        <v>-5.600819</v>
      </c>
      <c r="Q2742" s="5" t="s">
        <v>761</v>
      </c>
      <c r="R2742" s="10">
        <f t="shared" si="10"/>
        <v>492</v>
      </c>
      <c r="S2742" s="5" t="s">
        <v>11557</v>
      </c>
      <c r="T2742" s="6" t="s">
        <v>72</v>
      </c>
      <c r="U2742" s="5" t="s">
        <v>11558</v>
      </c>
      <c r="V2742" s="5"/>
    </row>
    <row r="2743" ht="12.75" customHeight="1">
      <c r="A2743" s="5">
        <v>36103.0</v>
      </c>
      <c r="B2743" s="5" t="s">
        <v>68</v>
      </c>
      <c r="C2743" s="5" t="s">
        <v>69</v>
      </c>
      <c r="D2743" s="5" t="s">
        <v>2614</v>
      </c>
      <c r="E2743" s="7" t="s">
        <v>11555</v>
      </c>
      <c r="F2743" s="5" t="s">
        <v>11500</v>
      </c>
      <c r="G2743" s="5" t="s">
        <v>11501</v>
      </c>
      <c r="H2743" s="5">
        <v>2001.0</v>
      </c>
      <c r="I2743" s="5">
        <v>0.0</v>
      </c>
      <c r="J2743" s="5">
        <v>0.0</v>
      </c>
      <c r="K2743" s="5">
        <v>5.0</v>
      </c>
      <c r="L2743" s="54"/>
      <c r="M2743" s="5" t="s">
        <v>11560</v>
      </c>
      <c r="N2743" s="53" t="s">
        <v>8378</v>
      </c>
      <c r="O2743">
        <v>38.523604</v>
      </c>
      <c r="P2743">
        <v>23.858474</v>
      </c>
      <c r="Q2743" s="5" t="s">
        <v>1030</v>
      </c>
      <c r="R2743" s="10">
        <f t="shared" si="10"/>
        <v>70</v>
      </c>
      <c r="S2743" s="5" t="s">
        <v>11561</v>
      </c>
      <c r="T2743" s="6" t="s">
        <v>53</v>
      </c>
      <c r="U2743" s="5" t="s">
        <v>11562</v>
      </c>
      <c r="V2743" s="5" t="s">
        <v>11563</v>
      </c>
    </row>
    <row r="2744" ht="12.75" customHeight="1">
      <c r="A2744" s="5">
        <v>36106.0</v>
      </c>
      <c r="B2744" s="5" t="s">
        <v>68</v>
      </c>
      <c r="C2744" s="5" t="s">
        <v>69</v>
      </c>
      <c r="D2744" s="5" t="s">
        <v>2614</v>
      </c>
      <c r="E2744" s="7" t="s">
        <v>11564</v>
      </c>
      <c r="F2744" s="5" t="s">
        <v>11500</v>
      </c>
      <c r="G2744" s="5" t="s">
        <v>11565</v>
      </c>
      <c r="H2744" s="5">
        <v>2001.0</v>
      </c>
      <c r="I2744" s="5">
        <v>0.0</v>
      </c>
      <c r="J2744" s="5">
        <v>0.0</v>
      </c>
      <c r="K2744" s="5">
        <v>1.0</v>
      </c>
      <c r="L2744" s="54"/>
      <c r="M2744" s="5" t="s">
        <v>11566</v>
      </c>
      <c r="N2744" s="53" t="s">
        <v>10982</v>
      </c>
      <c r="O2744">
        <v>40.351516</v>
      </c>
      <c r="P2744">
        <v>18.175016</v>
      </c>
      <c r="Q2744" s="5" t="s">
        <v>1133</v>
      </c>
      <c r="R2744" s="10">
        <f t="shared" si="10"/>
        <v>15</v>
      </c>
      <c r="S2744" s="5" t="s">
        <v>11567</v>
      </c>
      <c r="T2744" s="6" t="s">
        <v>1963</v>
      </c>
      <c r="U2744" s="5" t="s">
        <v>8502</v>
      </c>
      <c r="V2744" s="5" t="s">
        <v>9369</v>
      </c>
    </row>
    <row r="2745" ht="12.75" customHeight="1">
      <c r="A2745" s="5">
        <v>36107.0</v>
      </c>
      <c r="B2745" s="5" t="s">
        <v>49</v>
      </c>
      <c r="C2745" s="52" t="s">
        <v>50</v>
      </c>
      <c r="D2745" s="5" t="s">
        <v>2852</v>
      </c>
      <c r="E2745" s="7" t="s">
        <v>11568</v>
      </c>
      <c r="F2745" s="5" t="s">
        <v>11500</v>
      </c>
      <c r="G2745" s="5" t="s">
        <v>11565</v>
      </c>
      <c r="H2745" s="5">
        <v>2001.0</v>
      </c>
      <c r="I2745" s="5">
        <v>0.0</v>
      </c>
      <c r="J2745" s="5">
        <v>0.0</v>
      </c>
      <c r="K2745" s="5">
        <v>9.0</v>
      </c>
      <c r="L2745" s="54"/>
      <c r="M2745" s="5" t="s">
        <v>11569</v>
      </c>
      <c r="N2745" s="53" t="s">
        <v>4941</v>
      </c>
      <c r="O2745">
        <v>28.291564</v>
      </c>
      <c r="P2745">
        <v>-16.62913</v>
      </c>
      <c r="Q2745" s="5" t="s">
        <v>382</v>
      </c>
      <c r="R2745" s="10">
        <f t="shared" si="10"/>
        <v>1120</v>
      </c>
      <c r="S2745" s="5" t="s">
        <v>11570</v>
      </c>
      <c r="T2745" s="5" t="s">
        <v>1040</v>
      </c>
      <c r="U2745" s="5" t="s">
        <v>11207</v>
      </c>
      <c r="V2745" s="5" t="s">
        <v>11571</v>
      </c>
    </row>
    <row r="2746" ht="12.75" customHeight="1">
      <c r="A2746" s="5">
        <v>36108.0</v>
      </c>
      <c r="B2746" s="5" t="s">
        <v>49</v>
      </c>
      <c r="C2746" s="52" t="s">
        <v>50</v>
      </c>
      <c r="D2746" s="5" t="s">
        <v>2852</v>
      </c>
      <c r="E2746" s="7" t="s">
        <v>11572</v>
      </c>
      <c r="F2746" s="5" t="s">
        <v>11500</v>
      </c>
      <c r="G2746" s="5" t="s">
        <v>11565</v>
      </c>
      <c r="H2746" s="5">
        <v>2001.0</v>
      </c>
      <c r="I2746" s="5">
        <v>0.0</v>
      </c>
      <c r="J2746" s="5">
        <v>0.0</v>
      </c>
      <c r="K2746" s="5">
        <v>4.0</v>
      </c>
      <c r="L2746" s="54"/>
      <c r="M2746" s="5" t="s">
        <v>11573</v>
      </c>
      <c r="N2746" s="53" t="s">
        <v>10781</v>
      </c>
      <c r="O2746">
        <v>36.834047</v>
      </c>
      <c r="P2746">
        <v>-2.463714</v>
      </c>
      <c r="Q2746" s="5" t="s">
        <v>863</v>
      </c>
      <c r="R2746" s="10">
        <f t="shared" si="10"/>
        <v>208</v>
      </c>
      <c r="S2746" s="5" t="s">
        <v>11574</v>
      </c>
      <c r="T2746" s="6" t="s">
        <v>72</v>
      </c>
      <c r="U2746" s="5" t="s">
        <v>11207</v>
      </c>
      <c r="V2746" s="5"/>
    </row>
    <row r="2747" ht="12.75" customHeight="1">
      <c r="A2747" s="5">
        <v>36109.0</v>
      </c>
      <c r="B2747" s="5" t="s">
        <v>68</v>
      </c>
      <c r="C2747" s="5" t="s">
        <v>69</v>
      </c>
      <c r="D2747" s="5" t="s">
        <v>2614</v>
      </c>
      <c r="E2747" s="7" t="s">
        <v>11575</v>
      </c>
      <c r="F2747" s="5" t="s">
        <v>11500</v>
      </c>
      <c r="G2747" s="5" t="s">
        <v>11565</v>
      </c>
      <c r="H2747" s="5">
        <v>2001.0</v>
      </c>
      <c r="I2747" s="5">
        <v>0.0</v>
      </c>
      <c r="J2747" s="5">
        <v>0.0</v>
      </c>
      <c r="K2747" s="5">
        <v>1.0</v>
      </c>
      <c r="L2747" s="54"/>
      <c r="M2747" s="5" t="s">
        <v>11576</v>
      </c>
      <c r="N2747" s="53" t="s">
        <v>2857</v>
      </c>
      <c r="O2747">
        <v>36.527061</v>
      </c>
      <c r="P2747">
        <v>-6.288596</v>
      </c>
      <c r="Q2747" s="5" t="s">
        <v>802</v>
      </c>
      <c r="R2747" s="10">
        <f t="shared" si="10"/>
        <v>185</v>
      </c>
      <c r="S2747" s="5" t="s">
        <v>11577</v>
      </c>
      <c r="T2747" s="6" t="s">
        <v>72</v>
      </c>
      <c r="U2747" s="5" t="s">
        <v>2785</v>
      </c>
      <c r="V2747" s="5" t="s">
        <v>11578</v>
      </c>
    </row>
    <row r="2748" ht="12.75" customHeight="1">
      <c r="A2748" s="5">
        <v>36110.0</v>
      </c>
      <c r="B2748" s="5" t="s">
        <v>2962</v>
      </c>
      <c r="C2748" s="5" t="s">
        <v>211</v>
      </c>
      <c r="D2748" s="5" t="s">
        <v>2852</v>
      </c>
      <c r="E2748" s="7" t="s">
        <v>11575</v>
      </c>
      <c r="F2748" s="5" t="s">
        <v>11500</v>
      </c>
      <c r="G2748" s="5" t="s">
        <v>11565</v>
      </c>
      <c r="H2748" s="5">
        <v>2001.0</v>
      </c>
      <c r="I2748" s="5">
        <v>0.0</v>
      </c>
      <c r="J2748" s="5">
        <v>0.0</v>
      </c>
      <c r="K2748" s="5">
        <v>1.0</v>
      </c>
      <c r="L2748" s="54"/>
      <c r="M2748" s="5" t="s">
        <v>11579</v>
      </c>
      <c r="N2748" s="53" t="s">
        <v>11580</v>
      </c>
      <c r="O2748">
        <v>53.835187</v>
      </c>
      <c r="P2748">
        <v>-2.219377</v>
      </c>
      <c r="Q2748" s="5" t="s">
        <v>1866</v>
      </c>
      <c r="R2748" s="10">
        <f t="shared" si="10"/>
        <v>3</v>
      </c>
      <c r="S2748" s="5" t="s">
        <v>11581</v>
      </c>
      <c r="T2748" s="5"/>
      <c r="U2748" s="5" t="s">
        <v>11582</v>
      </c>
      <c r="V2748" s="5"/>
    </row>
    <row r="2749" ht="12.75" customHeight="1">
      <c r="A2749" s="5">
        <v>36112.0</v>
      </c>
      <c r="B2749" s="5" t="s">
        <v>49</v>
      </c>
      <c r="C2749" s="52" t="s">
        <v>50</v>
      </c>
      <c r="D2749" s="5" t="s">
        <v>2852</v>
      </c>
      <c r="E2749" s="7" t="s">
        <v>11583</v>
      </c>
      <c r="F2749" s="5" t="s">
        <v>11500</v>
      </c>
      <c r="G2749" s="5" t="s">
        <v>11565</v>
      </c>
      <c r="H2749" s="5">
        <v>2001.0</v>
      </c>
      <c r="I2749" s="5">
        <v>0.0</v>
      </c>
      <c r="J2749" s="5">
        <v>0.0</v>
      </c>
      <c r="K2749" s="5">
        <v>1.0</v>
      </c>
      <c r="L2749" s="54"/>
      <c r="M2749" s="5" t="s">
        <v>11584</v>
      </c>
      <c r="N2749" s="53" t="s">
        <v>11585</v>
      </c>
      <c r="O2749">
        <v>35.435</v>
      </c>
      <c r="P2749">
        <v>-2.993611</v>
      </c>
      <c r="Q2749" s="5" t="s">
        <v>664</v>
      </c>
      <c r="R2749" s="10">
        <f t="shared" si="10"/>
        <v>1</v>
      </c>
      <c r="S2749" s="5" t="s">
        <v>11586</v>
      </c>
      <c r="T2749" s="6" t="s">
        <v>72</v>
      </c>
      <c r="U2749" s="5" t="s">
        <v>3128</v>
      </c>
      <c r="V2749" s="5"/>
    </row>
    <row r="2750" ht="12.75" customHeight="1">
      <c r="A2750" s="5">
        <v>36111.0</v>
      </c>
      <c r="B2750" s="5" t="s">
        <v>68</v>
      </c>
      <c r="C2750" s="5" t="s">
        <v>69</v>
      </c>
      <c r="D2750" s="5" t="s">
        <v>2852</v>
      </c>
      <c r="E2750" s="7" t="s">
        <v>11583</v>
      </c>
      <c r="F2750" s="5" t="s">
        <v>11500</v>
      </c>
      <c r="G2750" s="5" t="s">
        <v>11565</v>
      </c>
      <c r="H2750" s="5">
        <v>2001.0</v>
      </c>
      <c r="I2750" s="5">
        <v>0.0</v>
      </c>
      <c r="J2750" s="5">
        <v>0.0</v>
      </c>
      <c r="K2750" s="5">
        <v>1.0</v>
      </c>
      <c r="L2750" s="54"/>
      <c r="M2750" s="5" t="s">
        <v>11587</v>
      </c>
      <c r="N2750" s="53" t="s">
        <v>10113</v>
      </c>
      <c r="O2750">
        <v>51.127876</v>
      </c>
      <c r="P2750">
        <v>1.313403</v>
      </c>
      <c r="Q2750" s="5" t="s">
        <v>1586</v>
      </c>
      <c r="R2750" s="10">
        <f t="shared" si="10"/>
        <v>6</v>
      </c>
      <c r="S2750" s="5" t="s">
        <v>11588</v>
      </c>
      <c r="T2750" s="5"/>
      <c r="U2750" s="5" t="s">
        <v>11589</v>
      </c>
      <c r="V2750" s="5" t="s">
        <v>8704</v>
      </c>
    </row>
    <row r="2751" ht="12.75" customHeight="1">
      <c r="A2751" s="5">
        <v>36114.0</v>
      </c>
      <c r="B2751" s="5" t="s">
        <v>49</v>
      </c>
      <c r="C2751" s="52" t="s">
        <v>50</v>
      </c>
      <c r="D2751" s="5" t="s">
        <v>2852</v>
      </c>
      <c r="E2751" s="7" t="s">
        <v>11590</v>
      </c>
      <c r="F2751" s="5" t="s">
        <v>11500</v>
      </c>
      <c r="G2751" s="5" t="s">
        <v>11565</v>
      </c>
      <c r="H2751" s="5">
        <v>2001.0</v>
      </c>
      <c r="I2751" s="5">
        <v>0.0</v>
      </c>
      <c r="J2751" s="5">
        <v>0.0</v>
      </c>
      <c r="K2751" s="5">
        <v>3.0</v>
      </c>
      <c r="L2751" s="54"/>
      <c r="M2751" s="5" t="s">
        <v>11591</v>
      </c>
      <c r="N2751" s="53" t="s">
        <v>5814</v>
      </c>
      <c r="O2751">
        <v>28.358744</v>
      </c>
      <c r="P2751">
        <v>-14.053676</v>
      </c>
      <c r="Q2751" s="5" t="s">
        <v>390</v>
      </c>
      <c r="R2751" s="10">
        <f t="shared" si="10"/>
        <v>488</v>
      </c>
      <c r="S2751" s="5" t="s">
        <v>11592</v>
      </c>
      <c r="T2751" s="5" t="s">
        <v>1040</v>
      </c>
      <c r="U2751" s="5" t="s">
        <v>3128</v>
      </c>
      <c r="V2751" s="5"/>
    </row>
    <row r="2752" ht="12.75" customHeight="1">
      <c r="A2752" s="5">
        <v>36113.0</v>
      </c>
      <c r="B2752" s="5" t="s">
        <v>49</v>
      </c>
      <c r="C2752" s="52" t="s">
        <v>50</v>
      </c>
      <c r="D2752" s="5" t="s">
        <v>2852</v>
      </c>
      <c r="E2752" s="7" t="s">
        <v>11590</v>
      </c>
      <c r="F2752" s="5" t="s">
        <v>11500</v>
      </c>
      <c r="G2752" s="5" t="s">
        <v>11565</v>
      </c>
      <c r="H2752" s="5">
        <v>2001.0</v>
      </c>
      <c r="I2752" s="5">
        <v>0.0</v>
      </c>
      <c r="J2752" s="5">
        <v>0.0</v>
      </c>
      <c r="K2752" s="5">
        <v>2.0</v>
      </c>
      <c r="L2752" s="54"/>
      <c r="M2752" s="5" t="s">
        <v>11593</v>
      </c>
      <c r="N2752" s="53" t="s">
        <v>5814</v>
      </c>
      <c r="O2752">
        <v>28.358744</v>
      </c>
      <c r="P2752">
        <v>-14.053676</v>
      </c>
      <c r="Q2752" s="5" t="s">
        <v>390</v>
      </c>
      <c r="R2752" s="10">
        <f t="shared" si="10"/>
        <v>488</v>
      </c>
      <c r="S2752" s="5" t="s">
        <v>11592</v>
      </c>
      <c r="T2752" s="5" t="s">
        <v>1040</v>
      </c>
      <c r="U2752" s="5" t="s">
        <v>3128</v>
      </c>
      <c r="V2752" s="5"/>
    </row>
    <row r="2753" ht="12.75" customHeight="1">
      <c r="A2753" s="5">
        <v>36115.0</v>
      </c>
      <c r="B2753" s="5" t="s">
        <v>49</v>
      </c>
      <c r="C2753" s="52" t="s">
        <v>50</v>
      </c>
      <c r="D2753" s="5" t="s">
        <v>2852</v>
      </c>
      <c r="E2753" s="7" t="s">
        <v>11594</v>
      </c>
      <c r="F2753" s="5" t="s">
        <v>11500</v>
      </c>
      <c r="G2753" s="5" t="s">
        <v>11565</v>
      </c>
      <c r="H2753" s="5">
        <v>2001.0</v>
      </c>
      <c r="I2753" s="5">
        <v>0.0</v>
      </c>
      <c r="J2753" s="5">
        <v>0.0</v>
      </c>
      <c r="K2753" s="5">
        <v>1.0</v>
      </c>
      <c r="L2753" s="54"/>
      <c r="M2753" s="5" t="s">
        <v>11595</v>
      </c>
      <c r="N2753" s="53" t="s">
        <v>2680</v>
      </c>
      <c r="O2753">
        <v>36.018776</v>
      </c>
      <c r="P2753">
        <v>-5.600819</v>
      </c>
      <c r="Q2753" s="5" t="s">
        <v>761</v>
      </c>
      <c r="R2753" s="10">
        <f t="shared" si="10"/>
        <v>492</v>
      </c>
      <c r="S2753" s="5" t="s">
        <v>11596</v>
      </c>
      <c r="T2753" s="6" t="s">
        <v>72</v>
      </c>
      <c r="U2753" s="5" t="s">
        <v>11597</v>
      </c>
      <c r="V2753" s="5"/>
    </row>
    <row r="2754" ht="12.75" customHeight="1">
      <c r="A2754" s="5">
        <v>36116.0</v>
      </c>
      <c r="B2754" s="5" t="s">
        <v>1076</v>
      </c>
      <c r="C2754" s="52" t="s">
        <v>50</v>
      </c>
      <c r="D2754" s="5" t="s">
        <v>2852</v>
      </c>
      <c r="E2754" s="7" t="s">
        <v>11598</v>
      </c>
      <c r="F2754" s="5" t="s">
        <v>11500</v>
      </c>
      <c r="G2754" s="5" t="s">
        <v>11565</v>
      </c>
      <c r="H2754" s="5">
        <v>2001.0</v>
      </c>
      <c r="I2754" s="5">
        <v>0.0</v>
      </c>
      <c r="J2754" s="5">
        <v>0.0</v>
      </c>
      <c r="K2754" s="5">
        <v>2.0</v>
      </c>
      <c r="L2754" s="54"/>
      <c r="M2754" s="5" t="s">
        <v>11599</v>
      </c>
      <c r="N2754" s="53" t="s">
        <v>10069</v>
      </c>
      <c r="O2754">
        <v>43.362344</v>
      </c>
      <c r="P2754">
        <v>-8.41154</v>
      </c>
      <c r="Q2754" s="5" t="s">
        <v>1279</v>
      </c>
      <c r="R2754" s="10">
        <f t="shared" si="10"/>
        <v>6</v>
      </c>
      <c r="S2754" s="5" t="s">
        <v>11600</v>
      </c>
      <c r="T2754" s="6" t="s">
        <v>72</v>
      </c>
      <c r="U2754" s="5" t="s">
        <v>3128</v>
      </c>
      <c r="V2754" s="5" t="s">
        <v>8704</v>
      </c>
    </row>
    <row r="2755" ht="12.75" customHeight="1">
      <c r="A2755" s="5">
        <v>36117.0</v>
      </c>
      <c r="B2755" s="5" t="s">
        <v>1076</v>
      </c>
      <c r="C2755" s="52" t="s">
        <v>50</v>
      </c>
      <c r="D2755" s="5" t="s">
        <v>2852</v>
      </c>
      <c r="E2755" s="7" t="s">
        <v>11601</v>
      </c>
      <c r="F2755" s="5" t="s">
        <v>11500</v>
      </c>
      <c r="G2755" s="5" t="s">
        <v>11565</v>
      </c>
      <c r="H2755" s="5">
        <v>2001.0</v>
      </c>
      <c r="I2755" s="5">
        <v>0.0</v>
      </c>
      <c r="J2755" s="5">
        <v>0.0</v>
      </c>
      <c r="K2755" s="5">
        <v>8.0</v>
      </c>
      <c r="L2755" s="54"/>
      <c r="M2755" s="5" t="s">
        <v>11602</v>
      </c>
      <c r="N2755" s="53" t="s">
        <v>3322</v>
      </c>
      <c r="O2755">
        <v>50.503887</v>
      </c>
      <c r="P2755">
        <v>4.469936</v>
      </c>
      <c r="Q2755" s="5" t="s">
        <v>1499</v>
      </c>
      <c r="R2755" s="10">
        <f t="shared" si="10"/>
        <v>11</v>
      </c>
      <c r="S2755" s="5" t="s">
        <v>11603</v>
      </c>
      <c r="T2755" s="5"/>
      <c r="U2755" s="5" t="s">
        <v>11604</v>
      </c>
      <c r="V2755" s="5"/>
    </row>
    <row r="2756" ht="12.75" customHeight="1">
      <c r="A2756" s="5">
        <v>36118.0</v>
      </c>
      <c r="B2756" s="5" t="s">
        <v>68</v>
      </c>
      <c r="C2756" s="5" t="s">
        <v>69</v>
      </c>
      <c r="D2756" s="5" t="s">
        <v>2614</v>
      </c>
      <c r="E2756" s="7" t="s">
        <v>11605</v>
      </c>
      <c r="F2756" s="5" t="s">
        <v>11500</v>
      </c>
      <c r="G2756" s="5" t="s">
        <v>11565</v>
      </c>
      <c r="H2756" s="5">
        <v>2001.0</v>
      </c>
      <c r="I2756" s="5">
        <v>0.0</v>
      </c>
      <c r="J2756" s="5">
        <v>0.0</v>
      </c>
      <c r="K2756" s="5">
        <v>8.0</v>
      </c>
      <c r="L2756" s="54"/>
      <c r="M2756" s="5" t="s">
        <v>11606</v>
      </c>
      <c r="N2756" s="53" t="s">
        <v>2944</v>
      </c>
      <c r="O2756">
        <v>-12.8275</v>
      </c>
      <c r="P2756">
        <v>45.166244</v>
      </c>
      <c r="Q2756" s="5" t="s">
        <v>228</v>
      </c>
      <c r="R2756" s="10">
        <f t="shared" si="10"/>
        <v>757</v>
      </c>
      <c r="S2756" s="5" t="s">
        <v>11607</v>
      </c>
      <c r="T2756" s="5"/>
      <c r="U2756" s="5" t="s">
        <v>8097</v>
      </c>
      <c r="V2756" s="5" t="s">
        <v>8585</v>
      </c>
    </row>
    <row r="2757" ht="12.75" customHeight="1">
      <c r="A2757" s="5">
        <v>36119.0</v>
      </c>
      <c r="B2757" s="5" t="s">
        <v>68</v>
      </c>
      <c r="C2757" s="5" t="s">
        <v>69</v>
      </c>
      <c r="D2757" s="5" t="s">
        <v>2614</v>
      </c>
      <c r="E2757" s="7" t="s">
        <v>11608</v>
      </c>
      <c r="F2757" s="5" t="s">
        <v>11500</v>
      </c>
      <c r="G2757" s="5" t="s">
        <v>11565</v>
      </c>
      <c r="H2757" s="5">
        <v>2001.0</v>
      </c>
      <c r="I2757" s="5">
        <v>0.0</v>
      </c>
      <c r="J2757" s="5">
        <v>0.0</v>
      </c>
      <c r="K2757" s="5">
        <v>1.0</v>
      </c>
      <c r="L2757" s="54"/>
      <c r="M2757" s="5" t="s">
        <v>11609</v>
      </c>
      <c r="N2757" s="53" t="s">
        <v>2638</v>
      </c>
      <c r="O2757">
        <v>35.888384</v>
      </c>
      <c r="P2757">
        <v>-5.324636</v>
      </c>
      <c r="Q2757" s="5" t="s">
        <v>717</v>
      </c>
      <c r="R2757" s="10">
        <f t="shared" si="10"/>
        <v>213</v>
      </c>
      <c r="S2757" s="5" t="s">
        <v>11610</v>
      </c>
      <c r="T2757" s="6" t="s">
        <v>72</v>
      </c>
      <c r="U2757" s="5" t="s">
        <v>2785</v>
      </c>
      <c r="V2757" s="5" t="s">
        <v>11611</v>
      </c>
    </row>
    <row r="2758" ht="12.75" customHeight="1">
      <c r="A2758" s="5">
        <v>36120.0</v>
      </c>
      <c r="B2758" s="5" t="s">
        <v>68</v>
      </c>
      <c r="C2758" s="5" t="s">
        <v>69</v>
      </c>
      <c r="D2758" s="5" t="s">
        <v>2614</v>
      </c>
      <c r="E2758" s="7" t="s">
        <v>11608</v>
      </c>
      <c r="F2758" s="5" t="s">
        <v>11500</v>
      </c>
      <c r="G2758" s="5" t="s">
        <v>11565</v>
      </c>
      <c r="H2758" s="5">
        <v>2001.0</v>
      </c>
      <c r="I2758" s="5">
        <v>0.0</v>
      </c>
      <c r="J2758" s="5">
        <v>0.0</v>
      </c>
      <c r="K2758" s="5">
        <v>1.0</v>
      </c>
      <c r="L2758" s="54"/>
      <c r="M2758" s="5" t="s">
        <v>11612</v>
      </c>
      <c r="N2758" s="53" t="s">
        <v>2680</v>
      </c>
      <c r="O2758">
        <v>36.018776</v>
      </c>
      <c r="P2758">
        <v>-5.600819</v>
      </c>
      <c r="Q2758" s="5" t="s">
        <v>761</v>
      </c>
      <c r="R2758" s="10">
        <f t="shared" si="10"/>
        <v>492</v>
      </c>
      <c r="S2758" s="5" t="s">
        <v>11613</v>
      </c>
      <c r="T2758" s="6" t="s">
        <v>72</v>
      </c>
      <c r="U2758" s="5" t="s">
        <v>2785</v>
      </c>
      <c r="V2758" s="5" t="s">
        <v>11614</v>
      </c>
    </row>
    <row r="2759" ht="12.75" customHeight="1">
      <c r="A2759" s="5">
        <v>36121.0</v>
      </c>
      <c r="B2759" s="5" t="s">
        <v>49</v>
      </c>
      <c r="C2759" s="52" t="s">
        <v>50</v>
      </c>
      <c r="D2759" s="5" t="s">
        <v>2852</v>
      </c>
      <c r="E2759" s="7" t="s">
        <v>11615</v>
      </c>
      <c r="F2759" s="5" t="s">
        <v>11500</v>
      </c>
      <c r="G2759" s="5" t="s">
        <v>11565</v>
      </c>
      <c r="H2759" s="5">
        <v>2001.0</v>
      </c>
      <c r="I2759" s="5">
        <v>0.0</v>
      </c>
      <c r="J2759" s="5">
        <v>0.0</v>
      </c>
      <c r="K2759" s="5">
        <v>11.0</v>
      </c>
      <c r="L2759" s="54"/>
      <c r="M2759" s="5" t="s">
        <v>11616</v>
      </c>
      <c r="N2759" s="53" t="s">
        <v>3379</v>
      </c>
      <c r="O2759">
        <v>36.834047</v>
      </c>
      <c r="P2759">
        <v>-2.463714</v>
      </c>
      <c r="Q2759" s="5" t="s">
        <v>863</v>
      </c>
      <c r="R2759" s="10">
        <f t="shared" si="10"/>
        <v>208</v>
      </c>
      <c r="S2759" s="5" t="s">
        <v>11617</v>
      </c>
      <c r="T2759" s="6" t="s">
        <v>72</v>
      </c>
      <c r="U2759" s="5" t="s">
        <v>11551</v>
      </c>
      <c r="V2759" s="5" t="s">
        <v>11618</v>
      </c>
    </row>
    <row r="2760" ht="12.75" customHeight="1">
      <c r="A2760" s="5">
        <v>36123.0</v>
      </c>
      <c r="B2760" s="5" t="s">
        <v>68</v>
      </c>
      <c r="C2760" s="5" t="s">
        <v>69</v>
      </c>
      <c r="D2760" s="5" t="s">
        <v>2614</v>
      </c>
      <c r="E2760" s="7" t="s">
        <v>11619</v>
      </c>
      <c r="F2760" s="5" t="s">
        <v>11500</v>
      </c>
      <c r="G2760" s="5" t="s">
        <v>11565</v>
      </c>
      <c r="H2760" s="5">
        <v>2001.0</v>
      </c>
      <c r="I2760" s="5">
        <v>0.0</v>
      </c>
      <c r="J2760" s="5">
        <v>0.0</v>
      </c>
      <c r="K2760" s="5">
        <v>2.0</v>
      </c>
      <c r="L2760" s="54"/>
      <c r="M2760" s="5" t="s">
        <v>11620</v>
      </c>
      <c r="N2760" s="53" t="s">
        <v>2944</v>
      </c>
      <c r="O2760">
        <v>-12.8275</v>
      </c>
      <c r="P2760">
        <v>45.166244</v>
      </c>
      <c r="Q2760" s="5" t="s">
        <v>228</v>
      </c>
      <c r="R2760" s="10">
        <f t="shared" si="10"/>
        <v>757</v>
      </c>
      <c r="S2760" s="5" t="s">
        <v>11621</v>
      </c>
      <c r="T2760" s="5"/>
      <c r="U2760" s="5" t="s">
        <v>8097</v>
      </c>
      <c r="V2760" s="5" t="s">
        <v>8585</v>
      </c>
    </row>
    <row r="2761" ht="12.75" customHeight="1">
      <c r="A2761" s="5">
        <v>36122.0</v>
      </c>
      <c r="B2761" s="5" t="s">
        <v>68</v>
      </c>
      <c r="C2761" s="5" t="s">
        <v>69</v>
      </c>
      <c r="D2761" s="5" t="s">
        <v>2614</v>
      </c>
      <c r="E2761" s="7" t="s">
        <v>11619</v>
      </c>
      <c r="F2761" s="5" t="s">
        <v>11500</v>
      </c>
      <c r="G2761" s="5" t="s">
        <v>11565</v>
      </c>
      <c r="H2761" s="5">
        <v>2001.0</v>
      </c>
      <c r="I2761" s="5">
        <v>0.0</v>
      </c>
      <c r="J2761" s="5">
        <v>0.0</v>
      </c>
      <c r="K2761" s="5">
        <v>26.0</v>
      </c>
      <c r="L2761" s="54"/>
      <c r="M2761" s="5" t="s">
        <v>11622</v>
      </c>
      <c r="N2761" s="53" t="s">
        <v>11623</v>
      </c>
      <c r="O2761">
        <v>-12.8275</v>
      </c>
      <c r="P2761">
        <v>45.166244</v>
      </c>
      <c r="Q2761" s="5" t="s">
        <v>228</v>
      </c>
      <c r="R2761" s="10">
        <f t="shared" si="10"/>
        <v>757</v>
      </c>
      <c r="S2761" s="5" t="s">
        <v>11621</v>
      </c>
      <c r="T2761" s="5"/>
      <c r="U2761" s="5" t="s">
        <v>8097</v>
      </c>
      <c r="V2761" s="5" t="s">
        <v>8585</v>
      </c>
    </row>
    <row r="2762" ht="12.75" customHeight="1">
      <c r="A2762" s="5">
        <v>36124.0</v>
      </c>
      <c r="B2762" s="5" t="s">
        <v>68</v>
      </c>
      <c r="C2762" s="5" t="s">
        <v>69</v>
      </c>
      <c r="D2762" s="5" t="s">
        <v>2614</v>
      </c>
      <c r="E2762" s="7" t="s">
        <v>11624</v>
      </c>
      <c r="F2762" s="5" t="s">
        <v>11500</v>
      </c>
      <c r="G2762" s="5" t="s">
        <v>11565</v>
      </c>
      <c r="H2762" s="5">
        <v>2001.0</v>
      </c>
      <c r="I2762" s="5">
        <v>0.0</v>
      </c>
      <c r="J2762" s="5">
        <v>0.0</v>
      </c>
      <c r="K2762" s="5">
        <v>1.0</v>
      </c>
      <c r="L2762" s="54"/>
      <c r="M2762" s="5" t="s">
        <v>11625</v>
      </c>
      <c r="N2762" s="53" t="s">
        <v>2944</v>
      </c>
      <c r="O2762">
        <v>-12.8275</v>
      </c>
      <c r="P2762">
        <v>45.166244</v>
      </c>
      <c r="Q2762" s="5" t="s">
        <v>228</v>
      </c>
      <c r="R2762" s="10">
        <f t="shared" si="10"/>
        <v>757</v>
      </c>
      <c r="S2762" s="5" t="s">
        <v>11626</v>
      </c>
      <c r="T2762" s="5"/>
      <c r="U2762" s="5" t="s">
        <v>8097</v>
      </c>
      <c r="V2762" s="5" t="s">
        <v>8585</v>
      </c>
    </row>
    <row r="2763" ht="12.75" customHeight="1">
      <c r="A2763" s="5">
        <v>36125.0</v>
      </c>
      <c r="B2763" s="5" t="s">
        <v>49</v>
      </c>
      <c r="C2763" s="52" t="s">
        <v>50</v>
      </c>
      <c r="D2763" s="5" t="s">
        <v>2852</v>
      </c>
      <c r="E2763" s="7" t="s">
        <v>11624</v>
      </c>
      <c r="F2763" s="5" t="s">
        <v>11500</v>
      </c>
      <c r="G2763" s="5" t="s">
        <v>11565</v>
      </c>
      <c r="H2763" s="5">
        <v>2001.0</v>
      </c>
      <c r="I2763" s="5">
        <v>0.0</v>
      </c>
      <c r="J2763" s="5">
        <v>0.0</v>
      </c>
      <c r="K2763" s="5">
        <v>1.0</v>
      </c>
      <c r="L2763" s="54"/>
      <c r="M2763" s="5" t="s">
        <v>11627</v>
      </c>
      <c r="N2763" s="53" t="s">
        <v>2680</v>
      </c>
      <c r="O2763">
        <v>36.018776</v>
      </c>
      <c r="P2763">
        <v>-5.600819</v>
      </c>
      <c r="Q2763" s="5" t="s">
        <v>761</v>
      </c>
      <c r="R2763" s="10">
        <f t="shared" si="10"/>
        <v>492</v>
      </c>
      <c r="S2763" s="5" t="s">
        <v>11628</v>
      </c>
      <c r="T2763" s="6" t="s">
        <v>72</v>
      </c>
      <c r="U2763" s="5" t="s">
        <v>11629</v>
      </c>
      <c r="V2763" s="5"/>
    </row>
    <row r="2764" ht="12.75" customHeight="1">
      <c r="A2764" s="5">
        <v>36199.0</v>
      </c>
      <c r="B2764" s="5" t="s">
        <v>4108</v>
      </c>
      <c r="C2764" s="5" t="s">
        <v>211</v>
      </c>
      <c r="D2764" s="5" t="s">
        <v>2852</v>
      </c>
      <c r="E2764" s="7" t="s">
        <v>11630</v>
      </c>
      <c r="F2764" s="5" t="s">
        <v>11500</v>
      </c>
      <c r="G2764" s="5" t="s">
        <v>11565</v>
      </c>
      <c r="H2764" s="5">
        <v>2001.0</v>
      </c>
      <c r="I2764" s="5">
        <v>0.0</v>
      </c>
      <c r="J2764" s="5">
        <v>0.0</v>
      </c>
      <c r="K2764" s="5">
        <v>1.0</v>
      </c>
      <c r="L2764" s="54"/>
      <c r="M2764" s="5" t="s">
        <v>11631</v>
      </c>
      <c r="N2764" s="53" t="s">
        <v>10211</v>
      </c>
      <c r="O2764">
        <v>48.208174</v>
      </c>
      <c r="P2764">
        <v>16.373819</v>
      </c>
      <c r="Q2764" s="5" t="s">
        <v>1410</v>
      </c>
      <c r="R2764" s="10">
        <f t="shared" si="10"/>
        <v>6</v>
      </c>
      <c r="S2764" s="5" t="s">
        <v>11632</v>
      </c>
      <c r="T2764" s="5"/>
      <c r="U2764" s="5" t="s">
        <v>11633</v>
      </c>
      <c r="V2764" s="5"/>
    </row>
    <row r="2765" ht="12.75" customHeight="1">
      <c r="A2765" s="5">
        <v>36126.0</v>
      </c>
      <c r="B2765" s="5" t="s">
        <v>2693</v>
      </c>
      <c r="C2765" s="5" t="s">
        <v>62</v>
      </c>
      <c r="D2765" s="5" t="s">
        <v>2852</v>
      </c>
      <c r="E2765" s="7" t="s">
        <v>11634</v>
      </c>
      <c r="F2765" s="5" t="s">
        <v>11500</v>
      </c>
      <c r="G2765" s="5" t="s">
        <v>11635</v>
      </c>
      <c r="H2765" s="5">
        <v>2001.0</v>
      </c>
      <c r="I2765" s="5">
        <v>0.0</v>
      </c>
      <c r="J2765" s="5">
        <v>0.0</v>
      </c>
      <c r="K2765" s="5">
        <v>1.0</v>
      </c>
      <c r="L2765" s="54"/>
      <c r="M2765" s="5" t="s">
        <v>11636</v>
      </c>
      <c r="N2765" s="53" t="s">
        <v>9194</v>
      </c>
      <c r="O2765">
        <v>38.963745</v>
      </c>
      <c r="P2765">
        <v>35.243322</v>
      </c>
      <c r="Q2765" s="5" t="s">
        <v>1051</v>
      </c>
      <c r="R2765" s="10">
        <f t="shared" si="10"/>
        <v>23</v>
      </c>
      <c r="S2765" s="5" t="s">
        <v>11637</v>
      </c>
      <c r="T2765" s="5"/>
      <c r="U2765" s="5" t="s">
        <v>3128</v>
      </c>
      <c r="V2765" s="5"/>
    </row>
    <row r="2766" ht="12.75" customHeight="1">
      <c r="A2766" s="5">
        <v>36127.0</v>
      </c>
      <c r="B2766" s="5" t="s">
        <v>4108</v>
      </c>
      <c r="C2766" s="5" t="s">
        <v>211</v>
      </c>
      <c r="D2766" s="5" t="s">
        <v>2852</v>
      </c>
      <c r="E2766" s="7" t="s">
        <v>11638</v>
      </c>
      <c r="F2766" s="5" t="s">
        <v>11500</v>
      </c>
      <c r="G2766" s="5" t="s">
        <v>11635</v>
      </c>
      <c r="H2766" s="5">
        <v>2001.0</v>
      </c>
      <c r="I2766" s="5">
        <v>0.0</v>
      </c>
      <c r="J2766" s="5">
        <v>0.0</v>
      </c>
      <c r="K2766" s="5">
        <v>1.0</v>
      </c>
      <c r="L2766" s="54"/>
      <c r="M2766" s="5" t="s">
        <v>11639</v>
      </c>
      <c r="N2766" s="53" t="s">
        <v>11640</v>
      </c>
      <c r="O2766">
        <v>49.913334</v>
      </c>
      <c r="P2766">
        <v>9.292279</v>
      </c>
      <c r="Q2766" s="5" t="s">
        <v>1479</v>
      </c>
      <c r="R2766" s="10">
        <f t="shared" si="10"/>
        <v>1</v>
      </c>
      <c r="S2766" s="5" t="s">
        <v>11641</v>
      </c>
      <c r="T2766" s="5"/>
      <c r="U2766" s="5" t="s">
        <v>4578</v>
      </c>
      <c r="V2766" s="5"/>
    </row>
    <row r="2767" ht="12.75" customHeight="1">
      <c r="A2767" s="5">
        <v>36129.0</v>
      </c>
      <c r="B2767" s="5" t="s">
        <v>41</v>
      </c>
      <c r="C2767" s="5" t="s">
        <v>42</v>
      </c>
      <c r="D2767" s="5" t="s">
        <v>2852</v>
      </c>
      <c r="E2767" s="7" t="s">
        <v>11642</v>
      </c>
      <c r="F2767" s="5" t="s">
        <v>11500</v>
      </c>
      <c r="G2767" s="5" t="s">
        <v>11635</v>
      </c>
      <c r="H2767" s="5">
        <v>2001.0</v>
      </c>
      <c r="I2767" s="5">
        <v>0.0</v>
      </c>
      <c r="J2767" s="5">
        <v>0.0</v>
      </c>
      <c r="K2767" s="5">
        <v>1.0</v>
      </c>
      <c r="L2767" s="54"/>
      <c r="M2767" s="5" t="s">
        <v>11643</v>
      </c>
      <c r="N2767" s="53" t="s">
        <v>8782</v>
      </c>
      <c r="O2767">
        <v>34.802075</v>
      </c>
      <c r="P2767">
        <v>38.996815</v>
      </c>
      <c r="Q2767" s="5" t="s">
        <v>598</v>
      </c>
      <c r="R2767" s="10">
        <f t="shared" si="10"/>
        <v>7</v>
      </c>
      <c r="S2767" s="5" t="s">
        <v>11644</v>
      </c>
      <c r="T2767" s="5"/>
      <c r="U2767" s="5" t="s">
        <v>11492</v>
      </c>
      <c r="V2767" s="5"/>
    </row>
    <row r="2768" ht="12.75" customHeight="1">
      <c r="A2768" s="5">
        <v>36128.0</v>
      </c>
      <c r="B2768" s="5" t="s">
        <v>68</v>
      </c>
      <c r="C2768" s="5" t="s">
        <v>69</v>
      </c>
      <c r="D2768" s="5" t="s">
        <v>2614</v>
      </c>
      <c r="E2768" s="7" t="s">
        <v>11642</v>
      </c>
      <c r="F2768" s="5" t="s">
        <v>11500</v>
      </c>
      <c r="G2768" s="5" t="s">
        <v>11635</v>
      </c>
      <c r="H2768" s="5">
        <v>2001.0</v>
      </c>
      <c r="I2768" s="5">
        <v>0.0</v>
      </c>
      <c r="J2768" s="5">
        <v>0.0</v>
      </c>
      <c r="K2768" s="5">
        <v>2.0</v>
      </c>
      <c r="L2768" s="54"/>
      <c r="M2768" s="5" t="s">
        <v>11645</v>
      </c>
      <c r="N2768" s="53" t="s">
        <v>2680</v>
      </c>
      <c r="O2768">
        <v>36.018776</v>
      </c>
      <c r="P2768">
        <v>-5.600819</v>
      </c>
      <c r="Q2768" s="5" t="s">
        <v>761</v>
      </c>
      <c r="R2768" s="10">
        <f t="shared" si="10"/>
        <v>492</v>
      </c>
      <c r="S2768" s="5" t="s">
        <v>11646</v>
      </c>
      <c r="T2768" s="6" t="s">
        <v>72</v>
      </c>
      <c r="U2768" s="5" t="s">
        <v>2785</v>
      </c>
      <c r="V2768" s="5" t="s">
        <v>11647</v>
      </c>
    </row>
    <row r="2769" ht="12.75" customHeight="1">
      <c r="A2769" s="5">
        <v>36131.0</v>
      </c>
      <c r="B2769" s="5" t="s">
        <v>49</v>
      </c>
      <c r="C2769" s="52" t="s">
        <v>50</v>
      </c>
      <c r="D2769" s="5" t="s">
        <v>2852</v>
      </c>
      <c r="E2769" s="7" t="s">
        <v>11648</v>
      </c>
      <c r="F2769" s="5" t="s">
        <v>11500</v>
      </c>
      <c r="G2769" s="5" t="s">
        <v>11635</v>
      </c>
      <c r="H2769" s="5">
        <v>2001.0</v>
      </c>
      <c r="I2769" s="5">
        <v>0.0</v>
      </c>
      <c r="J2769" s="5">
        <v>0.0</v>
      </c>
      <c r="K2769" s="5">
        <v>4.0</v>
      </c>
      <c r="L2769" s="54"/>
      <c r="M2769" s="5" t="s">
        <v>11649</v>
      </c>
      <c r="N2769" s="53" t="s">
        <v>2680</v>
      </c>
      <c r="O2769">
        <v>36.018776</v>
      </c>
      <c r="P2769">
        <v>-5.600819</v>
      </c>
      <c r="Q2769" s="5" t="s">
        <v>761</v>
      </c>
      <c r="R2769" s="10">
        <f t="shared" si="10"/>
        <v>492</v>
      </c>
      <c r="S2769" s="5" t="s">
        <v>11650</v>
      </c>
      <c r="T2769" s="6" t="s">
        <v>72</v>
      </c>
      <c r="U2769" s="5" t="s">
        <v>11554</v>
      </c>
      <c r="V2769" s="5" t="s">
        <v>11647</v>
      </c>
    </row>
    <row r="2770" ht="12.75" customHeight="1">
      <c r="A2770" s="5">
        <v>36130.0</v>
      </c>
      <c r="B2770" s="5" t="s">
        <v>1076</v>
      </c>
      <c r="C2770" s="52" t="s">
        <v>50</v>
      </c>
      <c r="D2770" s="5" t="s">
        <v>2852</v>
      </c>
      <c r="E2770" s="7" t="s">
        <v>11648</v>
      </c>
      <c r="F2770" s="5" t="s">
        <v>11500</v>
      </c>
      <c r="G2770" s="5" t="s">
        <v>11635</v>
      </c>
      <c r="H2770" s="5">
        <v>2001.0</v>
      </c>
      <c r="I2770" s="5">
        <v>0.0</v>
      </c>
      <c r="J2770" s="5">
        <v>0.0</v>
      </c>
      <c r="K2770" s="5">
        <v>2.0</v>
      </c>
      <c r="L2770" s="54"/>
      <c r="M2770" s="5" t="s">
        <v>11651</v>
      </c>
      <c r="N2770" s="53" t="s">
        <v>2680</v>
      </c>
      <c r="O2770">
        <v>36.018776</v>
      </c>
      <c r="P2770">
        <v>-5.600819</v>
      </c>
      <c r="Q2770" s="5" t="s">
        <v>761</v>
      </c>
      <c r="R2770" s="10">
        <f t="shared" si="10"/>
        <v>492</v>
      </c>
      <c r="S2770" s="5" t="s">
        <v>11650</v>
      </c>
      <c r="T2770" s="6" t="s">
        <v>72</v>
      </c>
      <c r="U2770" s="5" t="s">
        <v>11554</v>
      </c>
      <c r="V2770" s="5"/>
    </row>
    <row r="2771" ht="12.75" customHeight="1">
      <c r="A2771" s="5">
        <v>36132.0</v>
      </c>
      <c r="B2771" s="5" t="s">
        <v>41</v>
      </c>
      <c r="C2771" s="5" t="s">
        <v>42</v>
      </c>
      <c r="D2771" s="5" t="s">
        <v>2614</v>
      </c>
      <c r="E2771" s="7" t="s">
        <v>11652</v>
      </c>
      <c r="F2771" s="5" t="s">
        <v>11500</v>
      </c>
      <c r="G2771" s="5" t="s">
        <v>11635</v>
      </c>
      <c r="H2771" s="5">
        <v>2001.0</v>
      </c>
      <c r="I2771" s="5">
        <v>0.0</v>
      </c>
      <c r="J2771" s="5">
        <v>0.0</v>
      </c>
      <c r="K2771" s="5">
        <v>2.0</v>
      </c>
      <c r="L2771" s="54"/>
      <c r="M2771" s="5" t="s">
        <v>11653</v>
      </c>
      <c r="N2771" s="53" t="s">
        <v>8782</v>
      </c>
      <c r="O2771">
        <v>34.802075</v>
      </c>
      <c r="P2771">
        <v>38.996815</v>
      </c>
      <c r="Q2771" s="5" t="s">
        <v>598</v>
      </c>
      <c r="R2771" s="10">
        <f t="shared" si="10"/>
        <v>7</v>
      </c>
      <c r="S2771" s="5" t="s">
        <v>11654</v>
      </c>
      <c r="T2771" s="5"/>
      <c r="U2771" s="5" t="s">
        <v>5662</v>
      </c>
      <c r="V2771" s="5" t="s">
        <v>11655</v>
      </c>
    </row>
    <row r="2772" ht="12.75" customHeight="1">
      <c r="A2772" s="5">
        <v>36133.0</v>
      </c>
      <c r="B2772" s="5" t="s">
        <v>49</v>
      </c>
      <c r="C2772" s="52" t="s">
        <v>50</v>
      </c>
      <c r="D2772" s="5" t="s">
        <v>2852</v>
      </c>
      <c r="E2772" s="7" t="s">
        <v>11656</v>
      </c>
      <c r="F2772" s="5" t="s">
        <v>11500</v>
      </c>
      <c r="G2772" s="5" t="s">
        <v>11635</v>
      </c>
      <c r="H2772" s="5">
        <v>2001.0</v>
      </c>
      <c r="I2772" s="5">
        <v>0.0</v>
      </c>
      <c r="J2772" s="5">
        <v>0.0</v>
      </c>
      <c r="K2772" s="5">
        <v>1.0</v>
      </c>
      <c r="L2772" s="54"/>
      <c r="M2772" s="5" t="s">
        <v>11657</v>
      </c>
      <c r="N2772" s="53" t="s">
        <v>2680</v>
      </c>
      <c r="O2772">
        <v>36.018776</v>
      </c>
      <c r="P2772">
        <v>-5.600819</v>
      </c>
      <c r="Q2772" s="5" t="s">
        <v>761</v>
      </c>
      <c r="R2772" s="10">
        <f t="shared" si="10"/>
        <v>492</v>
      </c>
      <c r="S2772" s="5" t="s">
        <v>11658</v>
      </c>
      <c r="T2772" s="6" t="s">
        <v>72</v>
      </c>
      <c r="U2772" s="5" t="s">
        <v>11659</v>
      </c>
      <c r="V2772" s="5"/>
    </row>
    <row r="2773" ht="12.75" customHeight="1">
      <c r="A2773" s="5">
        <v>36134.0</v>
      </c>
      <c r="B2773" s="5" t="s">
        <v>98</v>
      </c>
      <c r="C2773" s="5" t="s">
        <v>62</v>
      </c>
      <c r="D2773" s="5" t="s">
        <v>2614</v>
      </c>
      <c r="E2773" s="7" t="s">
        <v>11660</v>
      </c>
      <c r="F2773" s="5" t="s">
        <v>11500</v>
      </c>
      <c r="G2773" s="5" t="s">
        <v>11635</v>
      </c>
      <c r="H2773" s="5">
        <v>2001.0</v>
      </c>
      <c r="I2773" s="5">
        <v>0.0</v>
      </c>
      <c r="J2773" s="5">
        <v>0.0</v>
      </c>
      <c r="K2773" s="5">
        <v>1.0</v>
      </c>
      <c r="L2773" s="54"/>
      <c r="M2773" s="5" t="s">
        <v>11661</v>
      </c>
      <c r="N2773" s="53" t="s">
        <v>2617</v>
      </c>
      <c r="O2773">
        <v>37.508039</v>
      </c>
      <c r="P2773">
        <v>15.082851</v>
      </c>
      <c r="Q2773" s="5" t="s">
        <v>943</v>
      </c>
      <c r="R2773" s="10">
        <f t="shared" si="10"/>
        <v>20</v>
      </c>
      <c r="S2773" s="5" t="s">
        <v>11662</v>
      </c>
      <c r="T2773" s="6" t="s">
        <v>2130</v>
      </c>
      <c r="U2773" s="5" t="s">
        <v>2326</v>
      </c>
      <c r="V2773" s="5" t="s">
        <v>7579</v>
      </c>
    </row>
    <row r="2774" ht="12.75" customHeight="1">
      <c r="A2774" s="5">
        <v>36136.0</v>
      </c>
      <c r="B2774" s="5" t="s">
        <v>49</v>
      </c>
      <c r="C2774" s="52" t="s">
        <v>50</v>
      </c>
      <c r="D2774" s="5" t="s">
        <v>2852</v>
      </c>
      <c r="E2774" s="7" t="s">
        <v>11663</v>
      </c>
      <c r="F2774" s="5" t="s">
        <v>11500</v>
      </c>
      <c r="G2774" s="5" t="s">
        <v>11635</v>
      </c>
      <c r="H2774" s="5">
        <v>2001.0</v>
      </c>
      <c r="I2774" s="5">
        <v>0.0</v>
      </c>
      <c r="J2774" s="5">
        <v>0.0</v>
      </c>
      <c r="K2774" s="5">
        <v>1.0</v>
      </c>
      <c r="L2774" s="54"/>
      <c r="M2774" s="5" t="s">
        <v>11664</v>
      </c>
      <c r="N2774" s="53" t="s">
        <v>948</v>
      </c>
      <c r="O2774">
        <v>37.035339</v>
      </c>
      <c r="P2774">
        <v>27.43029</v>
      </c>
      <c r="Q2774" s="5" t="s">
        <v>892</v>
      </c>
      <c r="R2774" s="10">
        <f t="shared" si="10"/>
        <v>57</v>
      </c>
      <c r="S2774" s="5" t="s">
        <v>11665</v>
      </c>
      <c r="T2774" s="6" t="s">
        <v>53</v>
      </c>
      <c r="U2774" s="5" t="s">
        <v>4492</v>
      </c>
      <c r="V2774" s="5"/>
    </row>
    <row r="2775" ht="12.75" customHeight="1">
      <c r="A2775" s="5">
        <v>36135.0</v>
      </c>
      <c r="B2775" s="5" t="s">
        <v>49</v>
      </c>
      <c r="C2775" s="52" t="s">
        <v>50</v>
      </c>
      <c r="D2775" s="5" t="s">
        <v>2852</v>
      </c>
      <c r="E2775" s="7" t="s">
        <v>11663</v>
      </c>
      <c r="F2775" s="5" t="s">
        <v>11500</v>
      </c>
      <c r="G2775" s="5" t="s">
        <v>11635</v>
      </c>
      <c r="H2775" s="5">
        <v>2001.0</v>
      </c>
      <c r="I2775" s="5">
        <v>0.0</v>
      </c>
      <c r="J2775" s="5">
        <v>0.0</v>
      </c>
      <c r="K2775" s="5">
        <v>12.0</v>
      </c>
      <c r="L2775" s="54"/>
      <c r="M2775" s="5" t="s">
        <v>11666</v>
      </c>
      <c r="N2775" s="53" t="s">
        <v>948</v>
      </c>
      <c r="O2775">
        <v>37.035339</v>
      </c>
      <c r="P2775">
        <v>27.43029</v>
      </c>
      <c r="Q2775" s="5" t="s">
        <v>892</v>
      </c>
      <c r="R2775" s="10">
        <f t="shared" si="10"/>
        <v>57</v>
      </c>
      <c r="S2775" s="5" t="s">
        <v>11665</v>
      </c>
      <c r="T2775" s="6" t="s">
        <v>53</v>
      </c>
      <c r="U2775" s="5" t="s">
        <v>11667</v>
      </c>
      <c r="V2775" s="5"/>
    </row>
    <row r="2776" ht="12.75" customHeight="1">
      <c r="A2776" s="5">
        <v>36137.0</v>
      </c>
      <c r="B2776" s="5" t="s">
        <v>68</v>
      </c>
      <c r="C2776" s="5" t="s">
        <v>69</v>
      </c>
      <c r="D2776" s="5" t="s">
        <v>2614</v>
      </c>
      <c r="E2776" s="7" t="s">
        <v>11668</v>
      </c>
      <c r="F2776" s="5" t="s">
        <v>11500</v>
      </c>
      <c r="G2776" s="5" t="s">
        <v>11635</v>
      </c>
      <c r="H2776" s="5">
        <v>2001.0</v>
      </c>
      <c r="I2776" s="5">
        <v>0.0</v>
      </c>
      <c r="J2776" s="5">
        <v>0.0</v>
      </c>
      <c r="K2776" s="5">
        <v>3.0</v>
      </c>
      <c r="L2776" s="54"/>
      <c r="M2776" s="5" t="s">
        <v>11669</v>
      </c>
      <c r="N2776" s="53" t="s">
        <v>10802</v>
      </c>
      <c r="O2776">
        <v>36.893322</v>
      </c>
      <c r="P2776">
        <v>14.42889</v>
      </c>
      <c r="Q2776" s="5" t="s">
        <v>875</v>
      </c>
      <c r="R2776" s="10">
        <f t="shared" si="10"/>
        <v>18</v>
      </c>
      <c r="S2776" s="5" t="s">
        <v>11670</v>
      </c>
      <c r="T2776" s="6" t="s">
        <v>2130</v>
      </c>
      <c r="U2776" s="5" t="s">
        <v>2326</v>
      </c>
      <c r="V2776" s="5" t="s">
        <v>7579</v>
      </c>
    </row>
    <row r="2777" ht="12.75" customHeight="1">
      <c r="A2777" s="5">
        <v>36138.0</v>
      </c>
      <c r="B2777" s="5" t="s">
        <v>49</v>
      </c>
      <c r="C2777" s="52" t="s">
        <v>50</v>
      </c>
      <c r="D2777" s="5" t="s">
        <v>2614</v>
      </c>
      <c r="E2777" s="7" t="s">
        <v>11671</v>
      </c>
      <c r="F2777" s="5" t="s">
        <v>11500</v>
      </c>
      <c r="G2777" s="5" t="s">
        <v>11635</v>
      </c>
      <c r="H2777" s="5">
        <v>2001.0</v>
      </c>
      <c r="I2777" s="5">
        <v>0.0</v>
      </c>
      <c r="J2777" s="5">
        <v>0.0</v>
      </c>
      <c r="K2777" s="5">
        <v>4.0</v>
      </c>
      <c r="L2777" s="54"/>
      <c r="M2777" s="5" t="s">
        <v>11672</v>
      </c>
      <c r="N2777" s="53" t="s">
        <v>5692</v>
      </c>
      <c r="O2777">
        <v>36.926927</v>
      </c>
      <c r="P2777">
        <v>14.725513</v>
      </c>
      <c r="Q2777" s="5" t="s">
        <v>887</v>
      </c>
      <c r="R2777" s="10">
        <f t="shared" si="10"/>
        <v>58</v>
      </c>
      <c r="S2777" s="5" t="s">
        <v>11673</v>
      </c>
      <c r="T2777" s="6" t="s">
        <v>2130</v>
      </c>
      <c r="U2777" s="5" t="s">
        <v>8502</v>
      </c>
      <c r="V2777" s="5" t="s">
        <v>11674</v>
      </c>
    </row>
    <row r="2778" ht="12.75" customHeight="1">
      <c r="A2778" s="5">
        <v>36139.0</v>
      </c>
      <c r="B2778" s="5" t="s">
        <v>636</v>
      </c>
      <c r="C2778" s="52" t="s">
        <v>50</v>
      </c>
      <c r="D2778" s="5" t="s">
        <v>2614</v>
      </c>
      <c r="E2778" s="7" t="s">
        <v>11675</v>
      </c>
      <c r="F2778" s="5" t="s">
        <v>11500</v>
      </c>
      <c r="G2778" s="5" t="s">
        <v>11635</v>
      </c>
      <c r="H2778" s="5">
        <v>2001.0</v>
      </c>
      <c r="I2778" s="5">
        <v>0.0</v>
      </c>
      <c r="J2778" s="5">
        <v>0.0</v>
      </c>
      <c r="K2778" s="5">
        <v>1.0</v>
      </c>
      <c r="L2778" s="54"/>
      <c r="M2778" s="5" t="s">
        <v>11676</v>
      </c>
      <c r="N2778" s="53" t="s">
        <v>8124</v>
      </c>
      <c r="O2778">
        <v>42.733883</v>
      </c>
      <c r="P2778">
        <v>25.48583</v>
      </c>
      <c r="Q2778" s="5" t="s">
        <v>1261</v>
      </c>
      <c r="R2778" s="10">
        <f t="shared" si="10"/>
        <v>13</v>
      </c>
      <c r="S2778" s="5" t="s">
        <v>11677</v>
      </c>
      <c r="T2778" s="6" t="s">
        <v>53</v>
      </c>
      <c r="U2778" s="5" t="s">
        <v>8703</v>
      </c>
      <c r="V2778" s="5" t="s">
        <v>8704</v>
      </c>
    </row>
    <row r="2779" ht="12.75" customHeight="1">
      <c r="A2779" s="5">
        <v>36141.0</v>
      </c>
      <c r="B2779" s="5" t="s">
        <v>68</v>
      </c>
      <c r="C2779" s="5" t="s">
        <v>69</v>
      </c>
      <c r="D2779" s="5" t="s">
        <v>2852</v>
      </c>
      <c r="E2779" s="7" t="s">
        <v>11678</v>
      </c>
      <c r="F2779" s="5" t="s">
        <v>11679</v>
      </c>
      <c r="G2779" s="5" t="s">
        <v>11680</v>
      </c>
      <c r="H2779" s="5">
        <v>2001.0</v>
      </c>
      <c r="I2779" s="5">
        <v>0.0</v>
      </c>
      <c r="J2779" s="5">
        <v>0.0</v>
      </c>
      <c r="K2779" s="5">
        <v>1.0</v>
      </c>
      <c r="L2779" s="54"/>
      <c r="M2779" s="5" t="s">
        <v>11681</v>
      </c>
      <c r="N2779" s="53" t="s">
        <v>2680</v>
      </c>
      <c r="O2779">
        <v>36.018776</v>
      </c>
      <c r="P2779">
        <v>-5.600819</v>
      </c>
      <c r="Q2779" s="5" t="s">
        <v>761</v>
      </c>
      <c r="R2779" s="10">
        <f t="shared" si="10"/>
        <v>492</v>
      </c>
      <c r="S2779" s="5" t="s">
        <v>11682</v>
      </c>
      <c r="T2779" s="6" t="s">
        <v>72</v>
      </c>
      <c r="U2779" s="5" t="s">
        <v>11558</v>
      </c>
      <c r="V2779" s="5"/>
    </row>
    <row r="2780" ht="12.75" customHeight="1">
      <c r="A2780" s="5">
        <v>36140.0</v>
      </c>
      <c r="B2780" s="5" t="s">
        <v>68</v>
      </c>
      <c r="C2780" s="5" t="s">
        <v>69</v>
      </c>
      <c r="D2780" s="5" t="s">
        <v>2614</v>
      </c>
      <c r="E2780" s="7" t="s">
        <v>11678</v>
      </c>
      <c r="F2780" s="5" t="s">
        <v>11679</v>
      </c>
      <c r="G2780" s="5" t="s">
        <v>11680</v>
      </c>
      <c r="H2780" s="5">
        <v>2001.0</v>
      </c>
      <c r="I2780" s="5">
        <v>0.0</v>
      </c>
      <c r="J2780" s="5">
        <v>0.0</v>
      </c>
      <c r="K2780" s="5">
        <v>1.0</v>
      </c>
      <c r="L2780" s="54"/>
      <c r="M2780" s="5" t="s">
        <v>11683</v>
      </c>
      <c r="N2780" s="53" t="s">
        <v>2680</v>
      </c>
      <c r="O2780">
        <v>36.018776</v>
      </c>
      <c r="P2780">
        <v>-5.600819</v>
      </c>
      <c r="Q2780" s="5" t="s">
        <v>761</v>
      </c>
      <c r="R2780" s="10">
        <f t="shared" si="10"/>
        <v>492</v>
      </c>
      <c r="S2780" s="5" t="s">
        <v>11682</v>
      </c>
      <c r="T2780" s="6" t="s">
        <v>72</v>
      </c>
      <c r="U2780" s="5" t="s">
        <v>2785</v>
      </c>
      <c r="V2780" s="5" t="s">
        <v>11684</v>
      </c>
    </row>
    <row r="2781" ht="12.75" customHeight="1">
      <c r="A2781" s="5">
        <v>36142.0</v>
      </c>
      <c r="B2781" s="5" t="s">
        <v>1076</v>
      </c>
      <c r="C2781" s="52" t="s">
        <v>50</v>
      </c>
      <c r="D2781" s="5" t="s">
        <v>2852</v>
      </c>
      <c r="E2781" s="7" t="s">
        <v>11685</v>
      </c>
      <c r="F2781" s="5" t="s">
        <v>11679</v>
      </c>
      <c r="G2781" s="5" t="s">
        <v>11680</v>
      </c>
      <c r="H2781" s="5">
        <v>2001.0</v>
      </c>
      <c r="I2781" s="5">
        <v>0.0</v>
      </c>
      <c r="J2781" s="5">
        <v>0.0</v>
      </c>
      <c r="K2781" s="5">
        <v>1.0</v>
      </c>
      <c r="L2781" s="54"/>
      <c r="M2781" s="5" t="s">
        <v>11686</v>
      </c>
      <c r="N2781" s="53" t="s">
        <v>5387</v>
      </c>
      <c r="O2781">
        <v>37.931706</v>
      </c>
      <c r="P2781">
        <v>-0.660553</v>
      </c>
      <c r="Q2781" s="5" t="s">
        <v>964</v>
      </c>
      <c r="R2781" s="10">
        <f t="shared" si="10"/>
        <v>19</v>
      </c>
      <c r="S2781" s="5" t="s">
        <v>11687</v>
      </c>
      <c r="T2781" s="6" t="s">
        <v>72</v>
      </c>
      <c r="U2781" s="5" t="s">
        <v>11688</v>
      </c>
      <c r="V2781" s="5"/>
    </row>
    <row r="2782" ht="12.75" customHeight="1">
      <c r="A2782" s="5">
        <v>36143.0</v>
      </c>
      <c r="B2782" s="5" t="s">
        <v>2902</v>
      </c>
      <c r="C2782" s="5" t="s">
        <v>211</v>
      </c>
      <c r="D2782" s="5" t="s">
        <v>2852</v>
      </c>
      <c r="E2782" s="7" t="s">
        <v>11689</v>
      </c>
      <c r="F2782" s="5" t="s">
        <v>11679</v>
      </c>
      <c r="G2782" s="5" t="s">
        <v>11680</v>
      </c>
      <c r="H2782" s="5">
        <v>2001.0</v>
      </c>
      <c r="I2782" s="5">
        <v>0.0</v>
      </c>
      <c r="J2782" s="5">
        <v>0.0</v>
      </c>
      <c r="K2782" s="5">
        <v>1.0</v>
      </c>
      <c r="L2782" s="54"/>
      <c r="M2782" s="5" t="s">
        <v>11690</v>
      </c>
      <c r="N2782" s="53" t="s">
        <v>11691</v>
      </c>
      <c r="O2782">
        <v>60.171536</v>
      </c>
      <c r="P2782">
        <v>18.185188</v>
      </c>
      <c r="Q2782" s="5" t="s">
        <v>1920</v>
      </c>
      <c r="R2782" s="10">
        <f t="shared" si="10"/>
        <v>1</v>
      </c>
      <c r="S2782" s="5" t="s">
        <v>11692</v>
      </c>
      <c r="T2782" s="5"/>
      <c r="U2782" s="5" t="s">
        <v>3128</v>
      </c>
      <c r="V2782" s="5"/>
    </row>
    <row r="2783" ht="12.75" customHeight="1">
      <c r="A2783" s="5">
        <v>36144.0</v>
      </c>
      <c r="B2783" s="5" t="s">
        <v>1773</v>
      </c>
      <c r="C2783" s="5" t="s">
        <v>124</v>
      </c>
      <c r="D2783" s="5" t="s">
        <v>2614</v>
      </c>
      <c r="E2783" s="7" t="s">
        <v>11693</v>
      </c>
      <c r="F2783" s="5" t="s">
        <v>11679</v>
      </c>
      <c r="G2783" s="5" t="s">
        <v>11680</v>
      </c>
      <c r="H2783" s="5">
        <v>2001.0</v>
      </c>
      <c r="I2783" s="5">
        <v>0.0</v>
      </c>
      <c r="J2783" s="5">
        <v>0.0</v>
      </c>
      <c r="K2783" s="5">
        <v>1.0</v>
      </c>
      <c r="L2783" s="54"/>
      <c r="M2783" s="5" t="s">
        <v>11694</v>
      </c>
      <c r="N2783" s="53" t="s">
        <v>11695</v>
      </c>
      <c r="O2783">
        <v>51.155455</v>
      </c>
      <c r="P2783">
        <v>-0.165058</v>
      </c>
      <c r="Q2783" s="5" t="s">
        <v>1592</v>
      </c>
      <c r="R2783" s="10">
        <f t="shared" si="10"/>
        <v>6</v>
      </c>
      <c r="S2783" s="5" t="s">
        <v>11696</v>
      </c>
      <c r="T2783" s="5"/>
      <c r="U2783" s="5" t="s">
        <v>66</v>
      </c>
      <c r="V2783" s="5" t="s">
        <v>11697</v>
      </c>
    </row>
    <row r="2784" ht="12.75" customHeight="1">
      <c r="A2784" s="5">
        <v>36145.0</v>
      </c>
      <c r="B2784" s="5" t="s">
        <v>49</v>
      </c>
      <c r="C2784" s="52" t="s">
        <v>50</v>
      </c>
      <c r="D2784" s="5" t="s">
        <v>2852</v>
      </c>
      <c r="E2784" s="7" t="s">
        <v>11698</v>
      </c>
      <c r="F2784" s="5" t="s">
        <v>11679</v>
      </c>
      <c r="G2784" s="5" t="s">
        <v>11680</v>
      </c>
      <c r="H2784" s="5">
        <v>2001.0</v>
      </c>
      <c r="I2784" s="5">
        <v>0.0</v>
      </c>
      <c r="J2784" s="5">
        <v>0.0</v>
      </c>
      <c r="K2784" s="5">
        <v>1.0</v>
      </c>
      <c r="L2784" s="54"/>
      <c r="M2784" s="5" t="s">
        <v>11699</v>
      </c>
      <c r="N2784" s="53" t="s">
        <v>5387</v>
      </c>
      <c r="O2784">
        <v>37.931706</v>
      </c>
      <c r="P2784">
        <v>-0.660553</v>
      </c>
      <c r="Q2784" s="5" t="s">
        <v>964</v>
      </c>
      <c r="R2784" s="10">
        <f t="shared" si="10"/>
        <v>19</v>
      </c>
      <c r="S2784" s="5" t="s">
        <v>11700</v>
      </c>
      <c r="T2784" s="6" t="s">
        <v>72</v>
      </c>
      <c r="U2784" s="5" t="s">
        <v>3128</v>
      </c>
      <c r="V2784" s="5"/>
    </row>
    <row r="2785" ht="12.75" customHeight="1">
      <c r="A2785" s="5">
        <v>36146.0</v>
      </c>
      <c r="B2785" s="5" t="s">
        <v>49</v>
      </c>
      <c r="C2785" s="52" t="s">
        <v>50</v>
      </c>
      <c r="D2785" s="5" t="s">
        <v>2614</v>
      </c>
      <c r="E2785" s="7" t="s">
        <v>11701</v>
      </c>
      <c r="F2785" s="5" t="s">
        <v>11679</v>
      </c>
      <c r="G2785" s="5" t="s">
        <v>11680</v>
      </c>
      <c r="H2785" s="5">
        <v>2001.0</v>
      </c>
      <c r="I2785" s="5">
        <v>0.0</v>
      </c>
      <c r="J2785" s="5">
        <v>0.0</v>
      </c>
      <c r="K2785" s="5">
        <v>6.0</v>
      </c>
      <c r="L2785" s="54"/>
      <c r="M2785" s="5" t="s">
        <v>11702</v>
      </c>
      <c r="N2785" s="53" t="s">
        <v>11703</v>
      </c>
      <c r="O2785">
        <v>37.411111</v>
      </c>
      <c r="P2785">
        <v>25.568889</v>
      </c>
      <c r="Q2785" s="5" t="s">
        <v>933</v>
      </c>
      <c r="R2785" s="10">
        <f t="shared" si="10"/>
        <v>6</v>
      </c>
      <c r="S2785" s="5" t="s">
        <v>11704</v>
      </c>
      <c r="T2785" s="6" t="s">
        <v>53</v>
      </c>
      <c r="U2785" s="5" t="s">
        <v>2326</v>
      </c>
      <c r="V2785" s="5" t="s">
        <v>7579</v>
      </c>
    </row>
    <row r="2786" ht="12.75" customHeight="1">
      <c r="A2786" s="5">
        <v>36151.0</v>
      </c>
      <c r="B2786" s="5" t="s">
        <v>2921</v>
      </c>
      <c r="C2786" s="5" t="s">
        <v>124</v>
      </c>
      <c r="D2786" s="5" t="s">
        <v>2852</v>
      </c>
      <c r="E2786" s="7" t="s">
        <v>11705</v>
      </c>
      <c r="F2786" s="5" t="s">
        <v>11679</v>
      </c>
      <c r="G2786" s="5" t="s">
        <v>11680</v>
      </c>
      <c r="H2786" s="5">
        <v>2001.0</v>
      </c>
      <c r="I2786" s="5">
        <v>0.0</v>
      </c>
      <c r="J2786" s="5">
        <v>0.0</v>
      </c>
      <c r="K2786" s="5">
        <v>1.0</v>
      </c>
      <c r="L2786" s="54"/>
      <c r="M2786" s="5" t="s">
        <v>11706</v>
      </c>
      <c r="N2786" s="53" t="s">
        <v>11707</v>
      </c>
      <c r="O2786">
        <v>26.0667</v>
      </c>
      <c r="P2786">
        <v>50.5577</v>
      </c>
      <c r="Q2786" s="5" t="s">
        <v>334</v>
      </c>
      <c r="R2786" s="10">
        <f t="shared" si="10"/>
        <v>1</v>
      </c>
      <c r="S2786" s="5" t="s">
        <v>11708</v>
      </c>
      <c r="T2786" s="5"/>
      <c r="U2786" s="5" t="s">
        <v>3128</v>
      </c>
      <c r="V2786" s="5"/>
    </row>
    <row r="2787" ht="12.75" customHeight="1">
      <c r="A2787" s="5">
        <v>36149.0</v>
      </c>
      <c r="B2787" s="5" t="s">
        <v>49</v>
      </c>
      <c r="C2787" s="52" t="s">
        <v>50</v>
      </c>
      <c r="D2787" s="5" t="s">
        <v>2852</v>
      </c>
      <c r="E2787" s="7" t="s">
        <v>11705</v>
      </c>
      <c r="F2787" s="5" t="s">
        <v>11679</v>
      </c>
      <c r="G2787" s="5" t="s">
        <v>11680</v>
      </c>
      <c r="H2787" s="5">
        <v>2001.0</v>
      </c>
      <c r="I2787" s="5">
        <v>0.0</v>
      </c>
      <c r="J2787" s="5">
        <v>0.0</v>
      </c>
      <c r="K2787" s="5">
        <v>4.0</v>
      </c>
      <c r="L2787" s="54"/>
      <c r="M2787" s="5" t="s">
        <v>11709</v>
      </c>
      <c r="N2787" s="53" t="s">
        <v>11710</v>
      </c>
      <c r="O2787">
        <v>37.446719</v>
      </c>
      <c r="P2787">
        <v>25.328862</v>
      </c>
      <c r="Q2787" s="5" t="s">
        <v>936</v>
      </c>
      <c r="R2787" s="10">
        <f t="shared" si="10"/>
        <v>10</v>
      </c>
      <c r="S2787" s="5" t="s">
        <v>11711</v>
      </c>
      <c r="T2787" s="6" t="s">
        <v>53</v>
      </c>
      <c r="U2787" s="5" t="s">
        <v>3128</v>
      </c>
      <c r="V2787" s="5"/>
    </row>
    <row r="2788" ht="12.75" customHeight="1">
      <c r="A2788" s="5">
        <v>36148.0</v>
      </c>
      <c r="B2788" s="5" t="s">
        <v>49</v>
      </c>
      <c r="C2788" s="52" t="s">
        <v>50</v>
      </c>
      <c r="D2788" s="5" t="s">
        <v>2852</v>
      </c>
      <c r="E2788" s="7" t="s">
        <v>11705</v>
      </c>
      <c r="F2788" s="5" t="s">
        <v>11679</v>
      </c>
      <c r="G2788" s="5" t="s">
        <v>11680</v>
      </c>
      <c r="H2788" s="5">
        <v>2001.0</v>
      </c>
      <c r="I2788" s="5">
        <v>0.0</v>
      </c>
      <c r="J2788" s="5">
        <v>0.0</v>
      </c>
      <c r="K2788" s="5">
        <v>6.0</v>
      </c>
      <c r="L2788" s="54"/>
      <c r="M2788" s="5" t="s">
        <v>11712</v>
      </c>
      <c r="N2788" s="53" t="s">
        <v>11710</v>
      </c>
      <c r="O2788">
        <v>37.446719</v>
      </c>
      <c r="P2788">
        <v>25.328862</v>
      </c>
      <c r="Q2788" s="5" t="s">
        <v>936</v>
      </c>
      <c r="R2788" s="10">
        <f t="shared" si="10"/>
        <v>10</v>
      </c>
      <c r="S2788" s="5" t="s">
        <v>11711</v>
      </c>
      <c r="T2788" s="6" t="s">
        <v>53</v>
      </c>
      <c r="U2788" s="5" t="s">
        <v>3128</v>
      </c>
      <c r="V2788" s="5"/>
    </row>
    <row r="2789" ht="12.75" customHeight="1">
      <c r="A2789" s="5">
        <v>36147.0</v>
      </c>
      <c r="B2789" s="5" t="s">
        <v>68</v>
      </c>
      <c r="C2789" s="5" t="s">
        <v>69</v>
      </c>
      <c r="D2789" s="5" t="s">
        <v>2614</v>
      </c>
      <c r="E2789" s="7" t="s">
        <v>11705</v>
      </c>
      <c r="F2789" s="5" t="s">
        <v>11679</v>
      </c>
      <c r="G2789" s="5" t="s">
        <v>11680</v>
      </c>
      <c r="H2789" s="5">
        <v>2001.0</v>
      </c>
      <c r="I2789" s="5">
        <v>0.0</v>
      </c>
      <c r="J2789" s="5">
        <v>0.0</v>
      </c>
      <c r="K2789" s="5">
        <v>1.0</v>
      </c>
      <c r="L2789" s="54"/>
      <c r="M2789" s="5" t="s">
        <v>11713</v>
      </c>
      <c r="N2789" s="53" t="s">
        <v>10982</v>
      </c>
      <c r="O2789">
        <v>40.351516</v>
      </c>
      <c r="P2789">
        <v>18.175016</v>
      </c>
      <c r="Q2789" s="5" t="s">
        <v>1133</v>
      </c>
      <c r="R2789" s="10">
        <f t="shared" si="10"/>
        <v>15</v>
      </c>
      <c r="S2789" s="5" t="s">
        <v>11714</v>
      </c>
      <c r="T2789" s="6" t="s">
        <v>1963</v>
      </c>
      <c r="U2789" s="5" t="s">
        <v>2326</v>
      </c>
      <c r="V2789" s="5" t="s">
        <v>7579</v>
      </c>
    </row>
    <row r="2790" ht="12.75" customHeight="1">
      <c r="A2790" s="5">
        <v>36150.0</v>
      </c>
      <c r="B2790" s="5" t="s">
        <v>1773</v>
      </c>
      <c r="C2790" s="5" t="s">
        <v>124</v>
      </c>
      <c r="D2790" s="5" t="s">
        <v>2852</v>
      </c>
      <c r="E2790" s="7" t="s">
        <v>11705</v>
      </c>
      <c r="F2790" s="5" t="s">
        <v>11679</v>
      </c>
      <c r="G2790" s="5" t="s">
        <v>11680</v>
      </c>
      <c r="H2790" s="5">
        <v>2001.0</v>
      </c>
      <c r="I2790" s="5">
        <v>0.0</v>
      </c>
      <c r="J2790" s="5">
        <v>0.0</v>
      </c>
      <c r="K2790" s="5">
        <v>1.0</v>
      </c>
      <c r="L2790" s="54"/>
      <c r="M2790" s="5" t="s">
        <v>11715</v>
      </c>
      <c r="N2790" s="53" t="s">
        <v>2893</v>
      </c>
      <c r="O2790">
        <v>51.47238</v>
      </c>
      <c r="P2790">
        <v>-0.45094</v>
      </c>
      <c r="Q2790" s="5" t="s">
        <v>1635</v>
      </c>
      <c r="R2790" s="10">
        <f t="shared" si="10"/>
        <v>13</v>
      </c>
      <c r="S2790" s="5" t="s">
        <v>11716</v>
      </c>
      <c r="T2790" s="5"/>
      <c r="U2790" s="5" t="s">
        <v>11717</v>
      </c>
      <c r="V2790" s="5" t="s">
        <v>8704</v>
      </c>
    </row>
    <row r="2791" ht="12.75" customHeight="1">
      <c r="A2791" s="5">
        <v>36153.0</v>
      </c>
      <c r="B2791" s="5" t="s">
        <v>49</v>
      </c>
      <c r="C2791" s="52" t="s">
        <v>50</v>
      </c>
      <c r="D2791" s="5" t="s">
        <v>2614</v>
      </c>
      <c r="E2791" s="7" t="s">
        <v>11718</v>
      </c>
      <c r="F2791" s="5" t="s">
        <v>11679</v>
      </c>
      <c r="G2791" s="5" t="s">
        <v>11680</v>
      </c>
      <c r="H2791" s="5">
        <v>2001.0</v>
      </c>
      <c r="I2791" s="5">
        <v>0.0</v>
      </c>
      <c r="J2791" s="5">
        <v>0.0</v>
      </c>
      <c r="K2791" s="5">
        <v>1.0</v>
      </c>
      <c r="L2791" s="54"/>
      <c r="M2791" s="5" t="s">
        <v>11719</v>
      </c>
      <c r="N2791" s="53" t="s">
        <v>2680</v>
      </c>
      <c r="O2791">
        <v>36.018776</v>
      </c>
      <c r="P2791">
        <v>-5.600819</v>
      </c>
      <c r="Q2791" s="5" t="s">
        <v>761</v>
      </c>
      <c r="R2791" s="10">
        <f t="shared" si="10"/>
        <v>492</v>
      </c>
      <c r="S2791" s="5" t="s">
        <v>11720</v>
      </c>
      <c r="T2791" s="6" t="s">
        <v>72</v>
      </c>
      <c r="U2791" s="5" t="s">
        <v>2785</v>
      </c>
      <c r="V2791" s="5" t="s">
        <v>11721</v>
      </c>
    </row>
    <row r="2792" ht="12.75" customHeight="1">
      <c r="A2792" s="5">
        <v>36154.0</v>
      </c>
      <c r="B2792" s="5" t="s">
        <v>49</v>
      </c>
      <c r="C2792" s="52" t="s">
        <v>50</v>
      </c>
      <c r="D2792" s="5" t="s">
        <v>2852</v>
      </c>
      <c r="E2792" s="7" t="s">
        <v>11718</v>
      </c>
      <c r="F2792" s="5" t="s">
        <v>11679</v>
      </c>
      <c r="G2792" s="5" t="s">
        <v>11680</v>
      </c>
      <c r="H2792" s="5">
        <v>2001.0</v>
      </c>
      <c r="I2792" s="5">
        <v>0.0</v>
      </c>
      <c r="J2792" s="5">
        <v>0.0</v>
      </c>
      <c r="K2792" s="5">
        <v>5.0</v>
      </c>
      <c r="L2792" s="54"/>
      <c r="M2792" s="5" t="s">
        <v>11722</v>
      </c>
      <c r="N2792" s="53" t="s">
        <v>7911</v>
      </c>
      <c r="O2792">
        <v>38.652771</v>
      </c>
      <c r="P2792">
        <v>26.613007</v>
      </c>
      <c r="Q2792" s="5" t="s">
        <v>1032</v>
      </c>
      <c r="R2792" s="10">
        <f t="shared" si="10"/>
        <v>69</v>
      </c>
      <c r="S2792" s="5" t="s">
        <v>11723</v>
      </c>
      <c r="T2792" s="6" t="s">
        <v>53</v>
      </c>
      <c r="U2792" s="5" t="s">
        <v>11724</v>
      </c>
      <c r="V2792" s="5"/>
    </row>
    <row r="2793" ht="12.75" customHeight="1">
      <c r="A2793" s="5">
        <v>36155.0</v>
      </c>
      <c r="B2793" s="5" t="s">
        <v>763</v>
      </c>
      <c r="C2793" s="5" t="s">
        <v>124</v>
      </c>
      <c r="D2793" s="5" t="s">
        <v>2852</v>
      </c>
      <c r="E2793" s="7" t="s">
        <v>11718</v>
      </c>
      <c r="F2793" s="5" t="s">
        <v>11679</v>
      </c>
      <c r="G2793" s="5" t="s">
        <v>11680</v>
      </c>
      <c r="H2793" s="5">
        <v>2001.0</v>
      </c>
      <c r="I2793" s="5">
        <v>0.0</v>
      </c>
      <c r="J2793" s="5">
        <v>0.0</v>
      </c>
      <c r="K2793" s="5">
        <v>1.0</v>
      </c>
      <c r="L2793" s="54"/>
      <c r="M2793" s="5" t="s">
        <v>11725</v>
      </c>
      <c r="N2793" s="53" t="s">
        <v>9194</v>
      </c>
      <c r="O2793">
        <v>38.963745</v>
      </c>
      <c r="P2793">
        <v>35.243322</v>
      </c>
      <c r="Q2793" s="5" t="s">
        <v>1051</v>
      </c>
      <c r="R2793" s="10">
        <f t="shared" si="10"/>
        <v>23</v>
      </c>
      <c r="S2793" s="5" t="s">
        <v>11726</v>
      </c>
      <c r="T2793" s="5"/>
      <c r="U2793" s="5" t="s">
        <v>59</v>
      </c>
      <c r="V2793" s="5"/>
    </row>
    <row r="2794" ht="12.75" customHeight="1">
      <c r="A2794" s="5">
        <v>36156.0</v>
      </c>
      <c r="B2794" s="5" t="s">
        <v>98</v>
      </c>
      <c r="C2794" s="5" t="s">
        <v>62</v>
      </c>
      <c r="D2794" s="5" t="s">
        <v>2614</v>
      </c>
      <c r="E2794" s="7" t="s">
        <v>11727</v>
      </c>
      <c r="F2794" s="5" t="s">
        <v>11679</v>
      </c>
      <c r="G2794" s="5" t="s">
        <v>11680</v>
      </c>
      <c r="H2794" s="5">
        <v>2001.0</v>
      </c>
      <c r="I2794" s="5">
        <v>0.0</v>
      </c>
      <c r="J2794" s="5">
        <v>0.0</v>
      </c>
      <c r="K2794" s="5">
        <v>12.0</v>
      </c>
      <c r="L2794" s="54"/>
      <c r="M2794" s="5" t="s">
        <v>11728</v>
      </c>
      <c r="N2794" s="53" t="s">
        <v>3608</v>
      </c>
      <c r="O2794">
        <v>41.117143</v>
      </c>
      <c r="P2794">
        <v>16.871871</v>
      </c>
      <c r="Q2794" s="5" t="s">
        <v>1188</v>
      </c>
      <c r="R2794" s="10">
        <f t="shared" si="10"/>
        <v>32</v>
      </c>
      <c r="S2794" s="5" t="s">
        <v>11729</v>
      </c>
      <c r="T2794" s="6" t="s">
        <v>1963</v>
      </c>
      <c r="U2794" s="5" t="s">
        <v>8502</v>
      </c>
      <c r="V2794" s="5" t="s">
        <v>11104</v>
      </c>
    </row>
    <row r="2795" ht="12.75" customHeight="1">
      <c r="A2795" s="5">
        <v>36157.0</v>
      </c>
      <c r="B2795" s="5" t="s">
        <v>68</v>
      </c>
      <c r="C2795" s="5" t="s">
        <v>69</v>
      </c>
      <c r="D2795" s="5" t="s">
        <v>2852</v>
      </c>
      <c r="E2795" s="7" t="s">
        <v>11730</v>
      </c>
      <c r="F2795" s="5" t="s">
        <v>11679</v>
      </c>
      <c r="G2795" s="5" t="s">
        <v>11680</v>
      </c>
      <c r="H2795" s="5">
        <v>2001.0</v>
      </c>
      <c r="I2795" s="5">
        <v>0.0</v>
      </c>
      <c r="J2795" s="5">
        <v>0.0</v>
      </c>
      <c r="K2795" s="5">
        <v>2.0</v>
      </c>
      <c r="L2795" s="54"/>
      <c r="M2795" s="5" t="s">
        <v>11731</v>
      </c>
      <c r="N2795" s="53" t="s">
        <v>11302</v>
      </c>
      <c r="O2795">
        <v>37.388096</v>
      </c>
      <c r="P2795">
        <v>-5.98233</v>
      </c>
      <c r="Q2795" s="5" t="s">
        <v>932</v>
      </c>
      <c r="R2795" s="10">
        <f t="shared" si="10"/>
        <v>7</v>
      </c>
      <c r="S2795" s="5" t="s">
        <v>11732</v>
      </c>
      <c r="T2795" s="6" t="s">
        <v>72</v>
      </c>
      <c r="U2795" s="5" t="s">
        <v>11551</v>
      </c>
      <c r="V2795" s="5"/>
    </row>
    <row r="2796" ht="12.75" customHeight="1">
      <c r="A2796" s="5">
        <v>36158.0</v>
      </c>
      <c r="B2796" s="5" t="s">
        <v>763</v>
      </c>
      <c r="C2796" s="5" t="s">
        <v>124</v>
      </c>
      <c r="D2796" s="5" t="s">
        <v>2852</v>
      </c>
      <c r="E2796" s="7" t="s">
        <v>11733</v>
      </c>
      <c r="F2796" s="5" t="s">
        <v>11679</v>
      </c>
      <c r="G2796" s="5" t="s">
        <v>11680</v>
      </c>
      <c r="H2796" s="5">
        <v>2001.0</v>
      </c>
      <c r="I2796" s="5">
        <v>0.0</v>
      </c>
      <c r="J2796" s="5">
        <v>0.0</v>
      </c>
      <c r="K2796" s="5">
        <v>3.0</v>
      </c>
      <c r="L2796" s="54"/>
      <c r="M2796" s="5" t="s">
        <v>11734</v>
      </c>
      <c r="N2796" s="53" t="s">
        <v>11735</v>
      </c>
      <c r="O2796">
        <v>46.784013</v>
      </c>
      <c r="P2796">
        <v>21.401367</v>
      </c>
      <c r="Q2796" s="5" t="s">
        <v>1366</v>
      </c>
      <c r="R2796" s="10">
        <f t="shared" si="10"/>
        <v>3</v>
      </c>
      <c r="S2796" s="5" t="s">
        <v>11736</v>
      </c>
      <c r="T2796" s="6" t="s">
        <v>65</v>
      </c>
      <c r="U2796" s="5" t="s">
        <v>5951</v>
      </c>
      <c r="V2796" s="5"/>
    </row>
    <row r="2797" ht="12.75" customHeight="1">
      <c r="A2797" s="5">
        <v>36159.0</v>
      </c>
      <c r="B2797" s="5" t="s">
        <v>1773</v>
      </c>
      <c r="C2797" s="5" t="s">
        <v>124</v>
      </c>
      <c r="D2797" s="5" t="s">
        <v>2852</v>
      </c>
      <c r="E2797" s="7" t="s">
        <v>11737</v>
      </c>
      <c r="F2797" s="5" t="s">
        <v>11679</v>
      </c>
      <c r="G2797" s="5" t="s">
        <v>11680</v>
      </c>
      <c r="H2797" s="5">
        <v>2001.0</v>
      </c>
      <c r="I2797" s="5">
        <v>0.0</v>
      </c>
      <c r="J2797" s="5">
        <v>0.0</v>
      </c>
      <c r="K2797" s="5">
        <v>1.0</v>
      </c>
      <c r="L2797" s="54"/>
      <c r="M2797" s="5" t="s">
        <v>11738</v>
      </c>
      <c r="N2797" s="53" t="s">
        <v>2680</v>
      </c>
      <c r="O2797">
        <v>36.018776</v>
      </c>
      <c r="P2797">
        <v>-5.600819</v>
      </c>
      <c r="Q2797" s="5" t="s">
        <v>761</v>
      </c>
      <c r="R2797" s="10">
        <f t="shared" si="10"/>
        <v>492</v>
      </c>
      <c r="S2797" s="5" t="s">
        <v>11739</v>
      </c>
      <c r="T2797" s="6" t="s">
        <v>72</v>
      </c>
      <c r="U2797" s="5" t="s">
        <v>11740</v>
      </c>
      <c r="V2797" s="5"/>
    </row>
    <row r="2798" ht="12.75" customHeight="1">
      <c r="A2798" s="5">
        <v>36160.0</v>
      </c>
      <c r="B2798" s="5" t="s">
        <v>49</v>
      </c>
      <c r="C2798" s="52" t="s">
        <v>50</v>
      </c>
      <c r="D2798" s="5" t="s">
        <v>2852</v>
      </c>
      <c r="E2798" s="7" t="s">
        <v>11741</v>
      </c>
      <c r="F2798" s="5" t="s">
        <v>11679</v>
      </c>
      <c r="G2798" s="5" t="s">
        <v>11742</v>
      </c>
      <c r="H2798" s="5">
        <v>2001.0</v>
      </c>
      <c r="I2798" s="5">
        <v>0.0</v>
      </c>
      <c r="J2798" s="5">
        <v>0.0</v>
      </c>
      <c r="K2798" s="5">
        <v>1.0</v>
      </c>
      <c r="L2798" s="54"/>
      <c r="M2798" s="5" t="s">
        <v>11743</v>
      </c>
      <c r="N2798" s="53" t="s">
        <v>2680</v>
      </c>
      <c r="O2798">
        <v>36.018776</v>
      </c>
      <c r="P2798">
        <v>-5.600819</v>
      </c>
      <c r="Q2798" s="5" t="s">
        <v>761</v>
      </c>
      <c r="R2798" s="10">
        <f t="shared" si="10"/>
        <v>492</v>
      </c>
      <c r="S2798" s="5" t="s">
        <v>11744</v>
      </c>
      <c r="T2798" s="6" t="s">
        <v>72</v>
      </c>
      <c r="U2798" s="5" t="s">
        <v>11745</v>
      </c>
      <c r="V2798" s="5"/>
    </row>
    <row r="2799" ht="12.75" customHeight="1">
      <c r="A2799" s="5">
        <v>36161.0</v>
      </c>
      <c r="B2799" s="5" t="s">
        <v>49</v>
      </c>
      <c r="C2799" s="52" t="s">
        <v>50</v>
      </c>
      <c r="D2799" s="5" t="s">
        <v>2852</v>
      </c>
      <c r="E2799" s="7" t="s">
        <v>11746</v>
      </c>
      <c r="F2799" s="5" t="s">
        <v>11679</v>
      </c>
      <c r="G2799" s="5" t="s">
        <v>11742</v>
      </c>
      <c r="H2799" s="5">
        <v>2001.0</v>
      </c>
      <c r="I2799" s="5">
        <v>0.0</v>
      </c>
      <c r="J2799" s="5">
        <v>0.0</v>
      </c>
      <c r="K2799" s="5">
        <v>15.0</v>
      </c>
      <c r="L2799" s="54"/>
      <c r="M2799" s="5" t="s">
        <v>11747</v>
      </c>
      <c r="N2799" s="53" t="s">
        <v>5814</v>
      </c>
      <c r="O2799">
        <v>28.358744</v>
      </c>
      <c r="P2799">
        <v>-14.053676</v>
      </c>
      <c r="Q2799" s="5" t="s">
        <v>390</v>
      </c>
      <c r="R2799" s="10">
        <f t="shared" si="10"/>
        <v>488</v>
      </c>
      <c r="S2799" s="5" t="s">
        <v>11748</v>
      </c>
      <c r="T2799" s="5" t="s">
        <v>1040</v>
      </c>
      <c r="U2799" s="5" t="s">
        <v>11749</v>
      </c>
      <c r="V2799" s="5" t="s">
        <v>11750</v>
      </c>
    </row>
    <row r="2800" ht="12.75" customHeight="1">
      <c r="A2800" s="5">
        <v>36162.0</v>
      </c>
      <c r="B2800" s="5" t="s">
        <v>1161</v>
      </c>
      <c r="C2800" s="5" t="s">
        <v>124</v>
      </c>
      <c r="D2800" s="5" t="s">
        <v>2852</v>
      </c>
      <c r="E2800" s="7" t="s">
        <v>11751</v>
      </c>
      <c r="F2800" s="5" t="s">
        <v>11679</v>
      </c>
      <c r="G2800" s="5" t="s">
        <v>11742</v>
      </c>
      <c r="H2800" s="5">
        <v>2001.0</v>
      </c>
      <c r="I2800" s="5">
        <v>0.0</v>
      </c>
      <c r="J2800" s="5">
        <v>0.0</v>
      </c>
      <c r="K2800" s="5">
        <v>1.0</v>
      </c>
      <c r="L2800" s="54"/>
      <c r="M2800" s="5" t="s">
        <v>11752</v>
      </c>
      <c r="N2800" s="53" t="s">
        <v>11753</v>
      </c>
      <c r="O2800">
        <v>50.728872</v>
      </c>
      <c r="P2800">
        <v>12.375184</v>
      </c>
      <c r="Q2800" s="5" t="s">
        <v>1508</v>
      </c>
      <c r="R2800" s="10">
        <f t="shared" si="10"/>
        <v>1</v>
      </c>
      <c r="S2800" s="5" t="s">
        <v>11754</v>
      </c>
      <c r="T2800" s="5"/>
      <c r="U2800" s="5" t="s">
        <v>4578</v>
      </c>
      <c r="V2800" s="5"/>
    </row>
    <row r="2801" ht="12.75" customHeight="1">
      <c r="A2801" s="5">
        <v>36163.0</v>
      </c>
      <c r="B2801" s="5" t="s">
        <v>68</v>
      </c>
      <c r="C2801" s="5" t="s">
        <v>69</v>
      </c>
      <c r="D2801" s="5" t="s">
        <v>2614</v>
      </c>
      <c r="E2801" s="7" t="s">
        <v>11755</v>
      </c>
      <c r="F2801" s="5" t="s">
        <v>11679</v>
      </c>
      <c r="G2801" s="5" t="s">
        <v>11742</v>
      </c>
      <c r="H2801" s="5">
        <v>2001.0</v>
      </c>
      <c r="I2801" s="5">
        <v>0.0</v>
      </c>
      <c r="J2801" s="5">
        <v>0.0</v>
      </c>
      <c r="K2801" s="5">
        <v>2.0</v>
      </c>
      <c r="L2801" s="54"/>
      <c r="M2801" s="5" t="s">
        <v>11756</v>
      </c>
      <c r="N2801" s="53" t="s">
        <v>5814</v>
      </c>
      <c r="O2801">
        <v>28.358744</v>
      </c>
      <c r="P2801">
        <v>-14.053676</v>
      </c>
      <c r="Q2801" s="5" t="s">
        <v>390</v>
      </c>
      <c r="R2801" s="10">
        <f t="shared" si="10"/>
        <v>488</v>
      </c>
      <c r="S2801" s="5" t="s">
        <v>11757</v>
      </c>
      <c r="T2801" s="5" t="s">
        <v>1040</v>
      </c>
      <c r="U2801" s="5" t="s">
        <v>2785</v>
      </c>
      <c r="V2801" s="5" t="s">
        <v>11758</v>
      </c>
    </row>
    <row r="2802" ht="12.75" customHeight="1">
      <c r="A2802" s="5">
        <v>36165.0</v>
      </c>
      <c r="B2802" s="5" t="s">
        <v>49</v>
      </c>
      <c r="C2802" s="52" t="s">
        <v>50</v>
      </c>
      <c r="D2802" s="5" t="s">
        <v>2852</v>
      </c>
      <c r="E2802" s="7" t="s">
        <v>11759</v>
      </c>
      <c r="F2802" s="5" t="s">
        <v>11679</v>
      </c>
      <c r="G2802" s="5" t="s">
        <v>11742</v>
      </c>
      <c r="H2802" s="5">
        <v>2001.0</v>
      </c>
      <c r="I2802" s="5">
        <v>0.0</v>
      </c>
      <c r="J2802" s="5">
        <v>0.0</v>
      </c>
      <c r="K2802" s="5">
        <v>1.0</v>
      </c>
      <c r="L2802" s="54"/>
      <c r="M2802" s="5" t="s">
        <v>11760</v>
      </c>
      <c r="N2802" s="53" t="s">
        <v>2718</v>
      </c>
      <c r="O2802">
        <v>35.292278</v>
      </c>
      <c r="P2802">
        <v>-2.938097</v>
      </c>
      <c r="Q2802" s="5" t="s">
        <v>649</v>
      </c>
      <c r="R2802" s="10">
        <f t="shared" si="10"/>
        <v>79</v>
      </c>
      <c r="S2802" s="5" t="s">
        <v>11761</v>
      </c>
      <c r="T2802" s="6" t="s">
        <v>72</v>
      </c>
      <c r="U2802" s="5" t="s">
        <v>3128</v>
      </c>
      <c r="V2802" s="5"/>
    </row>
    <row r="2803" ht="12.75" customHeight="1">
      <c r="A2803" s="5">
        <v>36164.0</v>
      </c>
      <c r="B2803" s="5" t="s">
        <v>49</v>
      </c>
      <c r="C2803" s="52" t="s">
        <v>50</v>
      </c>
      <c r="D2803" s="5" t="s">
        <v>2852</v>
      </c>
      <c r="E2803" s="7" t="s">
        <v>11759</v>
      </c>
      <c r="F2803" s="5" t="s">
        <v>11679</v>
      </c>
      <c r="G2803" s="5" t="s">
        <v>11742</v>
      </c>
      <c r="H2803" s="5">
        <v>2001.0</v>
      </c>
      <c r="I2803" s="5">
        <v>0.0</v>
      </c>
      <c r="J2803" s="5">
        <v>0.0</v>
      </c>
      <c r="K2803" s="5">
        <v>1.0</v>
      </c>
      <c r="L2803" s="54"/>
      <c r="M2803" s="5" t="s">
        <v>11762</v>
      </c>
      <c r="N2803" s="53" t="s">
        <v>2857</v>
      </c>
      <c r="O2803">
        <v>36.527061</v>
      </c>
      <c r="P2803">
        <v>-6.288596</v>
      </c>
      <c r="Q2803" s="5" t="s">
        <v>802</v>
      </c>
      <c r="R2803" s="10">
        <f t="shared" si="10"/>
        <v>185</v>
      </c>
      <c r="S2803" s="5" t="s">
        <v>11763</v>
      </c>
      <c r="T2803" s="6" t="s">
        <v>72</v>
      </c>
      <c r="U2803" s="5" t="s">
        <v>11764</v>
      </c>
      <c r="V2803" s="5"/>
    </row>
    <row r="2804" ht="12.75" customHeight="1">
      <c r="A2804" s="5">
        <v>36166.0</v>
      </c>
      <c r="B2804" s="5" t="s">
        <v>2962</v>
      </c>
      <c r="C2804" s="5" t="s">
        <v>211</v>
      </c>
      <c r="D2804" s="5" t="s">
        <v>2852</v>
      </c>
      <c r="E2804" s="7" t="s">
        <v>11765</v>
      </c>
      <c r="F2804" s="5" t="s">
        <v>11679</v>
      </c>
      <c r="G2804" s="5" t="s">
        <v>11742</v>
      </c>
      <c r="H2804" s="5">
        <v>2001.0</v>
      </c>
      <c r="I2804" s="5">
        <v>0.0</v>
      </c>
      <c r="J2804" s="5">
        <v>0.0</v>
      </c>
      <c r="K2804" s="5">
        <v>1.0</v>
      </c>
      <c r="L2804" s="54"/>
      <c r="M2804" s="5" t="s">
        <v>11766</v>
      </c>
      <c r="N2804" s="53" t="s">
        <v>11767</v>
      </c>
      <c r="O2804">
        <v>40.754548</v>
      </c>
      <c r="P2804">
        <v>-3.781521</v>
      </c>
      <c r="Q2804" s="5" t="s">
        <v>1158</v>
      </c>
      <c r="R2804" s="10">
        <f t="shared" si="10"/>
        <v>1</v>
      </c>
      <c r="S2804" s="5" t="s">
        <v>11768</v>
      </c>
      <c r="T2804" s="6" t="s">
        <v>72</v>
      </c>
      <c r="U2804" s="5" t="s">
        <v>11558</v>
      </c>
      <c r="V2804" s="5"/>
    </row>
    <row r="2805" ht="12.75" customHeight="1">
      <c r="A2805" s="5">
        <v>36167.0</v>
      </c>
      <c r="B2805" s="5" t="s">
        <v>5200</v>
      </c>
      <c r="C2805" s="5" t="s">
        <v>124</v>
      </c>
      <c r="D2805" s="5" t="s">
        <v>2852</v>
      </c>
      <c r="E2805" s="7" t="s">
        <v>11769</v>
      </c>
      <c r="F2805" s="5" t="s">
        <v>11679</v>
      </c>
      <c r="G2805" s="5" t="s">
        <v>11742</v>
      </c>
      <c r="H2805" s="5">
        <v>2001.0</v>
      </c>
      <c r="I2805" s="5">
        <v>0.0</v>
      </c>
      <c r="J2805" s="5">
        <v>0.0</v>
      </c>
      <c r="K2805" s="5">
        <v>2.0</v>
      </c>
      <c r="L2805" s="54"/>
      <c r="M2805" s="5" t="s">
        <v>11770</v>
      </c>
      <c r="N2805" s="53" t="s">
        <v>2834</v>
      </c>
      <c r="O2805">
        <v>41.244376</v>
      </c>
      <c r="P2805">
        <v>26.135943</v>
      </c>
      <c r="Q2805" s="5" t="s">
        <v>1214</v>
      </c>
      <c r="R2805" s="10">
        <f t="shared" si="10"/>
        <v>188</v>
      </c>
      <c r="S2805" s="5" t="s">
        <v>11771</v>
      </c>
      <c r="T2805" s="6" t="s">
        <v>53</v>
      </c>
      <c r="U2805" s="5" t="s">
        <v>11772</v>
      </c>
      <c r="V2805" s="5" t="s">
        <v>11508</v>
      </c>
    </row>
    <row r="2806" ht="12.75" customHeight="1">
      <c r="A2806" s="5">
        <v>36168.0</v>
      </c>
      <c r="B2806" s="5" t="s">
        <v>5200</v>
      </c>
      <c r="C2806" s="5" t="s">
        <v>124</v>
      </c>
      <c r="D2806" s="5" t="s">
        <v>2852</v>
      </c>
      <c r="E2806" s="7" t="s">
        <v>11773</v>
      </c>
      <c r="F2806" s="5" t="s">
        <v>11679</v>
      </c>
      <c r="G2806" s="5" t="s">
        <v>11742</v>
      </c>
      <c r="H2806" s="5">
        <v>2001.0</v>
      </c>
      <c r="I2806" s="5">
        <v>0.0</v>
      </c>
      <c r="J2806" s="5">
        <v>0.0</v>
      </c>
      <c r="K2806" s="5">
        <v>3.0</v>
      </c>
      <c r="L2806" s="54"/>
      <c r="M2806" s="5" t="s">
        <v>11774</v>
      </c>
      <c r="N2806" s="53" t="s">
        <v>2834</v>
      </c>
      <c r="O2806">
        <v>41.244376</v>
      </c>
      <c r="P2806">
        <v>26.135943</v>
      </c>
      <c r="Q2806" s="5" t="s">
        <v>1214</v>
      </c>
      <c r="R2806" s="10">
        <f t="shared" si="10"/>
        <v>188</v>
      </c>
      <c r="S2806" s="5" t="s">
        <v>11775</v>
      </c>
      <c r="T2806" s="6" t="s">
        <v>53</v>
      </c>
      <c r="U2806" s="5" t="s">
        <v>11776</v>
      </c>
      <c r="V2806" s="5" t="s">
        <v>11777</v>
      </c>
    </row>
    <row r="2807" ht="12.75" customHeight="1">
      <c r="A2807" s="5">
        <v>36169.0</v>
      </c>
      <c r="B2807" s="5" t="s">
        <v>2902</v>
      </c>
      <c r="C2807" s="5" t="s">
        <v>211</v>
      </c>
      <c r="D2807" s="5" t="s">
        <v>2852</v>
      </c>
      <c r="E2807" s="7" t="s">
        <v>11773</v>
      </c>
      <c r="F2807" s="5" t="s">
        <v>11679</v>
      </c>
      <c r="G2807" s="5" t="s">
        <v>11742</v>
      </c>
      <c r="H2807" s="5">
        <v>2001.0</v>
      </c>
      <c r="I2807" s="5">
        <v>0.0</v>
      </c>
      <c r="J2807" s="5">
        <v>0.0</v>
      </c>
      <c r="K2807" s="5">
        <v>1.0</v>
      </c>
      <c r="L2807" s="54"/>
      <c r="M2807" s="5" t="s">
        <v>11778</v>
      </c>
      <c r="N2807" s="53" t="s">
        <v>11779</v>
      </c>
      <c r="O2807">
        <v>51.974449</v>
      </c>
      <c r="P2807">
        <v>4.251163</v>
      </c>
      <c r="Q2807" s="5" t="s">
        <v>1699</v>
      </c>
      <c r="R2807" s="10">
        <f t="shared" si="10"/>
        <v>1</v>
      </c>
      <c r="S2807" s="5" t="s">
        <v>11780</v>
      </c>
      <c r="T2807" s="5"/>
      <c r="U2807" s="5" t="s">
        <v>11781</v>
      </c>
      <c r="V2807" s="5"/>
    </row>
    <row r="2808" ht="12.75" customHeight="1">
      <c r="A2808" s="5">
        <v>36170.0</v>
      </c>
      <c r="B2808" s="5" t="s">
        <v>763</v>
      </c>
      <c r="C2808" s="5" t="s">
        <v>124</v>
      </c>
      <c r="D2808" s="5" t="s">
        <v>2614</v>
      </c>
      <c r="E2808" s="7" t="s">
        <v>11782</v>
      </c>
      <c r="F2808" s="5" t="s">
        <v>11679</v>
      </c>
      <c r="G2808" s="5" t="s">
        <v>11742</v>
      </c>
      <c r="H2808" s="5">
        <v>2001.0</v>
      </c>
      <c r="I2808" s="5">
        <v>0.0</v>
      </c>
      <c r="J2808" s="5">
        <v>0.0</v>
      </c>
      <c r="K2808" s="5">
        <v>140.0</v>
      </c>
      <c r="L2808" s="54"/>
      <c r="M2808" s="5" t="s">
        <v>11783</v>
      </c>
      <c r="N2808" s="53" t="s">
        <v>3295</v>
      </c>
      <c r="O2808">
        <v>26.3351</v>
      </c>
      <c r="P2808">
        <v>17.228331</v>
      </c>
      <c r="Q2808" s="5" t="s">
        <v>337</v>
      </c>
      <c r="R2808" s="10">
        <f t="shared" si="10"/>
        <v>1371</v>
      </c>
      <c r="S2808" s="5" t="s">
        <v>11784</v>
      </c>
      <c r="T2808" s="5"/>
      <c r="U2808" s="5" t="s">
        <v>327</v>
      </c>
      <c r="V2808" s="5" t="s">
        <v>11785</v>
      </c>
    </row>
    <row r="2809" ht="12.75" customHeight="1">
      <c r="A2809" s="5">
        <v>36171.0</v>
      </c>
      <c r="B2809" s="5" t="s">
        <v>636</v>
      </c>
      <c r="C2809" s="52" t="s">
        <v>50</v>
      </c>
      <c r="D2809" s="5" t="s">
        <v>2852</v>
      </c>
      <c r="E2809" s="7" t="s">
        <v>11786</v>
      </c>
      <c r="F2809" s="5" t="s">
        <v>11679</v>
      </c>
      <c r="G2809" s="5" t="s">
        <v>11742</v>
      </c>
      <c r="H2809" s="5">
        <v>2001.0</v>
      </c>
      <c r="I2809" s="5">
        <v>0.0</v>
      </c>
      <c r="J2809" s="5">
        <v>0.0</v>
      </c>
      <c r="K2809" s="5">
        <v>1.0</v>
      </c>
      <c r="L2809" s="54"/>
      <c r="M2809" s="5" t="s">
        <v>11787</v>
      </c>
      <c r="N2809" s="53" t="s">
        <v>11788</v>
      </c>
      <c r="O2809">
        <v>35.696216</v>
      </c>
      <c r="P2809">
        <v>51.422945</v>
      </c>
      <c r="Q2809" s="5" t="s">
        <v>687</v>
      </c>
      <c r="R2809" s="10">
        <f t="shared" si="10"/>
        <v>1</v>
      </c>
      <c r="S2809" s="5" t="s">
        <v>11789</v>
      </c>
      <c r="T2809" s="5"/>
      <c r="U2809" s="5" t="s">
        <v>5429</v>
      </c>
      <c r="V2809" s="5"/>
    </row>
    <row r="2810" ht="12.75" customHeight="1">
      <c r="A2810" s="5">
        <v>36172.0</v>
      </c>
      <c r="B2810" s="5" t="s">
        <v>49</v>
      </c>
      <c r="C2810" s="52" t="s">
        <v>50</v>
      </c>
      <c r="D2810" s="5" t="s">
        <v>2852</v>
      </c>
      <c r="E2810" s="7" t="s">
        <v>11790</v>
      </c>
      <c r="F2810" s="5" t="s">
        <v>11679</v>
      </c>
      <c r="G2810" s="5" t="s">
        <v>11742</v>
      </c>
      <c r="H2810" s="5">
        <v>2001.0</v>
      </c>
      <c r="I2810" s="5">
        <v>0.0</v>
      </c>
      <c r="J2810" s="5">
        <v>0.0</v>
      </c>
      <c r="K2810" s="5">
        <v>5.0</v>
      </c>
      <c r="L2810" s="54"/>
      <c r="M2810" s="5" t="s">
        <v>11791</v>
      </c>
      <c r="N2810" s="53" t="s">
        <v>8378</v>
      </c>
      <c r="O2810">
        <v>38.523604</v>
      </c>
      <c r="P2810">
        <v>23.858474</v>
      </c>
      <c r="Q2810" s="5" t="s">
        <v>1030</v>
      </c>
      <c r="R2810" s="10">
        <f t="shared" si="10"/>
        <v>70</v>
      </c>
      <c r="S2810" s="5" t="s">
        <v>11792</v>
      </c>
      <c r="T2810" s="6" t="s">
        <v>53</v>
      </c>
      <c r="U2810" s="5" t="s">
        <v>59</v>
      </c>
      <c r="V2810" s="5"/>
    </row>
    <row r="2811" ht="12.75" customHeight="1">
      <c r="A2811" s="5">
        <v>36173.0</v>
      </c>
      <c r="B2811" s="5" t="s">
        <v>68</v>
      </c>
      <c r="C2811" s="5" t="s">
        <v>69</v>
      </c>
      <c r="D2811" s="5" t="s">
        <v>2614</v>
      </c>
      <c r="E2811" s="7" t="s">
        <v>11793</v>
      </c>
      <c r="F2811" s="5" t="s">
        <v>11679</v>
      </c>
      <c r="G2811" s="5" t="s">
        <v>11742</v>
      </c>
      <c r="H2811" s="5">
        <v>2001.0</v>
      </c>
      <c r="I2811" s="5">
        <v>0.0</v>
      </c>
      <c r="J2811" s="5">
        <v>0.0</v>
      </c>
      <c r="K2811" s="5">
        <v>1.0</v>
      </c>
      <c r="L2811" s="54"/>
      <c r="M2811" s="5" t="s">
        <v>11794</v>
      </c>
      <c r="N2811" s="53" t="s">
        <v>2680</v>
      </c>
      <c r="O2811">
        <v>36.018776</v>
      </c>
      <c r="P2811">
        <v>-5.600819</v>
      </c>
      <c r="Q2811" s="5" t="s">
        <v>761</v>
      </c>
      <c r="R2811" s="10">
        <f t="shared" si="10"/>
        <v>492</v>
      </c>
      <c r="S2811" s="5" t="s">
        <v>11795</v>
      </c>
      <c r="T2811" s="6" t="s">
        <v>72</v>
      </c>
      <c r="U2811" s="5" t="s">
        <v>2785</v>
      </c>
      <c r="V2811" s="5" t="s">
        <v>11796</v>
      </c>
    </row>
    <row r="2812" ht="12.75" customHeight="1">
      <c r="A2812" s="5">
        <v>36174.0</v>
      </c>
      <c r="B2812" s="5" t="s">
        <v>636</v>
      </c>
      <c r="C2812" s="52" t="s">
        <v>50</v>
      </c>
      <c r="D2812" s="5" t="s">
        <v>2852</v>
      </c>
      <c r="E2812" s="7" t="s">
        <v>11797</v>
      </c>
      <c r="F2812" s="5" t="s">
        <v>11679</v>
      </c>
      <c r="G2812" s="5" t="s">
        <v>11742</v>
      </c>
      <c r="H2812" s="5">
        <v>2001.0</v>
      </c>
      <c r="I2812" s="5">
        <v>0.0</v>
      </c>
      <c r="J2812" s="5">
        <v>0.0</v>
      </c>
      <c r="K2812" s="5">
        <v>1.0</v>
      </c>
      <c r="L2812" s="54"/>
      <c r="M2812" s="5" t="s">
        <v>11798</v>
      </c>
      <c r="N2812" s="53" t="s">
        <v>8124</v>
      </c>
      <c r="O2812">
        <v>42.733883</v>
      </c>
      <c r="P2812">
        <v>25.48583</v>
      </c>
      <c r="Q2812" s="5" t="s">
        <v>1261</v>
      </c>
      <c r="R2812" s="10">
        <f t="shared" si="10"/>
        <v>13</v>
      </c>
      <c r="S2812" s="5" t="s">
        <v>11799</v>
      </c>
      <c r="T2812" s="6" t="s">
        <v>53</v>
      </c>
      <c r="U2812" s="5" t="s">
        <v>3128</v>
      </c>
      <c r="V2812" s="5"/>
    </row>
    <row r="2813" ht="12.75" customHeight="1">
      <c r="A2813" s="5">
        <v>36175.0</v>
      </c>
      <c r="B2813" s="5" t="s">
        <v>68</v>
      </c>
      <c r="C2813" s="5" t="s">
        <v>69</v>
      </c>
      <c r="D2813" s="5" t="s">
        <v>2614</v>
      </c>
      <c r="E2813" s="7" t="s">
        <v>11800</v>
      </c>
      <c r="F2813" s="5" t="s">
        <v>11679</v>
      </c>
      <c r="G2813" s="5" t="s">
        <v>11742</v>
      </c>
      <c r="H2813" s="5">
        <v>2001.0</v>
      </c>
      <c r="I2813" s="5">
        <v>0.0</v>
      </c>
      <c r="J2813" s="5">
        <v>0.0</v>
      </c>
      <c r="K2813" s="5">
        <v>1.0</v>
      </c>
      <c r="L2813" s="54"/>
      <c r="M2813" s="5" t="s">
        <v>11801</v>
      </c>
      <c r="N2813" s="53" t="s">
        <v>3587</v>
      </c>
      <c r="O2813">
        <v>41.87194</v>
      </c>
      <c r="P2813">
        <v>12.56738</v>
      </c>
      <c r="Q2813" s="5" t="s">
        <v>1243</v>
      </c>
      <c r="R2813" s="10">
        <f t="shared" si="10"/>
        <v>62</v>
      </c>
      <c r="S2813" s="5" t="s">
        <v>11802</v>
      </c>
      <c r="T2813" s="5"/>
      <c r="U2813" s="5" t="s">
        <v>2326</v>
      </c>
      <c r="V2813" s="5" t="s">
        <v>7579</v>
      </c>
    </row>
    <row r="2814" ht="12.75" customHeight="1">
      <c r="A2814" s="5">
        <v>36176.0</v>
      </c>
      <c r="B2814" s="5" t="s">
        <v>68</v>
      </c>
      <c r="C2814" s="5" t="s">
        <v>69</v>
      </c>
      <c r="D2814" s="5" t="s">
        <v>2852</v>
      </c>
      <c r="E2814" s="7" t="s">
        <v>11803</v>
      </c>
      <c r="F2814" s="5" t="s">
        <v>11679</v>
      </c>
      <c r="G2814" s="5" t="s">
        <v>11742</v>
      </c>
      <c r="H2814" s="5">
        <v>2001.0</v>
      </c>
      <c r="I2814" s="5">
        <v>0.0</v>
      </c>
      <c r="J2814" s="5">
        <v>0.0</v>
      </c>
      <c r="K2814" s="5">
        <v>1.0</v>
      </c>
      <c r="L2814" s="54"/>
      <c r="M2814" s="5" t="s">
        <v>11804</v>
      </c>
      <c r="N2814" s="53" t="s">
        <v>8599</v>
      </c>
      <c r="O2814">
        <v>33.533333</v>
      </c>
      <c r="P2814">
        <v>-7.583333</v>
      </c>
      <c r="Q2814" s="5" t="s">
        <v>544</v>
      </c>
      <c r="R2814" s="10">
        <f t="shared" si="10"/>
        <v>7</v>
      </c>
      <c r="S2814" s="5" t="s">
        <v>11805</v>
      </c>
      <c r="T2814" s="6" t="s">
        <v>72</v>
      </c>
      <c r="U2814" s="5" t="s">
        <v>3128</v>
      </c>
      <c r="V2814" s="5"/>
    </row>
    <row r="2815" ht="12.75" customHeight="1">
      <c r="A2815" s="5">
        <v>36180.0</v>
      </c>
      <c r="B2815" s="5" t="s">
        <v>49</v>
      </c>
      <c r="C2815" s="52" t="s">
        <v>50</v>
      </c>
      <c r="D2815" s="5" t="s">
        <v>2852</v>
      </c>
      <c r="E2815" s="7" t="s">
        <v>11806</v>
      </c>
      <c r="F2815" s="5" t="s">
        <v>11679</v>
      </c>
      <c r="G2815" s="5" t="s">
        <v>11742</v>
      </c>
      <c r="H2815" s="5">
        <v>2001.0</v>
      </c>
      <c r="I2815" s="5">
        <v>0.0</v>
      </c>
      <c r="J2815" s="5">
        <v>0.0</v>
      </c>
      <c r="K2815" s="5">
        <v>10.0</v>
      </c>
      <c r="L2815" s="54"/>
      <c r="M2815" s="5" t="s">
        <v>11807</v>
      </c>
      <c r="N2815" s="53" t="s">
        <v>2680</v>
      </c>
      <c r="O2815">
        <v>36.018776</v>
      </c>
      <c r="P2815">
        <v>-5.600819</v>
      </c>
      <c r="Q2815" s="5" t="s">
        <v>761</v>
      </c>
      <c r="R2815" s="10">
        <f t="shared" si="10"/>
        <v>492</v>
      </c>
      <c r="S2815" s="5" t="s">
        <v>11808</v>
      </c>
      <c r="T2815" s="6" t="s">
        <v>72</v>
      </c>
      <c r="U2815" s="5" t="s">
        <v>11809</v>
      </c>
      <c r="V2815" s="5"/>
    </row>
    <row r="2816" ht="12.75" customHeight="1">
      <c r="A2816" s="5">
        <v>36179.0</v>
      </c>
      <c r="B2816" s="5" t="s">
        <v>49</v>
      </c>
      <c r="C2816" s="52" t="s">
        <v>50</v>
      </c>
      <c r="D2816" s="5" t="s">
        <v>2852</v>
      </c>
      <c r="E2816" s="7" t="s">
        <v>11806</v>
      </c>
      <c r="F2816" s="5" t="s">
        <v>11679</v>
      </c>
      <c r="G2816" s="5" t="s">
        <v>11742</v>
      </c>
      <c r="H2816" s="5">
        <v>2001.0</v>
      </c>
      <c r="I2816" s="5">
        <v>0.0</v>
      </c>
      <c r="J2816" s="5">
        <v>0.0</v>
      </c>
      <c r="K2816" s="5">
        <v>1.0</v>
      </c>
      <c r="L2816" s="54"/>
      <c r="M2816" s="5" t="s">
        <v>11810</v>
      </c>
      <c r="N2816" s="53" t="s">
        <v>2680</v>
      </c>
      <c r="O2816">
        <v>36.018776</v>
      </c>
      <c r="P2816">
        <v>-5.600819</v>
      </c>
      <c r="Q2816" s="5" t="s">
        <v>761</v>
      </c>
      <c r="R2816" s="10">
        <f t="shared" si="10"/>
        <v>492</v>
      </c>
      <c r="S2816" s="5" t="s">
        <v>11808</v>
      </c>
      <c r="T2816" s="6" t="s">
        <v>72</v>
      </c>
      <c r="U2816" s="5" t="s">
        <v>11809</v>
      </c>
      <c r="V2816" s="5"/>
    </row>
    <row r="2817" ht="12.75" customHeight="1">
      <c r="A2817" s="5">
        <v>36178.0</v>
      </c>
      <c r="B2817" s="5" t="s">
        <v>49</v>
      </c>
      <c r="C2817" s="52" t="s">
        <v>50</v>
      </c>
      <c r="D2817" s="5" t="s">
        <v>2852</v>
      </c>
      <c r="E2817" s="7" t="s">
        <v>11806</v>
      </c>
      <c r="F2817" s="5" t="s">
        <v>11679</v>
      </c>
      <c r="G2817" s="5" t="s">
        <v>11742</v>
      </c>
      <c r="H2817" s="5">
        <v>2001.0</v>
      </c>
      <c r="I2817" s="5">
        <v>0.0</v>
      </c>
      <c r="J2817" s="5">
        <v>0.0</v>
      </c>
      <c r="K2817" s="5">
        <v>1.0</v>
      </c>
      <c r="L2817" s="54"/>
      <c r="M2817" s="5" t="s">
        <v>11811</v>
      </c>
      <c r="N2817" s="53" t="s">
        <v>2680</v>
      </c>
      <c r="O2817">
        <v>36.018776</v>
      </c>
      <c r="P2817">
        <v>-5.600819</v>
      </c>
      <c r="Q2817" s="5" t="s">
        <v>761</v>
      </c>
      <c r="R2817" s="10">
        <f t="shared" si="10"/>
        <v>492</v>
      </c>
      <c r="S2817" s="5" t="s">
        <v>11808</v>
      </c>
      <c r="T2817" s="6" t="s">
        <v>72</v>
      </c>
      <c r="U2817" s="5" t="s">
        <v>11809</v>
      </c>
      <c r="V2817" s="5"/>
    </row>
    <row r="2818" ht="12.75" customHeight="1">
      <c r="A2818" s="5">
        <v>36177.0</v>
      </c>
      <c r="B2818" s="5" t="s">
        <v>49</v>
      </c>
      <c r="C2818" s="52" t="s">
        <v>50</v>
      </c>
      <c r="D2818" s="5" t="s">
        <v>2852</v>
      </c>
      <c r="E2818" s="7" t="s">
        <v>11806</v>
      </c>
      <c r="F2818" s="5" t="s">
        <v>11679</v>
      </c>
      <c r="G2818" s="5" t="s">
        <v>11742</v>
      </c>
      <c r="H2818" s="5">
        <v>2001.0</v>
      </c>
      <c r="I2818" s="5">
        <v>0.0</v>
      </c>
      <c r="J2818" s="5">
        <v>0.0</v>
      </c>
      <c r="K2818" s="5">
        <v>1.0</v>
      </c>
      <c r="L2818" s="54"/>
      <c r="M2818" s="5" t="s">
        <v>11812</v>
      </c>
      <c r="N2818" s="53" t="s">
        <v>2680</v>
      </c>
      <c r="O2818">
        <v>36.018776</v>
      </c>
      <c r="P2818">
        <v>-5.600819</v>
      </c>
      <c r="Q2818" s="5" t="s">
        <v>761</v>
      </c>
      <c r="R2818" s="10">
        <f t="shared" si="10"/>
        <v>492</v>
      </c>
      <c r="S2818" s="5" t="s">
        <v>11808</v>
      </c>
      <c r="T2818" s="6" t="s">
        <v>72</v>
      </c>
      <c r="U2818" s="5" t="s">
        <v>11809</v>
      </c>
      <c r="V2818" s="5"/>
    </row>
    <row r="2819" ht="12.75" customHeight="1">
      <c r="A2819" s="5">
        <v>36181.0</v>
      </c>
      <c r="B2819" s="5" t="s">
        <v>1761</v>
      </c>
      <c r="C2819" s="5" t="s">
        <v>124</v>
      </c>
      <c r="D2819" s="5" t="s">
        <v>2614</v>
      </c>
      <c r="E2819" s="7" t="s">
        <v>11813</v>
      </c>
      <c r="F2819" s="5" t="s">
        <v>11679</v>
      </c>
      <c r="G2819" s="5" t="s">
        <v>11814</v>
      </c>
      <c r="H2819" s="5">
        <v>2001.0</v>
      </c>
      <c r="I2819" s="5">
        <v>0.0</v>
      </c>
      <c r="J2819" s="5">
        <v>0.0</v>
      </c>
      <c r="K2819" s="5">
        <v>2.0</v>
      </c>
      <c r="L2819" s="54"/>
      <c r="M2819" s="5" t="s">
        <v>11815</v>
      </c>
      <c r="N2819" s="53" t="s">
        <v>3909</v>
      </c>
      <c r="O2819">
        <v>50.95129</v>
      </c>
      <c r="P2819">
        <v>1.858686</v>
      </c>
      <c r="Q2819" s="5" t="s">
        <v>1551</v>
      </c>
      <c r="R2819" s="10">
        <f t="shared" si="10"/>
        <v>30</v>
      </c>
      <c r="S2819" s="5" t="s">
        <v>11816</v>
      </c>
      <c r="T2819" s="5"/>
      <c r="U2819" s="5" t="s">
        <v>11817</v>
      </c>
      <c r="V2819" s="5" t="s">
        <v>11818</v>
      </c>
    </row>
    <row r="2820" ht="12.75" customHeight="1">
      <c r="A2820" s="5">
        <v>36182.0</v>
      </c>
      <c r="B2820" s="5" t="s">
        <v>49</v>
      </c>
      <c r="C2820" s="52" t="s">
        <v>50</v>
      </c>
      <c r="D2820" s="5" t="s">
        <v>2852</v>
      </c>
      <c r="E2820" s="7" t="s">
        <v>11819</v>
      </c>
      <c r="F2820" s="5" t="s">
        <v>11679</v>
      </c>
      <c r="G2820" s="5" t="s">
        <v>11814</v>
      </c>
      <c r="H2820" s="5">
        <v>2001.0</v>
      </c>
      <c r="I2820" s="5">
        <v>0.0</v>
      </c>
      <c r="J2820" s="5">
        <v>0.0</v>
      </c>
      <c r="K2820" s="5">
        <v>1.0</v>
      </c>
      <c r="L2820" s="54"/>
      <c r="M2820" s="5" t="s">
        <v>11820</v>
      </c>
      <c r="N2820" s="53" t="s">
        <v>11821</v>
      </c>
      <c r="O2820">
        <v>51.103951</v>
      </c>
      <c r="P2820">
        <v>14.235404</v>
      </c>
      <c r="Q2820" s="5" t="s">
        <v>1583</v>
      </c>
      <c r="R2820" s="10">
        <f t="shared" si="10"/>
        <v>1</v>
      </c>
      <c r="S2820" s="5" t="s">
        <v>11822</v>
      </c>
      <c r="T2820" s="5"/>
      <c r="U2820" s="5" t="s">
        <v>11823</v>
      </c>
      <c r="V2820" s="5"/>
    </row>
    <row r="2821" ht="12.75" customHeight="1">
      <c r="A2821" s="5">
        <v>36183.0</v>
      </c>
      <c r="B2821" s="5" t="s">
        <v>636</v>
      </c>
      <c r="C2821" s="52" t="s">
        <v>50</v>
      </c>
      <c r="D2821" s="5" t="s">
        <v>2852</v>
      </c>
      <c r="E2821" s="7" t="s">
        <v>11824</v>
      </c>
      <c r="F2821" s="5" t="s">
        <v>11679</v>
      </c>
      <c r="G2821" s="5" t="s">
        <v>11814</v>
      </c>
      <c r="H2821" s="5">
        <v>2001.0</v>
      </c>
      <c r="I2821" s="5">
        <v>0.0</v>
      </c>
      <c r="J2821" s="5">
        <v>0.0</v>
      </c>
      <c r="K2821" s="5">
        <v>4.0</v>
      </c>
      <c r="L2821" s="54"/>
      <c r="M2821" s="5" t="s">
        <v>11825</v>
      </c>
      <c r="N2821" s="53" t="s">
        <v>8124</v>
      </c>
      <c r="O2821">
        <v>42.733883</v>
      </c>
      <c r="P2821">
        <v>25.48583</v>
      </c>
      <c r="Q2821" s="5" t="s">
        <v>1261</v>
      </c>
      <c r="R2821" s="10">
        <f t="shared" si="10"/>
        <v>13</v>
      </c>
      <c r="S2821" s="5" t="s">
        <v>11826</v>
      </c>
      <c r="T2821" s="6" t="s">
        <v>53</v>
      </c>
      <c r="U2821" s="5" t="s">
        <v>3128</v>
      </c>
      <c r="V2821" s="5" t="s">
        <v>11818</v>
      </c>
    </row>
    <row r="2822" ht="12.75" customHeight="1">
      <c r="A2822" s="5">
        <v>36184.0</v>
      </c>
      <c r="B2822" s="5" t="s">
        <v>1105</v>
      </c>
      <c r="C2822" s="5" t="s">
        <v>75</v>
      </c>
      <c r="D2822" s="5"/>
      <c r="E2822" s="7" t="s">
        <v>11827</v>
      </c>
      <c r="F2822" s="5" t="s">
        <v>11679</v>
      </c>
      <c r="G2822" s="5" t="s">
        <v>11814</v>
      </c>
      <c r="H2822" s="5">
        <v>2001.0</v>
      </c>
      <c r="I2822" s="5">
        <v>1.0</v>
      </c>
      <c r="J2822" s="5">
        <v>0.0</v>
      </c>
      <c r="K2822" s="5">
        <v>1.0</v>
      </c>
      <c r="L2822" s="54"/>
      <c r="M2822" s="5" t="s">
        <v>11828</v>
      </c>
      <c r="N2822" s="53" t="s">
        <v>3909</v>
      </c>
      <c r="O2822">
        <v>50.95129</v>
      </c>
      <c r="P2822">
        <v>1.858686</v>
      </c>
      <c r="Q2822" s="5" t="s">
        <v>1551</v>
      </c>
      <c r="R2822" s="10">
        <f t="shared" si="10"/>
        <v>30</v>
      </c>
      <c r="S2822" s="5" t="s">
        <v>11829</v>
      </c>
      <c r="T2822" s="5"/>
      <c r="U2822" s="5" t="s">
        <v>2526</v>
      </c>
      <c r="V2822" s="5" t="s">
        <v>11830</v>
      </c>
    </row>
    <row r="2823" ht="12.75" customHeight="1">
      <c r="A2823" s="5">
        <v>36185.0</v>
      </c>
      <c r="B2823" s="5" t="s">
        <v>49</v>
      </c>
      <c r="C2823" s="52" t="s">
        <v>50</v>
      </c>
      <c r="D2823" s="5" t="s">
        <v>2852</v>
      </c>
      <c r="E2823" s="7" t="s">
        <v>11831</v>
      </c>
      <c r="F2823" s="5" t="s">
        <v>11679</v>
      </c>
      <c r="G2823" s="5" t="s">
        <v>11814</v>
      </c>
      <c r="H2823" s="5">
        <v>2001.0</v>
      </c>
      <c r="I2823" s="5">
        <v>0.0</v>
      </c>
      <c r="J2823" s="5">
        <v>0.0</v>
      </c>
      <c r="K2823" s="5">
        <v>2.0</v>
      </c>
      <c r="L2823" s="54"/>
      <c r="M2823" s="5" t="s">
        <v>11832</v>
      </c>
      <c r="N2823" s="53" t="s">
        <v>2680</v>
      </c>
      <c r="O2823">
        <v>36.018776</v>
      </c>
      <c r="P2823">
        <v>-5.600819</v>
      </c>
      <c r="Q2823" s="5" t="s">
        <v>761</v>
      </c>
      <c r="R2823" s="10">
        <f t="shared" si="10"/>
        <v>492</v>
      </c>
      <c r="S2823" s="5" t="s">
        <v>11833</v>
      </c>
      <c r="T2823" s="6" t="s">
        <v>72</v>
      </c>
      <c r="U2823" s="5" t="s">
        <v>11834</v>
      </c>
      <c r="V2823" s="5" t="s">
        <v>11835</v>
      </c>
    </row>
    <row r="2824" ht="12.75" customHeight="1">
      <c r="A2824" s="5">
        <v>36187.0</v>
      </c>
      <c r="B2824" s="5" t="s">
        <v>5200</v>
      </c>
      <c r="C2824" s="5" t="s">
        <v>124</v>
      </c>
      <c r="D2824" s="5" t="s">
        <v>2852</v>
      </c>
      <c r="E2824" s="7" t="s">
        <v>11836</v>
      </c>
      <c r="F2824" s="5" t="s">
        <v>11837</v>
      </c>
      <c r="G2824" s="5" t="s">
        <v>11838</v>
      </c>
      <c r="H2824" s="5">
        <v>2001.0</v>
      </c>
      <c r="I2824" s="5">
        <v>0.0</v>
      </c>
      <c r="J2824" s="5">
        <v>0.0</v>
      </c>
      <c r="K2824" s="5">
        <v>1.0</v>
      </c>
      <c r="L2824" s="54"/>
      <c r="M2824" s="5" t="s">
        <v>11839</v>
      </c>
      <c r="N2824" s="53" t="s">
        <v>7911</v>
      </c>
      <c r="O2824">
        <v>38.652771</v>
      </c>
      <c r="P2824">
        <v>26.613007</v>
      </c>
      <c r="Q2824" s="5" t="s">
        <v>1032</v>
      </c>
      <c r="R2824" s="10">
        <f t="shared" si="10"/>
        <v>69</v>
      </c>
      <c r="S2824" s="5" t="s">
        <v>11840</v>
      </c>
      <c r="T2824" s="6" t="s">
        <v>53</v>
      </c>
      <c r="U2824" s="5" t="s">
        <v>9864</v>
      </c>
      <c r="V2824" s="5"/>
    </row>
    <row r="2825" ht="12.75" customHeight="1">
      <c r="A2825" s="5">
        <v>36186.0</v>
      </c>
      <c r="B2825" s="5" t="s">
        <v>5200</v>
      </c>
      <c r="C2825" s="5" t="s">
        <v>124</v>
      </c>
      <c r="D2825" s="5" t="s">
        <v>2852</v>
      </c>
      <c r="E2825" s="7" t="s">
        <v>11836</v>
      </c>
      <c r="F2825" s="5" t="s">
        <v>11837</v>
      </c>
      <c r="G2825" s="5" t="s">
        <v>11838</v>
      </c>
      <c r="H2825" s="5">
        <v>2001.0</v>
      </c>
      <c r="I2825" s="5">
        <v>0.0</v>
      </c>
      <c r="J2825" s="5">
        <v>0.0</v>
      </c>
      <c r="K2825" s="5">
        <v>1.0</v>
      </c>
      <c r="L2825" s="54"/>
      <c r="M2825" s="5" t="s">
        <v>11841</v>
      </c>
      <c r="N2825" s="53" t="s">
        <v>7911</v>
      </c>
      <c r="O2825">
        <v>38.652771</v>
      </c>
      <c r="P2825">
        <v>26.613007</v>
      </c>
      <c r="Q2825" s="5" t="s">
        <v>1032</v>
      </c>
      <c r="R2825" s="10">
        <f t="shared" si="10"/>
        <v>69</v>
      </c>
      <c r="S2825" s="5" t="s">
        <v>11840</v>
      </c>
      <c r="T2825" s="6" t="s">
        <v>53</v>
      </c>
      <c r="U2825" s="5" t="s">
        <v>9864</v>
      </c>
      <c r="V2825" s="5"/>
    </row>
    <row r="2826" ht="12.75" customHeight="1">
      <c r="A2826" s="5">
        <v>36188.0</v>
      </c>
      <c r="B2826" s="5" t="s">
        <v>49</v>
      </c>
      <c r="C2826" s="52" t="s">
        <v>50</v>
      </c>
      <c r="D2826" s="5" t="s">
        <v>2852</v>
      </c>
      <c r="E2826" s="7" t="s">
        <v>11842</v>
      </c>
      <c r="F2826" s="5" t="s">
        <v>11837</v>
      </c>
      <c r="G2826" s="5" t="s">
        <v>11838</v>
      </c>
      <c r="H2826" s="5">
        <v>2001.0</v>
      </c>
      <c r="I2826" s="5">
        <v>0.0</v>
      </c>
      <c r="J2826" s="5">
        <v>0.0</v>
      </c>
      <c r="K2826" s="5">
        <v>1.0</v>
      </c>
      <c r="L2826" s="54"/>
      <c r="M2826" s="5" t="s">
        <v>11843</v>
      </c>
      <c r="N2826" s="53" t="s">
        <v>2680</v>
      </c>
      <c r="O2826">
        <v>36.018776</v>
      </c>
      <c r="P2826">
        <v>-5.600819</v>
      </c>
      <c r="Q2826" s="5" t="s">
        <v>761</v>
      </c>
      <c r="R2826" s="10">
        <f t="shared" si="10"/>
        <v>492</v>
      </c>
      <c r="S2826" s="5" t="s">
        <v>11844</v>
      </c>
      <c r="T2826" s="6" t="s">
        <v>72</v>
      </c>
      <c r="U2826" s="5" t="s">
        <v>11207</v>
      </c>
      <c r="V2826" s="5"/>
    </row>
    <row r="2827" ht="12.75" customHeight="1">
      <c r="A2827" s="5">
        <v>36189.0</v>
      </c>
      <c r="B2827" s="5" t="s">
        <v>763</v>
      </c>
      <c r="C2827" s="5" t="s">
        <v>124</v>
      </c>
      <c r="D2827" s="5" t="s">
        <v>2852</v>
      </c>
      <c r="E2827" s="7" t="s">
        <v>11845</v>
      </c>
      <c r="F2827" s="5" t="s">
        <v>11837</v>
      </c>
      <c r="G2827" s="5" t="s">
        <v>11838</v>
      </c>
      <c r="H2827" s="5">
        <v>2001.0</v>
      </c>
      <c r="I2827" s="5">
        <v>0.0</v>
      </c>
      <c r="J2827" s="5">
        <v>0.0</v>
      </c>
      <c r="K2827" s="5">
        <v>1.0</v>
      </c>
      <c r="L2827" s="54"/>
      <c r="M2827" s="5" t="s">
        <v>11846</v>
      </c>
      <c r="N2827" s="53" t="s">
        <v>11847</v>
      </c>
      <c r="O2827">
        <v>52.534682</v>
      </c>
      <c r="P2827">
        <v>5.721809</v>
      </c>
      <c r="Q2827" s="5" t="s">
        <v>1781</v>
      </c>
      <c r="R2827" s="10">
        <f t="shared" si="10"/>
        <v>1</v>
      </c>
      <c r="S2827" s="5" t="s">
        <v>11848</v>
      </c>
      <c r="T2827" s="5"/>
      <c r="U2827" s="5" t="s">
        <v>11849</v>
      </c>
      <c r="V2827" s="5"/>
    </row>
    <row r="2828" ht="12.75" customHeight="1">
      <c r="A2828" s="5">
        <v>36190.0</v>
      </c>
      <c r="B2828" s="5" t="s">
        <v>49</v>
      </c>
      <c r="C2828" s="52" t="s">
        <v>50</v>
      </c>
      <c r="D2828" s="5" t="s">
        <v>2852</v>
      </c>
      <c r="E2828" s="7" t="s">
        <v>11850</v>
      </c>
      <c r="F2828" s="5" t="s">
        <v>11837</v>
      </c>
      <c r="G2828" s="5" t="s">
        <v>11838</v>
      </c>
      <c r="H2828" s="5">
        <v>2001.0</v>
      </c>
      <c r="I2828" s="5">
        <v>0.0</v>
      </c>
      <c r="J2828" s="5">
        <v>0.0</v>
      </c>
      <c r="K2828" s="5">
        <v>2.0</v>
      </c>
      <c r="L2828" s="54"/>
      <c r="M2828" s="5" t="s">
        <v>11851</v>
      </c>
      <c r="N2828" s="53" t="s">
        <v>11102</v>
      </c>
      <c r="O2828">
        <v>40.143898</v>
      </c>
      <c r="P2828">
        <v>18.491168</v>
      </c>
      <c r="Q2828" s="5" t="s">
        <v>1121</v>
      </c>
      <c r="R2828" s="10">
        <f t="shared" si="10"/>
        <v>48</v>
      </c>
      <c r="S2828" s="5" t="s">
        <v>11852</v>
      </c>
      <c r="T2828" s="6" t="s">
        <v>1963</v>
      </c>
      <c r="U2828" s="5" t="s">
        <v>11853</v>
      </c>
      <c r="V2828" s="5"/>
    </row>
    <row r="2829" ht="12.75" customHeight="1">
      <c r="A2829" s="5">
        <v>36191.0</v>
      </c>
      <c r="B2829" s="5" t="s">
        <v>49</v>
      </c>
      <c r="C2829" s="52" t="s">
        <v>50</v>
      </c>
      <c r="D2829" s="5" t="s">
        <v>2852</v>
      </c>
      <c r="E2829" s="7" t="s">
        <v>11854</v>
      </c>
      <c r="F2829" s="5" t="s">
        <v>11837</v>
      </c>
      <c r="G2829" s="5" t="s">
        <v>11838</v>
      </c>
      <c r="H2829" s="5">
        <v>2001.0</v>
      </c>
      <c r="I2829" s="5">
        <v>0.0</v>
      </c>
      <c r="J2829" s="5">
        <v>0.0</v>
      </c>
      <c r="K2829" s="5">
        <v>1.0</v>
      </c>
      <c r="L2829" s="54"/>
      <c r="M2829" s="5" t="s">
        <v>11855</v>
      </c>
      <c r="N2829" s="53" t="s">
        <v>2680</v>
      </c>
      <c r="O2829">
        <v>36.018776</v>
      </c>
      <c r="P2829">
        <v>-5.600819</v>
      </c>
      <c r="Q2829" s="5" t="s">
        <v>761</v>
      </c>
      <c r="R2829" s="10">
        <f t="shared" si="10"/>
        <v>492</v>
      </c>
      <c r="S2829" s="5" t="s">
        <v>11856</v>
      </c>
      <c r="T2829" s="6" t="s">
        <v>72</v>
      </c>
      <c r="U2829" s="5" t="s">
        <v>11857</v>
      </c>
      <c r="V2829" s="5" t="s">
        <v>11858</v>
      </c>
    </row>
    <row r="2830" ht="12.75" customHeight="1">
      <c r="A2830" s="5">
        <v>36192.0</v>
      </c>
      <c r="B2830" s="5" t="s">
        <v>763</v>
      </c>
      <c r="C2830" s="5" t="s">
        <v>124</v>
      </c>
      <c r="D2830" s="5" t="s">
        <v>2852</v>
      </c>
      <c r="E2830" s="7" t="s">
        <v>11854</v>
      </c>
      <c r="F2830" s="5" t="s">
        <v>11837</v>
      </c>
      <c r="G2830" s="5" t="s">
        <v>11838</v>
      </c>
      <c r="H2830" s="5">
        <v>2001.0</v>
      </c>
      <c r="I2830" s="5">
        <v>0.0</v>
      </c>
      <c r="J2830" s="5">
        <v>0.0</v>
      </c>
      <c r="K2830" s="5">
        <v>1.0</v>
      </c>
      <c r="L2830" s="54"/>
      <c r="M2830" s="5" t="s">
        <v>11859</v>
      </c>
      <c r="N2830" s="53" t="s">
        <v>11860</v>
      </c>
      <c r="O2830">
        <v>37.349816</v>
      </c>
      <c r="P2830">
        <v>-3.289259</v>
      </c>
      <c r="Q2830" s="5" t="s">
        <v>928</v>
      </c>
      <c r="R2830" s="10">
        <f t="shared" si="10"/>
        <v>1</v>
      </c>
      <c r="S2830" s="5" t="s">
        <v>11861</v>
      </c>
      <c r="T2830" s="6" t="s">
        <v>72</v>
      </c>
      <c r="U2830" s="5" t="s">
        <v>3128</v>
      </c>
      <c r="V2830" s="5" t="s">
        <v>11862</v>
      </c>
    </row>
    <row r="2831" ht="12.75" customHeight="1">
      <c r="A2831" s="5">
        <v>36193.0</v>
      </c>
      <c r="B2831" s="5" t="s">
        <v>98</v>
      </c>
      <c r="C2831" s="5" t="s">
        <v>62</v>
      </c>
      <c r="D2831" s="5" t="s">
        <v>2852</v>
      </c>
      <c r="E2831" s="7" t="s">
        <v>11863</v>
      </c>
      <c r="F2831" s="5" t="s">
        <v>11837</v>
      </c>
      <c r="G2831" s="5" t="s">
        <v>11838</v>
      </c>
      <c r="H2831" s="5">
        <v>2001.0</v>
      </c>
      <c r="I2831" s="5">
        <v>0.0</v>
      </c>
      <c r="J2831" s="5">
        <v>0.0</v>
      </c>
      <c r="K2831" s="5">
        <v>1.0</v>
      </c>
      <c r="L2831" s="54"/>
      <c r="M2831" s="5" t="s">
        <v>11864</v>
      </c>
      <c r="N2831" s="53" t="s">
        <v>3379</v>
      </c>
      <c r="O2831">
        <v>36.834047</v>
      </c>
      <c r="P2831">
        <v>-2.463714</v>
      </c>
      <c r="Q2831" s="5" t="s">
        <v>863</v>
      </c>
      <c r="R2831" s="10">
        <f t="shared" si="10"/>
        <v>208</v>
      </c>
      <c r="S2831" s="5" t="s">
        <v>11865</v>
      </c>
      <c r="T2831" s="6" t="s">
        <v>72</v>
      </c>
      <c r="U2831" s="5" t="s">
        <v>11853</v>
      </c>
      <c r="V2831" s="5"/>
    </row>
    <row r="2832" ht="12.75" customHeight="1">
      <c r="A2832" s="5">
        <v>36196.0</v>
      </c>
      <c r="B2832" s="5" t="s">
        <v>49</v>
      </c>
      <c r="C2832" s="52" t="s">
        <v>50</v>
      </c>
      <c r="D2832" s="5" t="s">
        <v>2852</v>
      </c>
      <c r="E2832" s="7" t="s">
        <v>11866</v>
      </c>
      <c r="F2832" s="5" t="s">
        <v>11837</v>
      </c>
      <c r="G2832" s="5" t="s">
        <v>11838</v>
      </c>
      <c r="H2832" s="5">
        <v>2001.0</v>
      </c>
      <c r="I2832" s="5">
        <v>0.0</v>
      </c>
      <c r="J2832" s="5">
        <v>0.0</v>
      </c>
      <c r="K2832" s="5">
        <v>7.0</v>
      </c>
      <c r="L2832" s="54"/>
      <c r="M2832" s="5" t="s">
        <v>11867</v>
      </c>
      <c r="N2832" s="53" t="s">
        <v>2680</v>
      </c>
      <c r="O2832">
        <v>36.018776</v>
      </c>
      <c r="P2832">
        <v>-5.600819</v>
      </c>
      <c r="Q2832" s="5" t="s">
        <v>761</v>
      </c>
      <c r="R2832" s="10">
        <f t="shared" si="10"/>
        <v>492</v>
      </c>
      <c r="S2832" s="5" t="s">
        <v>11868</v>
      </c>
      <c r="T2832" s="6" t="s">
        <v>72</v>
      </c>
      <c r="U2832" s="5" t="s">
        <v>5458</v>
      </c>
      <c r="V2832" s="5"/>
    </row>
    <row r="2833" ht="12.75" customHeight="1">
      <c r="A2833" s="5">
        <v>36195.0</v>
      </c>
      <c r="B2833" s="5" t="s">
        <v>49</v>
      </c>
      <c r="C2833" s="52" t="s">
        <v>50</v>
      </c>
      <c r="D2833" s="5" t="s">
        <v>2852</v>
      </c>
      <c r="E2833" s="7" t="s">
        <v>11866</v>
      </c>
      <c r="F2833" s="5" t="s">
        <v>11837</v>
      </c>
      <c r="G2833" s="5" t="s">
        <v>11838</v>
      </c>
      <c r="H2833" s="5">
        <v>2001.0</v>
      </c>
      <c r="I2833" s="5">
        <v>0.0</v>
      </c>
      <c r="J2833" s="5">
        <v>0.0</v>
      </c>
      <c r="K2833" s="5">
        <v>1.0</v>
      </c>
      <c r="L2833" s="54"/>
      <c r="M2833" s="5" t="s">
        <v>11869</v>
      </c>
      <c r="N2833" s="53" t="s">
        <v>2680</v>
      </c>
      <c r="O2833">
        <v>36.018776</v>
      </c>
      <c r="P2833">
        <v>-5.600819</v>
      </c>
      <c r="Q2833" s="5" t="s">
        <v>761</v>
      </c>
      <c r="R2833" s="10">
        <f t="shared" si="10"/>
        <v>492</v>
      </c>
      <c r="S2833" s="5" t="s">
        <v>11868</v>
      </c>
      <c r="T2833" s="6" t="s">
        <v>72</v>
      </c>
      <c r="U2833" s="5" t="s">
        <v>11870</v>
      </c>
      <c r="V2833" s="5"/>
    </row>
    <row r="2834" ht="12.75" customHeight="1">
      <c r="A2834" s="5">
        <v>36194.0</v>
      </c>
      <c r="B2834" s="5" t="s">
        <v>49</v>
      </c>
      <c r="C2834" s="52" t="s">
        <v>50</v>
      </c>
      <c r="D2834" s="5" t="s">
        <v>2852</v>
      </c>
      <c r="E2834" s="7" t="s">
        <v>11866</v>
      </c>
      <c r="F2834" s="5" t="s">
        <v>11837</v>
      </c>
      <c r="G2834" s="5" t="s">
        <v>11838</v>
      </c>
      <c r="H2834" s="5">
        <v>2001.0</v>
      </c>
      <c r="I2834" s="5">
        <v>0.0</v>
      </c>
      <c r="J2834" s="5">
        <v>0.0</v>
      </c>
      <c r="K2834" s="5">
        <v>3.0</v>
      </c>
      <c r="L2834" s="54"/>
      <c r="M2834" s="5" t="s">
        <v>11871</v>
      </c>
      <c r="N2834" s="53" t="s">
        <v>2680</v>
      </c>
      <c r="O2834">
        <v>36.018776</v>
      </c>
      <c r="P2834">
        <v>-5.600819</v>
      </c>
      <c r="Q2834" s="5" t="s">
        <v>761</v>
      </c>
      <c r="R2834" s="10">
        <f t="shared" si="10"/>
        <v>492</v>
      </c>
      <c r="S2834" s="5" t="s">
        <v>11868</v>
      </c>
      <c r="T2834" s="6" t="s">
        <v>72</v>
      </c>
      <c r="U2834" s="5" t="s">
        <v>11870</v>
      </c>
      <c r="V2834" s="5"/>
    </row>
    <row r="2835" ht="12.75" customHeight="1">
      <c r="A2835" s="5">
        <v>36197.0</v>
      </c>
      <c r="B2835" s="5" t="s">
        <v>68</v>
      </c>
      <c r="C2835" s="5" t="s">
        <v>69</v>
      </c>
      <c r="D2835" s="5" t="s">
        <v>2614</v>
      </c>
      <c r="E2835" s="7" t="s">
        <v>11872</v>
      </c>
      <c r="F2835" s="5" t="s">
        <v>11837</v>
      </c>
      <c r="G2835" s="5" t="s">
        <v>11838</v>
      </c>
      <c r="H2835" s="5">
        <v>2001.0</v>
      </c>
      <c r="I2835" s="5">
        <v>0.0</v>
      </c>
      <c r="J2835" s="5">
        <v>0.0</v>
      </c>
      <c r="K2835" s="5">
        <v>1.0</v>
      </c>
      <c r="L2835" s="54"/>
      <c r="M2835" s="5" t="s">
        <v>11873</v>
      </c>
      <c r="N2835" s="53" t="s">
        <v>3570</v>
      </c>
      <c r="O2835">
        <v>36.828221</v>
      </c>
      <c r="P2835">
        <v>11.940496</v>
      </c>
      <c r="Q2835" s="5" t="s">
        <v>857</v>
      </c>
      <c r="R2835" s="10">
        <f t="shared" si="10"/>
        <v>37</v>
      </c>
      <c r="S2835" s="5" t="s">
        <v>11874</v>
      </c>
      <c r="T2835" s="6" t="s">
        <v>2130</v>
      </c>
      <c r="U2835" s="5" t="s">
        <v>2326</v>
      </c>
      <c r="V2835" s="5" t="s">
        <v>7579</v>
      </c>
    </row>
    <row r="2836" ht="12.75" customHeight="1">
      <c r="A2836" s="5">
        <v>36198.0</v>
      </c>
      <c r="B2836" s="5" t="s">
        <v>49</v>
      </c>
      <c r="C2836" s="52" t="s">
        <v>50</v>
      </c>
      <c r="D2836" s="5" t="s">
        <v>2852</v>
      </c>
      <c r="E2836" s="7" t="s">
        <v>11875</v>
      </c>
      <c r="F2836" s="5" t="s">
        <v>11837</v>
      </c>
      <c r="G2836" s="5" t="s">
        <v>11838</v>
      </c>
      <c r="H2836" s="5">
        <v>2001.0</v>
      </c>
      <c r="I2836" s="5">
        <v>0.0</v>
      </c>
      <c r="J2836" s="5">
        <v>0.0</v>
      </c>
      <c r="K2836" s="5">
        <v>1.0</v>
      </c>
      <c r="L2836" s="54"/>
      <c r="M2836" s="5" t="s">
        <v>11876</v>
      </c>
      <c r="N2836" s="53" t="s">
        <v>2718</v>
      </c>
      <c r="O2836">
        <v>35.292278</v>
      </c>
      <c r="P2836">
        <v>-2.938097</v>
      </c>
      <c r="Q2836" s="5" t="s">
        <v>649</v>
      </c>
      <c r="R2836" s="10">
        <f t="shared" si="10"/>
        <v>79</v>
      </c>
      <c r="S2836" s="5" t="s">
        <v>11877</v>
      </c>
      <c r="T2836" s="6" t="s">
        <v>72</v>
      </c>
      <c r="U2836" s="5" t="s">
        <v>11834</v>
      </c>
      <c r="V2836" s="5" t="s">
        <v>11878</v>
      </c>
    </row>
    <row r="2837" ht="12.75" customHeight="1">
      <c r="A2837" s="5">
        <v>36200.0</v>
      </c>
      <c r="B2837" s="5" t="s">
        <v>68</v>
      </c>
      <c r="C2837" s="5" t="s">
        <v>69</v>
      </c>
      <c r="D2837" s="5" t="s">
        <v>2614</v>
      </c>
      <c r="E2837" s="7" t="s">
        <v>11879</v>
      </c>
      <c r="F2837" s="5" t="s">
        <v>11837</v>
      </c>
      <c r="G2837" s="5" t="s">
        <v>11838</v>
      </c>
      <c r="H2837" s="5">
        <v>2001.0</v>
      </c>
      <c r="I2837" s="5">
        <v>0.0</v>
      </c>
      <c r="J2837" s="5">
        <v>0.0</v>
      </c>
      <c r="K2837" s="5">
        <v>1.0</v>
      </c>
      <c r="L2837" s="54"/>
      <c r="M2837" s="5" t="s">
        <v>11880</v>
      </c>
      <c r="N2837" s="53" t="s">
        <v>8599</v>
      </c>
      <c r="O2837">
        <v>33.533333</v>
      </c>
      <c r="P2837">
        <v>-7.583333</v>
      </c>
      <c r="Q2837" s="5" t="s">
        <v>544</v>
      </c>
      <c r="R2837" s="10">
        <f t="shared" si="10"/>
        <v>7</v>
      </c>
      <c r="S2837" s="5" t="s">
        <v>11881</v>
      </c>
      <c r="T2837" s="5"/>
      <c r="U2837" s="5" t="s">
        <v>8703</v>
      </c>
      <c r="V2837" s="5" t="s">
        <v>8704</v>
      </c>
    </row>
    <row r="2838" ht="12.75" customHeight="1">
      <c r="A2838" s="5">
        <v>36201.0</v>
      </c>
      <c r="B2838" s="5" t="s">
        <v>49</v>
      </c>
      <c r="C2838" s="52" t="s">
        <v>50</v>
      </c>
      <c r="D2838" s="5" t="s">
        <v>2614</v>
      </c>
      <c r="E2838" s="7" t="s">
        <v>11879</v>
      </c>
      <c r="F2838" s="5" t="s">
        <v>11837</v>
      </c>
      <c r="G2838" s="5" t="s">
        <v>11838</v>
      </c>
      <c r="H2838" s="5">
        <v>2001.0</v>
      </c>
      <c r="I2838" s="5">
        <v>0.0</v>
      </c>
      <c r="J2838" s="5">
        <v>0.0</v>
      </c>
      <c r="K2838" s="5">
        <v>2.0</v>
      </c>
      <c r="L2838" s="54"/>
      <c r="M2838" s="5" t="s">
        <v>11882</v>
      </c>
      <c r="N2838" s="53" t="s">
        <v>2680</v>
      </c>
      <c r="O2838">
        <v>36.018776</v>
      </c>
      <c r="P2838">
        <v>-5.600819</v>
      </c>
      <c r="Q2838" s="5" t="s">
        <v>761</v>
      </c>
      <c r="R2838" s="10">
        <f t="shared" si="10"/>
        <v>492</v>
      </c>
      <c r="S2838" s="5" t="s">
        <v>11883</v>
      </c>
      <c r="T2838" s="6" t="s">
        <v>72</v>
      </c>
      <c r="U2838" s="5" t="s">
        <v>2785</v>
      </c>
      <c r="V2838" s="5" t="s">
        <v>11884</v>
      </c>
    </row>
    <row r="2839" ht="12.75" customHeight="1">
      <c r="A2839" s="5">
        <v>36202.0</v>
      </c>
      <c r="B2839" s="5" t="s">
        <v>763</v>
      </c>
      <c r="C2839" s="5" t="s">
        <v>124</v>
      </c>
      <c r="D2839" s="5" t="s">
        <v>2852</v>
      </c>
      <c r="E2839" s="7" t="s">
        <v>11885</v>
      </c>
      <c r="F2839" s="5" t="s">
        <v>11837</v>
      </c>
      <c r="G2839" s="5" t="s">
        <v>11886</v>
      </c>
      <c r="H2839" s="5">
        <v>2001.0</v>
      </c>
      <c r="I2839" s="5">
        <v>0.0</v>
      </c>
      <c r="J2839" s="5">
        <v>0.0</v>
      </c>
      <c r="K2839" s="5">
        <v>12.0</v>
      </c>
      <c r="L2839" s="54"/>
      <c r="M2839" s="5" t="s">
        <v>11887</v>
      </c>
      <c r="N2839" s="53" t="s">
        <v>4722</v>
      </c>
      <c r="O2839">
        <v>37.992331</v>
      </c>
      <c r="P2839">
        <v>-1.130458</v>
      </c>
      <c r="Q2839" s="5" t="s">
        <v>982</v>
      </c>
      <c r="R2839" s="10">
        <f t="shared" si="10"/>
        <v>14</v>
      </c>
      <c r="S2839" s="5" t="s">
        <v>11888</v>
      </c>
      <c r="T2839" s="6" t="s">
        <v>72</v>
      </c>
      <c r="U2839" s="5" t="s">
        <v>3128</v>
      </c>
      <c r="V2839" s="5"/>
    </row>
    <row r="2840" ht="12.75" customHeight="1">
      <c r="A2840" s="5">
        <v>36203.0</v>
      </c>
      <c r="B2840" s="5" t="s">
        <v>68</v>
      </c>
      <c r="C2840" s="5" t="s">
        <v>69</v>
      </c>
      <c r="D2840" s="5" t="s">
        <v>2614</v>
      </c>
      <c r="E2840" s="7" t="s">
        <v>11889</v>
      </c>
      <c r="F2840" s="5" t="s">
        <v>11837</v>
      </c>
      <c r="G2840" s="5" t="s">
        <v>11886</v>
      </c>
      <c r="H2840" s="5">
        <v>2001.0</v>
      </c>
      <c r="I2840" s="5">
        <v>0.0</v>
      </c>
      <c r="J2840" s="5">
        <v>0.0</v>
      </c>
      <c r="K2840" s="5">
        <v>50.0</v>
      </c>
      <c r="L2840" s="54"/>
      <c r="M2840" s="5" t="s">
        <v>11890</v>
      </c>
      <c r="N2840" s="53" t="s">
        <v>3295</v>
      </c>
      <c r="O2840">
        <v>26.3351</v>
      </c>
      <c r="P2840">
        <v>17.228331</v>
      </c>
      <c r="Q2840" s="5" t="s">
        <v>337</v>
      </c>
      <c r="R2840" s="10">
        <f t="shared" si="10"/>
        <v>1371</v>
      </c>
      <c r="S2840" s="5" t="s">
        <v>11891</v>
      </c>
      <c r="T2840" s="5"/>
      <c r="U2840" s="5" t="s">
        <v>11892</v>
      </c>
      <c r="V2840" s="5" t="s">
        <v>8696</v>
      </c>
    </row>
    <row r="2841" ht="12.75" customHeight="1">
      <c r="A2841" s="5">
        <v>36204.0</v>
      </c>
      <c r="B2841" s="5" t="s">
        <v>1995</v>
      </c>
      <c r="C2841" s="52" t="s">
        <v>50</v>
      </c>
      <c r="D2841" s="5" t="s">
        <v>2852</v>
      </c>
      <c r="E2841" s="7" t="s">
        <v>11893</v>
      </c>
      <c r="F2841" s="5" t="s">
        <v>11837</v>
      </c>
      <c r="G2841" s="5" t="s">
        <v>11886</v>
      </c>
      <c r="H2841" s="5">
        <v>2001.0</v>
      </c>
      <c r="I2841" s="5">
        <v>0.0</v>
      </c>
      <c r="J2841" s="5">
        <v>0.0</v>
      </c>
      <c r="K2841" s="5">
        <v>1.0</v>
      </c>
      <c r="L2841" s="54"/>
      <c r="M2841" s="5" t="s">
        <v>11894</v>
      </c>
      <c r="N2841" s="53" t="s">
        <v>11895</v>
      </c>
      <c r="O2841">
        <v>52.031297</v>
      </c>
      <c r="P2841">
        <v>4.659132</v>
      </c>
      <c r="Q2841" s="5" t="s">
        <v>1706</v>
      </c>
      <c r="R2841" s="10">
        <f t="shared" si="10"/>
        <v>1</v>
      </c>
      <c r="S2841" s="5" t="s">
        <v>11896</v>
      </c>
      <c r="T2841" s="5"/>
      <c r="U2841" s="5" t="s">
        <v>3128</v>
      </c>
      <c r="V2841" s="5"/>
    </row>
    <row r="2842" ht="12.75" customHeight="1">
      <c r="A2842" s="5">
        <v>36205.0</v>
      </c>
      <c r="B2842" s="5" t="s">
        <v>9161</v>
      </c>
      <c r="C2842" s="5" t="s">
        <v>62</v>
      </c>
      <c r="D2842" s="5" t="s">
        <v>2852</v>
      </c>
      <c r="E2842" s="7" t="s">
        <v>11897</v>
      </c>
      <c r="F2842" s="5" t="s">
        <v>11837</v>
      </c>
      <c r="G2842" s="5" t="s">
        <v>11886</v>
      </c>
      <c r="H2842" s="5">
        <v>2001.0</v>
      </c>
      <c r="I2842" s="5">
        <v>0.0</v>
      </c>
      <c r="J2842" s="5">
        <v>0.0</v>
      </c>
      <c r="K2842" s="5">
        <v>1.0</v>
      </c>
      <c r="L2842" s="54"/>
      <c r="M2842" s="5" t="s">
        <v>11898</v>
      </c>
      <c r="N2842" s="53" t="s">
        <v>4521</v>
      </c>
      <c r="O2842">
        <v>48.208174</v>
      </c>
      <c r="P2842">
        <v>16.373819</v>
      </c>
      <c r="Q2842" s="5" t="s">
        <v>1410</v>
      </c>
      <c r="R2842" s="10">
        <f t="shared" si="10"/>
        <v>6</v>
      </c>
      <c r="S2842" s="5" t="s">
        <v>11899</v>
      </c>
      <c r="T2842" s="5"/>
      <c r="U2842" s="5" t="s">
        <v>9555</v>
      </c>
      <c r="V2842" s="5"/>
    </row>
    <row r="2843" ht="12.75" customHeight="1">
      <c r="A2843" s="5">
        <v>36206.0</v>
      </c>
      <c r="B2843" s="5" t="s">
        <v>2921</v>
      </c>
      <c r="C2843" s="5" t="s">
        <v>124</v>
      </c>
      <c r="D2843" s="5" t="s">
        <v>2852</v>
      </c>
      <c r="E2843" s="7" t="s">
        <v>11897</v>
      </c>
      <c r="F2843" s="5" t="s">
        <v>11837</v>
      </c>
      <c r="G2843" s="5" t="s">
        <v>11886</v>
      </c>
      <c r="H2843" s="5">
        <v>2001.0</v>
      </c>
      <c r="I2843" s="5">
        <v>0.0</v>
      </c>
      <c r="J2843" s="5">
        <v>0.0</v>
      </c>
      <c r="K2843" s="5">
        <v>1.0</v>
      </c>
      <c r="L2843" s="54"/>
      <c r="M2843" s="5" t="s">
        <v>11900</v>
      </c>
      <c r="N2843" s="53" t="s">
        <v>11695</v>
      </c>
      <c r="O2843">
        <v>51.155455</v>
      </c>
      <c r="P2843">
        <v>-0.165058</v>
      </c>
      <c r="Q2843" s="5" t="s">
        <v>1592</v>
      </c>
      <c r="R2843" s="10">
        <f t="shared" si="10"/>
        <v>6</v>
      </c>
      <c r="S2843" s="5" t="s">
        <v>11901</v>
      </c>
      <c r="T2843" s="5"/>
      <c r="U2843" s="5" t="s">
        <v>11902</v>
      </c>
      <c r="V2843" s="5"/>
    </row>
    <row r="2844" ht="12.75" customHeight="1">
      <c r="A2844" s="5">
        <v>36207.0</v>
      </c>
      <c r="B2844" s="5" t="s">
        <v>49</v>
      </c>
      <c r="C2844" s="52" t="s">
        <v>50</v>
      </c>
      <c r="D2844" s="5" t="s">
        <v>2614</v>
      </c>
      <c r="E2844" s="7" t="s">
        <v>11903</v>
      </c>
      <c r="F2844" s="5" t="s">
        <v>11837</v>
      </c>
      <c r="G2844" s="5" t="s">
        <v>11886</v>
      </c>
      <c r="H2844" s="5">
        <v>2001.0</v>
      </c>
      <c r="I2844" s="5">
        <v>0.0</v>
      </c>
      <c r="J2844" s="5">
        <v>0.0</v>
      </c>
      <c r="K2844" s="5">
        <v>2.0</v>
      </c>
      <c r="L2844" s="54"/>
      <c r="M2844" s="5" t="s">
        <v>11904</v>
      </c>
      <c r="N2844" s="53" t="s">
        <v>2680</v>
      </c>
      <c r="O2844">
        <v>36.018776</v>
      </c>
      <c r="P2844">
        <v>-5.600819</v>
      </c>
      <c r="Q2844" s="5" t="s">
        <v>761</v>
      </c>
      <c r="R2844" s="10">
        <f t="shared" si="10"/>
        <v>492</v>
      </c>
      <c r="S2844" s="5" t="s">
        <v>11905</v>
      </c>
      <c r="T2844" s="6" t="s">
        <v>72</v>
      </c>
      <c r="U2844" s="5" t="s">
        <v>2785</v>
      </c>
      <c r="V2844" s="5" t="s">
        <v>11906</v>
      </c>
    </row>
    <row r="2845" ht="12.75" customHeight="1">
      <c r="A2845" s="5">
        <v>36208.0</v>
      </c>
      <c r="B2845" s="5" t="s">
        <v>1076</v>
      </c>
      <c r="C2845" s="52" t="s">
        <v>50</v>
      </c>
      <c r="D2845" s="5" t="s">
        <v>2614</v>
      </c>
      <c r="E2845" s="7" t="s">
        <v>11907</v>
      </c>
      <c r="F2845" s="5" t="s">
        <v>11837</v>
      </c>
      <c r="G2845" s="5" t="s">
        <v>11886</v>
      </c>
      <c r="H2845" s="5">
        <v>2001.0</v>
      </c>
      <c r="I2845" s="5">
        <v>0.0</v>
      </c>
      <c r="J2845" s="5">
        <v>0.0</v>
      </c>
      <c r="K2845" s="5">
        <v>2.0</v>
      </c>
      <c r="L2845" s="54"/>
      <c r="M2845" s="5" t="s">
        <v>11908</v>
      </c>
      <c r="N2845" s="53" t="s">
        <v>3846</v>
      </c>
      <c r="O2845">
        <v>40.632728</v>
      </c>
      <c r="P2845">
        <v>17.941762</v>
      </c>
      <c r="Q2845" s="5" t="s">
        <v>1151</v>
      </c>
      <c r="R2845" s="10">
        <f t="shared" si="10"/>
        <v>72</v>
      </c>
      <c r="S2845" s="5" t="s">
        <v>11909</v>
      </c>
      <c r="T2845" s="6" t="s">
        <v>1963</v>
      </c>
      <c r="U2845" s="5" t="s">
        <v>2326</v>
      </c>
      <c r="V2845" s="5" t="s">
        <v>7579</v>
      </c>
    </row>
    <row r="2846" ht="12.75" customHeight="1">
      <c r="A2846" s="5">
        <v>36209.0</v>
      </c>
      <c r="B2846" s="5" t="s">
        <v>49</v>
      </c>
      <c r="C2846" s="52" t="s">
        <v>50</v>
      </c>
      <c r="D2846" s="5" t="s">
        <v>2614</v>
      </c>
      <c r="E2846" s="7" t="s">
        <v>11910</v>
      </c>
      <c r="F2846" s="5" t="s">
        <v>11837</v>
      </c>
      <c r="G2846" s="5" t="s">
        <v>11886</v>
      </c>
      <c r="H2846" s="5">
        <v>2001.0</v>
      </c>
      <c r="I2846" s="5">
        <v>0.0</v>
      </c>
      <c r="J2846" s="5">
        <v>0.0</v>
      </c>
      <c r="K2846" s="5">
        <v>30.0</v>
      </c>
      <c r="L2846" s="54"/>
      <c r="M2846" s="5" t="s">
        <v>11911</v>
      </c>
      <c r="N2846" s="53" t="s">
        <v>2680</v>
      </c>
      <c r="O2846">
        <v>36.018776</v>
      </c>
      <c r="P2846">
        <v>-5.600819</v>
      </c>
      <c r="Q2846" s="5" t="s">
        <v>761</v>
      </c>
      <c r="R2846" s="10">
        <f t="shared" si="10"/>
        <v>492</v>
      </c>
      <c r="S2846" s="5" t="s">
        <v>11912</v>
      </c>
      <c r="T2846" s="6" t="s">
        <v>72</v>
      </c>
      <c r="U2846" s="5" t="s">
        <v>2785</v>
      </c>
      <c r="V2846" s="5" t="s">
        <v>11913</v>
      </c>
    </row>
    <row r="2847" ht="12.75" customHeight="1">
      <c r="A2847" s="5">
        <v>36505.0</v>
      </c>
      <c r="B2847" s="5" t="s">
        <v>1761</v>
      </c>
      <c r="C2847" s="5" t="s">
        <v>124</v>
      </c>
      <c r="D2847" s="5"/>
      <c r="E2847" s="7" t="s">
        <v>11914</v>
      </c>
      <c r="F2847" s="5" t="s">
        <v>11837</v>
      </c>
      <c r="G2847" s="5" t="s">
        <v>11886</v>
      </c>
      <c r="H2847" s="5">
        <v>2001.0</v>
      </c>
      <c r="I2847" s="5">
        <v>0.0</v>
      </c>
      <c r="J2847" s="5">
        <v>0.0</v>
      </c>
      <c r="K2847" s="5">
        <v>1.0</v>
      </c>
      <c r="L2847" s="54"/>
      <c r="M2847" s="5" t="s">
        <v>11915</v>
      </c>
      <c r="N2847" s="53" t="s">
        <v>3909</v>
      </c>
      <c r="O2847">
        <v>50.95129</v>
      </c>
      <c r="P2847">
        <v>1.858686</v>
      </c>
      <c r="Q2847" s="5" t="s">
        <v>1551</v>
      </c>
      <c r="R2847" s="10">
        <f t="shared" si="10"/>
        <v>30</v>
      </c>
      <c r="S2847" s="5" t="s">
        <v>11916</v>
      </c>
      <c r="T2847" s="5"/>
      <c r="U2847" s="5" t="s">
        <v>2526</v>
      </c>
      <c r="V2847" s="5" t="s">
        <v>11830</v>
      </c>
    </row>
    <row r="2848" ht="12.75" customHeight="1">
      <c r="A2848" s="5">
        <v>36039.0</v>
      </c>
      <c r="B2848" s="5" t="s">
        <v>49</v>
      </c>
      <c r="C2848" s="52" t="s">
        <v>50</v>
      </c>
      <c r="D2848" s="5" t="s">
        <v>2852</v>
      </c>
      <c r="E2848" s="7" t="s">
        <v>11917</v>
      </c>
      <c r="F2848" s="5" t="s">
        <v>11918</v>
      </c>
      <c r="G2848" s="5" t="s">
        <v>11919</v>
      </c>
      <c r="H2848" s="5">
        <v>2001.0</v>
      </c>
      <c r="I2848" s="5">
        <v>0.0</v>
      </c>
      <c r="J2848" s="5">
        <v>0.0</v>
      </c>
      <c r="K2848" s="5">
        <v>4.0</v>
      </c>
      <c r="L2848" s="54"/>
      <c r="M2848" s="5" t="s">
        <v>11920</v>
      </c>
      <c r="N2848" s="53" t="s">
        <v>7081</v>
      </c>
      <c r="O2848">
        <v>32.427908</v>
      </c>
      <c r="P2848">
        <v>53.688046</v>
      </c>
      <c r="Q2848" s="5" t="s">
        <v>470</v>
      </c>
      <c r="R2848" s="10">
        <f t="shared" si="10"/>
        <v>95</v>
      </c>
      <c r="S2848" s="5" t="s">
        <v>11921</v>
      </c>
      <c r="T2848" s="5"/>
      <c r="U2848" s="5" t="s">
        <v>10799</v>
      </c>
      <c r="V2848" s="5"/>
    </row>
    <row r="2849" ht="12.75" customHeight="1">
      <c r="A2849" s="5">
        <v>36036.0</v>
      </c>
      <c r="B2849" s="5" t="s">
        <v>636</v>
      </c>
      <c r="C2849" s="52" t="s">
        <v>50</v>
      </c>
      <c r="D2849" s="5" t="s">
        <v>2852</v>
      </c>
      <c r="E2849" s="7" t="s">
        <v>11917</v>
      </c>
      <c r="F2849" s="5" t="s">
        <v>11918</v>
      </c>
      <c r="G2849" s="5" t="s">
        <v>11919</v>
      </c>
      <c r="H2849" s="5">
        <v>2001.0</v>
      </c>
      <c r="I2849" s="5">
        <v>0.0</v>
      </c>
      <c r="J2849" s="5">
        <v>0.0</v>
      </c>
      <c r="K2849" s="5">
        <v>19.0</v>
      </c>
      <c r="L2849" s="54"/>
      <c r="M2849" s="5" t="s">
        <v>11922</v>
      </c>
      <c r="N2849" s="53" t="s">
        <v>7081</v>
      </c>
      <c r="O2849">
        <v>32.427908</v>
      </c>
      <c r="P2849">
        <v>53.688046</v>
      </c>
      <c r="Q2849" s="5" t="s">
        <v>470</v>
      </c>
      <c r="R2849" s="10">
        <f t="shared" si="10"/>
        <v>95</v>
      </c>
      <c r="S2849" s="5" t="s">
        <v>11921</v>
      </c>
      <c r="T2849" s="5"/>
      <c r="U2849" s="5" t="s">
        <v>11923</v>
      </c>
      <c r="V2849" s="5"/>
    </row>
    <row r="2850" ht="12.75" customHeight="1">
      <c r="A2850" s="5">
        <v>36034.0</v>
      </c>
      <c r="B2850" s="5" t="s">
        <v>68</v>
      </c>
      <c r="C2850" s="5" t="s">
        <v>69</v>
      </c>
      <c r="D2850" s="5" t="s">
        <v>2614</v>
      </c>
      <c r="E2850" s="7" t="s">
        <v>11917</v>
      </c>
      <c r="F2850" s="5" t="s">
        <v>11918</v>
      </c>
      <c r="G2850" s="5" t="s">
        <v>11919</v>
      </c>
      <c r="H2850" s="5">
        <v>2001.0</v>
      </c>
      <c r="I2850" s="5">
        <v>0.0</v>
      </c>
      <c r="J2850" s="5">
        <v>0.0</v>
      </c>
      <c r="K2850" s="5">
        <v>30.0</v>
      </c>
      <c r="L2850" s="54"/>
      <c r="M2850" s="5" t="s">
        <v>11924</v>
      </c>
      <c r="N2850" s="53" t="s">
        <v>7081</v>
      </c>
      <c r="O2850">
        <v>32.427908</v>
      </c>
      <c r="P2850">
        <v>53.688046</v>
      </c>
      <c r="Q2850" s="5" t="s">
        <v>470</v>
      </c>
      <c r="R2850" s="10">
        <f t="shared" si="10"/>
        <v>95</v>
      </c>
      <c r="S2850" s="5" t="s">
        <v>11921</v>
      </c>
      <c r="T2850" s="5"/>
      <c r="U2850" s="5" t="s">
        <v>11925</v>
      </c>
      <c r="V2850" s="5" t="s">
        <v>11926</v>
      </c>
    </row>
    <row r="2851" ht="12.75" customHeight="1">
      <c r="A2851" s="5">
        <v>36037.0</v>
      </c>
      <c r="B2851" s="5" t="s">
        <v>49</v>
      </c>
      <c r="C2851" s="52" t="s">
        <v>50</v>
      </c>
      <c r="D2851" s="5" t="s">
        <v>2852</v>
      </c>
      <c r="E2851" s="7" t="s">
        <v>11917</v>
      </c>
      <c r="F2851" s="5" t="s">
        <v>11918</v>
      </c>
      <c r="G2851" s="5" t="s">
        <v>11919</v>
      </c>
      <c r="H2851" s="5">
        <v>2001.0</v>
      </c>
      <c r="I2851" s="5">
        <v>0.0</v>
      </c>
      <c r="J2851" s="5">
        <v>0.0</v>
      </c>
      <c r="K2851" s="5">
        <v>4.0</v>
      </c>
      <c r="L2851" s="54"/>
      <c r="M2851" s="5" t="s">
        <v>11927</v>
      </c>
      <c r="N2851" s="53" t="s">
        <v>4760</v>
      </c>
      <c r="O2851">
        <v>38.77474</v>
      </c>
      <c r="P2851">
        <v>0.08519</v>
      </c>
      <c r="Q2851" s="5" t="s">
        <v>1035</v>
      </c>
      <c r="R2851" s="10">
        <f t="shared" si="10"/>
        <v>52</v>
      </c>
      <c r="S2851" s="5" t="s">
        <v>11928</v>
      </c>
      <c r="T2851" s="6" t="s">
        <v>72</v>
      </c>
      <c r="U2851" s="5" t="s">
        <v>10858</v>
      </c>
      <c r="V2851" s="5"/>
    </row>
    <row r="2852" ht="12.75" customHeight="1">
      <c r="A2852" s="5">
        <v>36035.0</v>
      </c>
      <c r="B2852" s="5" t="s">
        <v>636</v>
      </c>
      <c r="C2852" s="52" t="s">
        <v>50</v>
      </c>
      <c r="D2852" s="5" t="s">
        <v>2614</v>
      </c>
      <c r="E2852" s="7" t="s">
        <v>11917</v>
      </c>
      <c r="F2852" s="5" t="s">
        <v>11918</v>
      </c>
      <c r="G2852" s="5" t="s">
        <v>11919</v>
      </c>
      <c r="H2852" s="5">
        <v>2001.0</v>
      </c>
      <c r="I2852" s="5">
        <v>0.0</v>
      </c>
      <c r="J2852" s="5">
        <v>0.0</v>
      </c>
      <c r="K2852" s="5">
        <v>1.0</v>
      </c>
      <c r="L2852" s="54"/>
      <c r="M2852" s="5" t="s">
        <v>11929</v>
      </c>
      <c r="N2852" s="53" t="s">
        <v>10843</v>
      </c>
      <c r="O2852">
        <v>41.681808</v>
      </c>
      <c r="P2852">
        <v>26.562269</v>
      </c>
      <c r="Q2852" s="5" t="s">
        <v>1234</v>
      </c>
      <c r="R2852" s="10">
        <f t="shared" si="10"/>
        <v>2</v>
      </c>
      <c r="S2852" s="5" t="s">
        <v>11930</v>
      </c>
      <c r="T2852" s="6" t="s">
        <v>53</v>
      </c>
      <c r="U2852" s="5" t="s">
        <v>10954</v>
      </c>
      <c r="V2852" s="5" t="s">
        <v>10800</v>
      </c>
    </row>
    <row r="2853" ht="12.75" customHeight="1">
      <c r="A2853" s="5">
        <v>36038.0</v>
      </c>
      <c r="B2853" s="5" t="s">
        <v>49</v>
      </c>
      <c r="C2853" s="52" t="s">
        <v>50</v>
      </c>
      <c r="D2853" s="5" t="s">
        <v>2852</v>
      </c>
      <c r="E2853" s="7" t="s">
        <v>11917</v>
      </c>
      <c r="F2853" s="5" t="s">
        <v>11918</v>
      </c>
      <c r="G2853" s="5" t="s">
        <v>11919</v>
      </c>
      <c r="H2853" s="5">
        <v>2001.0</v>
      </c>
      <c r="I2853" s="5">
        <v>0.0</v>
      </c>
      <c r="J2853" s="5">
        <v>0.0</v>
      </c>
      <c r="K2853" s="5">
        <v>1.0</v>
      </c>
      <c r="L2853" s="54"/>
      <c r="M2853" s="5" t="s">
        <v>11931</v>
      </c>
      <c r="N2853" s="53" t="s">
        <v>11932</v>
      </c>
      <c r="O2853">
        <v>48.60192</v>
      </c>
      <c r="P2853">
        <v>17.666016</v>
      </c>
      <c r="Q2853" s="5" t="s">
        <v>1425</v>
      </c>
      <c r="R2853" s="10">
        <f t="shared" si="10"/>
        <v>1</v>
      </c>
      <c r="S2853" s="5" t="s">
        <v>11933</v>
      </c>
      <c r="T2853" s="5"/>
      <c r="U2853" s="5" t="s">
        <v>11934</v>
      </c>
      <c r="V2853" s="5"/>
    </row>
    <row r="2854" ht="12.75" customHeight="1">
      <c r="A2854" s="5">
        <v>36040.0</v>
      </c>
      <c r="B2854" s="5" t="s">
        <v>1105</v>
      </c>
      <c r="C2854" s="5" t="s">
        <v>75</v>
      </c>
      <c r="D2854" s="5" t="s">
        <v>2852</v>
      </c>
      <c r="E2854" s="7" t="s">
        <v>11917</v>
      </c>
      <c r="F2854" s="5" t="s">
        <v>11918</v>
      </c>
      <c r="G2854" s="5" t="s">
        <v>11919</v>
      </c>
      <c r="H2854" s="5">
        <v>2001.0</v>
      </c>
      <c r="I2854" s="5">
        <v>0.0</v>
      </c>
      <c r="J2854" s="5">
        <v>0.0</v>
      </c>
      <c r="K2854" s="5">
        <v>1.0</v>
      </c>
      <c r="L2854" s="54"/>
      <c r="M2854" s="5" t="s">
        <v>11935</v>
      </c>
      <c r="N2854" s="53" t="s">
        <v>4838</v>
      </c>
      <c r="O2854">
        <v>52.355518</v>
      </c>
      <c r="P2854">
        <v>-1.17432</v>
      </c>
      <c r="Q2854" s="5" t="s">
        <v>1746</v>
      </c>
      <c r="R2854" s="10">
        <f t="shared" si="10"/>
        <v>6</v>
      </c>
      <c r="S2854" s="5" t="s">
        <v>11936</v>
      </c>
      <c r="T2854" s="5"/>
      <c r="U2854" s="5" t="s">
        <v>3219</v>
      </c>
      <c r="V2854" s="5" t="s">
        <v>11937</v>
      </c>
    </row>
    <row r="2855" ht="12.75" customHeight="1">
      <c r="A2855" s="5">
        <v>36041.0</v>
      </c>
      <c r="B2855" s="5" t="s">
        <v>2896</v>
      </c>
      <c r="C2855" s="5" t="s">
        <v>211</v>
      </c>
      <c r="D2855" s="5" t="s">
        <v>2852</v>
      </c>
      <c r="E2855" s="7" t="s">
        <v>11917</v>
      </c>
      <c r="F2855" s="5" t="s">
        <v>11918</v>
      </c>
      <c r="G2855" s="5" t="s">
        <v>11919</v>
      </c>
      <c r="H2855" s="5">
        <v>2001.0</v>
      </c>
      <c r="I2855" s="5">
        <v>0.0</v>
      </c>
      <c r="J2855" s="5">
        <v>0.0</v>
      </c>
      <c r="K2855" s="5">
        <v>1.0</v>
      </c>
      <c r="L2855" s="54"/>
      <c r="M2855" s="5" t="s">
        <v>11938</v>
      </c>
      <c r="N2855" s="53" t="s">
        <v>11939</v>
      </c>
      <c r="O2855">
        <v>54.977732</v>
      </c>
      <c r="P2855">
        <v>-1.604519</v>
      </c>
      <c r="Q2855" s="5" t="s">
        <v>1873</v>
      </c>
      <c r="R2855" s="10">
        <f t="shared" si="10"/>
        <v>1</v>
      </c>
      <c r="S2855" s="5" t="s">
        <v>11940</v>
      </c>
      <c r="T2855" s="5"/>
      <c r="U2855" s="5" t="s">
        <v>11941</v>
      </c>
      <c r="V2855" s="5"/>
    </row>
    <row r="2856" ht="12.75" customHeight="1">
      <c r="A2856" s="5">
        <v>36042.0</v>
      </c>
      <c r="B2856" s="5" t="s">
        <v>49</v>
      </c>
      <c r="C2856" s="52" t="s">
        <v>50</v>
      </c>
      <c r="D2856" s="5" t="s">
        <v>2852</v>
      </c>
      <c r="E2856" s="7" t="s">
        <v>11942</v>
      </c>
      <c r="F2856" s="5" t="s">
        <v>11918</v>
      </c>
      <c r="G2856" s="5" t="s">
        <v>11919</v>
      </c>
      <c r="H2856" s="5">
        <v>2001.0</v>
      </c>
      <c r="I2856" s="5">
        <v>0.0</v>
      </c>
      <c r="J2856" s="5">
        <v>0.0</v>
      </c>
      <c r="K2856" s="5">
        <v>1.0</v>
      </c>
      <c r="L2856" s="54"/>
      <c r="M2856" s="5" t="s">
        <v>11943</v>
      </c>
      <c r="N2856" s="53" t="s">
        <v>2638</v>
      </c>
      <c r="O2856">
        <v>35.888384</v>
      </c>
      <c r="P2856">
        <v>-5.324636</v>
      </c>
      <c r="Q2856" s="5" t="s">
        <v>717</v>
      </c>
      <c r="R2856" s="10">
        <f t="shared" si="10"/>
        <v>213</v>
      </c>
      <c r="S2856" s="5" t="s">
        <v>11944</v>
      </c>
      <c r="T2856" s="6" t="s">
        <v>72</v>
      </c>
      <c r="U2856" s="5" t="s">
        <v>3128</v>
      </c>
      <c r="V2856" s="5" t="s">
        <v>11945</v>
      </c>
    </row>
    <row r="2857" ht="12.75" customHeight="1">
      <c r="A2857" s="5">
        <v>36044.0</v>
      </c>
      <c r="B2857" s="5" t="s">
        <v>2921</v>
      </c>
      <c r="C2857" s="5" t="s">
        <v>124</v>
      </c>
      <c r="D2857" s="5" t="s">
        <v>2614</v>
      </c>
      <c r="E2857" s="7" t="s">
        <v>11946</v>
      </c>
      <c r="F2857" s="5" t="s">
        <v>11918</v>
      </c>
      <c r="G2857" s="5" t="s">
        <v>11919</v>
      </c>
      <c r="H2857" s="5">
        <v>2001.0</v>
      </c>
      <c r="I2857" s="5">
        <v>0.0</v>
      </c>
      <c r="J2857" s="5">
        <v>0.0</v>
      </c>
      <c r="K2857" s="5">
        <v>2.0</v>
      </c>
      <c r="L2857" s="54"/>
      <c r="M2857" s="5" t="s">
        <v>11947</v>
      </c>
      <c r="N2857" s="53" t="s">
        <v>11695</v>
      </c>
      <c r="O2857">
        <v>51.155455</v>
      </c>
      <c r="P2857">
        <v>-0.165058</v>
      </c>
      <c r="Q2857" s="5" t="s">
        <v>1592</v>
      </c>
      <c r="R2857" s="10">
        <f t="shared" si="10"/>
        <v>6</v>
      </c>
      <c r="S2857" s="5" t="s">
        <v>11948</v>
      </c>
      <c r="T2857" s="5"/>
      <c r="U2857" s="5" t="s">
        <v>6524</v>
      </c>
      <c r="V2857" s="5" t="s">
        <v>11949</v>
      </c>
    </row>
    <row r="2858" ht="12.75" customHeight="1">
      <c r="A2858" s="5">
        <v>36043.0</v>
      </c>
      <c r="B2858" s="5" t="s">
        <v>636</v>
      </c>
      <c r="C2858" s="52" t="s">
        <v>50</v>
      </c>
      <c r="D2858" s="5" t="s">
        <v>2614</v>
      </c>
      <c r="E2858" s="7" t="s">
        <v>11946</v>
      </c>
      <c r="F2858" s="5" t="s">
        <v>11918</v>
      </c>
      <c r="G2858" s="5" t="s">
        <v>11919</v>
      </c>
      <c r="H2858" s="5">
        <v>2001.0</v>
      </c>
      <c r="I2858" s="5">
        <v>0.0</v>
      </c>
      <c r="J2858" s="5">
        <v>0.0</v>
      </c>
      <c r="K2858" s="5">
        <v>1.0</v>
      </c>
      <c r="L2858" s="54"/>
      <c r="M2858" s="5" t="s">
        <v>11950</v>
      </c>
      <c r="N2858" s="53" t="s">
        <v>3810</v>
      </c>
      <c r="O2858">
        <v>55.57156</v>
      </c>
      <c r="P2858">
        <v>-4.410332</v>
      </c>
      <c r="Q2858" s="5" t="s">
        <v>1888</v>
      </c>
      <c r="R2858" s="10">
        <f t="shared" si="10"/>
        <v>11</v>
      </c>
      <c r="S2858" s="5" t="s">
        <v>11951</v>
      </c>
      <c r="T2858" s="5"/>
      <c r="U2858" s="5" t="s">
        <v>2270</v>
      </c>
      <c r="V2858" s="5" t="s">
        <v>11952</v>
      </c>
    </row>
    <row r="2859" ht="12.75" customHeight="1">
      <c r="A2859" s="5">
        <v>36045.0</v>
      </c>
      <c r="B2859" s="5" t="s">
        <v>5200</v>
      </c>
      <c r="C2859" s="5" t="s">
        <v>124</v>
      </c>
      <c r="D2859" s="5" t="s">
        <v>2852</v>
      </c>
      <c r="E2859" s="7" t="s">
        <v>11953</v>
      </c>
      <c r="F2859" s="5" t="s">
        <v>11918</v>
      </c>
      <c r="G2859" s="5" t="s">
        <v>11919</v>
      </c>
      <c r="H2859" s="5">
        <v>2001.0</v>
      </c>
      <c r="I2859" s="5">
        <v>0.0</v>
      </c>
      <c r="J2859" s="5">
        <v>0.0</v>
      </c>
      <c r="K2859" s="5">
        <v>4.0</v>
      </c>
      <c r="L2859" s="54"/>
      <c r="M2859" s="5" t="s">
        <v>11954</v>
      </c>
      <c r="N2859" s="53" t="s">
        <v>11506</v>
      </c>
      <c r="O2859">
        <v>40.962655</v>
      </c>
      <c r="P2859">
        <v>26.330751</v>
      </c>
      <c r="Q2859" s="5" t="s">
        <v>1179</v>
      </c>
      <c r="R2859" s="10">
        <f t="shared" si="10"/>
        <v>5</v>
      </c>
      <c r="S2859" s="5" t="s">
        <v>11955</v>
      </c>
      <c r="T2859" s="5"/>
      <c r="U2859" s="5" t="s">
        <v>11207</v>
      </c>
      <c r="V2859" s="5" t="s">
        <v>11508</v>
      </c>
    </row>
    <row r="2860" ht="12.75" customHeight="1">
      <c r="A2860" s="5">
        <v>36046.0</v>
      </c>
      <c r="B2860" s="5" t="s">
        <v>49</v>
      </c>
      <c r="C2860" s="52" t="s">
        <v>50</v>
      </c>
      <c r="D2860" s="5" t="s">
        <v>2852</v>
      </c>
      <c r="E2860" s="7" t="s">
        <v>11956</v>
      </c>
      <c r="F2860" s="5" t="s">
        <v>11918</v>
      </c>
      <c r="G2860" s="5" t="s">
        <v>11919</v>
      </c>
      <c r="H2860" s="5">
        <v>2001.0</v>
      </c>
      <c r="I2860" s="5">
        <v>0.0</v>
      </c>
      <c r="J2860" s="5">
        <v>0.0</v>
      </c>
      <c r="K2860" s="5">
        <v>4.0</v>
      </c>
      <c r="L2860" s="54"/>
      <c r="M2860" s="5" t="s">
        <v>11957</v>
      </c>
      <c r="N2860" s="53" t="s">
        <v>5814</v>
      </c>
      <c r="O2860">
        <v>28.358744</v>
      </c>
      <c r="P2860">
        <v>-14.053676</v>
      </c>
      <c r="Q2860" s="5" t="s">
        <v>390</v>
      </c>
      <c r="R2860" s="10">
        <f t="shared" si="10"/>
        <v>488</v>
      </c>
      <c r="S2860" s="5" t="s">
        <v>11958</v>
      </c>
      <c r="T2860" s="5" t="s">
        <v>1040</v>
      </c>
      <c r="U2860" s="5" t="s">
        <v>9777</v>
      </c>
      <c r="V2860" s="5" t="s">
        <v>11959</v>
      </c>
    </row>
    <row r="2861" ht="12.75" customHeight="1">
      <c r="A2861" s="5">
        <v>36048.0</v>
      </c>
      <c r="B2861" s="5" t="s">
        <v>68</v>
      </c>
      <c r="C2861" s="5" t="s">
        <v>69</v>
      </c>
      <c r="D2861" s="5" t="s">
        <v>2852</v>
      </c>
      <c r="E2861" s="7" t="s">
        <v>11960</v>
      </c>
      <c r="F2861" s="5" t="s">
        <v>11918</v>
      </c>
      <c r="G2861" s="5" t="s">
        <v>11919</v>
      </c>
      <c r="H2861" s="5">
        <v>2001.0</v>
      </c>
      <c r="I2861" s="5">
        <v>0.0</v>
      </c>
      <c r="J2861" s="5">
        <v>0.0</v>
      </c>
      <c r="K2861" s="5">
        <v>1.0</v>
      </c>
      <c r="L2861" s="54"/>
      <c r="M2861" s="5" t="s">
        <v>11961</v>
      </c>
      <c r="N2861" s="53" t="s">
        <v>10134</v>
      </c>
      <c r="O2861">
        <v>40.463667</v>
      </c>
      <c r="P2861">
        <v>-3.74922</v>
      </c>
      <c r="Q2861" s="5" t="s">
        <v>1142</v>
      </c>
      <c r="R2861" s="10">
        <f t="shared" si="10"/>
        <v>6</v>
      </c>
      <c r="S2861" s="5" t="s">
        <v>11962</v>
      </c>
      <c r="T2861" s="6" t="s">
        <v>72</v>
      </c>
      <c r="U2861" s="5" t="s">
        <v>9274</v>
      </c>
      <c r="V2861" s="5"/>
    </row>
    <row r="2862" ht="12.75" customHeight="1">
      <c r="A2862" s="5">
        <v>36047.0</v>
      </c>
      <c r="B2862" s="5" t="s">
        <v>1076</v>
      </c>
      <c r="C2862" s="52" t="s">
        <v>50</v>
      </c>
      <c r="D2862" s="5" t="s">
        <v>2614</v>
      </c>
      <c r="E2862" s="7" t="s">
        <v>11960</v>
      </c>
      <c r="F2862" s="5" t="s">
        <v>11918</v>
      </c>
      <c r="G2862" s="5" t="s">
        <v>11919</v>
      </c>
      <c r="H2862" s="5">
        <v>2001.0</v>
      </c>
      <c r="I2862" s="5">
        <v>0.0</v>
      </c>
      <c r="J2862" s="5">
        <v>0.0</v>
      </c>
      <c r="K2862" s="5">
        <v>4.0</v>
      </c>
      <c r="L2862" s="54"/>
      <c r="M2862" s="5" t="s">
        <v>11963</v>
      </c>
      <c r="N2862" s="53" t="s">
        <v>9412</v>
      </c>
      <c r="O2862">
        <v>43.548473</v>
      </c>
      <c r="P2862">
        <v>10.310567</v>
      </c>
      <c r="Q2862" s="5" t="s">
        <v>1281</v>
      </c>
      <c r="R2862" s="10">
        <f t="shared" si="10"/>
        <v>15</v>
      </c>
      <c r="S2862" s="5" t="s">
        <v>11964</v>
      </c>
      <c r="T2862" s="5"/>
      <c r="U2862" s="5" t="s">
        <v>8502</v>
      </c>
      <c r="V2862" s="5" t="s">
        <v>9369</v>
      </c>
    </row>
    <row r="2863" ht="12.75" customHeight="1">
      <c r="A2863" s="5">
        <v>36049.0</v>
      </c>
      <c r="B2863" s="5" t="s">
        <v>68</v>
      </c>
      <c r="C2863" s="5" t="s">
        <v>69</v>
      </c>
      <c r="D2863" s="5" t="s">
        <v>2614</v>
      </c>
      <c r="E2863" s="7" t="s">
        <v>11965</v>
      </c>
      <c r="F2863" s="5" t="s">
        <v>11918</v>
      </c>
      <c r="G2863" s="5" t="s">
        <v>11919</v>
      </c>
      <c r="H2863" s="5">
        <v>2001.0</v>
      </c>
      <c r="I2863" s="5">
        <v>0.0</v>
      </c>
      <c r="J2863" s="5">
        <v>0.0</v>
      </c>
      <c r="K2863" s="5">
        <v>7.0</v>
      </c>
      <c r="L2863" s="54"/>
      <c r="M2863" s="5" t="s">
        <v>11966</v>
      </c>
      <c r="N2863" s="53" t="s">
        <v>5814</v>
      </c>
      <c r="O2863">
        <v>28.358744</v>
      </c>
      <c r="P2863">
        <v>-14.053676</v>
      </c>
      <c r="Q2863" s="5" t="s">
        <v>390</v>
      </c>
      <c r="R2863" s="10">
        <f t="shared" si="10"/>
        <v>488</v>
      </c>
      <c r="S2863" s="5" t="s">
        <v>11967</v>
      </c>
      <c r="T2863" s="5" t="s">
        <v>1040</v>
      </c>
      <c r="U2863" s="5" t="s">
        <v>2785</v>
      </c>
      <c r="V2863" s="5" t="s">
        <v>11968</v>
      </c>
    </row>
    <row r="2864" ht="12.75" customHeight="1">
      <c r="A2864" s="5">
        <v>36051.0</v>
      </c>
      <c r="B2864" s="5" t="s">
        <v>49</v>
      </c>
      <c r="C2864" s="52" t="s">
        <v>50</v>
      </c>
      <c r="D2864" s="5" t="s">
        <v>2852</v>
      </c>
      <c r="E2864" s="7" t="s">
        <v>11969</v>
      </c>
      <c r="F2864" s="5" t="s">
        <v>11918</v>
      </c>
      <c r="G2864" s="5" t="s">
        <v>11919</v>
      </c>
      <c r="H2864" s="5">
        <v>2001.0</v>
      </c>
      <c r="I2864" s="5">
        <v>0.0</v>
      </c>
      <c r="J2864" s="5">
        <v>0.0</v>
      </c>
      <c r="K2864" s="5">
        <v>3.0</v>
      </c>
      <c r="L2864" s="54"/>
      <c r="M2864" s="5" t="s">
        <v>11970</v>
      </c>
      <c r="N2864" s="53" t="s">
        <v>11971</v>
      </c>
      <c r="O2864">
        <v>36.774063</v>
      </c>
      <c r="P2864">
        <v>-2.815304</v>
      </c>
      <c r="Q2864" s="5" t="s">
        <v>843</v>
      </c>
      <c r="R2864" s="10">
        <f t="shared" si="10"/>
        <v>4</v>
      </c>
      <c r="S2864" s="5" t="s">
        <v>11972</v>
      </c>
      <c r="T2864" s="6" t="s">
        <v>72</v>
      </c>
      <c r="U2864" s="5" t="s">
        <v>11554</v>
      </c>
      <c r="V2864" s="5"/>
    </row>
    <row r="2865" ht="12.75" customHeight="1">
      <c r="A2865" s="5">
        <v>36050.0</v>
      </c>
      <c r="B2865" s="5" t="s">
        <v>1076</v>
      </c>
      <c r="C2865" s="52" t="s">
        <v>50</v>
      </c>
      <c r="D2865" s="5" t="s">
        <v>2614</v>
      </c>
      <c r="E2865" s="7" t="s">
        <v>11969</v>
      </c>
      <c r="F2865" s="5" t="s">
        <v>11918</v>
      </c>
      <c r="G2865" s="5" t="s">
        <v>11919</v>
      </c>
      <c r="H2865" s="5">
        <v>2001.0</v>
      </c>
      <c r="I2865" s="5">
        <v>0.0</v>
      </c>
      <c r="J2865" s="5">
        <v>0.0</v>
      </c>
      <c r="K2865" s="5">
        <v>8.0</v>
      </c>
      <c r="L2865" s="54"/>
      <c r="M2865" s="5" t="s">
        <v>11973</v>
      </c>
      <c r="N2865" s="53" t="s">
        <v>11974</v>
      </c>
      <c r="O2865">
        <v>53.41291</v>
      </c>
      <c r="P2865">
        <v>-8.24389</v>
      </c>
      <c r="Q2865" s="5" t="s">
        <v>1832</v>
      </c>
      <c r="R2865" s="10">
        <f t="shared" si="10"/>
        <v>8</v>
      </c>
      <c r="S2865" s="5" t="s">
        <v>11975</v>
      </c>
      <c r="T2865" s="5"/>
      <c r="U2865" s="5" t="s">
        <v>8502</v>
      </c>
      <c r="V2865" s="5" t="s">
        <v>9369</v>
      </c>
    </row>
    <row r="2866" ht="12.75" customHeight="1">
      <c r="A2866" s="5">
        <v>36052.0</v>
      </c>
      <c r="B2866" s="5" t="s">
        <v>68</v>
      </c>
      <c r="C2866" s="5" t="s">
        <v>69</v>
      </c>
      <c r="D2866" s="5" t="s">
        <v>2614</v>
      </c>
      <c r="E2866" s="7" t="s">
        <v>11976</v>
      </c>
      <c r="F2866" s="5" t="s">
        <v>11918</v>
      </c>
      <c r="G2866" s="5" t="s">
        <v>11919</v>
      </c>
      <c r="H2866" s="5">
        <v>2001.0</v>
      </c>
      <c r="I2866" s="5">
        <v>0.0</v>
      </c>
      <c r="J2866" s="5">
        <v>0.0</v>
      </c>
      <c r="K2866" s="5">
        <v>3.0</v>
      </c>
      <c r="L2866" s="54"/>
      <c r="M2866" s="5" t="s">
        <v>11977</v>
      </c>
      <c r="N2866" s="53" t="s">
        <v>6562</v>
      </c>
      <c r="O2866">
        <v>38.32981</v>
      </c>
      <c r="P2866">
        <v>26.314921</v>
      </c>
      <c r="Q2866" s="5" t="s">
        <v>1015</v>
      </c>
      <c r="R2866" s="10">
        <f t="shared" si="10"/>
        <v>66</v>
      </c>
      <c r="S2866" s="5" t="s">
        <v>11978</v>
      </c>
      <c r="T2866" s="6" t="s">
        <v>53</v>
      </c>
      <c r="U2866" s="5" t="s">
        <v>3318</v>
      </c>
      <c r="V2866" s="5" t="s">
        <v>11979</v>
      </c>
    </row>
    <row r="2867" ht="12.75" customHeight="1">
      <c r="A2867" s="5">
        <v>36053.0</v>
      </c>
      <c r="B2867" s="5" t="s">
        <v>49</v>
      </c>
      <c r="C2867" s="52" t="s">
        <v>50</v>
      </c>
      <c r="D2867" s="5" t="s">
        <v>2852</v>
      </c>
      <c r="E2867" s="7" t="s">
        <v>11980</v>
      </c>
      <c r="F2867" s="5" t="s">
        <v>11918</v>
      </c>
      <c r="G2867" s="5" t="s">
        <v>11919</v>
      </c>
      <c r="H2867" s="5">
        <v>2001.0</v>
      </c>
      <c r="I2867" s="5">
        <v>0.0</v>
      </c>
      <c r="J2867" s="5">
        <v>0.0</v>
      </c>
      <c r="K2867" s="5">
        <v>1.0</v>
      </c>
      <c r="L2867" s="54"/>
      <c r="M2867" s="5" t="s">
        <v>11981</v>
      </c>
      <c r="N2867" s="53" t="s">
        <v>2680</v>
      </c>
      <c r="O2867">
        <v>36.018776</v>
      </c>
      <c r="P2867">
        <v>-5.600819</v>
      </c>
      <c r="Q2867" s="5" t="s">
        <v>761</v>
      </c>
      <c r="R2867" s="10">
        <f t="shared" si="10"/>
        <v>492</v>
      </c>
      <c r="S2867" s="5" t="s">
        <v>11982</v>
      </c>
      <c r="T2867" s="6" t="s">
        <v>72</v>
      </c>
      <c r="U2867" s="5" t="s">
        <v>11983</v>
      </c>
      <c r="V2867" s="5"/>
    </row>
    <row r="2868" ht="12.75" customHeight="1">
      <c r="A2868" s="5">
        <v>36054.0</v>
      </c>
      <c r="B2868" s="5" t="s">
        <v>68</v>
      </c>
      <c r="C2868" s="5" t="s">
        <v>69</v>
      </c>
      <c r="D2868" s="5" t="s">
        <v>2852</v>
      </c>
      <c r="E2868" s="7" t="s">
        <v>11984</v>
      </c>
      <c r="F2868" s="5" t="s">
        <v>11918</v>
      </c>
      <c r="G2868" s="5" t="s">
        <v>11919</v>
      </c>
      <c r="H2868" s="5">
        <v>2001.0</v>
      </c>
      <c r="I2868" s="5">
        <v>0.0</v>
      </c>
      <c r="J2868" s="5">
        <v>0.0</v>
      </c>
      <c r="K2868" s="5">
        <v>1.0</v>
      </c>
      <c r="L2868" s="54"/>
      <c r="M2868" s="5" t="s">
        <v>11985</v>
      </c>
      <c r="N2868" s="53" t="s">
        <v>2680</v>
      </c>
      <c r="O2868">
        <v>36.018776</v>
      </c>
      <c r="P2868">
        <v>-5.600819</v>
      </c>
      <c r="Q2868" s="5" t="s">
        <v>761</v>
      </c>
      <c r="R2868" s="10">
        <f t="shared" si="10"/>
        <v>492</v>
      </c>
      <c r="S2868" s="5" t="s">
        <v>11986</v>
      </c>
      <c r="T2868" s="6" t="s">
        <v>72</v>
      </c>
      <c r="U2868" s="5" t="s">
        <v>11558</v>
      </c>
      <c r="V2868" s="5"/>
    </row>
    <row r="2869" ht="12.75" customHeight="1">
      <c r="A2869" s="5">
        <v>36055.0</v>
      </c>
      <c r="B2869" s="5" t="s">
        <v>1105</v>
      </c>
      <c r="C2869" s="5" t="s">
        <v>75</v>
      </c>
      <c r="D2869" s="5" t="s">
        <v>2852</v>
      </c>
      <c r="E2869" s="7" t="s">
        <v>11987</v>
      </c>
      <c r="F2869" s="5" t="s">
        <v>11918</v>
      </c>
      <c r="G2869" s="5" t="s">
        <v>11919</v>
      </c>
      <c r="H2869" s="5">
        <v>2001.0</v>
      </c>
      <c r="I2869" s="5">
        <v>0.0</v>
      </c>
      <c r="J2869" s="5">
        <v>0.0</v>
      </c>
      <c r="K2869" s="5">
        <v>1.0</v>
      </c>
      <c r="L2869" s="54"/>
      <c r="M2869" s="5" t="s">
        <v>11988</v>
      </c>
      <c r="N2869" s="53" t="s">
        <v>3909</v>
      </c>
      <c r="O2869">
        <v>50.95129</v>
      </c>
      <c r="P2869">
        <v>1.858686</v>
      </c>
      <c r="Q2869" s="5" t="s">
        <v>1551</v>
      </c>
      <c r="R2869" s="10">
        <f t="shared" si="10"/>
        <v>30</v>
      </c>
      <c r="S2869" s="5" t="s">
        <v>11989</v>
      </c>
      <c r="T2869" s="5"/>
      <c r="U2869" s="5" t="s">
        <v>3128</v>
      </c>
      <c r="V2869" s="5"/>
    </row>
    <row r="2870" ht="12.75" customHeight="1">
      <c r="A2870" s="5">
        <v>36056.0</v>
      </c>
      <c r="B2870" s="5" t="s">
        <v>68</v>
      </c>
      <c r="C2870" s="5" t="s">
        <v>69</v>
      </c>
      <c r="D2870" s="5" t="s">
        <v>2614</v>
      </c>
      <c r="E2870" s="7" t="s">
        <v>11990</v>
      </c>
      <c r="F2870" s="5" t="s">
        <v>11918</v>
      </c>
      <c r="G2870" s="5" t="s">
        <v>11919</v>
      </c>
      <c r="H2870" s="5">
        <v>2001.0</v>
      </c>
      <c r="I2870" s="5">
        <v>0.0</v>
      </c>
      <c r="J2870" s="5">
        <v>0.0</v>
      </c>
      <c r="K2870" s="5">
        <v>6.0</v>
      </c>
      <c r="L2870" s="54"/>
      <c r="M2870" s="5" t="s">
        <v>11991</v>
      </c>
      <c r="N2870" s="53" t="s">
        <v>11992</v>
      </c>
      <c r="O2870">
        <v>39.16408</v>
      </c>
      <c r="P2870">
        <v>26.372171</v>
      </c>
      <c r="Q2870" s="5" t="s">
        <v>1068</v>
      </c>
      <c r="R2870" s="10">
        <f t="shared" si="10"/>
        <v>101</v>
      </c>
      <c r="S2870" s="5" t="s">
        <v>11993</v>
      </c>
      <c r="T2870" s="6" t="s">
        <v>53</v>
      </c>
      <c r="U2870" s="5" t="s">
        <v>3318</v>
      </c>
      <c r="V2870" s="5" t="s">
        <v>11994</v>
      </c>
    </row>
    <row r="2871" ht="12.75" customHeight="1">
      <c r="A2871" s="5">
        <v>36057.0</v>
      </c>
      <c r="B2871" s="5" t="s">
        <v>1161</v>
      </c>
      <c r="C2871" s="5" t="s">
        <v>124</v>
      </c>
      <c r="D2871" s="5" t="s">
        <v>2852</v>
      </c>
      <c r="E2871" s="7" t="s">
        <v>11995</v>
      </c>
      <c r="F2871" s="5" t="s">
        <v>11918</v>
      </c>
      <c r="G2871" s="5" t="s">
        <v>11996</v>
      </c>
      <c r="H2871" s="5">
        <v>2001.0</v>
      </c>
      <c r="I2871" s="5">
        <v>0.0</v>
      </c>
      <c r="J2871" s="5">
        <v>0.0</v>
      </c>
      <c r="K2871" s="5">
        <v>1.0</v>
      </c>
      <c r="L2871" s="54"/>
      <c r="M2871" s="5" t="s">
        <v>11997</v>
      </c>
      <c r="N2871" s="53" t="s">
        <v>11998</v>
      </c>
      <c r="O2871">
        <v>51.187666</v>
      </c>
      <c r="P2871">
        <v>10.039773</v>
      </c>
      <c r="Q2871" s="5" t="s">
        <v>1609</v>
      </c>
      <c r="R2871" s="10">
        <f t="shared" si="10"/>
        <v>1</v>
      </c>
      <c r="S2871" s="5" t="s">
        <v>11999</v>
      </c>
      <c r="T2871" s="5"/>
      <c r="U2871" s="5" t="s">
        <v>4578</v>
      </c>
      <c r="V2871" s="5"/>
    </row>
    <row r="2872" ht="12.75" customHeight="1">
      <c r="A2872" s="5">
        <v>36058.0</v>
      </c>
      <c r="B2872" s="5" t="s">
        <v>49</v>
      </c>
      <c r="C2872" s="52" t="s">
        <v>50</v>
      </c>
      <c r="D2872" s="5" t="s">
        <v>2852</v>
      </c>
      <c r="E2872" s="7" t="s">
        <v>12000</v>
      </c>
      <c r="F2872" s="5" t="s">
        <v>11918</v>
      </c>
      <c r="G2872" s="5" t="s">
        <v>11996</v>
      </c>
      <c r="H2872" s="5">
        <v>2001.0</v>
      </c>
      <c r="I2872" s="5">
        <v>0.0</v>
      </c>
      <c r="J2872" s="5">
        <v>0.0</v>
      </c>
      <c r="K2872" s="5">
        <v>1.0</v>
      </c>
      <c r="L2872" s="54"/>
      <c r="M2872" s="5" t="s">
        <v>12001</v>
      </c>
      <c r="N2872" s="53" t="s">
        <v>5814</v>
      </c>
      <c r="O2872">
        <v>28.358744</v>
      </c>
      <c r="P2872">
        <v>-14.053676</v>
      </c>
      <c r="Q2872" s="5" t="s">
        <v>390</v>
      </c>
      <c r="R2872" s="10">
        <f t="shared" si="10"/>
        <v>488</v>
      </c>
      <c r="S2872" s="5" t="s">
        <v>12002</v>
      </c>
      <c r="T2872" s="5" t="s">
        <v>1040</v>
      </c>
      <c r="U2872" s="5" t="s">
        <v>9274</v>
      </c>
      <c r="V2872" s="5" t="s">
        <v>12003</v>
      </c>
    </row>
    <row r="2873" ht="12.75" customHeight="1">
      <c r="A2873" s="5">
        <v>36060.0</v>
      </c>
      <c r="B2873" s="5" t="s">
        <v>49</v>
      </c>
      <c r="C2873" s="52" t="s">
        <v>50</v>
      </c>
      <c r="D2873" s="5" t="s">
        <v>2852</v>
      </c>
      <c r="E2873" s="7" t="s">
        <v>12004</v>
      </c>
      <c r="F2873" s="5" t="s">
        <v>11918</v>
      </c>
      <c r="G2873" s="5" t="s">
        <v>11996</v>
      </c>
      <c r="H2873" s="5">
        <v>2001.0</v>
      </c>
      <c r="I2873" s="5">
        <v>0.0</v>
      </c>
      <c r="J2873" s="5">
        <v>0.0</v>
      </c>
      <c r="K2873" s="5">
        <v>1.0</v>
      </c>
      <c r="L2873" s="54"/>
      <c r="M2873" s="5" t="s">
        <v>12005</v>
      </c>
      <c r="N2873" s="53" t="s">
        <v>2638</v>
      </c>
      <c r="O2873">
        <v>35.888384</v>
      </c>
      <c r="P2873">
        <v>-5.324636</v>
      </c>
      <c r="Q2873" s="5" t="s">
        <v>717</v>
      </c>
      <c r="R2873" s="10">
        <f t="shared" si="10"/>
        <v>213</v>
      </c>
      <c r="S2873" s="5" t="s">
        <v>12006</v>
      </c>
      <c r="T2873" s="6" t="s">
        <v>72</v>
      </c>
      <c r="U2873" s="5" t="s">
        <v>9274</v>
      </c>
      <c r="V2873" s="5"/>
    </row>
    <row r="2874" ht="12.75" customHeight="1">
      <c r="A2874" s="5">
        <v>36061.0</v>
      </c>
      <c r="B2874" s="5" t="s">
        <v>1773</v>
      </c>
      <c r="C2874" s="5" t="s">
        <v>124</v>
      </c>
      <c r="D2874" s="5" t="s">
        <v>2852</v>
      </c>
      <c r="E2874" s="7" t="s">
        <v>12004</v>
      </c>
      <c r="F2874" s="5" t="s">
        <v>11918</v>
      </c>
      <c r="G2874" s="5" t="s">
        <v>11996</v>
      </c>
      <c r="H2874" s="5">
        <v>2001.0</v>
      </c>
      <c r="I2874" s="5">
        <v>0.0</v>
      </c>
      <c r="J2874" s="5">
        <v>0.0</v>
      </c>
      <c r="K2874" s="5">
        <v>1.0</v>
      </c>
      <c r="L2874" s="54"/>
      <c r="M2874" s="5" t="s">
        <v>12007</v>
      </c>
      <c r="N2874" s="53" t="s">
        <v>5086</v>
      </c>
      <c r="O2874">
        <v>51.511214</v>
      </c>
      <c r="P2874">
        <v>-0.119824</v>
      </c>
      <c r="Q2874" s="5" t="s">
        <v>1662</v>
      </c>
      <c r="R2874" s="10">
        <f t="shared" si="10"/>
        <v>9</v>
      </c>
      <c r="S2874" s="5" t="s">
        <v>12008</v>
      </c>
      <c r="T2874" s="5"/>
      <c r="U2874" s="5" t="s">
        <v>12009</v>
      </c>
      <c r="V2874" s="5"/>
    </row>
    <row r="2875" ht="12.75" customHeight="1">
      <c r="A2875" s="5">
        <v>36062.0</v>
      </c>
      <c r="B2875" s="5" t="s">
        <v>636</v>
      </c>
      <c r="C2875" s="52" t="s">
        <v>50</v>
      </c>
      <c r="D2875" s="5" t="s">
        <v>2852</v>
      </c>
      <c r="E2875" s="7" t="s">
        <v>12004</v>
      </c>
      <c r="F2875" s="5" t="s">
        <v>11918</v>
      </c>
      <c r="G2875" s="5" t="s">
        <v>11996</v>
      </c>
      <c r="H2875" s="5">
        <v>2001.0</v>
      </c>
      <c r="I2875" s="5">
        <v>0.0</v>
      </c>
      <c r="J2875" s="5">
        <v>0.0</v>
      </c>
      <c r="K2875" s="5">
        <v>1.0</v>
      </c>
      <c r="L2875" s="54"/>
      <c r="M2875" s="5" t="s">
        <v>12010</v>
      </c>
      <c r="N2875" s="53" t="s">
        <v>12011</v>
      </c>
      <c r="O2875">
        <v>52.958346</v>
      </c>
      <c r="P2875">
        <v>3.867188</v>
      </c>
      <c r="Q2875" s="5" t="s">
        <v>1808</v>
      </c>
      <c r="R2875" s="10">
        <f t="shared" si="10"/>
        <v>1</v>
      </c>
      <c r="S2875" s="5" t="s">
        <v>12012</v>
      </c>
      <c r="T2875" s="5"/>
      <c r="U2875" s="5" t="s">
        <v>12013</v>
      </c>
      <c r="V2875" s="5"/>
    </row>
    <row r="2876" ht="12.75" customHeight="1">
      <c r="A2876" s="5">
        <v>36063.0</v>
      </c>
      <c r="B2876" s="5" t="s">
        <v>1555</v>
      </c>
      <c r="C2876" s="5" t="s">
        <v>42</v>
      </c>
      <c r="D2876" s="5" t="s">
        <v>2852</v>
      </c>
      <c r="E2876" s="7" t="s">
        <v>12014</v>
      </c>
      <c r="F2876" s="5" t="s">
        <v>11918</v>
      </c>
      <c r="G2876" s="5" t="s">
        <v>11996</v>
      </c>
      <c r="H2876" s="5">
        <v>2001.0</v>
      </c>
      <c r="I2876" s="5">
        <v>0.0</v>
      </c>
      <c r="J2876" s="5">
        <v>0.0</v>
      </c>
      <c r="K2876" s="5">
        <v>1.0</v>
      </c>
      <c r="L2876" s="54"/>
      <c r="M2876" s="5" t="s">
        <v>12015</v>
      </c>
      <c r="N2876" s="53" t="s">
        <v>12016</v>
      </c>
      <c r="O2876">
        <v>51.458832</v>
      </c>
      <c r="P2876">
        <v>-0.10972</v>
      </c>
      <c r="Q2876" s="5" t="s">
        <v>1630</v>
      </c>
      <c r="R2876" s="10">
        <f t="shared" si="10"/>
        <v>1</v>
      </c>
      <c r="S2876" s="5" t="s">
        <v>12017</v>
      </c>
      <c r="T2876" s="5"/>
      <c r="U2876" s="5" t="s">
        <v>12018</v>
      </c>
      <c r="V2876" s="5"/>
    </row>
    <row r="2877" ht="12.75" customHeight="1">
      <c r="A2877" s="5">
        <v>36065.0</v>
      </c>
      <c r="B2877" s="5" t="s">
        <v>1076</v>
      </c>
      <c r="C2877" s="52" t="s">
        <v>50</v>
      </c>
      <c r="D2877" s="5" t="s">
        <v>2852</v>
      </c>
      <c r="E2877" s="7" t="s">
        <v>12019</v>
      </c>
      <c r="F2877" s="5" t="s">
        <v>11918</v>
      </c>
      <c r="G2877" s="5" t="s">
        <v>11996</v>
      </c>
      <c r="H2877" s="5">
        <v>2001.0</v>
      </c>
      <c r="I2877" s="5">
        <v>0.0</v>
      </c>
      <c r="J2877" s="5">
        <v>0.0</v>
      </c>
      <c r="K2877" s="5">
        <v>4.0</v>
      </c>
      <c r="L2877" s="54"/>
      <c r="M2877" s="5" t="s">
        <v>12020</v>
      </c>
      <c r="N2877" s="53" t="s">
        <v>9412</v>
      </c>
      <c r="O2877">
        <v>43.548473</v>
      </c>
      <c r="P2877">
        <v>10.310567</v>
      </c>
      <c r="Q2877" s="5" t="s">
        <v>1281</v>
      </c>
      <c r="R2877" s="10">
        <f t="shared" si="10"/>
        <v>15</v>
      </c>
      <c r="S2877" s="5" t="s">
        <v>12021</v>
      </c>
      <c r="T2877" s="5"/>
      <c r="U2877" s="5" t="s">
        <v>12022</v>
      </c>
      <c r="V2877" s="5"/>
    </row>
    <row r="2878" ht="12.75" customHeight="1">
      <c r="A2878" s="5">
        <v>36064.0</v>
      </c>
      <c r="B2878" s="5" t="s">
        <v>1076</v>
      </c>
      <c r="C2878" s="52" t="s">
        <v>50</v>
      </c>
      <c r="D2878" s="5" t="s">
        <v>2852</v>
      </c>
      <c r="E2878" s="7" t="s">
        <v>12019</v>
      </c>
      <c r="F2878" s="5" t="s">
        <v>11918</v>
      </c>
      <c r="G2878" s="5" t="s">
        <v>11996</v>
      </c>
      <c r="H2878" s="5">
        <v>2001.0</v>
      </c>
      <c r="I2878" s="5">
        <v>0.0</v>
      </c>
      <c r="J2878" s="5">
        <v>0.0</v>
      </c>
      <c r="K2878" s="5">
        <v>2.0</v>
      </c>
      <c r="L2878" s="54"/>
      <c r="M2878" s="5" t="s">
        <v>12023</v>
      </c>
      <c r="N2878" s="53" t="s">
        <v>12024</v>
      </c>
      <c r="O2878">
        <v>43.548473</v>
      </c>
      <c r="P2878">
        <v>10.310567</v>
      </c>
      <c r="Q2878" s="5" t="s">
        <v>1281</v>
      </c>
      <c r="R2878" s="10">
        <f t="shared" si="10"/>
        <v>15</v>
      </c>
      <c r="S2878" s="5" t="s">
        <v>12021</v>
      </c>
      <c r="T2878" s="5"/>
      <c r="U2878" s="5" t="s">
        <v>10166</v>
      </c>
      <c r="V2878" s="5"/>
    </row>
    <row r="2879" ht="12.75" customHeight="1">
      <c r="A2879" s="5">
        <v>36066.0</v>
      </c>
      <c r="B2879" s="5" t="s">
        <v>68</v>
      </c>
      <c r="C2879" s="5" t="s">
        <v>69</v>
      </c>
      <c r="D2879" s="5" t="s">
        <v>2614</v>
      </c>
      <c r="E2879" s="7" t="s">
        <v>12025</v>
      </c>
      <c r="F2879" s="5" t="s">
        <v>11918</v>
      </c>
      <c r="G2879" s="5" t="s">
        <v>11996</v>
      </c>
      <c r="H2879" s="5">
        <v>2001.0</v>
      </c>
      <c r="I2879" s="5">
        <v>0.0</v>
      </c>
      <c r="J2879" s="5">
        <v>0.0</v>
      </c>
      <c r="K2879" s="5">
        <v>2.0</v>
      </c>
      <c r="L2879" s="54"/>
      <c r="M2879" s="5" t="s">
        <v>12026</v>
      </c>
      <c r="N2879" s="53" t="s">
        <v>2944</v>
      </c>
      <c r="O2879">
        <v>-12.8275</v>
      </c>
      <c r="P2879">
        <v>45.166244</v>
      </c>
      <c r="Q2879" s="5" t="s">
        <v>228</v>
      </c>
      <c r="R2879" s="10">
        <f t="shared" si="10"/>
        <v>757</v>
      </c>
      <c r="S2879" s="5" t="s">
        <v>12027</v>
      </c>
      <c r="T2879" s="5"/>
      <c r="U2879" s="5" t="s">
        <v>8097</v>
      </c>
      <c r="V2879" s="5" t="s">
        <v>8585</v>
      </c>
    </row>
    <row r="2880" ht="12.75" customHeight="1">
      <c r="A2880" s="5">
        <v>36067.0</v>
      </c>
      <c r="B2880" s="5" t="s">
        <v>68</v>
      </c>
      <c r="C2880" s="5" t="s">
        <v>69</v>
      </c>
      <c r="D2880" s="5" t="s">
        <v>2614</v>
      </c>
      <c r="E2880" s="7" t="s">
        <v>12028</v>
      </c>
      <c r="F2880" s="5" t="s">
        <v>11918</v>
      </c>
      <c r="G2880" s="5" t="s">
        <v>11996</v>
      </c>
      <c r="H2880" s="5">
        <v>2001.0</v>
      </c>
      <c r="I2880" s="5">
        <v>0.0</v>
      </c>
      <c r="J2880" s="5">
        <v>0.0</v>
      </c>
      <c r="K2880" s="5">
        <v>17.0</v>
      </c>
      <c r="L2880" s="54"/>
      <c r="M2880" s="5" t="s">
        <v>12029</v>
      </c>
      <c r="N2880" s="53" t="s">
        <v>948</v>
      </c>
      <c r="O2880">
        <v>37.035339</v>
      </c>
      <c r="P2880">
        <v>27.43029</v>
      </c>
      <c r="Q2880" s="5" t="s">
        <v>892</v>
      </c>
      <c r="R2880" s="10">
        <f t="shared" si="10"/>
        <v>57</v>
      </c>
      <c r="S2880" s="5" t="s">
        <v>12030</v>
      </c>
      <c r="T2880" s="6" t="s">
        <v>53</v>
      </c>
      <c r="U2880" s="5" t="s">
        <v>3318</v>
      </c>
      <c r="V2880" s="5" t="s">
        <v>12031</v>
      </c>
    </row>
    <row r="2881" ht="12.75" customHeight="1">
      <c r="A2881" s="5">
        <v>36072.0</v>
      </c>
      <c r="B2881" s="5" t="s">
        <v>49</v>
      </c>
      <c r="C2881" s="52" t="s">
        <v>50</v>
      </c>
      <c r="D2881" s="5" t="s">
        <v>2852</v>
      </c>
      <c r="E2881" s="7" t="s">
        <v>12032</v>
      </c>
      <c r="F2881" s="5" t="s">
        <v>11918</v>
      </c>
      <c r="G2881" s="5" t="s">
        <v>11996</v>
      </c>
      <c r="H2881" s="5">
        <v>2001.0</v>
      </c>
      <c r="I2881" s="5">
        <v>0.0</v>
      </c>
      <c r="J2881" s="5">
        <v>0.0</v>
      </c>
      <c r="K2881" s="5">
        <v>1.0</v>
      </c>
      <c r="L2881" s="54"/>
      <c r="M2881" s="5" t="s">
        <v>12033</v>
      </c>
      <c r="N2881" s="53" t="s">
        <v>2680</v>
      </c>
      <c r="O2881">
        <v>36.018776</v>
      </c>
      <c r="P2881">
        <v>-5.600819</v>
      </c>
      <c r="Q2881" s="5" t="s">
        <v>761</v>
      </c>
      <c r="R2881" s="10">
        <f t="shared" si="10"/>
        <v>492</v>
      </c>
      <c r="S2881" s="5" t="s">
        <v>12034</v>
      </c>
      <c r="T2881" s="6" t="s">
        <v>72</v>
      </c>
      <c r="U2881" s="5" t="s">
        <v>12035</v>
      </c>
      <c r="V2881" s="5"/>
    </row>
    <row r="2882" ht="12.75" customHeight="1">
      <c r="A2882" s="5">
        <v>36068.0</v>
      </c>
      <c r="B2882" s="5" t="s">
        <v>68</v>
      </c>
      <c r="C2882" s="5" t="s">
        <v>69</v>
      </c>
      <c r="D2882" s="5" t="s">
        <v>2614</v>
      </c>
      <c r="E2882" s="7" t="s">
        <v>12032</v>
      </c>
      <c r="F2882" s="5" t="s">
        <v>11918</v>
      </c>
      <c r="G2882" s="5" t="s">
        <v>11996</v>
      </c>
      <c r="H2882" s="5">
        <v>2001.0</v>
      </c>
      <c r="I2882" s="5">
        <v>0.0</v>
      </c>
      <c r="J2882" s="5">
        <v>0.0</v>
      </c>
      <c r="K2882" s="5">
        <v>5.0</v>
      </c>
      <c r="L2882" s="54"/>
      <c r="M2882" s="5" t="s">
        <v>12036</v>
      </c>
      <c r="N2882" s="53" t="s">
        <v>3251</v>
      </c>
      <c r="O2882">
        <v>39.074208</v>
      </c>
      <c r="P2882">
        <v>21.824312</v>
      </c>
      <c r="Q2882" s="5" t="s">
        <v>1061</v>
      </c>
      <c r="R2882" s="10">
        <f t="shared" si="10"/>
        <v>20</v>
      </c>
      <c r="S2882" s="5" t="s">
        <v>12037</v>
      </c>
      <c r="T2882" s="5"/>
      <c r="U2882" s="5" t="s">
        <v>92</v>
      </c>
      <c r="V2882" s="5" t="s">
        <v>7249</v>
      </c>
    </row>
    <row r="2883" ht="12.75" customHeight="1">
      <c r="A2883" s="5">
        <v>36070.0</v>
      </c>
      <c r="B2883" s="5" t="s">
        <v>49</v>
      </c>
      <c r="C2883" s="52" t="s">
        <v>50</v>
      </c>
      <c r="D2883" s="5" t="s">
        <v>2852</v>
      </c>
      <c r="E2883" s="7" t="s">
        <v>12032</v>
      </c>
      <c r="F2883" s="5" t="s">
        <v>11918</v>
      </c>
      <c r="G2883" s="5" t="s">
        <v>11996</v>
      </c>
      <c r="H2883" s="5">
        <v>2001.0</v>
      </c>
      <c r="I2883" s="5">
        <v>0.0</v>
      </c>
      <c r="J2883" s="5">
        <v>0.0</v>
      </c>
      <c r="K2883" s="5">
        <v>5.0</v>
      </c>
      <c r="L2883" s="54"/>
      <c r="M2883" s="5" t="s">
        <v>12038</v>
      </c>
      <c r="N2883" s="53" t="s">
        <v>3698</v>
      </c>
      <c r="O2883">
        <v>40.792839</v>
      </c>
      <c r="P2883">
        <v>17.101193</v>
      </c>
      <c r="Q2883" s="5" t="s">
        <v>1163</v>
      </c>
      <c r="R2883" s="10">
        <f t="shared" si="10"/>
        <v>13</v>
      </c>
      <c r="S2883" s="5" t="s">
        <v>12039</v>
      </c>
      <c r="T2883" s="6" t="s">
        <v>1963</v>
      </c>
      <c r="U2883" s="5" t="s">
        <v>3128</v>
      </c>
      <c r="V2883" s="5"/>
    </row>
    <row r="2884" ht="12.75" customHeight="1">
      <c r="A2884" s="5">
        <v>36071.0</v>
      </c>
      <c r="B2884" s="5" t="s">
        <v>49</v>
      </c>
      <c r="C2884" s="52" t="s">
        <v>50</v>
      </c>
      <c r="D2884" s="5" t="s">
        <v>2852</v>
      </c>
      <c r="E2884" s="7" t="s">
        <v>12032</v>
      </c>
      <c r="F2884" s="5" t="s">
        <v>11918</v>
      </c>
      <c r="G2884" s="5" t="s">
        <v>11996</v>
      </c>
      <c r="H2884" s="5">
        <v>2001.0</v>
      </c>
      <c r="I2884" s="5">
        <v>0.0</v>
      </c>
      <c r="J2884" s="5">
        <v>0.0</v>
      </c>
      <c r="K2884" s="5">
        <v>17.0</v>
      </c>
      <c r="L2884" s="54"/>
      <c r="M2884" s="5" t="s">
        <v>12040</v>
      </c>
      <c r="N2884" s="53" t="s">
        <v>12041</v>
      </c>
      <c r="O2884">
        <v>48.793521</v>
      </c>
      <c r="P2884">
        <v>17.089663</v>
      </c>
      <c r="Q2884" s="5" t="s">
        <v>1432</v>
      </c>
      <c r="R2884" s="10">
        <f t="shared" si="10"/>
        <v>17</v>
      </c>
      <c r="S2884" s="5" t="s">
        <v>12042</v>
      </c>
      <c r="T2884" s="5"/>
      <c r="U2884" s="5" t="s">
        <v>12043</v>
      </c>
      <c r="V2884" s="5" t="s">
        <v>12044</v>
      </c>
    </row>
    <row r="2885" ht="12.75" customHeight="1">
      <c r="A2885" s="5">
        <v>36069.0</v>
      </c>
      <c r="B2885" s="5" t="s">
        <v>49</v>
      </c>
      <c r="C2885" s="52" t="s">
        <v>50</v>
      </c>
      <c r="D2885" s="5" t="s">
        <v>2852</v>
      </c>
      <c r="E2885" s="7" t="s">
        <v>12032</v>
      </c>
      <c r="F2885" s="5" t="s">
        <v>11918</v>
      </c>
      <c r="G2885" s="5" t="s">
        <v>11996</v>
      </c>
      <c r="H2885" s="5">
        <v>2001.0</v>
      </c>
      <c r="I2885" s="5">
        <v>0.0</v>
      </c>
      <c r="J2885" s="5">
        <v>0.0</v>
      </c>
      <c r="K2885" s="5">
        <v>1.0</v>
      </c>
      <c r="L2885" s="54"/>
      <c r="M2885" s="5" t="s">
        <v>12045</v>
      </c>
      <c r="N2885" s="53" t="s">
        <v>12046</v>
      </c>
      <c r="O2885">
        <v>49.195098</v>
      </c>
      <c r="P2885">
        <v>16.60673</v>
      </c>
      <c r="Q2885" s="5" t="s">
        <v>1457</v>
      </c>
      <c r="R2885" s="10">
        <f t="shared" si="10"/>
        <v>2</v>
      </c>
      <c r="S2885" s="5" t="s">
        <v>12042</v>
      </c>
      <c r="T2885" s="5"/>
      <c r="U2885" s="5" t="s">
        <v>12043</v>
      </c>
      <c r="V2885" s="5"/>
    </row>
    <row r="2886" ht="12.75" customHeight="1">
      <c r="A2886" s="5">
        <v>36073.0</v>
      </c>
      <c r="B2886" s="5" t="s">
        <v>763</v>
      </c>
      <c r="C2886" s="5" t="s">
        <v>124</v>
      </c>
      <c r="D2886" s="5" t="s">
        <v>2852</v>
      </c>
      <c r="E2886" s="7" t="s">
        <v>12047</v>
      </c>
      <c r="F2886" s="5" t="s">
        <v>11918</v>
      </c>
      <c r="G2886" s="5" t="s">
        <v>12048</v>
      </c>
      <c r="H2886" s="5">
        <v>2001.0</v>
      </c>
      <c r="I2886" s="5">
        <v>0.0</v>
      </c>
      <c r="J2886" s="5">
        <v>0.0</v>
      </c>
      <c r="K2886" s="5">
        <v>1.0</v>
      </c>
      <c r="L2886" s="54"/>
      <c r="M2886" s="5" t="s">
        <v>12049</v>
      </c>
      <c r="N2886" s="53" t="s">
        <v>3909</v>
      </c>
      <c r="O2886">
        <v>50.95129</v>
      </c>
      <c r="P2886">
        <v>1.858686</v>
      </c>
      <c r="Q2886" s="5" t="s">
        <v>1551</v>
      </c>
      <c r="R2886" s="10">
        <f t="shared" si="10"/>
        <v>30</v>
      </c>
      <c r="S2886" s="5" t="s">
        <v>12050</v>
      </c>
      <c r="T2886" s="5"/>
      <c r="U2886" s="5" t="s">
        <v>3128</v>
      </c>
      <c r="V2886" s="5" t="s">
        <v>8704</v>
      </c>
    </row>
    <row r="2887" ht="12.75" customHeight="1">
      <c r="A2887" s="5">
        <v>36074.0</v>
      </c>
      <c r="B2887" s="5" t="s">
        <v>68</v>
      </c>
      <c r="C2887" s="5" t="s">
        <v>69</v>
      </c>
      <c r="D2887" s="5" t="s">
        <v>2852</v>
      </c>
      <c r="E2887" s="7" t="s">
        <v>12051</v>
      </c>
      <c r="F2887" s="5" t="s">
        <v>11918</v>
      </c>
      <c r="G2887" s="5" t="s">
        <v>12048</v>
      </c>
      <c r="H2887" s="5">
        <v>2001.0</v>
      </c>
      <c r="I2887" s="5">
        <v>0.0</v>
      </c>
      <c r="J2887" s="5">
        <v>0.0</v>
      </c>
      <c r="K2887" s="5">
        <v>1.0</v>
      </c>
      <c r="L2887" s="54"/>
      <c r="M2887" s="5" t="s">
        <v>12052</v>
      </c>
      <c r="N2887" s="53" t="s">
        <v>5983</v>
      </c>
      <c r="O2887">
        <v>36.132977</v>
      </c>
      <c r="P2887">
        <v>-5.453909</v>
      </c>
      <c r="Q2887" s="5" t="s">
        <v>770</v>
      </c>
      <c r="R2887" s="10">
        <f t="shared" si="10"/>
        <v>29</v>
      </c>
      <c r="S2887" s="5" t="s">
        <v>12053</v>
      </c>
      <c r="T2887" s="6" t="s">
        <v>72</v>
      </c>
      <c r="U2887" s="5" t="s">
        <v>9777</v>
      </c>
      <c r="V2887" s="5" t="s">
        <v>12054</v>
      </c>
    </row>
    <row r="2888" ht="12.75" customHeight="1">
      <c r="A2888" s="5">
        <v>36075.0</v>
      </c>
      <c r="B2888" s="5" t="s">
        <v>68</v>
      </c>
      <c r="C2888" s="5" t="s">
        <v>69</v>
      </c>
      <c r="D2888" s="5" t="s">
        <v>2614</v>
      </c>
      <c r="E2888" s="7" t="s">
        <v>12055</v>
      </c>
      <c r="F2888" s="5" t="s">
        <v>11918</v>
      </c>
      <c r="G2888" s="5" t="s">
        <v>12048</v>
      </c>
      <c r="H2888" s="5">
        <v>2001.0</v>
      </c>
      <c r="I2888" s="5">
        <v>0.0</v>
      </c>
      <c r="J2888" s="5">
        <v>0.0</v>
      </c>
      <c r="K2888" s="5">
        <v>1.0</v>
      </c>
      <c r="L2888" s="54"/>
      <c r="M2888" s="5" t="s">
        <v>12056</v>
      </c>
      <c r="N2888" s="53" t="s">
        <v>2705</v>
      </c>
      <c r="O2888">
        <v>36.799851</v>
      </c>
      <c r="P2888">
        <v>27.102943</v>
      </c>
      <c r="Q2888" s="5" t="s">
        <v>848</v>
      </c>
      <c r="R2888" s="10">
        <f t="shared" si="10"/>
        <v>119</v>
      </c>
      <c r="S2888" s="5" t="s">
        <v>12057</v>
      </c>
      <c r="T2888" s="6" t="s">
        <v>53</v>
      </c>
      <c r="U2888" s="5" t="s">
        <v>3318</v>
      </c>
      <c r="V2888" s="5" t="s">
        <v>12058</v>
      </c>
    </row>
    <row r="2889" ht="12.75" customHeight="1">
      <c r="A2889" s="5">
        <v>36076.0</v>
      </c>
      <c r="B2889" s="5" t="s">
        <v>68</v>
      </c>
      <c r="C2889" s="5" t="s">
        <v>69</v>
      </c>
      <c r="D2889" s="5" t="s">
        <v>2614</v>
      </c>
      <c r="E2889" s="7" t="s">
        <v>12059</v>
      </c>
      <c r="F2889" s="5" t="s">
        <v>11918</v>
      </c>
      <c r="G2889" s="5" t="s">
        <v>12048</v>
      </c>
      <c r="H2889" s="5">
        <v>2001.0</v>
      </c>
      <c r="I2889" s="5">
        <v>0.0</v>
      </c>
      <c r="J2889" s="5">
        <v>0.0</v>
      </c>
      <c r="K2889" s="5">
        <v>25.0</v>
      </c>
      <c r="L2889" s="54"/>
      <c r="M2889" s="5" t="s">
        <v>12060</v>
      </c>
      <c r="N2889" s="53" t="s">
        <v>2944</v>
      </c>
      <c r="O2889">
        <v>-12.8275</v>
      </c>
      <c r="P2889">
        <v>45.166244</v>
      </c>
      <c r="Q2889" s="5" t="s">
        <v>228</v>
      </c>
      <c r="R2889" s="10">
        <f t="shared" si="10"/>
        <v>757</v>
      </c>
      <c r="S2889" s="5" t="s">
        <v>12061</v>
      </c>
      <c r="T2889" s="5"/>
      <c r="U2889" s="5" t="s">
        <v>8097</v>
      </c>
      <c r="V2889" s="5" t="s">
        <v>8585</v>
      </c>
    </row>
    <row r="2890" ht="12.75" customHeight="1">
      <c r="A2890" s="5">
        <v>36077.0</v>
      </c>
      <c r="B2890" s="5" t="s">
        <v>49</v>
      </c>
      <c r="C2890" s="52" t="s">
        <v>50</v>
      </c>
      <c r="D2890" s="5" t="s">
        <v>2852</v>
      </c>
      <c r="E2890" s="7" t="s">
        <v>12059</v>
      </c>
      <c r="F2890" s="5" t="s">
        <v>11918</v>
      </c>
      <c r="G2890" s="5" t="s">
        <v>12048</v>
      </c>
      <c r="H2890" s="5">
        <v>2001.0</v>
      </c>
      <c r="I2890" s="5">
        <v>0.0</v>
      </c>
      <c r="J2890" s="5">
        <v>0.0</v>
      </c>
      <c r="K2890" s="5">
        <v>1.0</v>
      </c>
      <c r="L2890" s="54"/>
      <c r="M2890" s="5" t="s">
        <v>12062</v>
      </c>
      <c r="N2890" s="53" t="s">
        <v>8711</v>
      </c>
      <c r="O2890">
        <v>50.482286</v>
      </c>
      <c r="P2890">
        <v>17.329586</v>
      </c>
      <c r="Q2890" s="5" t="s">
        <v>1495</v>
      </c>
      <c r="R2890" s="10">
        <f t="shared" si="10"/>
        <v>5</v>
      </c>
      <c r="S2890" s="5" t="s">
        <v>12063</v>
      </c>
      <c r="T2890" s="5"/>
      <c r="U2890" s="5" t="s">
        <v>4578</v>
      </c>
      <c r="V2890" s="5" t="s">
        <v>12064</v>
      </c>
    </row>
    <row r="2891" ht="12.75" customHeight="1">
      <c r="A2891" s="5">
        <v>36078.0</v>
      </c>
      <c r="B2891" s="5" t="s">
        <v>49</v>
      </c>
      <c r="C2891" s="52" t="s">
        <v>50</v>
      </c>
      <c r="D2891" s="5" t="s">
        <v>2852</v>
      </c>
      <c r="E2891" s="7" t="s">
        <v>12065</v>
      </c>
      <c r="F2891" s="5" t="s">
        <v>11918</v>
      </c>
      <c r="G2891" s="5" t="s">
        <v>12048</v>
      </c>
      <c r="H2891" s="5">
        <v>2001.0</v>
      </c>
      <c r="I2891" s="5">
        <v>0.0</v>
      </c>
      <c r="J2891" s="5">
        <v>0.0</v>
      </c>
      <c r="K2891" s="5">
        <v>1.0</v>
      </c>
      <c r="L2891" s="54"/>
      <c r="M2891" s="5" t="s">
        <v>12066</v>
      </c>
      <c r="N2891" s="53" t="s">
        <v>3141</v>
      </c>
      <c r="O2891">
        <v>36.140751</v>
      </c>
      <c r="P2891">
        <v>-5.353585</v>
      </c>
      <c r="Q2891" s="5" t="s">
        <v>774</v>
      </c>
      <c r="R2891" s="10">
        <f t="shared" si="10"/>
        <v>107</v>
      </c>
      <c r="S2891" s="5" t="s">
        <v>12067</v>
      </c>
      <c r="T2891" s="6" t="s">
        <v>72</v>
      </c>
      <c r="U2891" s="5" t="s">
        <v>9274</v>
      </c>
      <c r="V2891" s="5"/>
    </row>
    <row r="2892" ht="12.75" customHeight="1">
      <c r="A2892" s="5">
        <v>36079.0</v>
      </c>
      <c r="B2892" s="5" t="s">
        <v>68</v>
      </c>
      <c r="C2892" s="5" t="s">
        <v>69</v>
      </c>
      <c r="D2892" s="5" t="s">
        <v>2614</v>
      </c>
      <c r="E2892" s="7" t="s">
        <v>12068</v>
      </c>
      <c r="F2892" s="5" t="s">
        <v>11918</v>
      </c>
      <c r="G2892" s="5" t="s">
        <v>12048</v>
      </c>
      <c r="H2892" s="5">
        <v>2001.0</v>
      </c>
      <c r="I2892" s="5">
        <v>0.0</v>
      </c>
      <c r="J2892" s="5">
        <v>0.0</v>
      </c>
      <c r="K2892" s="5">
        <v>15.0</v>
      </c>
      <c r="L2892" s="54"/>
      <c r="M2892" s="5" t="s">
        <v>12069</v>
      </c>
      <c r="N2892" s="53" t="s">
        <v>2944</v>
      </c>
      <c r="O2892">
        <v>-12.8275</v>
      </c>
      <c r="P2892">
        <v>45.166244</v>
      </c>
      <c r="Q2892" s="5" t="s">
        <v>228</v>
      </c>
      <c r="R2892" s="10">
        <f t="shared" si="10"/>
        <v>757</v>
      </c>
      <c r="S2892" s="5" t="s">
        <v>12070</v>
      </c>
      <c r="T2892" s="5"/>
      <c r="U2892" s="5" t="s">
        <v>8097</v>
      </c>
      <c r="V2892" s="5" t="s">
        <v>8585</v>
      </c>
    </row>
    <row r="2893" ht="12.75" customHeight="1">
      <c r="A2893" s="5">
        <v>36080.0</v>
      </c>
      <c r="B2893" s="5" t="s">
        <v>68</v>
      </c>
      <c r="C2893" s="5" t="s">
        <v>69</v>
      </c>
      <c r="D2893" s="5" t="s">
        <v>2852</v>
      </c>
      <c r="E2893" s="7" t="s">
        <v>12068</v>
      </c>
      <c r="F2893" s="5" t="s">
        <v>11918</v>
      </c>
      <c r="G2893" s="5" t="s">
        <v>12048</v>
      </c>
      <c r="H2893" s="5">
        <v>2001.0</v>
      </c>
      <c r="I2893" s="5">
        <v>0.0</v>
      </c>
      <c r="J2893" s="5">
        <v>0.0</v>
      </c>
      <c r="K2893" s="5">
        <v>1.0</v>
      </c>
      <c r="L2893" s="54"/>
      <c r="M2893" s="5" t="s">
        <v>12071</v>
      </c>
      <c r="N2893" s="53" t="s">
        <v>12072</v>
      </c>
      <c r="O2893">
        <v>50.95129</v>
      </c>
      <c r="P2893">
        <v>1.858686</v>
      </c>
      <c r="Q2893" s="5" t="s">
        <v>1551</v>
      </c>
      <c r="R2893" s="10">
        <f t="shared" si="10"/>
        <v>30</v>
      </c>
      <c r="S2893" s="5" t="s">
        <v>12073</v>
      </c>
      <c r="T2893" s="5"/>
      <c r="U2893" s="5" t="s">
        <v>3219</v>
      </c>
      <c r="V2893" s="5"/>
    </row>
    <row r="2894" ht="12.75" customHeight="1">
      <c r="A2894" s="5">
        <v>36082.0</v>
      </c>
      <c r="B2894" s="5" t="s">
        <v>68</v>
      </c>
      <c r="C2894" s="5" t="s">
        <v>69</v>
      </c>
      <c r="D2894" s="5" t="s">
        <v>2852</v>
      </c>
      <c r="E2894" s="7" t="s">
        <v>12074</v>
      </c>
      <c r="F2894" s="5" t="s">
        <v>11918</v>
      </c>
      <c r="G2894" s="5" t="s">
        <v>12048</v>
      </c>
      <c r="H2894" s="5">
        <v>2001.0</v>
      </c>
      <c r="I2894" s="5">
        <v>0.0</v>
      </c>
      <c r="J2894" s="5">
        <v>0.0</v>
      </c>
      <c r="K2894" s="5">
        <v>1.0</v>
      </c>
      <c r="L2894" s="54"/>
      <c r="M2894" s="5" t="s">
        <v>12075</v>
      </c>
      <c r="N2894" s="53" t="s">
        <v>12076</v>
      </c>
      <c r="O2894">
        <v>35.922273</v>
      </c>
      <c r="P2894">
        <v>28.476563</v>
      </c>
      <c r="Q2894" s="5" t="s">
        <v>734</v>
      </c>
      <c r="R2894" s="10">
        <f t="shared" si="10"/>
        <v>1</v>
      </c>
      <c r="S2894" s="5" t="s">
        <v>12077</v>
      </c>
      <c r="T2894" s="6" t="s">
        <v>53</v>
      </c>
      <c r="U2894" s="5" t="s">
        <v>5429</v>
      </c>
      <c r="V2894" s="5"/>
    </row>
    <row r="2895" ht="12.75" customHeight="1">
      <c r="A2895" s="5">
        <v>36081.0</v>
      </c>
      <c r="B2895" s="5" t="s">
        <v>68</v>
      </c>
      <c r="C2895" s="5" t="s">
        <v>69</v>
      </c>
      <c r="D2895" s="5" t="s">
        <v>2614</v>
      </c>
      <c r="E2895" s="7" t="s">
        <v>12074</v>
      </c>
      <c r="F2895" s="5" t="s">
        <v>11918</v>
      </c>
      <c r="G2895" s="5" t="s">
        <v>12048</v>
      </c>
      <c r="H2895" s="5">
        <v>2001.0</v>
      </c>
      <c r="I2895" s="5">
        <v>0.0</v>
      </c>
      <c r="J2895" s="5">
        <v>0.0</v>
      </c>
      <c r="K2895" s="5">
        <v>1.0</v>
      </c>
      <c r="L2895" s="54"/>
      <c r="M2895" s="5" t="s">
        <v>12078</v>
      </c>
      <c r="N2895" s="53" t="s">
        <v>2669</v>
      </c>
      <c r="O2895">
        <v>39.080793</v>
      </c>
      <c r="P2895">
        <v>17.12711</v>
      </c>
      <c r="Q2895" s="5" t="s">
        <v>1066</v>
      </c>
      <c r="R2895" s="10">
        <f t="shared" si="10"/>
        <v>2</v>
      </c>
      <c r="S2895" s="5" t="s">
        <v>12079</v>
      </c>
      <c r="T2895" s="6" t="s">
        <v>1963</v>
      </c>
      <c r="U2895" s="5" t="s">
        <v>2326</v>
      </c>
      <c r="V2895" s="5" t="s">
        <v>7579</v>
      </c>
    </row>
    <row r="2896" ht="12.75" customHeight="1">
      <c r="A2896" s="5">
        <v>36083.0</v>
      </c>
      <c r="B2896" s="5" t="s">
        <v>49</v>
      </c>
      <c r="C2896" s="52" t="s">
        <v>50</v>
      </c>
      <c r="D2896" s="5" t="s">
        <v>2852</v>
      </c>
      <c r="E2896" s="7" t="s">
        <v>12080</v>
      </c>
      <c r="F2896" s="5" t="s">
        <v>11918</v>
      </c>
      <c r="G2896" s="5" t="s">
        <v>12048</v>
      </c>
      <c r="H2896" s="5">
        <v>2001.0</v>
      </c>
      <c r="I2896" s="5">
        <v>0.0</v>
      </c>
      <c r="J2896" s="5">
        <v>0.0</v>
      </c>
      <c r="K2896" s="5">
        <v>4.0</v>
      </c>
      <c r="L2896" s="54"/>
      <c r="M2896" s="5" t="s">
        <v>12081</v>
      </c>
      <c r="N2896" s="53" t="s">
        <v>3314</v>
      </c>
      <c r="O2896">
        <v>37.599994</v>
      </c>
      <c r="P2896">
        <v>14.015356</v>
      </c>
      <c r="Q2896" s="5" t="s">
        <v>949</v>
      </c>
      <c r="R2896" s="10">
        <f t="shared" si="10"/>
        <v>363</v>
      </c>
      <c r="S2896" s="5" t="s">
        <v>12082</v>
      </c>
      <c r="T2896" s="6" t="s">
        <v>2130</v>
      </c>
      <c r="U2896" s="5" t="s">
        <v>12083</v>
      </c>
      <c r="V2896" s="5"/>
    </row>
    <row r="2897" ht="12.75" customHeight="1">
      <c r="A2897" s="5">
        <v>36084.0</v>
      </c>
      <c r="B2897" s="5" t="s">
        <v>68</v>
      </c>
      <c r="C2897" s="5" t="s">
        <v>69</v>
      </c>
      <c r="D2897" s="5" t="s">
        <v>2614</v>
      </c>
      <c r="E2897" s="7" t="s">
        <v>12084</v>
      </c>
      <c r="F2897" s="5" t="s">
        <v>11918</v>
      </c>
      <c r="G2897" s="5" t="s">
        <v>12048</v>
      </c>
      <c r="H2897" s="5">
        <v>2001.0</v>
      </c>
      <c r="I2897" s="5">
        <v>0.0</v>
      </c>
      <c r="J2897" s="5">
        <v>0.0</v>
      </c>
      <c r="K2897" s="5">
        <v>7.0</v>
      </c>
      <c r="L2897" s="54"/>
      <c r="M2897" s="5" t="s">
        <v>12085</v>
      </c>
      <c r="N2897" s="53" t="s">
        <v>2944</v>
      </c>
      <c r="O2897">
        <v>-12.8275</v>
      </c>
      <c r="P2897">
        <v>45.166244</v>
      </c>
      <c r="Q2897" s="5" t="s">
        <v>228</v>
      </c>
      <c r="R2897" s="10">
        <f t="shared" si="10"/>
        <v>757</v>
      </c>
      <c r="S2897" s="5" t="s">
        <v>12086</v>
      </c>
      <c r="T2897" s="5"/>
      <c r="U2897" s="5" t="s">
        <v>8097</v>
      </c>
      <c r="V2897" s="5" t="s">
        <v>8585</v>
      </c>
    </row>
    <row r="2898" ht="12.75" customHeight="1">
      <c r="A2898" s="5">
        <v>36085.0</v>
      </c>
      <c r="B2898" s="5" t="s">
        <v>49</v>
      </c>
      <c r="C2898" s="52" t="s">
        <v>50</v>
      </c>
      <c r="D2898" s="5" t="s">
        <v>2852</v>
      </c>
      <c r="E2898" s="7" t="s">
        <v>12084</v>
      </c>
      <c r="F2898" s="5" t="s">
        <v>11918</v>
      </c>
      <c r="G2898" s="5" t="s">
        <v>12048</v>
      </c>
      <c r="H2898" s="5">
        <v>2001.0</v>
      </c>
      <c r="I2898" s="5">
        <v>0.0</v>
      </c>
      <c r="J2898" s="5">
        <v>0.0</v>
      </c>
      <c r="K2898" s="5">
        <v>12.0</v>
      </c>
      <c r="L2898" s="54"/>
      <c r="M2898" s="5" t="s">
        <v>12087</v>
      </c>
      <c r="N2898" s="53" t="s">
        <v>12088</v>
      </c>
      <c r="O2898">
        <v>41.277486</v>
      </c>
      <c r="P2898">
        <v>16.417833</v>
      </c>
      <c r="Q2898" s="5" t="s">
        <v>1218</v>
      </c>
      <c r="R2898" s="10">
        <f t="shared" si="10"/>
        <v>12</v>
      </c>
      <c r="S2898" s="5" t="s">
        <v>12089</v>
      </c>
      <c r="T2898" s="6" t="s">
        <v>1963</v>
      </c>
      <c r="U2898" s="5" t="s">
        <v>12090</v>
      </c>
      <c r="V2898" s="5"/>
    </row>
    <row r="2899" ht="12.75" customHeight="1">
      <c r="A2899" s="5">
        <v>36086.0</v>
      </c>
      <c r="B2899" s="5" t="s">
        <v>49</v>
      </c>
      <c r="C2899" s="52" t="s">
        <v>50</v>
      </c>
      <c r="D2899" s="5" t="s">
        <v>2852</v>
      </c>
      <c r="E2899" s="7" t="s">
        <v>12091</v>
      </c>
      <c r="F2899" s="5" t="s">
        <v>11918</v>
      </c>
      <c r="G2899" s="5" t="s">
        <v>12048</v>
      </c>
      <c r="H2899" s="5">
        <v>2001.0</v>
      </c>
      <c r="I2899" s="5">
        <v>0.0</v>
      </c>
      <c r="J2899" s="5">
        <v>0.0</v>
      </c>
      <c r="K2899" s="5">
        <v>2.0</v>
      </c>
      <c r="L2899" s="54"/>
      <c r="M2899" s="5" t="s">
        <v>12092</v>
      </c>
      <c r="N2899" s="53" t="s">
        <v>2680</v>
      </c>
      <c r="O2899">
        <v>36.018776</v>
      </c>
      <c r="P2899">
        <v>-5.600819</v>
      </c>
      <c r="Q2899" s="5" t="s">
        <v>761</v>
      </c>
      <c r="R2899" s="10">
        <f t="shared" si="10"/>
        <v>492</v>
      </c>
      <c r="S2899" s="5" t="s">
        <v>12093</v>
      </c>
      <c r="T2899" s="6" t="s">
        <v>72</v>
      </c>
      <c r="U2899" s="5" t="s">
        <v>11853</v>
      </c>
      <c r="V2899" s="5"/>
    </row>
    <row r="2900" ht="12.75" customHeight="1">
      <c r="A2900" s="5">
        <v>36210.0</v>
      </c>
      <c r="B2900" s="5" t="s">
        <v>49</v>
      </c>
      <c r="C2900" s="52" t="s">
        <v>50</v>
      </c>
      <c r="D2900" s="5" t="s">
        <v>2852</v>
      </c>
      <c r="E2900" s="7" t="s">
        <v>12094</v>
      </c>
      <c r="F2900" s="5" t="s">
        <v>11837</v>
      </c>
      <c r="G2900" s="5" t="s">
        <v>12095</v>
      </c>
      <c r="H2900" s="5">
        <v>2001.0</v>
      </c>
      <c r="I2900" s="5">
        <v>0.0</v>
      </c>
      <c r="J2900" s="5">
        <v>0.0</v>
      </c>
      <c r="K2900" s="5">
        <v>7.0</v>
      </c>
      <c r="L2900" s="54"/>
      <c r="M2900" s="5" t="s">
        <v>12096</v>
      </c>
      <c r="N2900" s="53" t="s">
        <v>3379</v>
      </c>
      <c r="O2900">
        <v>36.834047</v>
      </c>
      <c r="P2900">
        <v>-2.463714</v>
      </c>
      <c r="Q2900" s="5" t="s">
        <v>863</v>
      </c>
      <c r="R2900" s="10">
        <f t="shared" si="10"/>
        <v>208</v>
      </c>
      <c r="S2900" s="5" t="s">
        <v>12097</v>
      </c>
      <c r="T2900" s="6" t="s">
        <v>72</v>
      </c>
      <c r="U2900" s="5" t="s">
        <v>3128</v>
      </c>
      <c r="V2900" s="5"/>
    </row>
    <row r="2901" ht="12.75" customHeight="1">
      <c r="A2901" s="5">
        <v>36211.0</v>
      </c>
      <c r="B2901" s="5" t="s">
        <v>49</v>
      </c>
      <c r="C2901" s="52" t="s">
        <v>50</v>
      </c>
      <c r="D2901" s="5" t="s">
        <v>2852</v>
      </c>
      <c r="E2901" s="7" t="s">
        <v>12098</v>
      </c>
      <c r="F2901" s="5" t="s">
        <v>11837</v>
      </c>
      <c r="G2901" s="5" t="s">
        <v>12095</v>
      </c>
      <c r="H2901" s="5">
        <v>2001.0</v>
      </c>
      <c r="I2901" s="5">
        <v>0.0</v>
      </c>
      <c r="J2901" s="5">
        <v>0.0</v>
      </c>
      <c r="K2901" s="5">
        <v>1.0</v>
      </c>
      <c r="L2901" s="54"/>
      <c r="M2901" s="5" t="s">
        <v>12099</v>
      </c>
      <c r="N2901" s="53" t="s">
        <v>2680</v>
      </c>
      <c r="O2901">
        <v>36.018776</v>
      </c>
      <c r="P2901">
        <v>-5.600819</v>
      </c>
      <c r="Q2901" s="5" t="s">
        <v>761</v>
      </c>
      <c r="R2901" s="10">
        <f t="shared" si="10"/>
        <v>492</v>
      </c>
      <c r="S2901" s="5" t="s">
        <v>12100</v>
      </c>
      <c r="T2901" s="6" t="s">
        <v>72</v>
      </c>
      <c r="U2901" s="5" t="s">
        <v>11853</v>
      </c>
      <c r="V2901" s="5" t="s">
        <v>12101</v>
      </c>
    </row>
    <row r="2902" ht="12.75" customHeight="1">
      <c r="A2902" s="5">
        <v>36212.0</v>
      </c>
      <c r="B2902" s="5" t="s">
        <v>49</v>
      </c>
      <c r="C2902" s="52" t="s">
        <v>50</v>
      </c>
      <c r="D2902" s="5" t="s">
        <v>2852</v>
      </c>
      <c r="E2902" s="7" t="s">
        <v>12102</v>
      </c>
      <c r="F2902" s="5" t="s">
        <v>11837</v>
      </c>
      <c r="G2902" s="5" t="s">
        <v>12095</v>
      </c>
      <c r="H2902" s="5">
        <v>2001.0</v>
      </c>
      <c r="I2902" s="5">
        <v>0.0</v>
      </c>
      <c r="J2902" s="5">
        <v>0.0</v>
      </c>
      <c r="K2902" s="5">
        <v>6.0</v>
      </c>
      <c r="L2902" s="54"/>
      <c r="M2902" s="5" t="s">
        <v>12103</v>
      </c>
      <c r="N2902" s="53" t="s">
        <v>2680</v>
      </c>
      <c r="O2902">
        <v>36.018776</v>
      </c>
      <c r="P2902">
        <v>-5.600819</v>
      </c>
      <c r="Q2902" s="5" t="s">
        <v>761</v>
      </c>
      <c r="R2902" s="10">
        <f t="shared" si="10"/>
        <v>492</v>
      </c>
      <c r="S2902" s="5" t="s">
        <v>12104</v>
      </c>
      <c r="T2902" s="6" t="s">
        <v>72</v>
      </c>
      <c r="U2902" s="5" t="s">
        <v>3128</v>
      </c>
      <c r="V2902" s="5"/>
    </row>
    <row r="2903" ht="12.75" customHeight="1">
      <c r="A2903" s="5">
        <v>36213.0</v>
      </c>
      <c r="B2903" s="5" t="s">
        <v>49</v>
      </c>
      <c r="C2903" s="52" t="s">
        <v>50</v>
      </c>
      <c r="D2903" s="5" t="s">
        <v>2852</v>
      </c>
      <c r="E2903" s="7" t="s">
        <v>12105</v>
      </c>
      <c r="F2903" s="5" t="s">
        <v>11837</v>
      </c>
      <c r="G2903" s="5" t="s">
        <v>12095</v>
      </c>
      <c r="H2903" s="5">
        <v>2001.0</v>
      </c>
      <c r="I2903" s="5">
        <v>0.0</v>
      </c>
      <c r="J2903" s="5">
        <v>0.0</v>
      </c>
      <c r="K2903" s="5">
        <v>1.0</v>
      </c>
      <c r="L2903" s="54"/>
      <c r="M2903" s="5" t="s">
        <v>12106</v>
      </c>
      <c r="N2903" s="53" t="s">
        <v>10113</v>
      </c>
      <c r="O2903">
        <v>51.127876</v>
      </c>
      <c r="P2903">
        <v>1.313403</v>
      </c>
      <c r="Q2903" s="5" t="s">
        <v>1586</v>
      </c>
      <c r="R2903" s="10">
        <f t="shared" si="10"/>
        <v>6</v>
      </c>
      <c r="S2903" s="5" t="s">
        <v>12107</v>
      </c>
      <c r="T2903" s="5"/>
      <c r="U2903" s="5" t="s">
        <v>10031</v>
      </c>
      <c r="V2903" s="5" t="s">
        <v>11937</v>
      </c>
    </row>
    <row r="2904" ht="12.75" customHeight="1">
      <c r="A2904" s="5">
        <v>36214.0</v>
      </c>
      <c r="B2904" s="5" t="s">
        <v>2902</v>
      </c>
      <c r="C2904" s="5" t="s">
        <v>211</v>
      </c>
      <c r="D2904" s="5" t="s">
        <v>2852</v>
      </c>
      <c r="E2904" s="7" t="s">
        <v>12108</v>
      </c>
      <c r="F2904" s="5" t="s">
        <v>11837</v>
      </c>
      <c r="G2904" s="5" t="s">
        <v>12095</v>
      </c>
      <c r="H2904" s="5">
        <v>2001.0</v>
      </c>
      <c r="I2904" s="5">
        <v>0.0</v>
      </c>
      <c r="J2904" s="5">
        <v>0.0</v>
      </c>
      <c r="K2904" s="5">
        <v>1.0</v>
      </c>
      <c r="L2904" s="54"/>
      <c r="M2904" s="5" t="s">
        <v>12109</v>
      </c>
      <c r="N2904" s="53" t="s">
        <v>9895</v>
      </c>
      <c r="O2904">
        <v>52.636878</v>
      </c>
      <c r="P2904">
        <v>-1.139759</v>
      </c>
      <c r="Q2904" s="5" t="s">
        <v>1788</v>
      </c>
      <c r="R2904" s="10">
        <f t="shared" si="10"/>
        <v>2</v>
      </c>
      <c r="S2904" s="5" t="s">
        <v>12110</v>
      </c>
      <c r="T2904" s="5"/>
      <c r="U2904" s="5" t="s">
        <v>12111</v>
      </c>
      <c r="V2904" s="5"/>
    </row>
    <row r="2905" ht="12.75" customHeight="1">
      <c r="A2905" s="5">
        <v>36215.0</v>
      </c>
      <c r="B2905" s="5" t="s">
        <v>49</v>
      </c>
      <c r="C2905" s="52" t="s">
        <v>50</v>
      </c>
      <c r="D2905" s="5" t="s">
        <v>2852</v>
      </c>
      <c r="E2905" s="7" t="s">
        <v>12112</v>
      </c>
      <c r="F2905" s="5" t="s">
        <v>11837</v>
      </c>
      <c r="G2905" s="5" t="s">
        <v>12095</v>
      </c>
      <c r="H2905" s="5">
        <v>2001.0</v>
      </c>
      <c r="I2905" s="5">
        <v>0.0</v>
      </c>
      <c r="J2905" s="5">
        <v>0.0</v>
      </c>
      <c r="K2905" s="5">
        <v>1.0</v>
      </c>
      <c r="L2905" s="54"/>
      <c r="M2905" s="5" t="s">
        <v>12113</v>
      </c>
      <c r="N2905" s="53" t="s">
        <v>6113</v>
      </c>
      <c r="O2905">
        <v>37.075546</v>
      </c>
      <c r="P2905">
        <v>25.520736</v>
      </c>
      <c r="Q2905" s="5" t="s">
        <v>899</v>
      </c>
      <c r="R2905" s="10">
        <f t="shared" si="10"/>
        <v>70</v>
      </c>
      <c r="S2905" s="5" t="s">
        <v>12114</v>
      </c>
      <c r="T2905" s="6" t="s">
        <v>53</v>
      </c>
      <c r="U2905" s="5" t="s">
        <v>12115</v>
      </c>
      <c r="V2905" s="5"/>
    </row>
    <row r="2906" ht="12.75" customHeight="1">
      <c r="A2906" s="5">
        <v>36219.0</v>
      </c>
      <c r="B2906" s="5" t="s">
        <v>49</v>
      </c>
      <c r="C2906" s="52" t="s">
        <v>50</v>
      </c>
      <c r="D2906" s="5" t="s">
        <v>2852</v>
      </c>
      <c r="E2906" s="7" t="s">
        <v>12112</v>
      </c>
      <c r="F2906" s="5" t="s">
        <v>11837</v>
      </c>
      <c r="G2906" s="5" t="s">
        <v>12095</v>
      </c>
      <c r="H2906" s="5">
        <v>2001.0</v>
      </c>
      <c r="I2906" s="5">
        <v>0.0</v>
      </c>
      <c r="J2906" s="5">
        <v>0.0</v>
      </c>
      <c r="K2906" s="5">
        <v>4.0</v>
      </c>
      <c r="L2906" s="54"/>
      <c r="M2906" s="5" t="s">
        <v>12116</v>
      </c>
      <c r="N2906" s="53" t="s">
        <v>7911</v>
      </c>
      <c r="O2906">
        <v>38.652771</v>
      </c>
      <c r="P2906">
        <v>26.613007</v>
      </c>
      <c r="Q2906" s="5" t="s">
        <v>1032</v>
      </c>
      <c r="R2906" s="10">
        <f t="shared" si="10"/>
        <v>69</v>
      </c>
      <c r="S2906" s="5" t="s">
        <v>12117</v>
      </c>
      <c r="T2906" s="6" t="s">
        <v>53</v>
      </c>
      <c r="U2906" s="5" t="s">
        <v>254</v>
      </c>
      <c r="V2906" s="5"/>
    </row>
    <row r="2907" ht="12.75" customHeight="1">
      <c r="A2907" s="5">
        <v>36216.0</v>
      </c>
      <c r="B2907" s="5" t="s">
        <v>49</v>
      </c>
      <c r="C2907" s="52" t="s">
        <v>50</v>
      </c>
      <c r="D2907" s="5" t="s">
        <v>2852</v>
      </c>
      <c r="E2907" s="7" t="s">
        <v>12112</v>
      </c>
      <c r="F2907" s="5" t="s">
        <v>11837</v>
      </c>
      <c r="G2907" s="5" t="s">
        <v>12095</v>
      </c>
      <c r="H2907" s="5">
        <v>2001.0</v>
      </c>
      <c r="I2907" s="5">
        <v>0.0</v>
      </c>
      <c r="J2907" s="5">
        <v>0.0</v>
      </c>
      <c r="K2907" s="5">
        <v>2.0</v>
      </c>
      <c r="L2907" s="54"/>
      <c r="M2907" s="5" t="s">
        <v>12118</v>
      </c>
      <c r="N2907" s="53" t="s">
        <v>7911</v>
      </c>
      <c r="O2907">
        <v>38.652771</v>
      </c>
      <c r="P2907">
        <v>26.613007</v>
      </c>
      <c r="Q2907" s="5" t="s">
        <v>1032</v>
      </c>
      <c r="R2907" s="10">
        <f t="shared" si="10"/>
        <v>69</v>
      </c>
      <c r="S2907" s="5" t="s">
        <v>12117</v>
      </c>
      <c r="T2907" s="6" t="s">
        <v>53</v>
      </c>
      <c r="U2907" s="5" t="s">
        <v>254</v>
      </c>
      <c r="V2907" s="5"/>
    </row>
    <row r="2908" ht="12.75" customHeight="1">
      <c r="A2908" s="5">
        <v>36218.0</v>
      </c>
      <c r="B2908" s="5" t="s">
        <v>49</v>
      </c>
      <c r="C2908" s="52" t="s">
        <v>50</v>
      </c>
      <c r="D2908" s="5" t="s">
        <v>2852</v>
      </c>
      <c r="E2908" s="7" t="s">
        <v>12112</v>
      </c>
      <c r="F2908" s="5" t="s">
        <v>11837</v>
      </c>
      <c r="G2908" s="5" t="s">
        <v>12095</v>
      </c>
      <c r="H2908" s="5">
        <v>2001.0</v>
      </c>
      <c r="I2908" s="5">
        <v>0.0</v>
      </c>
      <c r="J2908" s="5">
        <v>0.0</v>
      </c>
      <c r="K2908" s="5">
        <v>2.0</v>
      </c>
      <c r="L2908" s="54"/>
      <c r="M2908" s="5" t="s">
        <v>12119</v>
      </c>
      <c r="N2908" s="53" t="s">
        <v>12120</v>
      </c>
      <c r="O2908">
        <v>40.771667</v>
      </c>
      <c r="P2908">
        <v>18.69873</v>
      </c>
      <c r="Q2908" s="5" t="s">
        <v>1159</v>
      </c>
      <c r="R2908" s="10">
        <f t="shared" si="10"/>
        <v>3</v>
      </c>
      <c r="S2908" s="5" t="s">
        <v>12121</v>
      </c>
      <c r="T2908" s="6" t="s">
        <v>1963</v>
      </c>
      <c r="U2908" s="5" t="s">
        <v>3219</v>
      </c>
      <c r="V2908" s="5"/>
    </row>
    <row r="2909" ht="12.75" customHeight="1">
      <c r="A2909" s="5">
        <v>36217.0</v>
      </c>
      <c r="B2909" s="5" t="s">
        <v>49</v>
      </c>
      <c r="C2909" s="52" t="s">
        <v>50</v>
      </c>
      <c r="D2909" s="5" t="s">
        <v>2852</v>
      </c>
      <c r="E2909" s="7" t="s">
        <v>12112</v>
      </c>
      <c r="F2909" s="5" t="s">
        <v>11837</v>
      </c>
      <c r="G2909" s="5" t="s">
        <v>12095</v>
      </c>
      <c r="H2909" s="5">
        <v>2001.0</v>
      </c>
      <c r="I2909" s="5">
        <v>0.0</v>
      </c>
      <c r="J2909" s="5">
        <v>0.0</v>
      </c>
      <c r="K2909" s="5">
        <v>1.0</v>
      </c>
      <c r="L2909" s="54"/>
      <c r="M2909" s="5" t="s">
        <v>12122</v>
      </c>
      <c r="N2909" s="53" t="s">
        <v>12120</v>
      </c>
      <c r="O2909">
        <v>40.771667</v>
      </c>
      <c r="P2909">
        <v>18.69873</v>
      </c>
      <c r="Q2909" s="5" t="s">
        <v>1159</v>
      </c>
      <c r="R2909" s="10">
        <f t="shared" si="10"/>
        <v>3</v>
      </c>
      <c r="S2909" s="5" t="s">
        <v>12121</v>
      </c>
      <c r="T2909" s="6" t="s">
        <v>1963</v>
      </c>
      <c r="U2909" s="5" t="s">
        <v>3219</v>
      </c>
      <c r="V2909" s="5"/>
    </row>
    <row r="2910" ht="12.75" customHeight="1">
      <c r="A2910" s="5">
        <v>36220.0</v>
      </c>
      <c r="B2910" s="5" t="s">
        <v>1773</v>
      </c>
      <c r="C2910" s="5" t="s">
        <v>124</v>
      </c>
      <c r="D2910" s="5" t="s">
        <v>2852</v>
      </c>
      <c r="E2910" s="7" t="s">
        <v>12123</v>
      </c>
      <c r="F2910" s="5" t="s">
        <v>11837</v>
      </c>
      <c r="G2910" s="5" t="s">
        <v>12095</v>
      </c>
      <c r="H2910" s="5">
        <v>2001.0</v>
      </c>
      <c r="I2910" s="5">
        <v>0.0</v>
      </c>
      <c r="J2910" s="5">
        <v>0.0</v>
      </c>
      <c r="K2910" s="5">
        <v>1.0</v>
      </c>
      <c r="L2910" s="54"/>
      <c r="M2910" s="5" t="s">
        <v>12124</v>
      </c>
      <c r="N2910" s="53" t="s">
        <v>4450</v>
      </c>
      <c r="O2910">
        <v>45.465454</v>
      </c>
      <c r="P2910">
        <v>9.186516</v>
      </c>
      <c r="Q2910" s="5" t="s">
        <v>1322</v>
      </c>
      <c r="R2910" s="10">
        <f t="shared" si="10"/>
        <v>3</v>
      </c>
      <c r="S2910" s="5" t="s">
        <v>12125</v>
      </c>
      <c r="T2910" s="5"/>
      <c r="U2910" s="5" t="s">
        <v>3219</v>
      </c>
      <c r="V2910" s="5"/>
    </row>
    <row r="2911" ht="12.75" customHeight="1">
      <c r="A2911" s="5">
        <v>36221.0</v>
      </c>
      <c r="B2911" s="5" t="s">
        <v>68</v>
      </c>
      <c r="C2911" s="5" t="s">
        <v>69</v>
      </c>
      <c r="D2911" s="5" t="s">
        <v>2852</v>
      </c>
      <c r="E2911" s="7" t="s">
        <v>12126</v>
      </c>
      <c r="F2911" s="5" t="s">
        <v>11837</v>
      </c>
      <c r="G2911" s="5" t="s">
        <v>12095</v>
      </c>
      <c r="H2911" s="5">
        <v>2001.0</v>
      </c>
      <c r="I2911" s="5">
        <v>0.0</v>
      </c>
      <c r="J2911" s="5">
        <v>0.0</v>
      </c>
      <c r="K2911" s="5">
        <v>5.0</v>
      </c>
      <c r="L2911" s="54"/>
      <c r="M2911" s="5" t="s">
        <v>12127</v>
      </c>
      <c r="N2911" s="53" t="s">
        <v>7911</v>
      </c>
      <c r="O2911">
        <v>38.652771</v>
      </c>
      <c r="P2911">
        <v>26.613007</v>
      </c>
      <c r="Q2911" s="5" t="s">
        <v>1032</v>
      </c>
      <c r="R2911" s="10">
        <f t="shared" si="10"/>
        <v>69</v>
      </c>
      <c r="S2911" s="5" t="s">
        <v>12128</v>
      </c>
      <c r="T2911" s="6" t="s">
        <v>53</v>
      </c>
      <c r="U2911" s="5" t="s">
        <v>59</v>
      </c>
      <c r="V2911" s="5"/>
    </row>
    <row r="2912" ht="12.75" customHeight="1">
      <c r="A2912" s="5">
        <v>36222.0</v>
      </c>
      <c r="B2912" s="5" t="s">
        <v>49</v>
      </c>
      <c r="C2912" s="52" t="s">
        <v>50</v>
      </c>
      <c r="D2912" s="5" t="s">
        <v>2852</v>
      </c>
      <c r="E2912" s="7" t="s">
        <v>12129</v>
      </c>
      <c r="F2912" s="5" t="s">
        <v>11837</v>
      </c>
      <c r="G2912" s="5" t="s">
        <v>12095</v>
      </c>
      <c r="H2912" s="5">
        <v>2001.0</v>
      </c>
      <c r="I2912" s="5">
        <v>0.0</v>
      </c>
      <c r="J2912" s="5">
        <v>0.0</v>
      </c>
      <c r="K2912" s="5">
        <v>1.0</v>
      </c>
      <c r="L2912" s="54"/>
      <c r="M2912" s="5" t="s">
        <v>12130</v>
      </c>
      <c r="N2912" s="53" t="s">
        <v>5814</v>
      </c>
      <c r="O2912">
        <v>28.358744</v>
      </c>
      <c r="P2912">
        <v>-14.053676</v>
      </c>
      <c r="Q2912" s="5" t="s">
        <v>390</v>
      </c>
      <c r="R2912" s="10">
        <f t="shared" si="10"/>
        <v>488</v>
      </c>
      <c r="S2912" s="5" t="s">
        <v>12131</v>
      </c>
      <c r="T2912" s="5" t="s">
        <v>1040</v>
      </c>
      <c r="U2912" s="5" t="s">
        <v>2219</v>
      </c>
      <c r="V2912" s="5"/>
    </row>
    <row r="2913" ht="12.75" customHeight="1">
      <c r="A2913" s="5">
        <v>36225.0</v>
      </c>
      <c r="B2913" s="5" t="s">
        <v>49</v>
      </c>
      <c r="C2913" s="52" t="s">
        <v>50</v>
      </c>
      <c r="D2913" s="5" t="s">
        <v>2852</v>
      </c>
      <c r="E2913" s="7" t="s">
        <v>12132</v>
      </c>
      <c r="F2913" s="5" t="s">
        <v>11837</v>
      </c>
      <c r="G2913" s="5" t="s">
        <v>12095</v>
      </c>
      <c r="H2913" s="5">
        <v>2001.0</v>
      </c>
      <c r="I2913" s="5">
        <v>0.0</v>
      </c>
      <c r="J2913" s="5">
        <v>0.0</v>
      </c>
      <c r="K2913" s="5">
        <v>11.0</v>
      </c>
      <c r="L2913" s="54"/>
      <c r="M2913" s="5" t="s">
        <v>12133</v>
      </c>
      <c r="N2913" s="53" t="s">
        <v>3379</v>
      </c>
      <c r="O2913">
        <v>36.834047</v>
      </c>
      <c r="P2913">
        <v>-2.463714</v>
      </c>
      <c r="Q2913" s="5" t="s">
        <v>863</v>
      </c>
      <c r="R2913" s="10">
        <f t="shared" si="10"/>
        <v>208</v>
      </c>
      <c r="S2913" s="5" t="s">
        <v>12134</v>
      </c>
      <c r="T2913" s="6" t="s">
        <v>72</v>
      </c>
      <c r="U2913" s="5" t="s">
        <v>3128</v>
      </c>
      <c r="V2913" s="5"/>
    </row>
    <row r="2914" ht="12.75" customHeight="1">
      <c r="A2914" s="5">
        <v>36224.0</v>
      </c>
      <c r="B2914" s="5" t="s">
        <v>68</v>
      </c>
      <c r="C2914" s="5" t="s">
        <v>69</v>
      </c>
      <c r="D2914" s="5" t="s">
        <v>2852</v>
      </c>
      <c r="E2914" s="7" t="s">
        <v>12132</v>
      </c>
      <c r="F2914" s="5" t="s">
        <v>11837</v>
      </c>
      <c r="G2914" s="5" t="s">
        <v>12095</v>
      </c>
      <c r="H2914" s="5">
        <v>2001.0</v>
      </c>
      <c r="I2914" s="5">
        <v>0.0</v>
      </c>
      <c r="J2914" s="5">
        <v>0.0</v>
      </c>
      <c r="K2914" s="5">
        <v>15.0</v>
      </c>
      <c r="L2914" s="54"/>
      <c r="M2914" s="5" t="s">
        <v>12135</v>
      </c>
      <c r="N2914" s="53" t="s">
        <v>7911</v>
      </c>
      <c r="O2914">
        <v>38.652771</v>
      </c>
      <c r="P2914">
        <v>26.613007</v>
      </c>
      <c r="Q2914" s="5" t="s">
        <v>1032</v>
      </c>
      <c r="R2914" s="10">
        <f t="shared" si="10"/>
        <v>69</v>
      </c>
      <c r="S2914" s="5" t="s">
        <v>12136</v>
      </c>
      <c r="T2914" s="6" t="s">
        <v>53</v>
      </c>
      <c r="U2914" s="5" t="s">
        <v>3128</v>
      </c>
      <c r="V2914" s="5"/>
    </row>
    <row r="2915" ht="12.75" customHeight="1">
      <c r="A2915" s="5">
        <v>36223.0</v>
      </c>
      <c r="B2915" s="5" t="s">
        <v>49</v>
      </c>
      <c r="C2915" s="52" t="s">
        <v>50</v>
      </c>
      <c r="D2915" s="5" t="s">
        <v>2852</v>
      </c>
      <c r="E2915" s="7" t="s">
        <v>12132</v>
      </c>
      <c r="F2915" s="5" t="s">
        <v>11837</v>
      </c>
      <c r="G2915" s="5" t="s">
        <v>12095</v>
      </c>
      <c r="H2915" s="5">
        <v>2001.0</v>
      </c>
      <c r="I2915" s="5">
        <v>0.0</v>
      </c>
      <c r="J2915" s="5">
        <v>0.0</v>
      </c>
      <c r="K2915" s="5">
        <v>3.0</v>
      </c>
      <c r="L2915" s="54"/>
      <c r="M2915" s="5" t="s">
        <v>12137</v>
      </c>
      <c r="N2915" s="53" t="s">
        <v>7911</v>
      </c>
      <c r="O2915">
        <v>38.652771</v>
      </c>
      <c r="P2915">
        <v>26.613007</v>
      </c>
      <c r="Q2915" s="5" t="s">
        <v>1032</v>
      </c>
      <c r="R2915" s="10">
        <f t="shared" si="10"/>
        <v>69</v>
      </c>
      <c r="S2915" s="5" t="s">
        <v>12136</v>
      </c>
      <c r="T2915" s="6" t="s">
        <v>53</v>
      </c>
      <c r="U2915" s="5" t="s">
        <v>3128</v>
      </c>
      <c r="V2915" s="5"/>
    </row>
    <row r="2916" ht="12.75" customHeight="1">
      <c r="A2916" s="5">
        <v>36226.0</v>
      </c>
      <c r="B2916" s="5" t="s">
        <v>49</v>
      </c>
      <c r="C2916" s="52" t="s">
        <v>50</v>
      </c>
      <c r="D2916" s="5" t="s">
        <v>2852</v>
      </c>
      <c r="E2916" s="7" t="s">
        <v>12138</v>
      </c>
      <c r="F2916" s="5" t="s">
        <v>11837</v>
      </c>
      <c r="G2916" s="5" t="s">
        <v>12095</v>
      </c>
      <c r="H2916" s="5">
        <v>2001.0</v>
      </c>
      <c r="I2916" s="5">
        <v>0.0</v>
      </c>
      <c r="J2916" s="5">
        <v>0.0</v>
      </c>
      <c r="K2916" s="5">
        <v>1.0</v>
      </c>
      <c r="L2916" s="54"/>
      <c r="M2916" s="5" t="s">
        <v>12139</v>
      </c>
      <c r="N2916" s="53" t="s">
        <v>2857</v>
      </c>
      <c r="O2916">
        <v>36.527061</v>
      </c>
      <c r="P2916">
        <v>-6.288596</v>
      </c>
      <c r="Q2916" s="5" t="s">
        <v>802</v>
      </c>
      <c r="R2916" s="10">
        <f t="shared" si="10"/>
        <v>185</v>
      </c>
      <c r="S2916" s="5" t="s">
        <v>12140</v>
      </c>
      <c r="T2916" s="6" t="s">
        <v>72</v>
      </c>
      <c r="U2916" s="5" t="s">
        <v>9508</v>
      </c>
      <c r="V2916" s="5"/>
    </row>
    <row r="2917" ht="12.75" customHeight="1">
      <c r="A2917" s="5">
        <v>36227.0</v>
      </c>
      <c r="B2917" s="5" t="s">
        <v>1076</v>
      </c>
      <c r="C2917" s="52" t="s">
        <v>50</v>
      </c>
      <c r="D2917" s="5" t="s">
        <v>2852</v>
      </c>
      <c r="E2917" s="7" t="s">
        <v>12141</v>
      </c>
      <c r="F2917" s="5" t="s">
        <v>11837</v>
      </c>
      <c r="G2917" s="5" t="s">
        <v>12095</v>
      </c>
      <c r="H2917" s="5">
        <v>2001.0</v>
      </c>
      <c r="I2917" s="5">
        <v>0.0</v>
      </c>
      <c r="J2917" s="5">
        <v>0.0</v>
      </c>
      <c r="K2917" s="5">
        <v>1.0</v>
      </c>
      <c r="L2917" s="54"/>
      <c r="M2917" s="5" t="s">
        <v>12142</v>
      </c>
      <c r="N2917" s="53" t="s">
        <v>6515</v>
      </c>
      <c r="O2917">
        <v>17.607789</v>
      </c>
      <c r="P2917">
        <v>8.081666</v>
      </c>
      <c r="Q2917" s="5" t="s">
        <v>284</v>
      </c>
      <c r="R2917" s="10">
        <f t="shared" si="10"/>
        <v>164</v>
      </c>
      <c r="S2917" s="5" t="s">
        <v>12143</v>
      </c>
      <c r="T2917" s="5"/>
      <c r="U2917" s="5" t="s">
        <v>12144</v>
      </c>
      <c r="V2917" s="5"/>
    </row>
    <row r="2918" ht="12.75" customHeight="1">
      <c r="A2918" s="5">
        <v>36228.0</v>
      </c>
      <c r="B2918" s="5" t="s">
        <v>1857</v>
      </c>
      <c r="C2918" s="52" t="s">
        <v>50</v>
      </c>
      <c r="D2918" s="5" t="s">
        <v>2852</v>
      </c>
      <c r="E2918" s="7" t="s">
        <v>12141</v>
      </c>
      <c r="F2918" s="5" t="s">
        <v>11837</v>
      </c>
      <c r="G2918" s="5" t="s">
        <v>12095</v>
      </c>
      <c r="H2918" s="5">
        <v>2001.0</v>
      </c>
      <c r="I2918" s="5">
        <v>0.0</v>
      </c>
      <c r="J2918" s="5">
        <v>0.0</v>
      </c>
      <c r="K2918" s="5">
        <v>1.0</v>
      </c>
      <c r="L2918" s="54"/>
      <c r="M2918" s="5" t="s">
        <v>12145</v>
      </c>
      <c r="N2918" s="53" t="s">
        <v>5963</v>
      </c>
      <c r="O2918">
        <v>46.227638</v>
      </c>
      <c r="P2918">
        <v>2.213749</v>
      </c>
      <c r="Q2918" s="5" t="s">
        <v>1351</v>
      </c>
      <c r="R2918" s="10">
        <f t="shared" si="10"/>
        <v>8</v>
      </c>
      <c r="S2918" s="5" t="s">
        <v>12146</v>
      </c>
      <c r="T2918" s="5"/>
      <c r="U2918" s="5" t="s">
        <v>4578</v>
      </c>
      <c r="V2918" s="5"/>
    </row>
    <row r="2919" ht="12.75" customHeight="1">
      <c r="A2919" s="5">
        <v>36229.0</v>
      </c>
      <c r="B2919" s="5" t="s">
        <v>68</v>
      </c>
      <c r="C2919" s="5" t="s">
        <v>69</v>
      </c>
      <c r="D2919" s="5" t="s">
        <v>2614</v>
      </c>
      <c r="E2919" s="7" t="s">
        <v>12147</v>
      </c>
      <c r="F2919" s="5" t="s">
        <v>11837</v>
      </c>
      <c r="G2919" s="5" t="s">
        <v>12095</v>
      </c>
      <c r="H2919" s="5">
        <v>2001.0</v>
      </c>
      <c r="I2919" s="5">
        <v>0.0</v>
      </c>
      <c r="J2919" s="5">
        <v>0.0</v>
      </c>
      <c r="K2919" s="5">
        <v>1.0</v>
      </c>
      <c r="L2919" s="54"/>
      <c r="M2919" s="5" t="s">
        <v>12148</v>
      </c>
      <c r="N2919" s="53" t="s">
        <v>2680</v>
      </c>
      <c r="O2919">
        <v>36.018776</v>
      </c>
      <c r="P2919">
        <v>-5.600819</v>
      </c>
      <c r="Q2919" s="5" t="s">
        <v>761</v>
      </c>
      <c r="R2919" s="10">
        <f t="shared" si="10"/>
        <v>492</v>
      </c>
      <c r="S2919" s="5" t="s">
        <v>12149</v>
      </c>
      <c r="T2919" s="6" t="s">
        <v>72</v>
      </c>
      <c r="U2919" s="5" t="s">
        <v>2785</v>
      </c>
      <c r="V2919" s="5" t="s">
        <v>12150</v>
      </c>
    </row>
    <row r="2920" ht="12.75" customHeight="1">
      <c r="A2920" s="5">
        <v>36230.0</v>
      </c>
      <c r="B2920" s="5" t="s">
        <v>41</v>
      </c>
      <c r="C2920" s="5" t="s">
        <v>42</v>
      </c>
      <c r="D2920" s="5" t="s">
        <v>2852</v>
      </c>
      <c r="E2920" s="7" t="s">
        <v>12147</v>
      </c>
      <c r="F2920" s="5" t="s">
        <v>11837</v>
      </c>
      <c r="G2920" s="5" t="s">
        <v>12095</v>
      </c>
      <c r="H2920" s="5">
        <v>2001.0</v>
      </c>
      <c r="I2920" s="5">
        <v>0.0</v>
      </c>
      <c r="J2920" s="5">
        <v>0.0</v>
      </c>
      <c r="K2920" s="5">
        <v>1.0</v>
      </c>
      <c r="L2920" s="54"/>
      <c r="M2920" s="5" t="s">
        <v>12151</v>
      </c>
      <c r="N2920" s="53" t="s">
        <v>12152</v>
      </c>
      <c r="O2920">
        <v>57.782614</v>
      </c>
      <c r="P2920">
        <v>14.161788</v>
      </c>
      <c r="Q2920" s="5" t="s">
        <v>1907</v>
      </c>
      <c r="R2920" s="10">
        <f t="shared" si="10"/>
        <v>2</v>
      </c>
      <c r="S2920" s="5" t="s">
        <v>12153</v>
      </c>
      <c r="T2920" s="5"/>
      <c r="U2920" s="5" t="s">
        <v>3128</v>
      </c>
      <c r="V2920" s="5"/>
    </row>
    <row r="2921" ht="12.75" customHeight="1">
      <c r="A2921" s="5">
        <v>36232.0</v>
      </c>
      <c r="B2921" s="5" t="s">
        <v>98</v>
      </c>
      <c r="C2921" s="5" t="s">
        <v>62</v>
      </c>
      <c r="D2921" s="5" t="s">
        <v>2852</v>
      </c>
      <c r="E2921" s="7" t="s">
        <v>12154</v>
      </c>
      <c r="F2921" s="5" t="s">
        <v>11837</v>
      </c>
      <c r="G2921" s="5" t="s">
        <v>12095</v>
      </c>
      <c r="H2921" s="5">
        <v>2001.0</v>
      </c>
      <c r="I2921" s="5">
        <v>0.0</v>
      </c>
      <c r="J2921" s="5">
        <v>0.0</v>
      </c>
      <c r="K2921" s="5">
        <v>2.0</v>
      </c>
      <c r="L2921" s="54"/>
      <c r="M2921" s="5" t="s">
        <v>12155</v>
      </c>
      <c r="N2921" s="53" t="s">
        <v>8889</v>
      </c>
      <c r="O2921">
        <v>47.516231</v>
      </c>
      <c r="P2921">
        <v>14.550072</v>
      </c>
      <c r="Q2921" s="5" t="s">
        <v>1384</v>
      </c>
      <c r="R2921" s="10">
        <f t="shared" si="10"/>
        <v>4</v>
      </c>
      <c r="S2921" s="5" t="s">
        <v>12156</v>
      </c>
      <c r="T2921" s="5"/>
      <c r="U2921" s="5" t="s">
        <v>3219</v>
      </c>
      <c r="V2921" s="5"/>
    </row>
    <row r="2922" ht="12.75" customHeight="1">
      <c r="A2922" s="5">
        <v>36233.0</v>
      </c>
      <c r="B2922" s="5" t="s">
        <v>1761</v>
      </c>
      <c r="C2922" s="5" t="s">
        <v>124</v>
      </c>
      <c r="D2922" s="5" t="s">
        <v>2852</v>
      </c>
      <c r="E2922" s="7" t="s">
        <v>12154</v>
      </c>
      <c r="F2922" s="5" t="s">
        <v>11837</v>
      </c>
      <c r="G2922" s="5" t="s">
        <v>12095</v>
      </c>
      <c r="H2922" s="5">
        <v>2001.0</v>
      </c>
      <c r="I2922" s="5">
        <v>0.0</v>
      </c>
      <c r="J2922" s="5">
        <v>0.0</v>
      </c>
      <c r="K2922" s="5">
        <v>1.0</v>
      </c>
      <c r="L2922" s="54"/>
      <c r="M2922" s="5" t="s">
        <v>12157</v>
      </c>
      <c r="N2922" s="53" t="s">
        <v>2427</v>
      </c>
      <c r="O2922">
        <v>50.95129</v>
      </c>
      <c r="P2922">
        <v>1.858686</v>
      </c>
      <c r="Q2922" s="5" t="s">
        <v>1551</v>
      </c>
      <c r="R2922" s="10">
        <f t="shared" si="10"/>
        <v>30</v>
      </c>
      <c r="S2922" s="5" t="s">
        <v>12158</v>
      </c>
      <c r="T2922" s="5"/>
      <c r="U2922" s="5" t="s">
        <v>5951</v>
      </c>
      <c r="V2922" s="5"/>
    </row>
    <row r="2923" ht="12.75" customHeight="1">
      <c r="A2923" s="5">
        <v>36231.0</v>
      </c>
      <c r="B2923" s="5" t="s">
        <v>41</v>
      </c>
      <c r="C2923" s="5" t="s">
        <v>42</v>
      </c>
      <c r="D2923" s="5" t="s">
        <v>2852</v>
      </c>
      <c r="E2923" s="7" t="s">
        <v>12154</v>
      </c>
      <c r="F2923" s="5" t="s">
        <v>11837</v>
      </c>
      <c r="G2923" s="5" t="s">
        <v>12095</v>
      </c>
      <c r="H2923" s="5">
        <v>2001.0</v>
      </c>
      <c r="I2923" s="5">
        <v>0.0</v>
      </c>
      <c r="J2923" s="5">
        <v>0.0</v>
      </c>
      <c r="K2923" s="5">
        <v>1.0</v>
      </c>
      <c r="L2923" s="54"/>
      <c r="M2923" s="5" t="s">
        <v>12159</v>
      </c>
      <c r="N2923" s="53" t="s">
        <v>12152</v>
      </c>
      <c r="O2923">
        <v>57.782614</v>
      </c>
      <c r="P2923">
        <v>14.161788</v>
      </c>
      <c r="Q2923" s="5" t="s">
        <v>1907</v>
      </c>
      <c r="R2923" s="10">
        <f t="shared" si="10"/>
        <v>2</v>
      </c>
      <c r="S2923" s="5" t="s">
        <v>12160</v>
      </c>
      <c r="T2923" s="5"/>
      <c r="U2923" s="5" t="s">
        <v>4255</v>
      </c>
      <c r="V2923" s="5"/>
    </row>
    <row r="2924" ht="12.75" customHeight="1">
      <c r="A2924" s="5">
        <v>36305.0</v>
      </c>
      <c r="B2924" s="5" t="s">
        <v>68</v>
      </c>
      <c r="C2924" s="5" t="s">
        <v>69</v>
      </c>
      <c r="D2924" s="5" t="s">
        <v>2852</v>
      </c>
      <c r="E2924" s="7" t="s">
        <v>12161</v>
      </c>
      <c r="F2924" s="5" t="s">
        <v>12162</v>
      </c>
      <c r="G2924" s="5" t="s">
        <v>12163</v>
      </c>
      <c r="H2924" s="5">
        <v>2000.0</v>
      </c>
      <c r="I2924" s="5">
        <v>0.0</v>
      </c>
      <c r="J2924" s="5">
        <v>0.0</v>
      </c>
      <c r="K2924" s="5">
        <v>1.0</v>
      </c>
      <c r="L2924" s="54"/>
      <c r="M2924" s="5" t="s">
        <v>12164</v>
      </c>
      <c r="N2924" s="53" t="s">
        <v>6857</v>
      </c>
      <c r="O2924">
        <v>50.110922</v>
      </c>
      <c r="P2924">
        <v>8.682127</v>
      </c>
      <c r="Q2924" s="5" t="s">
        <v>1485</v>
      </c>
      <c r="R2924" s="10">
        <f t="shared" si="10"/>
        <v>6</v>
      </c>
      <c r="S2924" s="5" t="s">
        <v>12165</v>
      </c>
      <c r="T2924" s="5"/>
      <c r="U2924" s="5" t="s">
        <v>12166</v>
      </c>
      <c r="V2924" s="5" t="s">
        <v>12167</v>
      </c>
    </row>
    <row r="2925" ht="12.75" customHeight="1">
      <c r="A2925" s="5">
        <v>36306.0</v>
      </c>
      <c r="B2925" s="5" t="s">
        <v>68</v>
      </c>
      <c r="C2925" s="5" t="s">
        <v>69</v>
      </c>
      <c r="D2925" s="5" t="s">
        <v>2614</v>
      </c>
      <c r="E2925" s="7" t="s">
        <v>12168</v>
      </c>
      <c r="F2925" s="5" t="s">
        <v>12162</v>
      </c>
      <c r="G2925" s="5" t="s">
        <v>12163</v>
      </c>
      <c r="H2925" s="5">
        <v>2000.0</v>
      </c>
      <c r="I2925" s="5">
        <v>0.0</v>
      </c>
      <c r="J2925" s="5">
        <v>0.0</v>
      </c>
      <c r="K2925" s="5">
        <v>12.0</v>
      </c>
      <c r="L2925" s="54"/>
      <c r="M2925" s="5" t="s">
        <v>12169</v>
      </c>
      <c r="N2925" s="53" t="s">
        <v>2944</v>
      </c>
      <c r="O2925">
        <v>-12.8275</v>
      </c>
      <c r="P2925">
        <v>45.166244</v>
      </c>
      <c r="Q2925" s="5" t="s">
        <v>228</v>
      </c>
      <c r="R2925" s="10">
        <f t="shared" si="10"/>
        <v>757</v>
      </c>
      <c r="S2925" s="5" t="s">
        <v>12170</v>
      </c>
      <c r="T2925" s="5"/>
      <c r="U2925" s="5" t="s">
        <v>8097</v>
      </c>
      <c r="V2925" s="5" t="s">
        <v>8585</v>
      </c>
    </row>
    <row r="2926" ht="12.75" customHeight="1">
      <c r="A2926" s="5">
        <v>36307.0</v>
      </c>
      <c r="B2926" s="5" t="s">
        <v>4108</v>
      </c>
      <c r="C2926" s="5" t="s">
        <v>211</v>
      </c>
      <c r="D2926" s="5" t="s">
        <v>2852</v>
      </c>
      <c r="E2926" s="7" t="s">
        <v>12171</v>
      </c>
      <c r="F2926" s="5" t="s">
        <v>12162</v>
      </c>
      <c r="G2926" s="5" t="s">
        <v>12163</v>
      </c>
      <c r="H2926" s="5">
        <v>2000.0</v>
      </c>
      <c r="I2926" s="5">
        <v>0.0</v>
      </c>
      <c r="J2926" s="5">
        <v>0.0</v>
      </c>
      <c r="K2926" s="5">
        <v>1.0</v>
      </c>
      <c r="L2926" s="54"/>
      <c r="M2926" s="5" t="s">
        <v>12172</v>
      </c>
      <c r="N2926" s="53" t="s">
        <v>12173</v>
      </c>
      <c r="O2926">
        <v>46.60856</v>
      </c>
      <c r="P2926">
        <v>13.85062</v>
      </c>
      <c r="Q2926" s="5" t="s">
        <v>1358</v>
      </c>
      <c r="R2926" s="10">
        <f t="shared" si="10"/>
        <v>1</v>
      </c>
      <c r="S2926" s="5" t="s">
        <v>12174</v>
      </c>
      <c r="T2926" s="6" t="s">
        <v>65</v>
      </c>
      <c r="U2926" s="5" t="s">
        <v>12175</v>
      </c>
      <c r="V2926" s="5"/>
    </row>
    <row r="2927" ht="12.75" customHeight="1">
      <c r="A2927" s="5">
        <v>36308.0</v>
      </c>
      <c r="B2927" s="5" t="s">
        <v>68</v>
      </c>
      <c r="C2927" s="5" t="s">
        <v>69</v>
      </c>
      <c r="D2927" s="5" t="s">
        <v>2614</v>
      </c>
      <c r="E2927" s="7" t="s">
        <v>12176</v>
      </c>
      <c r="F2927" s="5" t="s">
        <v>12162</v>
      </c>
      <c r="G2927" s="5" t="s">
        <v>12163</v>
      </c>
      <c r="H2927" s="5">
        <v>2000.0</v>
      </c>
      <c r="I2927" s="5">
        <v>0.0</v>
      </c>
      <c r="J2927" s="5">
        <v>0.0</v>
      </c>
      <c r="K2927" s="5">
        <v>10.0</v>
      </c>
      <c r="L2927" s="54"/>
      <c r="M2927" s="5" t="s">
        <v>12177</v>
      </c>
      <c r="N2927" s="53" t="s">
        <v>12178</v>
      </c>
      <c r="O2927">
        <v>33.85</v>
      </c>
      <c r="P2927">
        <v>-7.03</v>
      </c>
      <c r="Q2927" s="5" t="s">
        <v>555</v>
      </c>
      <c r="R2927" s="10">
        <f t="shared" si="10"/>
        <v>10</v>
      </c>
      <c r="S2927" s="5" t="s">
        <v>12179</v>
      </c>
      <c r="T2927" s="5"/>
      <c r="U2927" s="5" t="s">
        <v>2326</v>
      </c>
      <c r="V2927" s="5" t="s">
        <v>7579</v>
      </c>
    </row>
    <row r="2928" ht="12.75" customHeight="1">
      <c r="A2928" s="5">
        <v>36309.0</v>
      </c>
      <c r="B2928" s="5" t="s">
        <v>1076</v>
      </c>
      <c r="C2928" s="52" t="s">
        <v>50</v>
      </c>
      <c r="D2928" s="5" t="s">
        <v>2852</v>
      </c>
      <c r="E2928" s="7" t="s">
        <v>12180</v>
      </c>
      <c r="F2928" s="5" t="s">
        <v>12162</v>
      </c>
      <c r="G2928" s="5" t="s">
        <v>12163</v>
      </c>
      <c r="H2928" s="5">
        <v>2000.0</v>
      </c>
      <c r="I2928" s="5">
        <v>0.0</v>
      </c>
      <c r="J2928" s="5">
        <v>0.0</v>
      </c>
      <c r="K2928" s="5">
        <v>2.0</v>
      </c>
      <c r="L2928" s="54"/>
      <c r="M2928" s="5" t="s">
        <v>12181</v>
      </c>
      <c r="N2928" s="53" t="s">
        <v>12182</v>
      </c>
      <c r="O2928">
        <v>37.938637</v>
      </c>
      <c r="P2928">
        <v>22.932238</v>
      </c>
      <c r="Q2928" s="5" t="s">
        <v>966</v>
      </c>
      <c r="R2928" s="10">
        <f t="shared" si="10"/>
        <v>2</v>
      </c>
      <c r="S2928" s="5" t="s">
        <v>12183</v>
      </c>
      <c r="T2928" s="6" t="s">
        <v>53</v>
      </c>
      <c r="U2928" s="5" t="s">
        <v>12184</v>
      </c>
      <c r="V2928" s="5" t="s">
        <v>12185</v>
      </c>
    </row>
    <row r="2929" ht="12.75" customHeight="1">
      <c r="A2929" s="5">
        <v>36310.0</v>
      </c>
      <c r="B2929" s="5" t="s">
        <v>49</v>
      </c>
      <c r="C2929" s="52" t="s">
        <v>50</v>
      </c>
      <c r="D2929" s="5" t="s">
        <v>2852</v>
      </c>
      <c r="E2929" s="7" t="s">
        <v>12186</v>
      </c>
      <c r="F2929" s="5" t="s">
        <v>12162</v>
      </c>
      <c r="G2929" s="5" t="s">
        <v>12163</v>
      </c>
      <c r="H2929" s="5">
        <v>2000.0</v>
      </c>
      <c r="I2929" s="5">
        <v>0.0</v>
      </c>
      <c r="J2929" s="5">
        <v>0.0</v>
      </c>
      <c r="K2929" s="5">
        <v>3.0</v>
      </c>
      <c r="L2929" s="54"/>
      <c r="M2929" s="5" t="s">
        <v>12187</v>
      </c>
      <c r="N2929" s="53" t="s">
        <v>2857</v>
      </c>
      <c r="O2929">
        <v>36.527061</v>
      </c>
      <c r="P2929">
        <v>-6.288596</v>
      </c>
      <c r="Q2929" s="5" t="s">
        <v>802</v>
      </c>
      <c r="R2929" s="10">
        <f t="shared" si="10"/>
        <v>185</v>
      </c>
      <c r="S2929" s="5" t="s">
        <v>12188</v>
      </c>
      <c r="T2929" s="6" t="s">
        <v>72</v>
      </c>
      <c r="U2929" s="5" t="s">
        <v>12189</v>
      </c>
      <c r="V2929" s="5"/>
    </row>
    <row r="2930" ht="12.75" customHeight="1">
      <c r="A2930" s="5">
        <v>36311.0</v>
      </c>
      <c r="B2930" s="5" t="s">
        <v>68</v>
      </c>
      <c r="C2930" s="5" t="s">
        <v>69</v>
      </c>
      <c r="D2930" s="5" t="s">
        <v>2852</v>
      </c>
      <c r="E2930" s="7" t="s">
        <v>12190</v>
      </c>
      <c r="F2930" s="5" t="s">
        <v>12162</v>
      </c>
      <c r="G2930" s="5" t="s">
        <v>12163</v>
      </c>
      <c r="H2930" s="5">
        <v>2000.0</v>
      </c>
      <c r="I2930" s="5">
        <v>0.0</v>
      </c>
      <c r="J2930" s="5">
        <v>0.0</v>
      </c>
      <c r="K2930" s="5">
        <v>4.0</v>
      </c>
      <c r="L2930" s="54"/>
      <c r="M2930" s="5" t="s">
        <v>12191</v>
      </c>
      <c r="N2930" s="53" t="s">
        <v>12192</v>
      </c>
      <c r="O2930">
        <v>42.672421</v>
      </c>
      <c r="P2930">
        <v>21.164539</v>
      </c>
      <c r="Q2930" s="5" t="s">
        <v>1256</v>
      </c>
      <c r="R2930" s="10">
        <f t="shared" si="10"/>
        <v>4</v>
      </c>
      <c r="S2930" s="5" t="s">
        <v>12193</v>
      </c>
      <c r="T2930" s="5"/>
      <c r="U2930" s="5" t="s">
        <v>12194</v>
      </c>
      <c r="V2930" s="5"/>
    </row>
    <row r="2931" ht="12.75" customHeight="1">
      <c r="A2931" s="5">
        <v>36312.0</v>
      </c>
      <c r="B2931" s="5" t="s">
        <v>68</v>
      </c>
      <c r="C2931" s="5" t="s">
        <v>69</v>
      </c>
      <c r="D2931" s="5" t="s">
        <v>2614</v>
      </c>
      <c r="E2931" s="7" t="s">
        <v>12195</v>
      </c>
      <c r="F2931" s="5" t="s">
        <v>12162</v>
      </c>
      <c r="G2931" s="5" t="s">
        <v>12163</v>
      </c>
      <c r="H2931" s="5">
        <v>2000.0</v>
      </c>
      <c r="I2931" s="5">
        <v>0.0</v>
      </c>
      <c r="J2931" s="5">
        <v>0.0</v>
      </c>
      <c r="K2931" s="5">
        <v>9.0</v>
      </c>
      <c r="L2931" s="54"/>
      <c r="M2931" s="5" t="s">
        <v>12196</v>
      </c>
      <c r="N2931" s="53" t="s">
        <v>2638</v>
      </c>
      <c r="O2931">
        <v>35.888384</v>
      </c>
      <c r="P2931">
        <v>-5.324636</v>
      </c>
      <c r="Q2931" s="5" t="s">
        <v>717</v>
      </c>
      <c r="R2931" s="10">
        <f t="shared" si="10"/>
        <v>213</v>
      </c>
      <c r="S2931" s="5" t="s">
        <v>12197</v>
      </c>
      <c r="T2931" s="6" t="s">
        <v>72</v>
      </c>
      <c r="U2931" s="5" t="s">
        <v>2785</v>
      </c>
      <c r="V2931" s="5" t="s">
        <v>12198</v>
      </c>
    </row>
    <row r="2932" ht="12.75" customHeight="1">
      <c r="A2932" s="5">
        <v>36313.0</v>
      </c>
      <c r="B2932" s="5" t="s">
        <v>49</v>
      </c>
      <c r="C2932" s="52" t="s">
        <v>50</v>
      </c>
      <c r="D2932" s="5" t="s">
        <v>2852</v>
      </c>
      <c r="E2932" s="7" t="s">
        <v>12199</v>
      </c>
      <c r="F2932" s="5" t="s">
        <v>12162</v>
      </c>
      <c r="G2932" s="5" t="s">
        <v>12163</v>
      </c>
      <c r="H2932" s="5">
        <v>2000.0</v>
      </c>
      <c r="I2932" s="5">
        <v>0.0</v>
      </c>
      <c r="J2932" s="5">
        <v>0.0</v>
      </c>
      <c r="K2932" s="5">
        <v>15.0</v>
      </c>
      <c r="L2932" s="54"/>
      <c r="M2932" s="5" t="s">
        <v>12200</v>
      </c>
      <c r="N2932" s="53" t="s">
        <v>12201</v>
      </c>
      <c r="O2932">
        <v>40.350451</v>
      </c>
      <c r="P2932">
        <v>18.830566</v>
      </c>
      <c r="Q2932" s="5" t="s">
        <v>1131</v>
      </c>
      <c r="R2932" s="10">
        <f t="shared" si="10"/>
        <v>15</v>
      </c>
      <c r="S2932" s="5" t="s">
        <v>12202</v>
      </c>
      <c r="T2932" s="6" t="s">
        <v>1963</v>
      </c>
      <c r="U2932" s="5" t="s">
        <v>12203</v>
      </c>
      <c r="V2932" s="5"/>
    </row>
    <row r="2933" ht="12.75" customHeight="1">
      <c r="A2933" s="5">
        <v>36314.0</v>
      </c>
      <c r="B2933" s="5" t="s">
        <v>68</v>
      </c>
      <c r="C2933" s="5" t="s">
        <v>69</v>
      </c>
      <c r="D2933" s="5" t="s">
        <v>2614</v>
      </c>
      <c r="E2933" s="7" t="s">
        <v>12204</v>
      </c>
      <c r="F2933" s="5" t="s">
        <v>12162</v>
      </c>
      <c r="G2933" s="5" t="s">
        <v>12205</v>
      </c>
      <c r="H2933" s="5">
        <v>2000.0</v>
      </c>
      <c r="I2933" s="5">
        <v>0.0</v>
      </c>
      <c r="J2933" s="5">
        <v>0.0</v>
      </c>
      <c r="K2933" s="5">
        <v>2.0</v>
      </c>
      <c r="L2933" s="54"/>
      <c r="M2933" s="5" t="s">
        <v>12206</v>
      </c>
      <c r="N2933" s="53" t="s">
        <v>2834</v>
      </c>
      <c r="O2933">
        <v>41.244376</v>
      </c>
      <c r="P2933">
        <v>26.135943</v>
      </c>
      <c r="Q2933" s="5" t="s">
        <v>1214</v>
      </c>
      <c r="R2933" s="10">
        <f t="shared" si="10"/>
        <v>188</v>
      </c>
      <c r="S2933" s="5" t="s">
        <v>12207</v>
      </c>
      <c r="T2933" s="6" t="s">
        <v>53</v>
      </c>
      <c r="U2933" s="5" t="s">
        <v>11562</v>
      </c>
      <c r="V2933" s="5" t="s">
        <v>12208</v>
      </c>
    </row>
    <row r="2934" ht="12.75" customHeight="1">
      <c r="A2934" s="5">
        <v>36315.0</v>
      </c>
      <c r="B2934" s="5" t="s">
        <v>1773</v>
      </c>
      <c r="C2934" s="5" t="s">
        <v>124</v>
      </c>
      <c r="D2934" s="5" t="s">
        <v>2852</v>
      </c>
      <c r="E2934" s="7" t="s">
        <v>12209</v>
      </c>
      <c r="F2934" s="5" t="s">
        <v>12162</v>
      </c>
      <c r="G2934" s="5" t="s">
        <v>12205</v>
      </c>
      <c r="H2934" s="5">
        <v>2000.0</v>
      </c>
      <c r="I2934" s="5">
        <v>0.0</v>
      </c>
      <c r="J2934" s="5">
        <v>0.0</v>
      </c>
      <c r="K2934" s="5">
        <v>1.0</v>
      </c>
      <c r="L2934" s="54"/>
      <c r="M2934" s="5" t="s">
        <v>12210</v>
      </c>
      <c r="N2934" s="53" t="s">
        <v>5874</v>
      </c>
      <c r="O2934">
        <v>52.520007</v>
      </c>
      <c r="P2934">
        <v>13.404954</v>
      </c>
      <c r="Q2934" s="5" t="s">
        <v>1774</v>
      </c>
      <c r="R2934" s="10">
        <f t="shared" si="10"/>
        <v>6</v>
      </c>
      <c r="S2934" s="5" t="s">
        <v>12211</v>
      </c>
      <c r="T2934" s="5"/>
      <c r="U2934" s="5" t="s">
        <v>12212</v>
      </c>
      <c r="V2934" s="5"/>
    </row>
    <row r="2935" ht="12.75" customHeight="1">
      <c r="A2935" s="5">
        <v>36317.0</v>
      </c>
      <c r="B2935" s="5" t="s">
        <v>5200</v>
      </c>
      <c r="C2935" s="5" t="s">
        <v>124</v>
      </c>
      <c r="D2935" s="5" t="s">
        <v>2852</v>
      </c>
      <c r="E2935" s="7" t="s">
        <v>12213</v>
      </c>
      <c r="F2935" s="5" t="s">
        <v>12162</v>
      </c>
      <c r="G2935" s="5" t="s">
        <v>12205</v>
      </c>
      <c r="H2935" s="5">
        <v>2000.0</v>
      </c>
      <c r="I2935" s="5">
        <v>0.0</v>
      </c>
      <c r="J2935" s="5">
        <v>0.0</v>
      </c>
      <c r="K2935" s="5">
        <v>1.0</v>
      </c>
      <c r="L2935" s="54"/>
      <c r="M2935" s="5" t="s">
        <v>12214</v>
      </c>
      <c r="N2935" s="53" t="s">
        <v>12215</v>
      </c>
      <c r="O2935">
        <v>39.864207</v>
      </c>
      <c r="P2935">
        <v>20.792365</v>
      </c>
      <c r="Q2935" s="5" t="s">
        <v>1111</v>
      </c>
      <c r="R2935" s="10">
        <f t="shared" si="10"/>
        <v>5</v>
      </c>
      <c r="S2935" s="5" t="s">
        <v>12216</v>
      </c>
      <c r="T2935" s="5" t="s">
        <v>1965</v>
      </c>
      <c r="U2935" s="5" t="s">
        <v>3128</v>
      </c>
      <c r="V2935" s="5" t="s">
        <v>7579</v>
      </c>
    </row>
    <row r="2936" ht="12.75" customHeight="1">
      <c r="A2936" s="5">
        <v>36316.0</v>
      </c>
      <c r="B2936" s="5" t="s">
        <v>49</v>
      </c>
      <c r="C2936" s="52" t="s">
        <v>50</v>
      </c>
      <c r="D2936" s="5" t="s">
        <v>2852</v>
      </c>
      <c r="E2936" s="7" t="s">
        <v>12213</v>
      </c>
      <c r="F2936" s="5" t="s">
        <v>12162</v>
      </c>
      <c r="G2936" s="5" t="s">
        <v>12205</v>
      </c>
      <c r="H2936" s="5">
        <v>2000.0</v>
      </c>
      <c r="I2936" s="5">
        <v>0.0</v>
      </c>
      <c r="J2936" s="5">
        <v>0.0</v>
      </c>
      <c r="K2936" s="5">
        <v>12.0</v>
      </c>
      <c r="L2936" s="54"/>
      <c r="M2936" s="5" t="s">
        <v>12217</v>
      </c>
      <c r="N2936" s="53" t="s">
        <v>11029</v>
      </c>
      <c r="O2936">
        <v>40.403712</v>
      </c>
      <c r="P2936">
        <v>17.557323</v>
      </c>
      <c r="Q2936" s="5" t="s">
        <v>1139</v>
      </c>
      <c r="R2936" s="10">
        <f t="shared" si="10"/>
        <v>39</v>
      </c>
      <c r="S2936" s="5" t="s">
        <v>12218</v>
      </c>
      <c r="T2936" s="6" t="s">
        <v>1963</v>
      </c>
      <c r="U2936" s="5" t="s">
        <v>12219</v>
      </c>
      <c r="V2936" s="5" t="s">
        <v>12220</v>
      </c>
    </row>
    <row r="2937" ht="12.75" customHeight="1">
      <c r="A2937" s="5">
        <v>36318.0</v>
      </c>
      <c r="B2937" s="5" t="s">
        <v>49</v>
      </c>
      <c r="C2937" s="52" t="s">
        <v>50</v>
      </c>
      <c r="D2937" s="5" t="s">
        <v>2852</v>
      </c>
      <c r="E2937" s="7" t="s">
        <v>12221</v>
      </c>
      <c r="F2937" s="5" t="s">
        <v>12162</v>
      </c>
      <c r="G2937" s="5" t="s">
        <v>12205</v>
      </c>
      <c r="H2937" s="5">
        <v>2000.0</v>
      </c>
      <c r="I2937" s="5">
        <v>0.0</v>
      </c>
      <c r="J2937" s="5">
        <v>0.0</v>
      </c>
      <c r="K2937" s="5">
        <v>5.0</v>
      </c>
      <c r="L2937" s="54"/>
      <c r="M2937" s="5" t="s">
        <v>12222</v>
      </c>
      <c r="N2937" s="53" t="s">
        <v>4290</v>
      </c>
      <c r="O2937">
        <v>38.158524</v>
      </c>
      <c r="P2937">
        <v>14.742693</v>
      </c>
      <c r="Q2937" s="5" t="s">
        <v>1001</v>
      </c>
      <c r="R2937" s="10">
        <f t="shared" si="10"/>
        <v>75</v>
      </c>
      <c r="S2937" s="5" t="s">
        <v>12223</v>
      </c>
      <c r="T2937" s="6" t="s">
        <v>2130</v>
      </c>
      <c r="U2937" s="5" t="s">
        <v>3219</v>
      </c>
      <c r="V2937" s="5"/>
    </row>
    <row r="2938" ht="12.75" customHeight="1">
      <c r="A2938" s="5">
        <v>36319.0</v>
      </c>
      <c r="B2938" s="5" t="s">
        <v>49</v>
      </c>
      <c r="C2938" s="52" t="s">
        <v>50</v>
      </c>
      <c r="D2938" s="5" t="s">
        <v>2852</v>
      </c>
      <c r="E2938" s="7" t="s">
        <v>12221</v>
      </c>
      <c r="F2938" s="5" t="s">
        <v>12162</v>
      </c>
      <c r="G2938" s="5" t="s">
        <v>12205</v>
      </c>
      <c r="H2938" s="5">
        <v>2000.0</v>
      </c>
      <c r="I2938" s="5">
        <v>0.0</v>
      </c>
      <c r="J2938" s="5">
        <v>0.0</v>
      </c>
      <c r="K2938" s="5">
        <v>1.0</v>
      </c>
      <c r="L2938" s="54"/>
      <c r="M2938" s="5" t="s">
        <v>12224</v>
      </c>
      <c r="N2938" s="53" t="s">
        <v>12225</v>
      </c>
      <c r="O2938">
        <v>52.618489</v>
      </c>
      <c r="P2938">
        <v>14.545038</v>
      </c>
      <c r="Q2938" s="5" t="s">
        <v>1782</v>
      </c>
      <c r="R2938" s="10">
        <f t="shared" si="10"/>
        <v>1</v>
      </c>
      <c r="S2938" s="5" t="s">
        <v>12226</v>
      </c>
      <c r="T2938" s="5"/>
      <c r="U2938" s="5" t="s">
        <v>12227</v>
      </c>
      <c r="V2938" s="5" t="s">
        <v>8714</v>
      </c>
    </row>
    <row r="2939" ht="12.75" customHeight="1">
      <c r="A2939" s="5">
        <v>36321.0</v>
      </c>
      <c r="B2939" s="5" t="s">
        <v>49</v>
      </c>
      <c r="C2939" s="52" t="s">
        <v>50</v>
      </c>
      <c r="D2939" s="5" t="s">
        <v>2852</v>
      </c>
      <c r="E2939" s="7" t="s">
        <v>12228</v>
      </c>
      <c r="F2939" s="5" t="s">
        <v>12162</v>
      </c>
      <c r="G2939" s="5" t="s">
        <v>12205</v>
      </c>
      <c r="H2939" s="5">
        <v>2000.0</v>
      </c>
      <c r="I2939" s="5">
        <v>0.0</v>
      </c>
      <c r="J2939" s="5">
        <v>0.0</v>
      </c>
      <c r="K2939" s="5">
        <v>16.0</v>
      </c>
      <c r="L2939" s="54"/>
      <c r="M2939" s="5" t="s">
        <v>12229</v>
      </c>
      <c r="N2939" s="53" t="s">
        <v>2705</v>
      </c>
      <c r="O2939">
        <v>36.799851</v>
      </c>
      <c r="P2939">
        <v>27.102943</v>
      </c>
      <c r="Q2939" s="5" t="s">
        <v>848</v>
      </c>
      <c r="R2939" s="10">
        <f t="shared" si="10"/>
        <v>119</v>
      </c>
      <c r="S2939" s="5" t="s">
        <v>12230</v>
      </c>
      <c r="T2939" s="6" t="s">
        <v>53</v>
      </c>
      <c r="U2939" s="5" t="s">
        <v>12231</v>
      </c>
      <c r="V2939" s="5"/>
    </row>
    <row r="2940" ht="12.75" customHeight="1">
      <c r="A2940" s="5">
        <v>36320.0</v>
      </c>
      <c r="B2940" s="5" t="s">
        <v>49</v>
      </c>
      <c r="C2940" s="52" t="s">
        <v>50</v>
      </c>
      <c r="D2940" s="5" t="s">
        <v>2852</v>
      </c>
      <c r="E2940" s="7" t="s">
        <v>12228</v>
      </c>
      <c r="F2940" s="5" t="s">
        <v>12162</v>
      </c>
      <c r="G2940" s="5" t="s">
        <v>12205</v>
      </c>
      <c r="H2940" s="5">
        <v>2000.0</v>
      </c>
      <c r="I2940" s="5">
        <v>0.0</v>
      </c>
      <c r="J2940" s="5">
        <v>0.0</v>
      </c>
      <c r="K2940" s="5">
        <v>8.0</v>
      </c>
      <c r="L2940" s="54"/>
      <c r="M2940" s="5" t="s">
        <v>12232</v>
      </c>
      <c r="N2940" s="53" t="s">
        <v>2705</v>
      </c>
      <c r="O2940">
        <v>36.799851</v>
      </c>
      <c r="P2940">
        <v>27.102943</v>
      </c>
      <c r="Q2940" s="5" t="s">
        <v>848</v>
      </c>
      <c r="R2940" s="10">
        <f t="shared" si="10"/>
        <v>119</v>
      </c>
      <c r="S2940" s="5" t="s">
        <v>12230</v>
      </c>
      <c r="T2940" s="6" t="s">
        <v>53</v>
      </c>
      <c r="U2940" s="5" t="s">
        <v>12231</v>
      </c>
      <c r="V2940" s="5" t="s">
        <v>12233</v>
      </c>
    </row>
    <row r="2941" ht="12.75" customHeight="1">
      <c r="A2941" s="5">
        <v>36322.0</v>
      </c>
      <c r="B2941" s="5" t="s">
        <v>49</v>
      </c>
      <c r="C2941" s="52" t="s">
        <v>50</v>
      </c>
      <c r="D2941" s="5" t="s">
        <v>2852</v>
      </c>
      <c r="E2941" s="7" t="s">
        <v>12234</v>
      </c>
      <c r="F2941" s="5" t="s">
        <v>12162</v>
      </c>
      <c r="G2941" s="5" t="s">
        <v>12205</v>
      </c>
      <c r="H2941" s="5">
        <v>2000.0</v>
      </c>
      <c r="I2941" s="5">
        <v>0.0</v>
      </c>
      <c r="J2941" s="5">
        <v>0.0</v>
      </c>
      <c r="K2941" s="5">
        <v>4.0</v>
      </c>
      <c r="L2941" s="54"/>
      <c r="M2941" s="5" t="s">
        <v>12235</v>
      </c>
      <c r="N2941" s="53" t="s">
        <v>12236</v>
      </c>
      <c r="O2941">
        <v>36.834047</v>
      </c>
      <c r="P2941">
        <v>-2.463714</v>
      </c>
      <c r="Q2941" s="5" t="s">
        <v>863</v>
      </c>
      <c r="R2941" s="10">
        <f t="shared" si="10"/>
        <v>208</v>
      </c>
      <c r="S2941" s="5" t="s">
        <v>12237</v>
      </c>
      <c r="T2941" s="6" t="s">
        <v>72</v>
      </c>
      <c r="U2941" s="5" t="s">
        <v>12238</v>
      </c>
      <c r="V2941" s="5"/>
    </row>
    <row r="2942" ht="12.75" customHeight="1">
      <c r="A2942" s="5">
        <v>36324.0</v>
      </c>
      <c r="B2942" s="5" t="s">
        <v>68</v>
      </c>
      <c r="C2942" s="5" t="s">
        <v>69</v>
      </c>
      <c r="D2942" s="5" t="s">
        <v>2614</v>
      </c>
      <c r="E2942" s="7" t="s">
        <v>12239</v>
      </c>
      <c r="F2942" s="5" t="s">
        <v>12162</v>
      </c>
      <c r="G2942" s="5" t="s">
        <v>12205</v>
      </c>
      <c r="H2942" s="5">
        <v>2000.0</v>
      </c>
      <c r="I2942" s="5">
        <v>0.0</v>
      </c>
      <c r="J2942" s="5">
        <v>0.0</v>
      </c>
      <c r="K2942" s="5">
        <v>26.0</v>
      </c>
      <c r="L2942" s="54"/>
      <c r="M2942" s="5" t="s">
        <v>12240</v>
      </c>
      <c r="N2942" s="53" t="s">
        <v>2944</v>
      </c>
      <c r="O2942">
        <v>-12.8275</v>
      </c>
      <c r="P2942">
        <v>45.166244</v>
      </c>
      <c r="Q2942" s="5" t="s">
        <v>228</v>
      </c>
      <c r="R2942" s="10">
        <f t="shared" si="10"/>
        <v>757</v>
      </c>
      <c r="S2942" s="5" t="s">
        <v>12241</v>
      </c>
      <c r="T2942" s="5"/>
      <c r="U2942" s="5" t="s">
        <v>8097</v>
      </c>
      <c r="V2942" s="5" t="s">
        <v>8585</v>
      </c>
    </row>
    <row r="2943" ht="12.75" customHeight="1">
      <c r="A2943" s="5">
        <v>36325.0</v>
      </c>
      <c r="B2943" s="5" t="s">
        <v>49</v>
      </c>
      <c r="C2943" s="52" t="s">
        <v>50</v>
      </c>
      <c r="D2943" s="5" t="s">
        <v>2852</v>
      </c>
      <c r="E2943" s="7" t="s">
        <v>12239</v>
      </c>
      <c r="F2943" s="5" t="s">
        <v>12162</v>
      </c>
      <c r="G2943" s="5" t="s">
        <v>12205</v>
      </c>
      <c r="H2943" s="5">
        <v>2000.0</v>
      </c>
      <c r="I2943" s="5">
        <v>0.0</v>
      </c>
      <c r="J2943" s="5">
        <v>0.0</v>
      </c>
      <c r="K2943" s="5">
        <v>1.0</v>
      </c>
      <c r="L2943" s="54"/>
      <c r="M2943" s="5" t="s">
        <v>12242</v>
      </c>
      <c r="N2943" s="53" t="s">
        <v>2638</v>
      </c>
      <c r="O2943">
        <v>35.888384</v>
      </c>
      <c r="P2943">
        <v>-5.324636</v>
      </c>
      <c r="Q2943" s="5" t="s">
        <v>717</v>
      </c>
      <c r="R2943" s="10">
        <f t="shared" si="10"/>
        <v>213</v>
      </c>
      <c r="S2943" s="5" t="s">
        <v>12243</v>
      </c>
      <c r="T2943" s="6" t="s">
        <v>72</v>
      </c>
      <c r="U2943" s="5" t="s">
        <v>12244</v>
      </c>
      <c r="V2943" s="5"/>
    </row>
    <row r="2944" ht="12.75" customHeight="1">
      <c r="A2944" s="5">
        <v>36323.0</v>
      </c>
      <c r="B2944" s="5" t="s">
        <v>68</v>
      </c>
      <c r="C2944" s="5" t="s">
        <v>69</v>
      </c>
      <c r="D2944" s="5" t="s">
        <v>2614</v>
      </c>
      <c r="E2944" s="7" t="s">
        <v>12239</v>
      </c>
      <c r="F2944" s="5" t="s">
        <v>12162</v>
      </c>
      <c r="G2944" s="5" t="s">
        <v>12205</v>
      </c>
      <c r="H2944" s="5">
        <v>2000.0</v>
      </c>
      <c r="I2944" s="5">
        <v>4.0</v>
      </c>
      <c r="J2944" s="5">
        <v>0.0</v>
      </c>
      <c r="K2944" s="5">
        <v>4.0</v>
      </c>
      <c r="L2944" s="54"/>
      <c r="M2944" s="5" t="s">
        <v>12245</v>
      </c>
      <c r="N2944" s="53" t="s">
        <v>3379</v>
      </c>
      <c r="O2944">
        <v>36.834047</v>
      </c>
      <c r="P2944">
        <v>-2.463714</v>
      </c>
      <c r="Q2944" s="5" t="s">
        <v>863</v>
      </c>
      <c r="R2944" s="10">
        <f t="shared" si="10"/>
        <v>208</v>
      </c>
      <c r="S2944" s="5" t="s">
        <v>12246</v>
      </c>
      <c r="T2944" s="6" t="s">
        <v>72</v>
      </c>
      <c r="U2944" s="5" t="s">
        <v>2165</v>
      </c>
      <c r="V2944" s="5" t="s">
        <v>12247</v>
      </c>
    </row>
    <row r="2945" ht="12.75" customHeight="1">
      <c r="A2945" s="5">
        <v>36326.0</v>
      </c>
      <c r="B2945" s="5" t="s">
        <v>2962</v>
      </c>
      <c r="C2945" s="5" t="s">
        <v>211</v>
      </c>
      <c r="D2945" s="5" t="s">
        <v>2852</v>
      </c>
      <c r="E2945" s="7" t="s">
        <v>12239</v>
      </c>
      <c r="F2945" s="5" t="s">
        <v>12162</v>
      </c>
      <c r="G2945" s="5" t="s">
        <v>12205</v>
      </c>
      <c r="H2945" s="5">
        <v>2000.0</v>
      </c>
      <c r="I2945" s="5">
        <v>0.0</v>
      </c>
      <c r="J2945" s="5">
        <v>0.0</v>
      </c>
      <c r="K2945" s="5">
        <v>1.0</v>
      </c>
      <c r="L2945" s="54"/>
      <c r="M2945" s="5" t="s">
        <v>12248</v>
      </c>
      <c r="N2945" s="53" t="s">
        <v>4296</v>
      </c>
      <c r="O2945">
        <v>52.447828</v>
      </c>
      <c r="P2945">
        <v>9.744931</v>
      </c>
      <c r="Q2945" s="5" t="s">
        <v>1765</v>
      </c>
      <c r="R2945" s="10">
        <f t="shared" si="10"/>
        <v>2</v>
      </c>
      <c r="S2945" s="5" t="s">
        <v>12249</v>
      </c>
      <c r="T2945" s="5"/>
      <c r="U2945" s="5" t="s">
        <v>12250</v>
      </c>
      <c r="V2945" s="5"/>
    </row>
    <row r="2946" ht="12.75" customHeight="1">
      <c r="A2946" s="5">
        <v>36328.0</v>
      </c>
      <c r="B2946" s="5" t="s">
        <v>68</v>
      </c>
      <c r="C2946" s="5" t="s">
        <v>69</v>
      </c>
      <c r="D2946" s="5" t="s">
        <v>2614</v>
      </c>
      <c r="E2946" s="7" t="s">
        <v>12251</v>
      </c>
      <c r="F2946" s="5" t="s">
        <v>12162</v>
      </c>
      <c r="G2946" s="5" t="s">
        <v>12205</v>
      </c>
      <c r="H2946" s="5">
        <v>2000.0</v>
      </c>
      <c r="I2946" s="5">
        <v>2.0</v>
      </c>
      <c r="J2946" s="5">
        <v>2.0</v>
      </c>
      <c r="K2946" s="5">
        <v>4.0</v>
      </c>
      <c r="L2946" s="54"/>
      <c r="M2946" s="5" t="s">
        <v>12252</v>
      </c>
      <c r="N2946" s="53" t="s">
        <v>3608</v>
      </c>
      <c r="O2946">
        <v>41.117143</v>
      </c>
      <c r="P2946">
        <v>16.871871</v>
      </c>
      <c r="Q2946" s="5" t="s">
        <v>1188</v>
      </c>
      <c r="R2946" s="10">
        <f t="shared" si="10"/>
        <v>32</v>
      </c>
      <c r="S2946" s="5" t="s">
        <v>12253</v>
      </c>
      <c r="T2946" s="6" t="s">
        <v>1963</v>
      </c>
      <c r="U2946" s="5" t="s">
        <v>8502</v>
      </c>
      <c r="V2946" s="5" t="s">
        <v>9369</v>
      </c>
    </row>
    <row r="2947" ht="12.75" customHeight="1">
      <c r="A2947" s="5">
        <v>36327.0</v>
      </c>
      <c r="B2947" s="5" t="s">
        <v>68</v>
      </c>
      <c r="C2947" s="5" t="s">
        <v>69</v>
      </c>
      <c r="D2947" s="5" t="s">
        <v>2614</v>
      </c>
      <c r="E2947" s="7" t="s">
        <v>12251</v>
      </c>
      <c r="F2947" s="5" t="s">
        <v>12162</v>
      </c>
      <c r="G2947" s="5" t="s">
        <v>12205</v>
      </c>
      <c r="H2947" s="5">
        <v>2000.0</v>
      </c>
      <c r="I2947" s="5">
        <v>0.0</v>
      </c>
      <c r="J2947" s="5">
        <v>0.0</v>
      </c>
      <c r="K2947" s="5">
        <v>10.0</v>
      </c>
      <c r="L2947" s="54"/>
      <c r="M2947" s="5" t="s">
        <v>12254</v>
      </c>
      <c r="N2947" s="53" t="s">
        <v>6431</v>
      </c>
      <c r="O2947">
        <v>43.355524</v>
      </c>
      <c r="P2947">
        <v>-8.255738</v>
      </c>
      <c r="Q2947" s="5" t="s">
        <v>1278</v>
      </c>
      <c r="R2947" s="10">
        <f t="shared" si="10"/>
        <v>57</v>
      </c>
      <c r="S2947" s="5" t="s">
        <v>12255</v>
      </c>
      <c r="T2947" s="5"/>
      <c r="U2947" s="5" t="s">
        <v>8097</v>
      </c>
      <c r="V2947" s="5" t="s">
        <v>8585</v>
      </c>
    </row>
    <row r="2948" ht="12.75" customHeight="1">
      <c r="A2948" s="5">
        <v>36330.0</v>
      </c>
      <c r="B2948" s="5" t="s">
        <v>68</v>
      </c>
      <c r="C2948" s="5" t="s">
        <v>69</v>
      </c>
      <c r="D2948" s="5" t="s">
        <v>2614</v>
      </c>
      <c r="E2948" s="7" t="s">
        <v>12256</v>
      </c>
      <c r="F2948" s="5" t="s">
        <v>12162</v>
      </c>
      <c r="G2948" s="5" t="s">
        <v>12205</v>
      </c>
      <c r="H2948" s="5">
        <v>2000.0</v>
      </c>
      <c r="I2948" s="5">
        <v>0.0</v>
      </c>
      <c r="J2948" s="5">
        <v>0.0</v>
      </c>
      <c r="K2948" s="5">
        <v>10.0</v>
      </c>
      <c r="L2948" s="54"/>
      <c r="M2948" s="5" t="s">
        <v>12257</v>
      </c>
      <c r="N2948" s="53" t="s">
        <v>2944</v>
      </c>
      <c r="O2948">
        <v>-12.8275</v>
      </c>
      <c r="P2948">
        <v>45.166244</v>
      </c>
      <c r="Q2948" s="5" t="s">
        <v>228</v>
      </c>
      <c r="R2948" s="10">
        <f t="shared" si="10"/>
        <v>757</v>
      </c>
      <c r="S2948" s="5" t="s">
        <v>12258</v>
      </c>
      <c r="T2948" s="5"/>
      <c r="U2948" s="5" t="s">
        <v>8097</v>
      </c>
      <c r="V2948" s="5" t="s">
        <v>8585</v>
      </c>
    </row>
    <row r="2949" ht="12.75" customHeight="1">
      <c r="A2949" s="5">
        <v>36329.0</v>
      </c>
      <c r="B2949" s="5" t="s">
        <v>68</v>
      </c>
      <c r="C2949" s="5" t="s">
        <v>69</v>
      </c>
      <c r="D2949" s="5" t="s">
        <v>2614</v>
      </c>
      <c r="E2949" s="7" t="s">
        <v>12256</v>
      </c>
      <c r="F2949" s="5" t="s">
        <v>12162</v>
      </c>
      <c r="G2949" s="5" t="s">
        <v>12205</v>
      </c>
      <c r="H2949" s="5">
        <v>2000.0</v>
      </c>
      <c r="I2949" s="5">
        <v>0.0</v>
      </c>
      <c r="J2949" s="5">
        <v>0.0</v>
      </c>
      <c r="K2949" s="5">
        <v>9.0</v>
      </c>
      <c r="L2949" s="54"/>
      <c r="M2949" s="5" t="s">
        <v>12259</v>
      </c>
      <c r="N2949" s="53" t="s">
        <v>2944</v>
      </c>
      <c r="O2949">
        <v>-12.8275</v>
      </c>
      <c r="P2949">
        <v>45.166244</v>
      </c>
      <c r="Q2949" s="5" t="s">
        <v>228</v>
      </c>
      <c r="R2949" s="10">
        <f t="shared" si="10"/>
        <v>757</v>
      </c>
      <c r="S2949" s="5" t="s">
        <v>12258</v>
      </c>
      <c r="T2949" s="5"/>
      <c r="U2949" s="5" t="s">
        <v>8097</v>
      </c>
      <c r="V2949" s="5" t="s">
        <v>8585</v>
      </c>
    </row>
    <row r="2950" ht="12.75" customHeight="1">
      <c r="A2950" s="5">
        <v>36332.0</v>
      </c>
      <c r="B2950" s="5" t="s">
        <v>49</v>
      </c>
      <c r="C2950" s="52" t="s">
        <v>50</v>
      </c>
      <c r="D2950" s="5" t="s">
        <v>2852</v>
      </c>
      <c r="E2950" s="7" t="s">
        <v>12256</v>
      </c>
      <c r="F2950" s="5" t="s">
        <v>12162</v>
      </c>
      <c r="G2950" s="5" t="s">
        <v>12205</v>
      </c>
      <c r="H2950" s="5">
        <v>2000.0</v>
      </c>
      <c r="I2950" s="5">
        <v>0.0</v>
      </c>
      <c r="J2950" s="5">
        <v>0.0</v>
      </c>
      <c r="K2950" s="5">
        <v>2.0</v>
      </c>
      <c r="L2950" s="54"/>
      <c r="M2950" s="5" t="s">
        <v>12260</v>
      </c>
      <c r="N2950" s="53" t="s">
        <v>3608</v>
      </c>
      <c r="O2950">
        <v>41.117143</v>
      </c>
      <c r="P2950">
        <v>16.871871</v>
      </c>
      <c r="Q2950" s="5" t="s">
        <v>1188</v>
      </c>
      <c r="R2950" s="10">
        <f t="shared" si="10"/>
        <v>32</v>
      </c>
      <c r="S2950" s="5" t="s">
        <v>12261</v>
      </c>
      <c r="T2950" s="6" t="s">
        <v>1963</v>
      </c>
      <c r="U2950" s="5" t="s">
        <v>3128</v>
      </c>
      <c r="V2950" s="5"/>
    </row>
    <row r="2951" ht="12.75" customHeight="1">
      <c r="A2951" s="5">
        <v>36331.0</v>
      </c>
      <c r="B2951" s="5" t="s">
        <v>49</v>
      </c>
      <c r="C2951" s="52" t="s">
        <v>50</v>
      </c>
      <c r="D2951" s="5" t="s">
        <v>2852</v>
      </c>
      <c r="E2951" s="7" t="s">
        <v>12256</v>
      </c>
      <c r="F2951" s="5" t="s">
        <v>12162</v>
      </c>
      <c r="G2951" s="5" t="s">
        <v>12205</v>
      </c>
      <c r="H2951" s="5">
        <v>2000.0</v>
      </c>
      <c r="I2951" s="5">
        <v>0.0</v>
      </c>
      <c r="J2951" s="5">
        <v>0.0</v>
      </c>
      <c r="K2951" s="5">
        <v>2.0</v>
      </c>
      <c r="L2951" s="54"/>
      <c r="M2951" s="5" t="s">
        <v>12262</v>
      </c>
      <c r="N2951" s="53" t="s">
        <v>3608</v>
      </c>
      <c r="O2951">
        <v>41.117143</v>
      </c>
      <c r="P2951">
        <v>16.871871</v>
      </c>
      <c r="Q2951" s="5" t="s">
        <v>1188</v>
      </c>
      <c r="R2951" s="10">
        <f t="shared" si="10"/>
        <v>32</v>
      </c>
      <c r="S2951" s="5" t="s">
        <v>12261</v>
      </c>
      <c r="T2951" s="6" t="s">
        <v>1963</v>
      </c>
      <c r="U2951" s="5" t="s">
        <v>6828</v>
      </c>
      <c r="V2951" s="5"/>
    </row>
    <row r="2952" ht="12.75" customHeight="1">
      <c r="A2952" s="5">
        <v>36333.0</v>
      </c>
      <c r="B2952" s="5" t="s">
        <v>68</v>
      </c>
      <c r="C2952" s="5" t="s">
        <v>69</v>
      </c>
      <c r="D2952" s="5" t="s">
        <v>2614</v>
      </c>
      <c r="E2952" s="7" t="s">
        <v>12263</v>
      </c>
      <c r="F2952" s="5" t="s">
        <v>12162</v>
      </c>
      <c r="G2952" s="5" t="s">
        <v>12205</v>
      </c>
      <c r="H2952" s="5">
        <v>2000.0</v>
      </c>
      <c r="I2952" s="5">
        <v>0.0</v>
      </c>
      <c r="J2952" s="5">
        <v>0.0</v>
      </c>
      <c r="K2952" s="5">
        <v>1.0</v>
      </c>
      <c r="L2952" s="54"/>
      <c r="M2952" s="5" t="s">
        <v>12264</v>
      </c>
      <c r="N2952" s="53" t="s">
        <v>4648</v>
      </c>
      <c r="O2952">
        <v>36.721261</v>
      </c>
      <c r="P2952">
        <v>-4.421266</v>
      </c>
      <c r="Q2952" s="5" t="s">
        <v>823</v>
      </c>
      <c r="R2952" s="10">
        <f t="shared" si="10"/>
        <v>17</v>
      </c>
      <c r="S2952" s="5" t="s">
        <v>12265</v>
      </c>
      <c r="T2952" s="6" t="s">
        <v>72</v>
      </c>
      <c r="U2952" s="5" t="s">
        <v>2785</v>
      </c>
      <c r="V2952" s="5" t="s">
        <v>12266</v>
      </c>
    </row>
    <row r="2953" ht="12.75" customHeight="1">
      <c r="A2953" s="5">
        <v>36334.0</v>
      </c>
      <c r="B2953" s="5" t="s">
        <v>68</v>
      </c>
      <c r="C2953" s="5" t="s">
        <v>69</v>
      </c>
      <c r="D2953" s="5" t="s">
        <v>2852</v>
      </c>
      <c r="E2953" s="7" t="s">
        <v>12263</v>
      </c>
      <c r="F2953" s="5" t="s">
        <v>12162</v>
      </c>
      <c r="G2953" s="5" t="s">
        <v>12205</v>
      </c>
      <c r="H2953" s="5">
        <v>2000.0</v>
      </c>
      <c r="I2953" s="5">
        <v>0.0</v>
      </c>
      <c r="J2953" s="5">
        <v>0.0</v>
      </c>
      <c r="K2953" s="5">
        <v>1.0</v>
      </c>
      <c r="L2953" s="54"/>
      <c r="M2953" s="5" t="s">
        <v>12267</v>
      </c>
      <c r="N2953" s="53" t="s">
        <v>3268</v>
      </c>
      <c r="O2953">
        <v>44.348399</v>
      </c>
      <c r="P2953">
        <v>9.234647</v>
      </c>
      <c r="Q2953" s="5" t="s">
        <v>1290</v>
      </c>
      <c r="R2953" s="10">
        <f t="shared" si="10"/>
        <v>57</v>
      </c>
      <c r="S2953" s="5" t="s">
        <v>12268</v>
      </c>
      <c r="T2953" s="5"/>
      <c r="U2953" s="5" t="s">
        <v>5951</v>
      </c>
      <c r="V2953" s="5"/>
    </row>
    <row r="2954" ht="12.75" customHeight="1">
      <c r="A2954" s="5">
        <v>36335.0</v>
      </c>
      <c r="B2954" s="5" t="s">
        <v>68</v>
      </c>
      <c r="C2954" s="5" t="s">
        <v>69</v>
      </c>
      <c r="D2954" s="5" t="s">
        <v>2614</v>
      </c>
      <c r="E2954" s="7" t="s">
        <v>12269</v>
      </c>
      <c r="F2954" s="5" t="s">
        <v>12162</v>
      </c>
      <c r="G2954" s="5" t="s">
        <v>12205</v>
      </c>
      <c r="H2954" s="5">
        <v>2000.0</v>
      </c>
      <c r="I2954" s="5">
        <v>0.0</v>
      </c>
      <c r="J2954" s="5">
        <v>0.0</v>
      </c>
      <c r="K2954" s="5">
        <v>6.0</v>
      </c>
      <c r="L2954" s="54"/>
      <c r="M2954" s="5" t="s">
        <v>12270</v>
      </c>
      <c r="N2954" s="53" t="s">
        <v>2944</v>
      </c>
      <c r="O2954">
        <v>-12.8275</v>
      </c>
      <c r="P2954">
        <v>45.166244</v>
      </c>
      <c r="Q2954" s="5" t="s">
        <v>228</v>
      </c>
      <c r="R2954" s="10">
        <f t="shared" si="10"/>
        <v>757</v>
      </c>
      <c r="S2954" s="5" t="s">
        <v>12271</v>
      </c>
      <c r="T2954" s="5"/>
      <c r="U2954" s="5" t="s">
        <v>8097</v>
      </c>
      <c r="V2954" s="5" t="s">
        <v>8585</v>
      </c>
    </row>
    <row r="2955" ht="12.75" customHeight="1">
      <c r="A2955" s="5">
        <v>36336.0</v>
      </c>
      <c r="B2955" s="5" t="s">
        <v>1761</v>
      </c>
      <c r="C2955" s="5" t="s">
        <v>124</v>
      </c>
      <c r="D2955" s="5" t="s">
        <v>2852</v>
      </c>
      <c r="E2955" s="7" t="s">
        <v>12269</v>
      </c>
      <c r="F2955" s="5" t="s">
        <v>12162</v>
      </c>
      <c r="G2955" s="5" t="s">
        <v>12205</v>
      </c>
      <c r="H2955" s="5">
        <v>2000.0</v>
      </c>
      <c r="I2955" s="5">
        <v>0.0</v>
      </c>
      <c r="J2955" s="5">
        <v>0.0</v>
      </c>
      <c r="K2955" s="5">
        <v>1.0</v>
      </c>
      <c r="L2955" s="54"/>
      <c r="M2955" s="5" t="s">
        <v>12272</v>
      </c>
      <c r="N2955" s="53" t="s">
        <v>12273</v>
      </c>
      <c r="O2955">
        <v>51.156388</v>
      </c>
      <c r="P2955">
        <v>-0.160135</v>
      </c>
      <c r="Q2955" s="5" t="s">
        <v>1596</v>
      </c>
      <c r="R2955" s="10">
        <f t="shared" si="10"/>
        <v>1</v>
      </c>
      <c r="S2955" s="5" t="s">
        <v>12274</v>
      </c>
      <c r="T2955" s="5"/>
      <c r="U2955" s="5" t="s">
        <v>12275</v>
      </c>
      <c r="V2955" s="5"/>
    </row>
    <row r="2956" ht="12.75" customHeight="1">
      <c r="A2956" s="5">
        <v>36337.0</v>
      </c>
      <c r="B2956" s="5" t="s">
        <v>49</v>
      </c>
      <c r="C2956" s="52" t="s">
        <v>50</v>
      </c>
      <c r="D2956" s="5" t="s">
        <v>2852</v>
      </c>
      <c r="E2956" s="7" t="s">
        <v>12276</v>
      </c>
      <c r="F2956" s="5" t="s">
        <v>12162</v>
      </c>
      <c r="G2956" s="5" t="s">
        <v>12205</v>
      </c>
      <c r="H2956" s="5">
        <v>2000.0</v>
      </c>
      <c r="I2956" s="5">
        <v>0.0</v>
      </c>
      <c r="J2956" s="5">
        <v>0.0</v>
      </c>
      <c r="K2956" s="5">
        <v>1.0</v>
      </c>
      <c r="L2956" s="54"/>
      <c r="M2956" s="5" t="s">
        <v>12277</v>
      </c>
      <c r="N2956" s="53" t="s">
        <v>6857</v>
      </c>
      <c r="O2956">
        <v>50.110922</v>
      </c>
      <c r="P2956">
        <v>8.682127</v>
      </c>
      <c r="Q2956" s="5" t="s">
        <v>1485</v>
      </c>
      <c r="R2956" s="10">
        <f t="shared" si="10"/>
        <v>6</v>
      </c>
      <c r="S2956" s="5" t="s">
        <v>12278</v>
      </c>
      <c r="T2956" s="5"/>
      <c r="U2956" s="5" t="s">
        <v>12227</v>
      </c>
      <c r="V2956" s="5"/>
    </row>
    <row r="2957" ht="12.75" customHeight="1">
      <c r="A2957" s="5">
        <v>36338.0</v>
      </c>
      <c r="B2957" s="5" t="s">
        <v>2902</v>
      </c>
      <c r="C2957" s="5" t="s">
        <v>211</v>
      </c>
      <c r="D2957" s="5" t="s">
        <v>2852</v>
      </c>
      <c r="E2957" s="7" t="s">
        <v>12279</v>
      </c>
      <c r="F2957" s="5" t="s">
        <v>12162</v>
      </c>
      <c r="G2957" s="5" t="s">
        <v>12280</v>
      </c>
      <c r="H2957" s="5">
        <v>2000.0</v>
      </c>
      <c r="I2957" s="5">
        <v>0.0</v>
      </c>
      <c r="J2957" s="5">
        <v>0.0</v>
      </c>
      <c r="K2957" s="5">
        <v>1.0</v>
      </c>
      <c r="L2957" s="54"/>
      <c r="M2957" s="5" t="s">
        <v>12281</v>
      </c>
      <c r="N2957" s="53" t="s">
        <v>5824</v>
      </c>
      <c r="O2957">
        <v>51.165691</v>
      </c>
      <c r="P2957">
        <v>10.451526</v>
      </c>
      <c r="Q2957" s="5" t="s">
        <v>1599</v>
      </c>
      <c r="R2957" s="10">
        <f t="shared" si="10"/>
        <v>8</v>
      </c>
      <c r="S2957" s="5" t="s">
        <v>12282</v>
      </c>
      <c r="T2957" s="5"/>
      <c r="U2957" s="5" t="s">
        <v>4578</v>
      </c>
      <c r="V2957" s="5"/>
    </row>
    <row r="2958" ht="12.75" customHeight="1">
      <c r="A2958" s="5">
        <v>36339.0</v>
      </c>
      <c r="B2958" s="5" t="s">
        <v>49</v>
      </c>
      <c r="C2958" s="52" t="s">
        <v>50</v>
      </c>
      <c r="D2958" s="5" t="s">
        <v>2852</v>
      </c>
      <c r="E2958" s="7" t="s">
        <v>12283</v>
      </c>
      <c r="F2958" s="5" t="s">
        <v>12162</v>
      </c>
      <c r="G2958" s="5" t="s">
        <v>12280</v>
      </c>
      <c r="H2958" s="5">
        <v>2000.0</v>
      </c>
      <c r="I2958" s="5">
        <v>0.0</v>
      </c>
      <c r="J2958" s="5">
        <v>0.0</v>
      </c>
      <c r="K2958" s="5">
        <v>1.0</v>
      </c>
      <c r="L2958" s="54"/>
      <c r="M2958" s="5" t="s">
        <v>12284</v>
      </c>
      <c r="N2958" s="53" t="s">
        <v>12285</v>
      </c>
      <c r="O2958">
        <v>27.858484</v>
      </c>
      <c r="P2958">
        <v>-15.394362</v>
      </c>
      <c r="Q2958" s="5" t="s">
        <v>360</v>
      </c>
      <c r="R2958" s="10">
        <f t="shared" si="10"/>
        <v>1</v>
      </c>
      <c r="S2958" s="5" t="s">
        <v>12286</v>
      </c>
      <c r="T2958" s="5" t="s">
        <v>1040</v>
      </c>
      <c r="U2958" s="5" t="s">
        <v>11558</v>
      </c>
      <c r="V2958" s="5"/>
    </row>
    <row r="2959" ht="12.75" customHeight="1">
      <c r="A2959" s="5">
        <v>36343.0</v>
      </c>
      <c r="B2959" s="5" t="s">
        <v>49</v>
      </c>
      <c r="C2959" s="52" t="s">
        <v>50</v>
      </c>
      <c r="D2959" s="5" t="s">
        <v>2852</v>
      </c>
      <c r="E2959" s="7" t="s">
        <v>12287</v>
      </c>
      <c r="F2959" s="5" t="s">
        <v>12162</v>
      </c>
      <c r="G2959" s="5" t="s">
        <v>12280</v>
      </c>
      <c r="H2959" s="5">
        <v>2000.0</v>
      </c>
      <c r="I2959" s="5">
        <v>0.0</v>
      </c>
      <c r="J2959" s="5">
        <v>0.0</v>
      </c>
      <c r="K2959" s="5">
        <v>2.0</v>
      </c>
      <c r="L2959" s="54"/>
      <c r="M2959" s="5" t="s">
        <v>12288</v>
      </c>
      <c r="N2959" s="53" t="s">
        <v>2638</v>
      </c>
      <c r="O2959">
        <v>35.888384</v>
      </c>
      <c r="P2959">
        <v>-5.324636</v>
      </c>
      <c r="Q2959" s="5" t="s">
        <v>717</v>
      </c>
      <c r="R2959" s="10">
        <f t="shared" si="10"/>
        <v>213</v>
      </c>
      <c r="S2959" s="5" t="s">
        <v>12289</v>
      </c>
      <c r="T2959" s="6" t="s">
        <v>72</v>
      </c>
      <c r="U2959" s="5" t="s">
        <v>6479</v>
      </c>
      <c r="V2959" s="5" t="s">
        <v>12290</v>
      </c>
    </row>
    <row r="2960" ht="12.75" customHeight="1">
      <c r="A2960" s="5">
        <v>36342.0</v>
      </c>
      <c r="B2960" s="5" t="s">
        <v>49</v>
      </c>
      <c r="C2960" s="52" t="s">
        <v>50</v>
      </c>
      <c r="D2960" s="5" t="s">
        <v>2852</v>
      </c>
      <c r="E2960" s="7" t="s">
        <v>12287</v>
      </c>
      <c r="F2960" s="5" t="s">
        <v>12162</v>
      </c>
      <c r="G2960" s="5" t="s">
        <v>12280</v>
      </c>
      <c r="H2960" s="5">
        <v>2000.0</v>
      </c>
      <c r="I2960" s="5">
        <v>0.0</v>
      </c>
      <c r="J2960" s="5">
        <v>0.0</v>
      </c>
      <c r="K2960" s="5">
        <v>2.0</v>
      </c>
      <c r="L2960" s="54"/>
      <c r="M2960" s="5" t="s">
        <v>12291</v>
      </c>
      <c r="N2960" s="53" t="s">
        <v>2680</v>
      </c>
      <c r="O2960">
        <v>36.018776</v>
      </c>
      <c r="P2960">
        <v>-5.600819</v>
      </c>
      <c r="Q2960" s="5" t="s">
        <v>761</v>
      </c>
      <c r="R2960" s="10">
        <f t="shared" si="10"/>
        <v>492</v>
      </c>
      <c r="S2960" s="5" t="s">
        <v>12292</v>
      </c>
      <c r="T2960" s="6" t="s">
        <v>72</v>
      </c>
      <c r="U2960" s="5" t="s">
        <v>12293</v>
      </c>
      <c r="V2960" s="5"/>
    </row>
    <row r="2961" ht="12.75" customHeight="1">
      <c r="A2961" s="5">
        <v>36340.0</v>
      </c>
      <c r="B2961" s="5" t="s">
        <v>68</v>
      </c>
      <c r="C2961" s="5" t="s">
        <v>69</v>
      </c>
      <c r="D2961" s="5" t="s">
        <v>2614</v>
      </c>
      <c r="E2961" s="7" t="s">
        <v>12287</v>
      </c>
      <c r="F2961" s="5" t="s">
        <v>12162</v>
      </c>
      <c r="G2961" s="5" t="s">
        <v>12280</v>
      </c>
      <c r="H2961" s="5">
        <v>2000.0</v>
      </c>
      <c r="I2961" s="5">
        <v>0.0</v>
      </c>
      <c r="J2961" s="5">
        <v>0.0</v>
      </c>
      <c r="K2961" s="5">
        <v>4.0</v>
      </c>
      <c r="L2961" s="54"/>
      <c r="M2961" s="5" t="s">
        <v>12294</v>
      </c>
      <c r="N2961" s="53" t="s">
        <v>5983</v>
      </c>
      <c r="O2961">
        <v>36.132977</v>
      </c>
      <c r="P2961">
        <v>-5.453909</v>
      </c>
      <c r="Q2961" s="5" t="s">
        <v>770</v>
      </c>
      <c r="R2961" s="10">
        <f t="shared" si="10"/>
        <v>29</v>
      </c>
      <c r="S2961" s="5" t="s">
        <v>12295</v>
      </c>
      <c r="T2961" s="6" t="s">
        <v>72</v>
      </c>
      <c r="U2961" s="5" t="s">
        <v>2326</v>
      </c>
      <c r="V2961" s="5" t="s">
        <v>7579</v>
      </c>
    </row>
    <row r="2962" ht="12.75" customHeight="1">
      <c r="A2962" s="5">
        <v>36341.0</v>
      </c>
      <c r="B2962" s="5" t="s">
        <v>49</v>
      </c>
      <c r="C2962" s="52" t="s">
        <v>50</v>
      </c>
      <c r="D2962" s="5" t="s">
        <v>2852</v>
      </c>
      <c r="E2962" s="7" t="s">
        <v>12287</v>
      </c>
      <c r="F2962" s="5" t="s">
        <v>12162</v>
      </c>
      <c r="G2962" s="5" t="s">
        <v>12280</v>
      </c>
      <c r="H2962" s="5">
        <v>2000.0</v>
      </c>
      <c r="I2962" s="5">
        <v>0.0</v>
      </c>
      <c r="J2962" s="5">
        <v>0.0</v>
      </c>
      <c r="K2962" s="5">
        <v>2.0</v>
      </c>
      <c r="L2962" s="54"/>
      <c r="M2962" s="5" t="s">
        <v>12296</v>
      </c>
      <c r="N2962" s="53" t="s">
        <v>11102</v>
      </c>
      <c r="O2962">
        <v>40.143898</v>
      </c>
      <c r="P2962">
        <v>18.491168</v>
      </c>
      <c r="Q2962" s="5" t="s">
        <v>1121</v>
      </c>
      <c r="R2962" s="10">
        <f t="shared" si="10"/>
        <v>48</v>
      </c>
      <c r="S2962" s="5" t="s">
        <v>12297</v>
      </c>
      <c r="T2962" s="6" t="s">
        <v>1963</v>
      </c>
      <c r="U2962" s="5" t="s">
        <v>6479</v>
      </c>
      <c r="V2962" s="5" t="s">
        <v>12298</v>
      </c>
    </row>
    <row r="2963" ht="12.75" customHeight="1">
      <c r="A2963" s="5">
        <v>36345.0</v>
      </c>
      <c r="B2963" s="5" t="s">
        <v>49</v>
      </c>
      <c r="C2963" s="52" t="s">
        <v>50</v>
      </c>
      <c r="D2963" s="5" t="s">
        <v>2852</v>
      </c>
      <c r="E2963" s="7" t="s">
        <v>12299</v>
      </c>
      <c r="F2963" s="5" t="s">
        <v>12162</v>
      </c>
      <c r="G2963" s="5" t="s">
        <v>12280</v>
      </c>
      <c r="H2963" s="5">
        <v>2000.0</v>
      </c>
      <c r="I2963" s="5">
        <v>0.0</v>
      </c>
      <c r="J2963" s="5">
        <v>0.0</v>
      </c>
      <c r="K2963" s="5">
        <v>1.0</v>
      </c>
      <c r="L2963" s="54"/>
      <c r="M2963" s="5" t="s">
        <v>12300</v>
      </c>
      <c r="N2963" s="53" t="s">
        <v>2638</v>
      </c>
      <c r="O2963">
        <v>35.888384</v>
      </c>
      <c r="P2963">
        <v>-5.324636</v>
      </c>
      <c r="Q2963" s="5" t="s">
        <v>717</v>
      </c>
      <c r="R2963" s="10">
        <f t="shared" si="10"/>
        <v>213</v>
      </c>
      <c r="S2963" s="5" t="s">
        <v>12301</v>
      </c>
      <c r="T2963" s="6" t="s">
        <v>72</v>
      </c>
      <c r="U2963" s="5" t="s">
        <v>12302</v>
      </c>
      <c r="V2963" s="5"/>
    </row>
    <row r="2964" ht="12.75" customHeight="1">
      <c r="A2964" s="5">
        <v>36344.0</v>
      </c>
      <c r="B2964" s="5" t="s">
        <v>49</v>
      </c>
      <c r="C2964" s="52" t="s">
        <v>50</v>
      </c>
      <c r="D2964" s="5" t="s">
        <v>2852</v>
      </c>
      <c r="E2964" s="7" t="s">
        <v>12299</v>
      </c>
      <c r="F2964" s="5" t="s">
        <v>12162</v>
      </c>
      <c r="G2964" s="5" t="s">
        <v>12280</v>
      </c>
      <c r="H2964" s="5">
        <v>2000.0</v>
      </c>
      <c r="I2964" s="5">
        <v>0.0</v>
      </c>
      <c r="J2964" s="5">
        <v>0.0</v>
      </c>
      <c r="K2964" s="5">
        <v>1.0</v>
      </c>
      <c r="L2964" s="54"/>
      <c r="M2964" s="5" t="s">
        <v>12303</v>
      </c>
      <c r="N2964" s="53" t="s">
        <v>5983</v>
      </c>
      <c r="O2964">
        <v>36.132977</v>
      </c>
      <c r="P2964">
        <v>-5.453909</v>
      </c>
      <c r="Q2964" s="5" t="s">
        <v>770</v>
      </c>
      <c r="R2964" s="10">
        <f t="shared" si="10"/>
        <v>29</v>
      </c>
      <c r="S2964" s="5" t="s">
        <v>12304</v>
      </c>
      <c r="T2964" s="6" t="s">
        <v>72</v>
      </c>
      <c r="U2964" s="5" t="s">
        <v>12305</v>
      </c>
      <c r="V2964" s="5"/>
    </row>
    <row r="2965" ht="12.75" customHeight="1">
      <c r="A2965" s="5">
        <v>36346.0</v>
      </c>
      <c r="B2965" s="5" t="s">
        <v>49</v>
      </c>
      <c r="C2965" s="52" t="s">
        <v>50</v>
      </c>
      <c r="D2965" s="5" t="s">
        <v>2852</v>
      </c>
      <c r="E2965" s="7" t="s">
        <v>12306</v>
      </c>
      <c r="F2965" s="5" t="s">
        <v>12162</v>
      </c>
      <c r="G2965" s="5" t="s">
        <v>12280</v>
      </c>
      <c r="H2965" s="5">
        <v>2000.0</v>
      </c>
      <c r="I2965" s="5">
        <v>0.0</v>
      </c>
      <c r="J2965" s="5">
        <v>0.0</v>
      </c>
      <c r="K2965" s="5">
        <v>2.0</v>
      </c>
      <c r="L2965" s="54"/>
      <c r="M2965" s="5" t="s">
        <v>12307</v>
      </c>
      <c r="N2965" s="53" t="s">
        <v>2680</v>
      </c>
      <c r="O2965">
        <v>36.018776</v>
      </c>
      <c r="P2965">
        <v>-5.600819</v>
      </c>
      <c r="Q2965" s="5" t="s">
        <v>761</v>
      </c>
      <c r="R2965" s="10">
        <f t="shared" si="10"/>
        <v>492</v>
      </c>
      <c r="S2965" s="5" t="s">
        <v>12308</v>
      </c>
      <c r="T2965" s="6" t="s">
        <v>72</v>
      </c>
      <c r="U2965" s="5" t="s">
        <v>6479</v>
      </c>
      <c r="V2965" s="5"/>
    </row>
    <row r="2966" ht="12.75" customHeight="1">
      <c r="A2966" s="5">
        <v>36347.0</v>
      </c>
      <c r="B2966" s="5" t="s">
        <v>49</v>
      </c>
      <c r="C2966" s="52" t="s">
        <v>50</v>
      </c>
      <c r="D2966" s="5" t="s">
        <v>2852</v>
      </c>
      <c r="E2966" s="7" t="s">
        <v>12309</v>
      </c>
      <c r="F2966" s="5" t="s">
        <v>12162</v>
      </c>
      <c r="G2966" s="5" t="s">
        <v>12280</v>
      </c>
      <c r="H2966" s="5">
        <v>2000.0</v>
      </c>
      <c r="I2966" s="5">
        <v>0.0</v>
      </c>
      <c r="J2966" s="5">
        <v>0.0</v>
      </c>
      <c r="K2966" s="5">
        <v>1.0</v>
      </c>
      <c r="L2966" s="54"/>
      <c r="M2966" s="5" t="s">
        <v>12310</v>
      </c>
      <c r="N2966" s="53" t="s">
        <v>4663</v>
      </c>
      <c r="O2966">
        <v>36.19002</v>
      </c>
      <c r="P2966">
        <v>-5.92248</v>
      </c>
      <c r="Q2966" s="5" t="s">
        <v>778</v>
      </c>
      <c r="R2966" s="10">
        <f t="shared" si="10"/>
        <v>74</v>
      </c>
      <c r="S2966" s="5" t="s">
        <v>12311</v>
      </c>
      <c r="T2966" s="6" t="s">
        <v>72</v>
      </c>
      <c r="U2966" s="5" t="s">
        <v>3128</v>
      </c>
      <c r="V2966" s="5"/>
    </row>
    <row r="2967" ht="12.75" customHeight="1">
      <c r="A2967" s="5">
        <v>36348.0</v>
      </c>
      <c r="B2967" s="5" t="s">
        <v>1995</v>
      </c>
      <c r="C2967" s="52" t="s">
        <v>50</v>
      </c>
      <c r="D2967" s="5" t="s">
        <v>2852</v>
      </c>
      <c r="E2967" s="7" t="s">
        <v>12312</v>
      </c>
      <c r="F2967" s="5" t="s">
        <v>12162</v>
      </c>
      <c r="G2967" s="5" t="s">
        <v>12280</v>
      </c>
      <c r="H2967" s="5">
        <v>2000.0</v>
      </c>
      <c r="I2967" s="5">
        <v>0.0</v>
      </c>
      <c r="J2967" s="5">
        <v>0.0</v>
      </c>
      <c r="K2967" s="5">
        <v>1.0</v>
      </c>
      <c r="L2967" s="54"/>
      <c r="M2967" s="5" t="s">
        <v>12313</v>
      </c>
      <c r="N2967" s="53" t="s">
        <v>12314</v>
      </c>
      <c r="O2967">
        <v>34.870244</v>
      </c>
      <c r="P2967">
        <v>33.609009</v>
      </c>
      <c r="Q2967" s="5" t="s">
        <v>600</v>
      </c>
      <c r="R2967" s="10">
        <f t="shared" si="10"/>
        <v>1</v>
      </c>
      <c r="S2967" s="5" t="s">
        <v>12315</v>
      </c>
      <c r="T2967" s="5"/>
      <c r="U2967" s="5" t="s">
        <v>12316</v>
      </c>
      <c r="V2967" s="5"/>
    </row>
    <row r="2968" ht="12.75" customHeight="1">
      <c r="A2968" s="5">
        <v>36350.0</v>
      </c>
      <c r="B2968" s="5" t="s">
        <v>49</v>
      </c>
      <c r="C2968" s="52" t="s">
        <v>50</v>
      </c>
      <c r="D2968" s="5" t="s">
        <v>2852</v>
      </c>
      <c r="E2968" s="7" t="s">
        <v>12317</v>
      </c>
      <c r="F2968" s="5" t="s">
        <v>12162</v>
      </c>
      <c r="G2968" s="5" t="s">
        <v>12280</v>
      </c>
      <c r="H2968" s="5">
        <v>2000.0</v>
      </c>
      <c r="I2968" s="5">
        <v>0.0</v>
      </c>
      <c r="J2968" s="5">
        <v>0.0</v>
      </c>
      <c r="K2968" s="5">
        <v>13.0</v>
      </c>
      <c r="L2968" s="54"/>
      <c r="M2968" s="5" t="s">
        <v>12318</v>
      </c>
      <c r="N2968" s="53" t="s">
        <v>12319</v>
      </c>
      <c r="O2968">
        <v>26.133333</v>
      </c>
      <c r="P2968">
        <v>-14.466667</v>
      </c>
      <c r="Q2968" s="5" t="s">
        <v>336</v>
      </c>
      <c r="R2968" s="10">
        <f t="shared" si="10"/>
        <v>22</v>
      </c>
      <c r="S2968" s="5" t="s">
        <v>12320</v>
      </c>
      <c r="T2968" s="5" t="s">
        <v>1040</v>
      </c>
      <c r="U2968" s="5" t="s">
        <v>12321</v>
      </c>
      <c r="V2968" s="5"/>
    </row>
    <row r="2969" ht="12.75" customHeight="1">
      <c r="A2969" s="5">
        <v>36349.0</v>
      </c>
      <c r="B2969" s="5" t="s">
        <v>49</v>
      </c>
      <c r="C2969" s="52" t="s">
        <v>50</v>
      </c>
      <c r="D2969" s="5" t="s">
        <v>2852</v>
      </c>
      <c r="E2969" s="7" t="s">
        <v>12317</v>
      </c>
      <c r="F2969" s="5" t="s">
        <v>12162</v>
      </c>
      <c r="G2969" s="5" t="s">
        <v>12280</v>
      </c>
      <c r="H2969" s="5">
        <v>2000.0</v>
      </c>
      <c r="I2969" s="5">
        <v>0.0</v>
      </c>
      <c r="J2969" s="5">
        <v>0.0</v>
      </c>
      <c r="K2969" s="5">
        <v>1.0</v>
      </c>
      <c r="L2969" s="54"/>
      <c r="M2969" s="5" t="s">
        <v>12322</v>
      </c>
      <c r="N2969" s="53" t="s">
        <v>12319</v>
      </c>
      <c r="O2969">
        <v>26.133333</v>
      </c>
      <c r="P2969">
        <v>-14.466667</v>
      </c>
      <c r="Q2969" s="5" t="s">
        <v>336</v>
      </c>
      <c r="R2969" s="10">
        <f t="shared" si="10"/>
        <v>22</v>
      </c>
      <c r="S2969" s="5" t="s">
        <v>12320</v>
      </c>
      <c r="T2969" s="5" t="s">
        <v>1040</v>
      </c>
      <c r="U2969" s="5" t="s">
        <v>12321</v>
      </c>
      <c r="V2969" s="5"/>
    </row>
    <row r="2970" ht="12.75" customHeight="1">
      <c r="A2970" s="5">
        <v>36351.0</v>
      </c>
      <c r="B2970" s="5" t="s">
        <v>68</v>
      </c>
      <c r="C2970" s="5" t="s">
        <v>69</v>
      </c>
      <c r="D2970" s="5" t="s">
        <v>2614</v>
      </c>
      <c r="E2970" s="7" t="s">
        <v>12323</v>
      </c>
      <c r="F2970" s="5" t="s">
        <v>12162</v>
      </c>
      <c r="G2970" s="5" t="s">
        <v>12280</v>
      </c>
      <c r="H2970" s="5">
        <v>2000.0</v>
      </c>
      <c r="I2970" s="5">
        <v>0.0</v>
      </c>
      <c r="J2970" s="5">
        <v>0.0</v>
      </c>
      <c r="K2970" s="5">
        <v>1.0</v>
      </c>
      <c r="L2970" s="54"/>
      <c r="M2970" s="5" t="s">
        <v>12324</v>
      </c>
      <c r="N2970" s="53" t="s">
        <v>3379</v>
      </c>
      <c r="O2970">
        <v>36.834047</v>
      </c>
      <c r="P2970">
        <v>-2.463714</v>
      </c>
      <c r="Q2970" s="5" t="s">
        <v>863</v>
      </c>
      <c r="R2970" s="10">
        <f t="shared" si="10"/>
        <v>208</v>
      </c>
      <c r="S2970" s="5" t="s">
        <v>12325</v>
      </c>
      <c r="T2970" s="6" t="s">
        <v>72</v>
      </c>
      <c r="U2970" s="5" t="s">
        <v>2785</v>
      </c>
      <c r="V2970" s="5" t="s">
        <v>12326</v>
      </c>
    </row>
    <row r="2971" ht="12.75" customHeight="1">
      <c r="A2971" s="5">
        <v>36352.0</v>
      </c>
      <c r="B2971" s="5" t="s">
        <v>68</v>
      </c>
      <c r="C2971" s="5" t="s">
        <v>69</v>
      </c>
      <c r="D2971" s="5" t="s">
        <v>2614</v>
      </c>
      <c r="E2971" s="7" t="s">
        <v>12323</v>
      </c>
      <c r="F2971" s="5" t="s">
        <v>12162</v>
      </c>
      <c r="G2971" s="5" t="s">
        <v>12280</v>
      </c>
      <c r="H2971" s="5">
        <v>2000.0</v>
      </c>
      <c r="I2971" s="5">
        <v>0.0</v>
      </c>
      <c r="J2971" s="5">
        <v>0.0</v>
      </c>
      <c r="K2971" s="5">
        <v>1.0</v>
      </c>
      <c r="L2971" s="54"/>
      <c r="M2971" s="5" t="s">
        <v>12327</v>
      </c>
      <c r="N2971" s="53" t="s">
        <v>10982</v>
      </c>
      <c r="O2971">
        <v>40.351516</v>
      </c>
      <c r="P2971">
        <v>18.175016</v>
      </c>
      <c r="Q2971" s="5" t="s">
        <v>1133</v>
      </c>
      <c r="R2971" s="10">
        <f t="shared" si="10"/>
        <v>15</v>
      </c>
      <c r="S2971" s="5" t="s">
        <v>12328</v>
      </c>
      <c r="T2971" s="6" t="s">
        <v>1963</v>
      </c>
      <c r="U2971" s="5" t="s">
        <v>8502</v>
      </c>
      <c r="V2971" s="5" t="s">
        <v>9369</v>
      </c>
    </row>
    <row r="2972" ht="12.75" customHeight="1">
      <c r="A2972" s="5">
        <v>36353.0</v>
      </c>
      <c r="B2972" s="5" t="s">
        <v>1773</v>
      </c>
      <c r="C2972" s="5" t="s">
        <v>124</v>
      </c>
      <c r="D2972" s="5" t="s">
        <v>2852</v>
      </c>
      <c r="E2972" s="7" t="s">
        <v>12329</v>
      </c>
      <c r="F2972" s="5" t="s">
        <v>12162</v>
      </c>
      <c r="G2972" s="5" t="s">
        <v>12280</v>
      </c>
      <c r="H2972" s="5">
        <v>2000.0</v>
      </c>
      <c r="I2972" s="5">
        <v>0.0</v>
      </c>
      <c r="J2972" s="5">
        <v>0.0</v>
      </c>
      <c r="K2972" s="5">
        <v>1.0</v>
      </c>
      <c r="L2972" s="54"/>
      <c r="M2972" s="5" t="s">
        <v>12330</v>
      </c>
      <c r="N2972" s="53" t="s">
        <v>12331</v>
      </c>
      <c r="O2972">
        <v>47.687457</v>
      </c>
      <c r="P2972">
        <v>17.650397</v>
      </c>
      <c r="Q2972" s="5" t="s">
        <v>1392</v>
      </c>
      <c r="R2972" s="10">
        <f t="shared" si="10"/>
        <v>2</v>
      </c>
      <c r="S2972" s="5" t="s">
        <v>12332</v>
      </c>
      <c r="T2972" s="5"/>
      <c r="U2972" s="5" t="s">
        <v>254</v>
      </c>
      <c r="V2972" s="5"/>
    </row>
    <row r="2973" ht="12.75" customHeight="1">
      <c r="A2973" s="5">
        <v>36354.0</v>
      </c>
      <c r="B2973" s="5" t="s">
        <v>68</v>
      </c>
      <c r="C2973" s="5" t="s">
        <v>69</v>
      </c>
      <c r="D2973" s="5" t="s">
        <v>2614</v>
      </c>
      <c r="E2973" s="7" t="s">
        <v>12333</v>
      </c>
      <c r="F2973" s="5" t="s">
        <v>12162</v>
      </c>
      <c r="G2973" s="5" t="s">
        <v>12280</v>
      </c>
      <c r="H2973" s="5">
        <v>2000.0</v>
      </c>
      <c r="I2973" s="5">
        <v>0.0</v>
      </c>
      <c r="J2973" s="5">
        <v>0.0</v>
      </c>
      <c r="K2973" s="5">
        <v>20.0</v>
      </c>
      <c r="L2973" s="54"/>
      <c r="M2973" s="5" t="s">
        <v>12334</v>
      </c>
      <c r="N2973" s="53" t="s">
        <v>2944</v>
      </c>
      <c r="O2973">
        <v>-12.8275</v>
      </c>
      <c r="P2973">
        <v>45.166244</v>
      </c>
      <c r="Q2973" s="5" t="s">
        <v>228</v>
      </c>
      <c r="R2973" s="10">
        <f t="shared" si="10"/>
        <v>757</v>
      </c>
      <c r="S2973" s="5" t="s">
        <v>12335</v>
      </c>
      <c r="T2973" s="5"/>
      <c r="U2973" s="5" t="s">
        <v>8097</v>
      </c>
      <c r="V2973" s="5" t="s">
        <v>8585</v>
      </c>
    </row>
    <row r="2974" ht="12.75" customHeight="1">
      <c r="A2974" s="5">
        <v>36357.0</v>
      </c>
      <c r="B2974" s="5" t="s">
        <v>49</v>
      </c>
      <c r="C2974" s="52" t="s">
        <v>50</v>
      </c>
      <c r="D2974" s="5" t="s">
        <v>2852</v>
      </c>
      <c r="E2974" s="7" t="s">
        <v>12336</v>
      </c>
      <c r="F2974" s="5" t="s">
        <v>12162</v>
      </c>
      <c r="G2974" s="5" t="s">
        <v>12280</v>
      </c>
      <c r="H2974" s="5">
        <v>2000.0</v>
      </c>
      <c r="I2974" s="5">
        <v>0.0</v>
      </c>
      <c r="J2974" s="5">
        <v>0.0</v>
      </c>
      <c r="K2974" s="5">
        <v>11.0</v>
      </c>
      <c r="L2974" s="54"/>
      <c r="M2974" s="5" t="s">
        <v>12337</v>
      </c>
      <c r="N2974" s="53" t="s">
        <v>2680</v>
      </c>
      <c r="O2974">
        <v>36.018776</v>
      </c>
      <c r="P2974">
        <v>-5.600819</v>
      </c>
      <c r="Q2974" s="5" t="s">
        <v>761</v>
      </c>
      <c r="R2974" s="10">
        <f t="shared" si="10"/>
        <v>492</v>
      </c>
      <c r="S2974" s="5" t="s">
        <v>12338</v>
      </c>
      <c r="T2974" s="6" t="s">
        <v>72</v>
      </c>
      <c r="U2974" s="5" t="s">
        <v>3128</v>
      </c>
      <c r="V2974" s="5"/>
    </row>
    <row r="2975" ht="12.75" customHeight="1">
      <c r="A2975" s="5">
        <v>36356.0</v>
      </c>
      <c r="B2975" s="5" t="s">
        <v>49</v>
      </c>
      <c r="C2975" s="52" t="s">
        <v>50</v>
      </c>
      <c r="D2975" s="5" t="s">
        <v>2852</v>
      </c>
      <c r="E2975" s="7" t="s">
        <v>12336</v>
      </c>
      <c r="F2975" s="5" t="s">
        <v>12162</v>
      </c>
      <c r="G2975" s="5" t="s">
        <v>12280</v>
      </c>
      <c r="H2975" s="5">
        <v>2000.0</v>
      </c>
      <c r="I2975" s="5">
        <v>0.0</v>
      </c>
      <c r="J2975" s="5">
        <v>0.0</v>
      </c>
      <c r="K2975" s="5">
        <v>3.0</v>
      </c>
      <c r="L2975" s="54"/>
      <c r="M2975" s="5" t="s">
        <v>12339</v>
      </c>
      <c r="N2975" s="53" t="s">
        <v>2680</v>
      </c>
      <c r="O2975">
        <v>36.018776</v>
      </c>
      <c r="P2975">
        <v>-5.600819</v>
      </c>
      <c r="Q2975" s="5" t="s">
        <v>761</v>
      </c>
      <c r="R2975" s="10">
        <f t="shared" si="10"/>
        <v>492</v>
      </c>
      <c r="S2975" s="5" t="s">
        <v>12338</v>
      </c>
      <c r="T2975" s="6" t="s">
        <v>72</v>
      </c>
      <c r="U2975" s="5" t="s">
        <v>3128</v>
      </c>
      <c r="V2975" s="5"/>
    </row>
    <row r="2976" ht="12.75" customHeight="1">
      <c r="A2976" s="5">
        <v>36355.0</v>
      </c>
      <c r="B2976" s="5" t="s">
        <v>49</v>
      </c>
      <c r="C2976" s="52" t="s">
        <v>50</v>
      </c>
      <c r="D2976" s="5" t="s">
        <v>2852</v>
      </c>
      <c r="E2976" s="7" t="s">
        <v>12336</v>
      </c>
      <c r="F2976" s="5" t="s">
        <v>12162</v>
      </c>
      <c r="G2976" s="5" t="s">
        <v>12280</v>
      </c>
      <c r="H2976" s="5">
        <v>2000.0</v>
      </c>
      <c r="I2976" s="5">
        <v>0.0</v>
      </c>
      <c r="J2976" s="5">
        <v>0.0</v>
      </c>
      <c r="K2976" s="5">
        <v>2.0</v>
      </c>
      <c r="L2976" s="54"/>
      <c r="M2976" s="5" t="s">
        <v>12340</v>
      </c>
      <c r="N2976" s="53" t="s">
        <v>2680</v>
      </c>
      <c r="O2976">
        <v>36.018776</v>
      </c>
      <c r="P2976">
        <v>-5.600819</v>
      </c>
      <c r="Q2976" s="5" t="s">
        <v>761</v>
      </c>
      <c r="R2976" s="10">
        <f t="shared" si="10"/>
        <v>492</v>
      </c>
      <c r="S2976" s="5" t="s">
        <v>12338</v>
      </c>
      <c r="T2976" s="6" t="s">
        <v>72</v>
      </c>
      <c r="U2976" s="5" t="s">
        <v>3128</v>
      </c>
      <c r="V2976" s="5"/>
    </row>
    <row r="2977" ht="12.75" customHeight="1">
      <c r="A2977" s="5">
        <v>36358.0</v>
      </c>
      <c r="B2977" s="5" t="s">
        <v>49</v>
      </c>
      <c r="C2977" s="52" t="s">
        <v>50</v>
      </c>
      <c r="D2977" s="5" t="s">
        <v>2852</v>
      </c>
      <c r="E2977" s="7" t="s">
        <v>12336</v>
      </c>
      <c r="F2977" s="5" t="s">
        <v>12162</v>
      </c>
      <c r="G2977" s="5" t="s">
        <v>12280</v>
      </c>
      <c r="H2977" s="5">
        <v>2000.0</v>
      </c>
      <c r="I2977" s="5">
        <v>0.0</v>
      </c>
      <c r="J2977" s="5">
        <v>0.0</v>
      </c>
      <c r="K2977" s="5">
        <v>1.0</v>
      </c>
      <c r="L2977" s="54"/>
      <c r="M2977" s="5" t="s">
        <v>12341</v>
      </c>
      <c r="N2977" s="53" t="s">
        <v>12342</v>
      </c>
      <c r="O2977">
        <v>52.643661</v>
      </c>
      <c r="P2977">
        <v>14.361496</v>
      </c>
      <c r="Q2977" s="5" t="s">
        <v>1789</v>
      </c>
      <c r="R2977" s="10">
        <f t="shared" si="10"/>
        <v>2</v>
      </c>
      <c r="S2977" s="5" t="s">
        <v>12343</v>
      </c>
      <c r="T2977" s="5"/>
      <c r="U2977" s="5" t="s">
        <v>12227</v>
      </c>
      <c r="V2977" s="5" t="s">
        <v>8714</v>
      </c>
    </row>
    <row r="2978" ht="12.75" customHeight="1">
      <c r="A2978" s="5">
        <v>36359.0</v>
      </c>
      <c r="B2978" s="5" t="s">
        <v>68</v>
      </c>
      <c r="C2978" s="5" t="s">
        <v>69</v>
      </c>
      <c r="D2978" s="5" t="s">
        <v>2852</v>
      </c>
      <c r="E2978" s="7" t="s">
        <v>12344</v>
      </c>
      <c r="F2978" s="5" t="s">
        <v>12162</v>
      </c>
      <c r="G2978" s="5" t="s">
        <v>12280</v>
      </c>
      <c r="H2978" s="5">
        <v>2000.0</v>
      </c>
      <c r="I2978" s="5">
        <v>0.0</v>
      </c>
      <c r="J2978" s="5">
        <v>0.0</v>
      </c>
      <c r="K2978" s="5">
        <v>1.0</v>
      </c>
      <c r="L2978" s="54"/>
      <c r="M2978" s="5" t="s">
        <v>12345</v>
      </c>
      <c r="N2978" s="53" t="s">
        <v>5874</v>
      </c>
      <c r="O2978">
        <v>52.520007</v>
      </c>
      <c r="P2978">
        <v>13.404954</v>
      </c>
      <c r="Q2978" s="5" t="s">
        <v>1774</v>
      </c>
      <c r="R2978" s="10">
        <f t="shared" si="10"/>
        <v>6</v>
      </c>
      <c r="S2978" s="5" t="s">
        <v>12346</v>
      </c>
      <c r="T2978" s="5"/>
      <c r="U2978" s="5" t="s">
        <v>4578</v>
      </c>
      <c r="V2978" s="5"/>
    </row>
    <row r="2979" ht="12.75" customHeight="1">
      <c r="A2979" s="5">
        <v>36360.0</v>
      </c>
      <c r="B2979" s="5" t="s">
        <v>3521</v>
      </c>
      <c r="C2979" s="5" t="s">
        <v>62</v>
      </c>
      <c r="D2979" s="5" t="s">
        <v>2852</v>
      </c>
      <c r="E2979" s="7" t="s">
        <v>12347</v>
      </c>
      <c r="F2979" s="5" t="s">
        <v>12348</v>
      </c>
      <c r="G2979" s="5" t="s">
        <v>12349</v>
      </c>
      <c r="H2979" s="5">
        <v>2000.0</v>
      </c>
      <c r="I2979" s="5">
        <v>0.0</v>
      </c>
      <c r="J2979" s="5">
        <v>0.0</v>
      </c>
      <c r="K2979" s="5">
        <v>1.0</v>
      </c>
      <c r="L2979" s="54"/>
      <c r="M2979" s="5" t="s">
        <v>12350</v>
      </c>
      <c r="N2979" s="53" t="s">
        <v>12351</v>
      </c>
      <c r="O2979">
        <v>38.017618</v>
      </c>
      <c r="P2979">
        <v>12.537202</v>
      </c>
      <c r="Q2979" s="5" t="s">
        <v>991</v>
      </c>
      <c r="R2979" s="10">
        <f t="shared" si="10"/>
        <v>5</v>
      </c>
      <c r="S2979" s="5" t="s">
        <v>12352</v>
      </c>
      <c r="T2979" s="6" t="s">
        <v>2130</v>
      </c>
      <c r="U2979" s="5" t="s">
        <v>12353</v>
      </c>
      <c r="V2979" s="5"/>
    </row>
    <row r="2980" ht="12.75" customHeight="1">
      <c r="A2980" s="5">
        <v>36361.0</v>
      </c>
      <c r="B2980" s="5" t="s">
        <v>763</v>
      </c>
      <c r="C2980" s="5" t="s">
        <v>124</v>
      </c>
      <c r="D2980" s="5" t="s">
        <v>2852</v>
      </c>
      <c r="E2980" s="7" t="s">
        <v>12347</v>
      </c>
      <c r="F2980" s="5" t="s">
        <v>12348</v>
      </c>
      <c r="G2980" s="5" t="s">
        <v>12349</v>
      </c>
      <c r="H2980" s="5">
        <v>2000.0</v>
      </c>
      <c r="I2980" s="5">
        <v>0.0</v>
      </c>
      <c r="J2980" s="5">
        <v>0.0</v>
      </c>
      <c r="K2980" s="5">
        <v>6.0</v>
      </c>
      <c r="L2980" s="54"/>
      <c r="M2980" s="5" t="s">
        <v>12354</v>
      </c>
      <c r="N2980" s="53" t="s">
        <v>6595</v>
      </c>
      <c r="O2980">
        <v>40.63935</v>
      </c>
      <c r="P2980">
        <v>22.944606</v>
      </c>
      <c r="Q2980" s="5" t="s">
        <v>1157</v>
      </c>
      <c r="R2980" s="10">
        <f t="shared" si="10"/>
        <v>12</v>
      </c>
      <c r="S2980" s="5" t="s">
        <v>12355</v>
      </c>
      <c r="T2980" s="6" t="s">
        <v>53</v>
      </c>
      <c r="U2980" s="5" t="s">
        <v>3128</v>
      </c>
      <c r="V2980" s="5"/>
    </row>
    <row r="2981" ht="12.75" customHeight="1">
      <c r="A2981" s="5">
        <v>36362.0</v>
      </c>
      <c r="B2981" s="5" t="s">
        <v>2902</v>
      </c>
      <c r="C2981" s="5" t="s">
        <v>211</v>
      </c>
      <c r="D2981" s="5" t="s">
        <v>2852</v>
      </c>
      <c r="E2981" s="7" t="s">
        <v>12356</v>
      </c>
      <c r="F2981" s="5" t="s">
        <v>12348</v>
      </c>
      <c r="G2981" s="5" t="s">
        <v>12349</v>
      </c>
      <c r="H2981" s="5">
        <v>2000.0</v>
      </c>
      <c r="I2981" s="5">
        <v>0.0</v>
      </c>
      <c r="J2981" s="5">
        <v>0.0</v>
      </c>
      <c r="K2981" s="5">
        <v>1.0</v>
      </c>
      <c r="L2981" s="54"/>
      <c r="M2981" s="5" t="s">
        <v>12357</v>
      </c>
      <c r="N2981" s="53" t="s">
        <v>11496</v>
      </c>
      <c r="O2981">
        <v>53.349805</v>
      </c>
      <c r="P2981">
        <v>-6.26031</v>
      </c>
      <c r="Q2981" s="5" t="s">
        <v>1817</v>
      </c>
      <c r="R2981" s="10">
        <f t="shared" si="10"/>
        <v>2</v>
      </c>
      <c r="S2981" s="5" t="s">
        <v>12358</v>
      </c>
      <c r="T2981" s="5"/>
      <c r="U2981" s="5" t="s">
        <v>12359</v>
      </c>
      <c r="V2981" s="5"/>
    </row>
    <row r="2982" ht="12.75" customHeight="1">
      <c r="A2982" s="5">
        <v>36363.0</v>
      </c>
      <c r="B2982" s="5" t="s">
        <v>1076</v>
      </c>
      <c r="C2982" s="52" t="s">
        <v>50</v>
      </c>
      <c r="D2982" s="5" t="s">
        <v>2852</v>
      </c>
      <c r="E2982" s="7" t="s">
        <v>12360</v>
      </c>
      <c r="F2982" s="5" t="s">
        <v>12348</v>
      </c>
      <c r="G2982" s="5" t="s">
        <v>12349</v>
      </c>
      <c r="H2982" s="5">
        <v>2000.0</v>
      </c>
      <c r="I2982" s="5">
        <v>0.0</v>
      </c>
      <c r="J2982" s="5">
        <v>0.0</v>
      </c>
      <c r="K2982" s="5">
        <v>58.0</v>
      </c>
      <c r="L2982" s="54"/>
      <c r="M2982" s="5" t="s">
        <v>12361</v>
      </c>
      <c r="N2982" s="53" t="s">
        <v>10113</v>
      </c>
      <c r="O2982">
        <v>51.127876</v>
      </c>
      <c r="P2982" s="10">
        <v>3.1</v>
      </c>
      <c r="Q2982" s="6" t="s">
        <v>1591</v>
      </c>
      <c r="R2982" s="10">
        <f t="shared" si="10"/>
        <v>58</v>
      </c>
      <c r="S2982" s="5" t="s">
        <v>12362</v>
      </c>
      <c r="T2982" s="5"/>
      <c r="U2982" s="5" t="s">
        <v>12363</v>
      </c>
      <c r="V2982" s="5"/>
    </row>
    <row r="2983" ht="12.75" customHeight="1">
      <c r="A2983" s="5">
        <v>36364.0</v>
      </c>
      <c r="B2983" s="5" t="s">
        <v>68</v>
      </c>
      <c r="C2983" s="5" t="s">
        <v>69</v>
      </c>
      <c r="D2983" s="5" t="s">
        <v>2614</v>
      </c>
      <c r="E2983" s="7" t="s">
        <v>12364</v>
      </c>
      <c r="F2983" s="5" t="s">
        <v>12348</v>
      </c>
      <c r="G2983" s="5" t="s">
        <v>12349</v>
      </c>
      <c r="H2983" s="5">
        <v>2000.0</v>
      </c>
      <c r="I2983" s="5">
        <v>0.0</v>
      </c>
      <c r="J2983" s="5">
        <v>0.0</v>
      </c>
      <c r="K2983" s="5">
        <v>19.0</v>
      </c>
      <c r="L2983" s="54"/>
      <c r="M2983" s="5" t="s">
        <v>12365</v>
      </c>
      <c r="N2983" s="53" t="s">
        <v>2944</v>
      </c>
      <c r="O2983">
        <v>-12.8275</v>
      </c>
      <c r="P2983">
        <v>45.166244</v>
      </c>
      <c r="Q2983" s="5" t="s">
        <v>228</v>
      </c>
      <c r="R2983" s="10">
        <f t="shared" si="10"/>
        <v>757</v>
      </c>
      <c r="S2983" s="5" t="s">
        <v>12366</v>
      </c>
      <c r="T2983" s="5"/>
      <c r="U2983" s="5" t="s">
        <v>8097</v>
      </c>
      <c r="V2983" s="5" t="s">
        <v>8585</v>
      </c>
    </row>
    <row r="2984" ht="12.75" customHeight="1">
      <c r="A2984" s="5">
        <v>36365.0</v>
      </c>
      <c r="B2984" s="5" t="s">
        <v>763</v>
      </c>
      <c r="C2984" s="5" t="s">
        <v>124</v>
      </c>
      <c r="D2984" s="5" t="s">
        <v>2852</v>
      </c>
      <c r="E2984" s="7" t="s">
        <v>12367</v>
      </c>
      <c r="F2984" s="5" t="s">
        <v>12348</v>
      </c>
      <c r="G2984" s="5" t="s">
        <v>12349</v>
      </c>
      <c r="H2984" s="5">
        <v>2000.0</v>
      </c>
      <c r="I2984" s="5">
        <v>0.0</v>
      </c>
      <c r="J2984" s="5">
        <v>0.0</v>
      </c>
      <c r="K2984" s="5">
        <v>1.0</v>
      </c>
      <c r="L2984" s="54"/>
      <c r="M2984" s="5" t="s">
        <v>12368</v>
      </c>
      <c r="N2984" s="53" t="s">
        <v>12369</v>
      </c>
      <c r="O2984">
        <v>36.210462</v>
      </c>
      <c r="P2984">
        <v>-5.384432</v>
      </c>
      <c r="Q2984" s="5" t="s">
        <v>783</v>
      </c>
      <c r="R2984" s="10">
        <f t="shared" si="10"/>
        <v>1</v>
      </c>
      <c r="S2984" s="5" t="s">
        <v>12370</v>
      </c>
      <c r="T2984" s="6" t="s">
        <v>72</v>
      </c>
      <c r="U2984" s="5" t="s">
        <v>12371</v>
      </c>
      <c r="V2984" s="5"/>
    </row>
    <row r="2985" ht="12.75" customHeight="1">
      <c r="A2985" s="5">
        <v>36366.0</v>
      </c>
      <c r="B2985" s="5" t="s">
        <v>2333</v>
      </c>
      <c r="C2985" s="5" t="s">
        <v>124</v>
      </c>
      <c r="D2985" s="5" t="s">
        <v>2852</v>
      </c>
      <c r="E2985" s="7" t="s">
        <v>12372</v>
      </c>
      <c r="F2985" s="5" t="s">
        <v>12348</v>
      </c>
      <c r="G2985" s="5" t="s">
        <v>12349</v>
      </c>
      <c r="H2985" s="5">
        <v>2000.0</v>
      </c>
      <c r="I2985" s="5">
        <v>0.0</v>
      </c>
      <c r="J2985" s="5">
        <v>0.0</v>
      </c>
      <c r="K2985" s="5">
        <v>1.0</v>
      </c>
      <c r="L2985" s="54"/>
      <c r="M2985" s="5" t="s">
        <v>12373</v>
      </c>
      <c r="N2985" s="53" t="s">
        <v>3427</v>
      </c>
      <c r="O2985">
        <v>40.463667</v>
      </c>
      <c r="P2985">
        <v>-3.74922</v>
      </c>
      <c r="Q2985" s="5" t="s">
        <v>1142</v>
      </c>
      <c r="R2985" s="10">
        <f t="shared" si="10"/>
        <v>6</v>
      </c>
      <c r="S2985" s="5" t="s">
        <v>12374</v>
      </c>
      <c r="T2985" s="6" t="s">
        <v>72</v>
      </c>
      <c r="U2985" s="5" t="s">
        <v>11558</v>
      </c>
      <c r="V2985" s="5"/>
    </row>
    <row r="2986" ht="12.75" customHeight="1">
      <c r="A2986" s="5">
        <v>36368.0</v>
      </c>
      <c r="B2986" s="5" t="s">
        <v>49</v>
      </c>
      <c r="C2986" s="52" t="s">
        <v>50</v>
      </c>
      <c r="D2986" s="5" t="s">
        <v>2852</v>
      </c>
      <c r="E2986" s="7" t="s">
        <v>12375</v>
      </c>
      <c r="F2986" s="5" t="s">
        <v>12348</v>
      </c>
      <c r="G2986" s="5" t="s">
        <v>12349</v>
      </c>
      <c r="H2986" s="5">
        <v>2000.0</v>
      </c>
      <c r="I2986" s="5">
        <v>0.0</v>
      </c>
      <c r="J2986" s="5">
        <v>0.0</v>
      </c>
      <c r="K2986" s="5">
        <v>1.0</v>
      </c>
      <c r="L2986" s="54"/>
      <c r="M2986" s="5" t="s">
        <v>12376</v>
      </c>
      <c r="N2986" s="53" t="s">
        <v>11102</v>
      </c>
      <c r="O2986">
        <v>40.143898</v>
      </c>
      <c r="P2986">
        <v>18.491168</v>
      </c>
      <c r="Q2986" s="5" t="s">
        <v>1121</v>
      </c>
      <c r="R2986" s="10">
        <f t="shared" si="10"/>
        <v>48</v>
      </c>
      <c r="S2986" s="5" t="s">
        <v>12377</v>
      </c>
      <c r="T2986" s="6" t="s">
        <v>1963</v>
      </c>
      <c r="U2986" s="5" t="s">
        <v>12378</v>
      </c>
      <c r="V2986" s="5"/>
    </row>
    <row r="2987" ht="12.75" customHeight="1">
      <c r="A2987" s="5">
        <v>36367.0</v>
      </c>
      <c r="B2987" s="5" t="s">
        <v>68</v>
      </c>
      <c r="C2987" s="5" t="s">
        <v>69</v>
      </c>
      <c r="D2987" s="5" t="s">
        <v>2614</v>
      </c>
      <c r="E2987" s="7" t="s">
        <v>12375</v>
      </c>
      <c r="F2987" s="5" t="s">
        <v>12348</v>
      </c>
      <c r="G2987" s="5" t="s">
        <v>12349</v>
      </c>
      <c r="H2987" s="5">
        <v>2000.0</v>
      </c>
      <c r="I2987" s="5">
        <v>0.0</v>
      </c>
      <c r="J2987" s="5">
        <v>0.0</v>
      </c>
      <c r="K2987" s="5">
        <v>2.0</v>
      </c>
      <c r="L2987" s="54"/>
      <c r="M2987" s="5" t="s">
        <v>12379</v>
      </c>
      <c r="N2987" s="53" t="s">
        <v>10982</v>
      </c>
      <c r="O2987">
        <v>40.351516</v>
      </c>
      <c r="P2987">
        <v>18.175016</v>
      </c>
      <c r="Q2987" s="5" t="s">
        <v>1133</v>
      </c>
      <c r="R2987" s="10">
        <f t="shared" si="10"/>
        <v>15</v>
      </c>
      <c r="S2987" s="5" t="s">
        <v>12380</v>
      </c>
      <c r="T2987" s="6" t="s">
        <v>1963</v>
      </c>
      <c r="U2987" s="5" t="s">
        <v>2326</v>
      </c>
      <c r="V2987" s="5" t="s">
        <v>7579</v>
      </c>
    </row>
    <row r="2988" ht="12.75" customHeight="1">
      <c r="A2988" s="5">
        <v>36370.0</v>
      </c>
      <c r="B2988" s="5" t="s">
        <v>2962</v>
      </c>
      <c r="C2988" s="5" t="s">
        <v>211</v>
      </c>
      <c r="D2988" s="5" t="s">
        <v>2852</v>
      </c>
      <c r="E2988" s="7" t="s">
        <v>12381</v>
      </c>
      <c r="F2988" s="5" t="s">
        <v>12348</v>
      </c>
      <c r="G2988" s="5" t="s">
        <v>12349</v>
      </c>
      <c r="H2988" s="5">
        <v>2000.0</v>
      </c>
      <c r="I2988" s="5">
        <v>0.0</v>
      </c>
      <c r="J2988" s="5">
        <v>0.0</v>
      </c>
      <c r="K2988" s="5">
        <v>1.0</v>
      </c>
      <c r="L2988" s="54"/>
      <c r="M2988" s="5" t="s">
        <v>12382</v>
      </c>
      <c r="N2988" s="53" t="s">
        <v>6857</v>
      </c>
      <c r="O2988">
        <v>50.110922</v>
      </c>
      <c r="P2988">
        <v>8.682127</v>
      </c>
      <c r="Q2988" s="5" t="s">
        <v>1485</v>
      </c>
      <c r="R2988" s="10">
        <f t="shared" si="10"/>
        <v>6</v>
      </c>
      <c r="S2988" s="5" t="s">
        <v>12383</v>
      </c>
      <c r="T2988" s="5"/>
      <c r="U2988" s="5" t="s">
        <v>12384</v>
      </c>
      <c r="V2988" s="5"/>
    </row>
    <row r="2989" ht="12.75" customHeight="1">
      <c r="A2989" s="5">
        <v>36369.0</v>
      </c>
      <c r="B2989" s="5" t="s">
        <v>2921</v>
      </c>
      <c r="C2989" s="5" t="s">
        <v>124</v>
      </c>
      <c r="D2989" s="5" t="s">
        <v>2614</v>
      </c>
      <c r="E2989" s="7" t="s">
        <v>12381</v>
      </c>
      <c r="F2989" s="5" t="s">
        <v>12348</v>
      </c>
      <c r="G2989" s="5" t="s">
        <v>12349</v>
      </c>
      <c r="H2989" s="5">
        <v>2000.0</v>
      </c>
      <c r="I2989" s="5">
        <v>0.0</v>
      </c>
      <c r="J2989" s="5">
        <v>0.0</v>
      </c>
      <c r="K2989" s="5">
        <v>1.0</v>
      </c>
      <c r="L2989" s="54"/>
      <c r="M2989" s="5" t="s">
        <v>12385</v>
      </c>
      <c r="N2989" s="53" t="s">
        <v>9511</v>
      </c>
      <c r="O2989">
        <v>59.32893</v>
      </c>
      <c r="P2989">
        <v>18.06491</v>
      </c>
      <c r="Q2989" s="5" t="s">
        <v>1908</v>
      </c>
      <c r="R2989" s="10">
        <f t="shared" si="10"/>
        <v>5</v>
      </c>
      <c r="S2989" s="5" t="s">
        <v>12386</v>
      </c>
      <c r="T2989" s="5"/>
      <c r="U2989" s="5" t="s">
        <v>6524</v>
      </c>
      <c r="V2989" s="5" t="s">
        <v>12387</v>
      </c>
    </row>
    <row r="2990" ht="12.75" customHeight="1">
      <c r="A2990" s="5">
        <v>36371.0</v>
      </c>
      <c r="B2990" s="5" t="s">
        <v>1773</v>
      </c>
      <c r="C2990" s="5" t="s">
        <v>124</v>
      </c>
      <c r="D2990" s="5" t="s">
        <v>2852</v>
      </c>
      <c r="E2990" s="7" t="s">
        <v>12388</v>
      </c>
      <c r="F2990" s="5" t="s">
        <v>12348</v>
      </c>
      <c r="G2990" s="5" t="s">
        <v>12349</v>
      </c>
      <c r="H2990" s="5">
        <v>2000.0</v>
      </c>
      <c r="I2990" s="5">
        <v>0.0</v>
      </c>
      <c r="J2990" s="5">
        <v>0.0</v>
      </c>
      <c r="K2990" s="5">
        <v>1.0</v>
      </c>
      <c r="L2990" s="54"/>
      <c r="M2990" s="5" t="s">
        <v>12389</v>
      </c>
      <c r="N2990" s="53" t="s">
        <v>3608</v>
      </c>
      <c r="O2990">
        <v>41.117143</v>
      </c>
      <c r="P2990">
        <v>16.871871</v>
      </c>
      <c r="Q2990" s="5" t="s">
        <v>1188</v>
      </c>
      <c r="R2990" s="10">
        <f t="shared" si="10"/>
        <v>32</v>
      </c>
      <c r="S2990" s="5" t="s">
        <v>12390</v>
      </c>
      <c r="T2990" s="6" t="s">
        <v>1963</v>
      </c>
      <c r="U2990" s="5" t="s">
        <v>12391</v>
      </c>
      <c r="V2990" s="5"/>
    </row>
    <row r="2991" ht="12.75" customHeight="1">
      <c r="A2991" s="5">
        <v>36372.0</v>
      </c>
      <c r="B2991" s="5" t="s">
        <v>2333</v>
      </c>
      <c r="C2991" s="5" t="s">
        <v>124</v>
      </c>
      <c r="D2991" s="5" t="s">
        <v>2852</v>
      </c>
      <c r="E2991" s="7" t="s">
        <v>12392</v>
      </c>
      <c r="F2991" s="5" t="s">
        <v>12348</v>
      </c>
      <c r="G2991" s="5" t="s">
        <v>12393</v>
      </c>
      <c r="H2991" s="5">
        <v>2000.0</v>
      </c>
      <c r="I2991" s="5">
        <v>0.0</v>
      </c>
      <c r="J2991" s="5">
        <v>0.0</v>
      </c>
      <c r="K2991" s="5">
        <v>1.0</v>
      </c>
      <c r="L2991" s="54"/>
      <c r="M2991" s="5" t="s">
        <v>12394</v>
      </c>
      <c r="N2991" s="53" t="s">
        <v>12395</v>
      </c>
      <c r="O2991">
        <v>37.667476</v>
      </c>
      <c r="P2991">
        <v>-4.882537</v>
      </c>
      <c r="Q2991" s="5" t="s">
        <v>954</v>
      </c>
      <c r="R2991" s="10">
        <f t="shared" si="10"/>
        <v>1</v>
      </c>
      <c r="S2991" s="5" t="s">
        <v>12396</v>
      </c>
      <c r="T2991" s="6" t="s">
        <v>72</v>
      </c>
      <c r="U2991" s="5" t="s">
        <v>11834</v>
      </c>
      <c r="V2991" s="5"/>
    </row>
    <row r="2992" ht="12.75" customHeight="1">
      <c r="A2992" s="5">
        <v>36373.0</v>
      </c>
      <c r="B2992" s="5" t="s">
        <v>1555</v>
      </c>
      <c r="C2992" s="5" t="s">
        <v>42</v>
      </c>
      <c r="D2992" s="5" t="s">
        <v>2614</v>
      </c>
      <c r="E2992" s="7" t="s">
        <v>12397</v>
      </c>
      <c r="F2992" s="5" t="s">
        <v>12348</v>
      </c>
      <c r="G2992" s="5" t="s">
        <v>12393</v>
      </c>
      <c r="H2992" s="5">
        <v>2000.0</v>
      </c>
      <c r="I2992" s="5">
        <v>0.0</v>
      </c>
      <c r="J2992" s="5">
        <v>0.0</v>
      </c>
      <c r="K2992" s="5">
        <v>1.0</v>
      </c>
      <c r="L2992" s="54"/>
      <c r="M2992" s="5" t="s">
        <v>12398</v>
      </c>
      <c r="N2992" s="53" t="s">
        <v>3151</v>
      </c>
      <c r="O2992">
        <v>29.046854</v>
      </c>
      <c r="P2992">
        <v>-13.589973</v>
      </c>
      <c r="Q2992" s="5" t="s">
        <v>400</v>
      </c>
      <c r="R2992" s="10">
        <f t="shared" si="10"/>
        <v>74</v>
      </c>
      <c r="S2992" s="5" t="s">
        <v>12399</v>
      </c>
      <c r="T2992" s="5" t="s">
        <v>1040</v>
      </c>
      <c r="U2992" s="5" t="s">
        <v>2785</v>
      </c>
      <c r="V2992" s="5" t="s">
        <v>12400</v>
      </c>
    </row>
    <row r="2993" ht="12.75" customHeight="1">
      <c r="A2993" s="5">
        <v>36374.0</v>
      </c>
      <c r="B2993" s="5" t="s">
        <v>49</v>
      </c>
      <c r="C2993" s="52" t="s">
        <v>50</v>
      </c>
      <c r="D2993" s="5" t="s">
        <v>2852</v>
      </c>
      <c r="E2993" s="7" t="s">
        <v>12401</v>
      </c>
      <c r="F2993" s="5" t="s">
        <v>12348</v>
      </c>
      <c r="G2993" s="5" t="s">
        <v>12393</v>
      </c>
      <c r="H2993" s="5">
        <v>2000.0</v>
      </c>
      <c r="I2993" s="5">
        <v>0.0</v>
      </c>
      <c r="J2993" s="5">
        <v>0.0</v>
      </c>
      <c r="K2993" s="5">
        <v>6.0</v>
      </c>
      <c r="L2993" s="54"/>
      <c r="M2993" s="5" t="s">
        <v>12402</v>
      </c>
      <c r="N2993" s="53" t="s">
        <v>2680</v>
      </c>
      <c r="O2993">
        <v>36.018776</v>
      </c>
      <c r="P2993">
        <v>-5.600819</v>
      </c>
      <c r="Q2993" s="5" t="s">
        <v>761</v>
      </c>
      <c r="R2993" s="10">
        <f t="shared" si="10"/>
        <v>492</v>
      </c>
      <c r="S2993" s="5" t="s">
        <v>12403</v>
      </c>
      <c r="T2993" s="6" t="s">
        <v>72</v>
      </c>
      <c r="U2993" s="5" t="s">
        <v>12404</v>
      </c>
      <c r="V2993" s="5"/>
    </row>
    <row r="2994" ht="12.75" customHeight="1">
      <c r="A2994" s="5">
        <v>36375.0</v>
      </c>
      <c r="B2994" s="5" t="s">
        <v>1995</v>
      </c>
      <c r="C2994" s="52" t="s">
        <v>50</v>
      </c>
      <c r="D2994" s="5" t="s">
        <v>2852</v>
      </c>
      <c r="E2994" s="7" t="s">
        <v>12405</v>
      </c>
      <c r="F2994" s="5" t="s">
        <v>12348</v>
      </c>
      <c r="G2994" s="5" t="s">
        <v>12393</v>
      </c>
      <c r="H2994" s="5">
        <v>2000.0</v>
      </c>
      <c r="I2994" s="5">
        <v>0.0</v>
      </c>
      <c r="J2994" s="5">
        <v>0.0</v>
      </c>
      <c r="K2994" s="5">
        <v>1.0</v>
      </c>
      <c r="L2994" s="54"/>
      <c r="M2994" s="5" t="s">
        <v>12406</v>
      </c>
      <c r="N2994" s="53" t="s">
        <v>12407</v>
      </c>
      <c r="O2994">
        <v>47.899011</v>
      </c>
      <c r="P2994">
        <v>16.909332</v>
      </c>
      <c r="Q2994" s="5" t="s">
        <v>1399</v>
      </c>
      <c r="R2994" s="10">
        <f t="shared" si="10"/>
        <v>1</v>
      </c>
      <c r="S2994" s="5" t="s">
        <v>12408</v>
      </c>
      <c r="T2994" s="5"/>
      <c r="U2994" s="5" t="s">
        <v>11633</v>
      </c>
      <c r="V2994" s="5"/>
    </row>
    <row r="2995" ht="12.75" customHeight="1">
      <c r="A2995" s="5">
        <v>36376.0</v>
      </c>
      <c r="B2995" s="5" t="s">
        <v>41</v>
      </c>
      <c r="C2995" s="5" t="s">
        <v>42</v>
      </c>
      <c r="D2995" s="5" t="s">
        <v>2614</v>
      </c>
      <c r="E2995" s="7" t="s">
        <v>12409</v>
      </c>
      <c r="F2995" s="5" t="s">
        <v>12348</v>
      </c>
      <c r="G2995" s="5" t="s">
        <v>12393</v>
      </c>
      <c r="H2995" s="5">
        <v>2000.0</v>
      </c>
      <c r="I2995" s="5">
        <v>0.0</v>
      </c>
      <c r="J2995" s="5">
        <v>0.0</v>
      </c>
      <c r="K2995" s="5">
        <v>9.0</v>
      </c>
      <c r="L2995" s="54"/>
      <c r="M2995" s="5" t="s">
        <v>12410</v>
      </c>
      <c r="N2995" s="53" t="s">
        <v>5601</v>
      </c>
      <c r="O2995">
        <v>39.54864</v>
      </c>
      <c r="P2995">
        <v>44.074207</v>
      </c>
      <c r="Q2995" s="5" t="s">
        <v>1090</v>
      </c>
      <c r="R2995" s="10">
        <f t="shared" si="10"/>
        <v>13</v>
      </c>
      <c r="S2995" s="5" t="s">
        <v>12411</v>
      </c>
      <c r="T2995" s="5"/>
      <c r="U2995" s="5" t="s">
        <v>12412</v>
      </c>
      <c r="V2995" s="5" t="s">
        <v>12413</v>
      </c>
    </row>
    <row r="2996" ht="12.75" customHeight="1">
      <c r="A2996" s="5">
        <v>36379.0</v>
      </c>
      <c r="B2996" s="5" t="s">
        <v>49</v>
      </c>
      <c r="C2996" s="52" t="s">
        <v>50</v>
      </c>
      <c r="D2996" s="5" t="s">
        <v>2852</v>
      </c>
      <c r="E2996" s="7" t="s">
        <v>12414</v>
      </c>
      <c r="F2996" s="5" t="s">
        <v>12348</v>
      </c>
      <c r="G2996" s="5" t="s">
        <v>12393</v>
      </c>
      <c r="H2996" s="5">
        <v>2000.0</v>
      </c>
      <c r="I2996" s="5">
        <v>0.0</v>
      </c>
      <c r="J2996" s="5">
        <v>0.0</v>
      </c>
      <c r="K2996" s="5">
        <v>2.0</v>
      </c>
      <c r="L2996" s="54"/>
      <c r="M2996" s="5" t="s">
        <v>12415</v>
      </c>
      <c r="N2996" s="53" t="s">
        <v>3141</v>
      </c>
      <c r="O2996">
        <v>36.140751</v>
      </c>
      <c r="P2996">
        <v>-5.353585</v>
      </c>
      <c r="Q2996" s="5" t="s">
        <v>774</v>
      </c>
      <c r="R2996" s="10">
        <f t="shared" si="10"/>
        <v>107</v>
      </c>
      <c r="S2996" s="5" t="s">
        <v>12416</v>
      </c>
      <c r="T2996" s="6" t="s">
        <v>72</v>
      </c>
      <c r="U2996" s="5" t="s">
        <v>12417</v>
      </c>
      <c r="V2996" s="5"/>
    </row>
    <row r="2997" ht="12.75" customHeight="1">
      <c r="A2997" s="5">
        <v>36378.0</v>
      </c>
      <c r="B2997" s="5" t="s">
        <v>49</v>
      </c>
      <c r="C2997" s="52" t="s">
        <v>50</v>
      </c>
      <c r="D2997" s="5" t="s">
        <v>2852</v>
      </c>
      <c r="E2997" s="7" t="s">
        <v>12414</v>
      </c>
      <c r="F2997" s="5" t="s">
        <v>12348</v>
      </c>
      <c r="G2997" s="5" t="s">
        <v>12393</v>
      </c>
      <c r="H2997" s="5">
        <v>2000.0</v>
      </c>
      <c r="I2997" s="5">
        <v>0.0</v>
      </c>
      <c r="J2997" s="5">
        <v>0.0</v>
      </c>
      <c r="K2997" s="5">
        <v>10.0</v>
      </c>
      <c r="L2997" s="54"/>
      <c r="M2997" s="5" t="s">
        <v>12418</v>
      </c>
      <c r="N2997" s="53" t="s">
        <v>2857</v>
      </c>
      <c r="O2997">
        <v>36.527061</v>
      </c>
      <c r="P2997">
        <v>-6.288596</v>
      </c>
      <c r="Q2997" s="5" t="s">
        <v>802</v>
      </c>
      <c r="R2997" s="10">
        <f t="shared" si="10"/>
        <v>185</v>
      </c>
      <c r="S2997" s="5" t="s">
        <v>12419</v>
      </c>
      <c r="T2997" s="6" t="s">
        <v>72</v>
      </c>
      <c r="U2997" s="5" t="s">
        <v>12420</v>
      </c>
      <c r="V2997" s="5"/>
    </row>
    <row r="2998" ht="12.75" customHeight="1">
      <c r="A2998" s="5">
        <v>36377.0</v>
      </c>
      <c r="B2998" s="5" t="s">
        <v>49</v>
      </c>
      <c r="C2998" s="52" t="s">
        <v>50</v>
      </c>
      <c r="D2998" s="5" t="s">
        <v>2852</v>
      </c>
      <c r="E2998" s="7" t="s">
        <v>12414</v>
      </c>
      <c r="F2998" s="5" t="s">
        <v>12348</v>
      </c>
      <c r="G2998" s="5" t="s">
        <v>12393</v>
      </c>
      <c r="H2998" s="5">
        <v>2000.0</v>
      </c>
      <c r="I2998" s="5">
        <v>0.0</v>
      </c>
      <c r="J2998" s="5">
        <v>0.0</v>
      </c>
      <c r="K2998" s="5">
        <v>3.0</v>
      </c>
      <c r="L2998" s="54"/>
      <c r="M2998" s="5" t="s">
        <v>12421</v>
      </c>
      <c r="N2998" s="53" t="s">
        <v>2857</v>
      </c>
      <c r="O2998">
        <v>36.527061</v>
      </c>
      <c r="P2998">
        <v>-6.288596</v>
      </c>
      <c r="Q2998" s="5" t="s">
        <v>802</v>
      </c>
      <c r="R2998" s="10">
        <f t="shared" si="10"/>
        <v>185</v>
      </c>
      <c r="S2998" s="5" t="s">
        <v>12419</v>
      </c>
      <c r="T2998" s="6" t="s">
        <v>72</v>
      </c>
      <c r="U2998" s="5" t="s">
        <v>12420</v>
      </c>
      <c r="V2998" s="5"/>
    </row>
    <row r="2999" ht="12.75" customHeight="1">
      <c r="A2999" s="5">
        <v>36380.0</v>
      </c>
      <c r="B2999" s="5" t="s">
        <v>2333</v>
      </c>
      <c r="C2999" s="5" t="s">
        <v>124</v>
      </c>
      <c r="D2999" s="5" t="s">
        <v>2614</v>
      </c>
      <c r="E2999" s="7" t="s">
        <v>12422</v>
      </c>
      <c r="F2999" s="5" t="s">
        <v>12348</v>
      </c>
      <c r="G2999" s="5" t="s">
        <v>12393</v>
      </c>
      <c r="H2999" s="5">
        <v>2000.0</v>
      </c>
      <c r="I2999" s="5">
        <v>0.0</v>
      </c>
      <c r="J2999" s="5">
        <v>0.0</v>
      </c>
      <c r="K2999" s="5">
        <v>6.0</v>
      </c>
      <c r="L2999" s="54"/>
      <c r="M2999" s="5" t="s">
        <v>12423</v>
      </c>
      <c r="N2999" s="53" t="s">
        <v>2680</v>
      </c>
      <c r="O2999">
        <v>36.018776</v>
      </c>
      <c r="P2999">
        <v>-5.600819</v>
      </c>
      <c r="Q2999" s="5" t="s">
        <v>761</v>
      </c>
      <c r="R2999" s="10">
        <f t="shared" si="10"/>
        <v>492</v>
      </c>
      <c r="S2999" s="5" t="s">
        <v>12424</v>
      </c>
      <c r="T2999" s="6" t="s">
        <v>72</v>
      </c>
      <c r="U2999" s="5" t="s">
        <v>2785</v>
      </c>
      <c r="V2999" s="5" t="s">
        <v>12425</v>
      </c>
    </row>
    <row r="3000" ht="12.75" customHeight="1">
      <c r="A3000" s="5">
        <v>36381.0</v>
      </c>
      <c r="B3000" s="5" t="s">
        <v>1773</v>
      </c>
      <c r="C3000" s="5" t="s">
        <v>124</v>
      </c>
      <c r="D3000" s="5" t="s">
        <v>2852</v>
      </c>
      <c r="E3000" s="7" t="s">
        <v>12426</v>
      </c>
      <c r="F3000" s="5" t="s">
        <v>12348</v>
      </c>
      <c r="G3000" s="5" t="s">
        <v>12393</v>
      </c>
      <c r="H3000" s="5">
        <v>2000.0</v>
      </c>
      <c r="I3000" s="5">
        <v>0.0</v>
      </c>
      <c r="J3000" s="5">
        <v>0.0</v>
      </c>
      <c r="K3000" s="5">
        <v>1.0</v>
      </c>
      <c r="L3000" s="54"/>
      <c r="M3000" s="5" t="s">
        <v>12427</v>
      </c>
      <c r="N3000" s="53" t="s">
        <v>12428</v>
      </c>
      <c r="O3000">
        <v>36.774063</v>
      </c>
      <c r="P3000">
        <v>-2.815304</v>
      </c>
      <c r="Q3000" s="5" t="s">
        <v>843</v>
      </c>
      <c r="R3000" s="10">
        <f t="shared" si="10"/>
        <v>4</v>
      </c>
      <c r="S3000" s="5" t="s">
        <v>12429</v>
      </c>
      <c r="T3000" s="6" t="s">
        <v>72</v>
      </c>
      <c r="U3000" s="5" t="s">
        <v>4736</v>
      </c>
      <c r="V3000" s="5" t="s">
        <v>12430</v>
      </c>
    </row>
    <row r="3001" ht="12.75" customHeight="1">
      <c r="A3001" s="5">
        <v>36382.0</v>
      </c>
      <c r="B3001" s="5" t="s">
        <v>49</v>
      </c>
      <c r="C3001" s="52" t="s">
        <v>50</v>
      </c>
      <c r="D3001" s="5" t="s">
        <v>2852</v>
      </c>
      <c r="E3001" s="7" t="s">
        <v>12431</v>
      </c>
      <c r="F3001" s="5" t="s">
        <v>12348</v>
      </c>
      <c r="G3001" s="5" t="s">
        <v>12393</v>
      </c>
      <c r="H3001" s="5">
        <v>2000.0</v>
      </c>
      <c r="I3001" s="5">
        <v>0.0</v>
      </c>
      <c r="J3001" s="5">
        <v>0.0</v>
      </c>
      <c r="K3001" s="5">
        <v>6.0</v>
      </c>
      <c r="L3001" s="54"/>
      <c r="M3001" s="5" t="s">
        <v>12432</v>
      </c>
      <c r="N3001" s="53" t="s">
        <v>11029</v>
      </c>
      <c r="O3001">
        <v>40.403712</v>
      </c>
      <c r="P3001">
        <v>17.557323</v>
      </c>
      <c r="Q3001" s="5" t="s">
        <v>1139</v>
      </c>
      <c r="R3001" s="10">
        <f t="shared" si="10"/>
        <v>39</v>
      </c>
      <c r="S3001" s="5" t="s">
        <v>12433</v>
      </c>
      <c r="T3001" s="6" t="s">
        <v>1963</v>
      </c>
      <c r="U3001" s="5" t="s">
        <v>3128</v>
      </c>
      <c r="V3001" s="5" t="s">
        <v>12434</v>
      </c>
    </row>
    <row r="3002" ht="12.75" customHeight="1">
      <c r="A3002" s="5">
        <v>36384.0</v>
      </c>
      <c r="B3002" s="5" t="s">
        <v>49</v>
      </c>
      <c r="C3002" s="52" t="s">
        <v>50</v>
      </c>
      <c r="D3002" s="5" t="s">
        <v>2852</v>
      </c>
      <c r="E3002" s="7" t="s">
        <v>12435</v>
      </c>
      <c r="F3002" s="5" t="s">
        <v>12348</v>
      </c>
      <c r="G3002" s="5" t="s">
        <v>12393</v>
      </c>
      <c r="H3002" s="5">
        <v>2000.0</v>
      </c>
      <c r="I3002" s="5">
        <v>0.0</v>
      </c>
      <c r="J3002" s="5">
        <v>0.0</v>
      </c>
      <c r="K3002" s="5">
        <v>7.0</v>
      </c>
      <c r="L3002" s="54"/>
      <c r="M3002" s="5" t="s">
        <v>12436</v>
      </c>
      <c r="N3002" s="53" t="s">
        <v>3005</v>
      </c>
      <c r="O3002">
        <v>31.791702</v>
      </c>
      <c r="P3002">
        <v>-7.09262</v>
      </c>
      <c r="Q3002" s="5" t="s">
        <v>439</v>
      </c>
      <c r="R3002" s="10">
        <f t="shared" si="10"/>
        <v>77</v>
      </c>
      <c r="S3002" s="5" t="s">
        <v>12437</v>
      </c>
      <c r="T3002" s="6" t="s">
        <v>72</v>
      </c>
      <c r="U3002" s="5" t="s">
        <v>12438</v>
      </c>
      <c r="V3002" s="5"/>
    </row>
    <row r="3003" ht="12.75" customHeight="1">
      <c r="A3003" s="5">
        <v>36383.0</v>
      </c>
      <c r="B3003" s="5" t="s">
        <v>49</v>
      </c>
      <c r="C3003" s="52" t="s">
        <v>50</v>
      </c>
      <c r="D3003" s="5" t="s">
        <v>2852</v>
      </c>
      <c r="E3003" s="7" t="s">
        <v>12435</v>
      </c>
      <c r="F3003" s="5" t="s">
        <v>12348</v>
      </c>
      <c r="G3003" s="5" t="s">
        <v>12393</v>
      </c>
      <c r="H3003" s="5">
        <v>2000.0</v>
      </c>
      <c r="I3003" s="5">
        <v>0.0</v>
      </c>
      <c r="J3003" s="5">
        <v>0.0</v>
      </c>
      <c r="K3003" s="5">
        <v>2.0</v>
      </c>
      <c r="L3003" s="54"/>
      <c r="M3003" s="5" t="s">
        <v>12439</v>
      </c>
      <c r="N3003" s="53" t="s">
        <v>3005</v>
      </c>
      <c r="O3003">
        <v>31.791702</v>
      </c>
      <c r="P3003">
        <v>-7.09262</v>
      </c>
      <c r="Q3003" s="5" t="s">
        <v>439</v>
      </c>
      <c r="R3003" s="10">
        <f t="shared" si="10"/>
        <v>77</v>
      </c>
      <c r="S3003" s="5" t="s">
        <v>12437</v>
      </c>
      <c r="T3003" s="6" t="s">
        <v>72</v>
      </c>
      <c r="U3003" s="5" t="s">
        <v>12438</v>
      </c>
      <c r="V3003" s="5"/>
    </row>
    <row r="3004" ht="12.75" customHeight="1">
      <c r="A3004" s="5">
        <v>36387.0</v>
      </c>
      <c r="B3004" s="5" t="s">
        <v>49</v>
      </c>
      <c r="C3004" s="52" t="s">
        <v>50</v>
      </c>
      <c r="D3004" s="5" t="s">
        <v>2852</v>
      </c>
      <c r="E3004" s="7" t="s">
        <v>12440</v>
      </c>
      <c r="F3004" s="5" t="s">
        <v>12348</v>
      </c>
      <c r="G3004" s="5" t="s">
        <v>12393</v>
      </c>
      <c r="H3004" s="5">
        <v>2000.0</v>
      </c>
      <c r="I3004" s="5">
        <v>0.0</v>
      </c>
      <c r="J3004" s="5">
        <v>0.0</v>
      </c>
      <c r="K3004" s="5">
        <v>32.0</v>
      </c>
      <c r="L3004" s="54"/>
      <c r="M3004" s="5" t="s">
        <v>12441</v>
      </c>
      <c r="N3004" s="53" t="s">
        <v>4526</v>
      </c>
      <c r="O3004">
        <v>35.766667</v>
      </c>
      <c r="P3004">
        <v>-5.8</v>
      </c>
      <c r="Q3004" s="5" t="s">
        <v>695</v>
      </c>
      <c r="R3004" s="10">
        <f t="shared" si="10"/>
        <v>190</v>
      </c>
      <c r="S3004" s="5" t="s">
        <v>12442</v>
      </c>
      <c r="T3004" s="6" t="s">
        <v>72</v>
      </c>
      <c r="U3004" s="5" t="s">
        <v>11558</v>
      </c>
      <c r="V3004" s="5"/>
    </row>
    <row r="3005" ht="12.75" customHeight="1">
      <c r="A3005" s="5">
        <v>36388.0</v>
      </c>
      <c r="B3005" s="5" t="s">
        <v>49</v>
      </c>
      <c r="C3005" s="52" t="s">
        <v>50</v>
      </c>
      <c r="D3005" s="5" t="s">
        <v>2852</v>
      </c>
      <c r="E3005" s="7" t="s">
        <v>12440</v>
      </c>
      <c r="F3005" s="5" t="s">
        <v>12348</v>
      </c>
      <c r="G3005" s="5" t="s">
        <v>12393</v>
      </c>
      <c r="H3005" s="5">
        <v>2000.0</v>
      </c>
      <c r="I3005" s="5">
        <v>0.0</v>
      </c>
      <c r="J3005" s="5">
        <v>0.0</v>
      </c>
      <c r="K3005" s="5">
        <v>1.0</v>
      </c>
      <c r="L3005" s="54"/>
      <c r="M3005" s="5" t="s">
        <v>12443</v>
      </c>
      <c r="N3005" s="53" t="s">
        <v>4054</v>
      </c>
      <c r="O3005">
        <v>35.964373</v>
      </c>
      <c r="P3005">
        <v>-5.196533</v>
      </c>
      <c r="Q3005" s="5" t="s">
        <v>744</v>
      </c>
      <c r="R3005" s="10">
        <f t="shared" si="10"/>
        <v>63</v>
      </c>
      <c r="S3005" s="5" t="s">
        <v>12444</v>
      </c>
      <c r="T3005" s="6" t="s">
        <v>72</v>
      </c>
      <c r="U3005" s="5" t="s">
        <v>11740</v>
      </c>
      <c r="V3005" s="5"/>
    </row>
    <row r="3006" ht="12.75" customHeight="1">
      <c r="A3006" s="5">
        <v>36386.0</v>
      </c>
      <c r="B3006" s="5" t="s">
        <v>68</v>
      </c>
      <c r="C3006" s="5" t="s">
        <v>69</v>
      </c>
      <c r="D3006" s="5" t="s">
        <v>2614</v>
      </c>
      <c r="E3006" s="7" t="s">
        <v>12440</v>
      </c>
      <c r="F3006" s="5" t="s">
        <v>12348</v>
      </c>
      <c r="G3006" s="5" t="s">
        <v>12393</v>
      </c>
      <c r="H3006" s="5">
        <v>2000.0</v>
      </c>
      <c r="I3006" s="5">
        <v>0.0</v>
      </c>
      <c r="J3006" s="5">
        <v>0.0</v>
      </c>
      <c r="K3006" s="5">
        <v>13.0</v>
      </c>
      <c r="L3006" s="54"/>
      <c r="M3006" s="5" t="s">
        <v>12445</v>
      </c>
      <c r="N3006" s="53" t="s">
        <v>2857</v>
      </c>
      <c r="O3006">
        <v>36.527061</v>
      </c>
      <c r="P3006">
        <v>-6.288596</v>
      </c>
      <c r="Q3006" s="5" t="s">
        <v>802</v>
      </c>
      <c r="R3006" s="10">
        <f t="shared" si="10"/>
        <v>185</v>
      </c>
      <c r="S3006" s="5" t="s">
        <v>12446</v>
      </c>
      <c r="T3006" s="6" t="s">
        <v>72</v>
      </c>
      <c r="U3006" s="5" t="s">
        <v>2785</v>
      </c>
      <c r="V3006" s="5" t="s">
        <v>12447</v>
      </c>
    </row>
    <row r="3007" ht="12.75" customHeight="1">
      <c r="A3007" s="5">
        <v>36385.0</v>
      </c>
      <c r="B3007" s="5" t="s">
        <v>5200</v>
      </c>
      <c r="C3007" s="5" t="s">
        <v>124</v>
      </c>
      <c r="D3007" s="5" t="s">
        <v>2614</v>
      </c>
      <c r="E3007" s="7" t="s">
        <v>12440</v>
      </c>
      <c r="F3007" s="5" t="s">
        <v>12348</v>
      </c>
      <c r="G3007" s="5" t="s">
        <v>12393</v>
      </c>
      <c r="H3007" s="5">
        <v>2000.0</v>
      </c>
      <c r="I3007" s="5">
        <v>0.0</v>
      </c>
      <c r="J3007" s="5">
        <v>0.0</v>
      </c>
      <c r="K3007" s="5">
        <v>1.0</v>
      </c>
      <c r="L3007" s="54"/>
      <c r="M3007" s="5" t="s">
        <v>12448</v>
      </c>
      <c r="N3007" s="53" t="s">
        <v>2834</v>
      </c>
      <c r="O3007">
        <v>41.244376</v>
      </c>
      <c r="P3007">
        <v>26.135943</v>
      </c>
      <c r="Q3007" s="5" t="s">
        <v>1214</v>
      </c>
      <c r="R3007" s="10">
        <f t="shared" si="10"/>
        <v>188</v>
      </c>
      <c r="S3007" s="5" t="s">
        <v>12449</v>
      </c>
      <c r="T3007" s="6" t="s">
        <v>53</v>
      </c>
      <c r="U3007" s="5" t="s">
        <v>12450</v>
      </c>
      <c r="V3007" s="5" t="s">
        <v>12451</v>
      </c>
    </row>
    <row r="3008" ht="12.75" customHeight="1">
      <c r="A3008" s="5">
        <v>36389.0</v>
      </c>
      <c r="B3008" s="5" t="s">
        <v>49</v>
      </c>
      <c r="C3008" s="52" t="s">
        <v>50</v>
      </c>
      <c r="D3008" s="5" t="s">
        <v>2614</v>
      </c>
      <c r="E3008" s="7" t="s">
        <v>12452</v>
      </c>
      <c r="F3008" s="5" t="s">
        <v>12348</v>
      </c>
      <c r="G3008" s="5" t="s">
        <v>12393</v>
      </c>
      <c r="H3008" s="5">
        <v>2000.0</v>
      </c>
      <c r="I3008" s="5">
        <v>0.0</v>
      </c>
      <c r="J3008" s="5">
        <v>0.0</v>
      </c>
      <c r="K3008" s="5">
        <v>1.0</v>
      </c>
      <c r="L3008" s="54"/>
      <c r="M3008" s="5" t="s">
        <v>12453</v>
      </c>
      <c r="N3008" s="53" t="s">
        <v>12342</v>
      </c>
      <c r="O3008">
        <v>52.643661</v>
      </c>
      <c r="P3008">
        <v>14.361496</v>
      </c>
      <c r="Q3008" s="5" t="s">
        <v>1789</v>
      </c>
      <c r="R3008" s="10">
        <f t="shared" si="10"/>
        <v>2</v>
      </c>
      <c r="S3008" s="5" t="s">
        <v>12454</v>
      </c>
      <c r="T3008" s="5"/>
      <c r="U3008" s="5" t="s">
        <v>8713</v>
      </c>
      <c r="V3008" s="5" t="s">
        <v>8714</v>
      </c>
    </row>
    <row r="3009" ht="12.75" customHeight="1">
      <c r="A3009" s="5">
        <v>36390.0</v>
      </c>
      <c r="B3009" s="5" t="s">
        <v>68</v>
      </c>
      <c r="C3009" s="5" t="s">
        <v>69</v>
      </c>
      <c r="D3009" s="5" t="s">
        <v>2614</v>
      </c>
      <c r="E3009" s="7" t="s">
        <v>12455</v>
      </c>
      <c r="F3009" s="5" t="s">
        <v>12348</v>
      </c>
      <c r="G3009" s="5" t="s">
        <v>12393</v>
      </c>
      <c r="H3009" s="5">
        <v>2000.0</v>
      </c>
      <c r="I3009" s="5">
        <v>0.0</v>
      </c>
      <c r="J3009" s="5">
        <v>0.0</v>
      </c>
      <c r="K3009" s="5">
        <v>12.0</v>
      </c>
      <c r="L3009" s="54"/>
      <c r="M3009" s="5" t="s">
        <v>12456</v>
      </c>
      <c r="N3009" s="53" t="s">
        <v>7071</v>
      </c>
      <c r="O3009">
        <v>27.153611</v>
      </c>
      <c r="P3009">
        <v>-13.203333</v>
      </c>
      <c r="Q3009" s="5" t="s">
        <v>349</v>
      </c>
      <c r="R3009" s="10">
        <f t="shared" si="10"/>
        <v>348</v>
      </c>
      <c r="S3009" s="5" t="s">
        <v>12457</v>
      </c>
      <c r="T3009" s="5" t="s">
        <v>1040</v>
      </c>
      <c r="U3009" s="5" t="s">
        <v>2785</v>
      </c>
      <c r="V3009" s="5" t="s">
        <v>12458</v>
      </c>
    </row>
    <row r="3010" ht="12.75" customHeight="1">
      <c r="A3010" s="5">
        <v>36392.0</v>
      </c>
      <c r="B3010" s="5" t="s">
        <v>49</v>
      </c>
      <c r="C3010" s="52" t="s">
        <v>50</v>
      </c>
      <c r="D3010" s="5" t="s">
        <v>2852</v>
      </c>
      <c r="E3010" s="7" t="s">
        <v>12455</v>
      </c>
      <c r="F3010" s="5" t="s">
        <v>12348</v>
      </c>
      <c r="G3010" s="5" t="s">
        <v>12393</v>
      </c>
      <c r="H3010" s="5">
        <v>2000.0</v>
      </c>
      <c r="I3010" s="5">
        <v>0.0</v>
      </c>
      <c r="J3010" s="5">
        <v>0.0</v>
      </c>
      <c r="K3010" s="5">
        <v>3.0</v>
      </c>
      <c r="L3010" s="54"/>
      <c r="M3010" s="5" t="s">
        <v>12459</v>
      </c>
      <c r="N3010" s="53" t="s">
        <v>11102</v>
      </c>
      <c r="O3010">
        <v>40.143898</v>
      </c>
      <c r="P3010">
        <v>18.491168</v>
      </c>
      <c r="Q3010" s="5" t="s">
        <v>1121</v>
      </c>
      <c r="R3010" s="10">
        <f t="shared" si="10"/>
        <v>48</v>
      </c>
      <c r="S3010" s="5" t="s">
        <v>12460</v>
      </c>
      <c r="T3010" s="6" t="s">
        <v>1963</v>
      </c>
      <c r="U3010" s="5" t="s">
        <v>12461</v>
      </c>
      <c r="V3010" s="5" t="s">
        <v>11104</v>
      </c>
    </row>
    <row r="3011" ht="12.75" customHeight="1">
      <c r="A3011" s="5">
        <v>36391.0</v>
      </c>
      <c r="B3011" s="5" t="s">
        <v>49</v>
      </c>
      <c r="C3011" s="52" t="s">
        <v>50</v>
      </c>
      <c r="D3011" s="5" t="s">
        <v>2852</v>
      </c>
      <c r="E3011" s="7" t="s">
        <v>12455</v>
      </c>
      <c r="F3011" s="5" t="s">
        <v>12348</v>
      </c>
      <c r="G3011" s="5" t="s">
        <v>12393</v>
      </c>
      <c r="H3011" s="5">
        <v>2000.0</v>
      </c>
      <c r="I3011" s="5">
        <v>0.0</v>
      </c>
      <c r="J3011" s="5">
        <v>0.0</v>
      </c>
      <c r="K3011" s="5">
        <v>15.0</v>
      </c>
      <c r="L3011" s="54"/>
      <c r="M3011" s="5" t="s">
        <v>12462</v>
      </c>
      <c r="N3011" s="53" t="s">
        <v>11102</v>
      </c>
      <c r="O3011">
        <v>40.143898</v>
      </c>
      <c r="P3011">
        <v>18.491168</v>
      </c>
      <c r="Q3011" s="5" t="s">
        <v>1121</v>
      </c>
      <c r="R3011" s="10">
        <f t="shared" si="10"/>
        <v>48</v>
      </c>
      <c r="S3011" s="5" t="s">
        <v>12460</v>
      </c>
      <c r="T3011" s="6" t="s">
        <v>1963</v>
      </c>
      <c r="U3011" s="5" t="s">
        <v>12463</v>
      </c>
      <c r="V3011" s="5"/>
    </row>
    <row r="3012" ht="12.75" customHeight="1">
      <c r="A3012" s="5">
        <v>36393.0</v>
      </c>
      <c r="B3012" s="5" t="s">
        <v>49</v>
      </c>
      <c r="C3012" s="52" t="s">
        <v>50</v>
      </c>
      <c r="D3012" s="5" t="s">
        <v>2614</v>
      </c>
      <c r="E3012" s="7" t="s">
        <v>12464</v>
      </c>
      <c r="F3012" s="5" t="s">
        <v>12348</v>
      </c>
      <c r="G3012" s="5" t="s">
        <v>12393</v>
      </c>
      <c r="H3012" s="5">
        <v>2000.0</v>
      </c>
      <c r="I3012" s="5">
        <v>0.0</v>
      </c>
      <c r="J3012" s="5">
        <v>0.0</v>
      </c>
      <c r="K3012" s="5">
        <v>1.0</v>
      </c>
      <c r="L3012" s="54"/>
      <c r="M3012" s="5" t="s">
        <v>12465</v>
      </c>
      <c r="N3012" s="53" t="s">
        <v>8711</v>
      </c>
      <c r="O3012">
        <v>50.482286</v>
      </c>
      <c r="P3012">
        <v>17.329586</v>
      </c>
      <c r="Q3012" s="5" t="s">
        <v>1495</v>
      </c>
      <c r="R3012" s="10">
        <f t="shared" si="10"/>
        <v>5</v>
      </c>
      <c r="S3012" s="5" t="s">
        <v>12466</v>
      </c>
      <c r="T3012" s="5"/>
      <c r="U3012" s="5" t="s">
        <v>8713</v>
      </c>
      <c r="V3012" s="5" t="s">
        <v>8714</v>
      </c>
    </row>
    <row r="3013" ht="12.75" customHeight="1">
      <c r="A3013" s="5">
        <v>36397.0</v>
      </c>
      <c r="B3013" s="5" t="s">
        <v>49</v>
      </c>
      <c r="C3013" s="52" t="s">
        <v>50</v>
      </c>
      <c r="D3013" s="5" t="s">
        <v>2852</v>
      </c>
      <c r="E3013" s="7" t="s">
        <v>12467</v>
      </c>
      <c r="F3013" s="5" t="s">
        <v>12348</v>
      </c>
      <c r="G3013" s="5" t="s">
        <v>12468</v>
      </c>
      <c r="H3013" s="5">
        <v>2000.0</v>
      </c>
      <c r="I3013" s="5">
        <v>0.0</v>
      </c>
      <c r="J3013" s="5">
        <v>0.0</v>
      </c>
      <c r="K3013" s="5">
        <v>1.0</v>
      </c>
      <c r="L3013" s="54"/>
      <c r="M3013" s="5" t="s">
        <v>12469</v>
      </c>
      <c r="N3013" s="53" t="s">
        <v>2680</v>
      </c>
      <c r="O3013">
        <v>36.018776</v>
      </c>
      <c r="P3013">
        <v>-5.600819</v>
      </c>
      <c r="Q3013" s="5" t="s">
        <v>761</v>
      </c>
      <c r="R3013" s="10">
        <f t="shared" si="10"/>
        <v>492</v>
      </c>
      <c r="S3013" s="5" t="s">
        <v>12470</v>
      </c>
      <c r="T3013" s="6" t="s">
        <v>72</v>
      </c>
      <c r="U3013" s="5" t="s">
        <v>4736</v>
      </c>
      <c r="V3013" s="5" t="s">
        <v>12471</v>
      </c>
    </row>
    <row r="3014" ht="12.75" customHeight="1">
      <c r="A3014" s="5">
        <v>36394.0</v>
      </c>
      <c r="B3014" s="5" t="s">
        <v>68</v>
      </c>
      <c r="C3014" s="5" t="s">
        <v>69</v>
      </c>
      <c r="D3014" s="5" t="s">
        <v>2614</v>
      </c>
      <c r="E3014" s="7" t="s">
        <v>12467</v>
      </c>
      <c r="F3014" s="5" t="s">
        <v>12348</v>
      </c>
      <c r="G3014" s="5" t="s">
        <v>12468</v>
      </c>
      <c r="H3014" s="5">
        <v>2000.0</v>
      </c>
      <c r="I3014" s="5">
        <v>0.0</v>
      </c>
      <c r="J3014" s="5">
        <v>0.0</v>
      </c>
      <c r="K3014" s="5">
        <v>21.0</v>
      </c>
      <c r="L3014" s="54"/>
      <c r="M3014" s="5" t="s">
        <v>12472</v>
      </c>
      <c r="N3014" s="53" t="s">
        <v>3141</v>
      </c>
      <c r="O3014">
        <v>36.140751</v>
      </c>
      <c r="P3014">
        <v>-5.353585</v>
      </c>
      <c r="Q3014" s="5" t="s">
        <v>774</v>
      </c>
      <c r="R3014" s="10">
        <f t="shared" si="10"/>
        <v>107</v>
      </c>
      <c r="S3014" s="5" t="s">
        <v>12473</v>
      </c>
      <c r="T3014" s="6" t="s">
        <v>72</v>
      </c>
      <c r="U3014" s="5" t="s">
        <v>2785</v>
      </c>
      <c r="V3014" s="5" t="s">
        <v>12474</v>
      </c>
    </row>
    <row r="3015" ht="12.75" customHeight="1">
      <c r="A3015" s="5">
        <v>36395.0</v>
      </c>
      <c r="B3015" s="5" t="s">
        <v>2007</v>
      </c>
      <c r="C3015" s="5" t="s">
        <v>124</v>
      </c>
      <c r="D3015" s="5" t="s">
        <v>2614</v>
      </c>
      <c r="E3015" s="7" t="s">
        <v>12467</v>
      </c>
      <c r="F3015" s="5" t="s">
        <v>12348</v>
      </c>
      <c r="G3015" s="5" t="s">
        <v>12468</v>
      </c>
      <c r="H3015" s="5">
        <v>2000.0</v>
      </c>
      <c r="I3015" s="5">
        <v>0.0</v>
      </c>
      <c r="J3015" s="5">
        <v>0.0</v>
      </c>
      <c r="K3015" s="5">
        <v>1.0</v>
      </c>
      <c r="L3015" s="54"/>
      <c r="M3015" s="5" t="s">
        <v>12475</v>
      </c>
      <c r="N3015" s="53" t="s">
        <v>2857</v>
      </c>
      <c r="O3015">
        <v>36.527061</v>
      </c>
      <c r="P3015">
        <v>-6.288596</v>
      </c>
      <c r="Q3015" s="5" t="s">
        <v>802</v>
      </c>
      <c r="R3015" s="10">
        <f t="shared" si="10"/>
        <v>185</v>
      </c>
      <c r="S3015" s="5" t="s">
        <v>12476</v>
      </c>
      <c r="T3015" s="6" t="s">
        <v>72</v>
      </c>
      <c r="U3015" s="5" t="s">
        <v>2785</v>
      </c>
      <c r="V3015" s="5" t="s">
        <v>12477</v>
      </c>
    </row>
    <row r="3016" ht="12.75" customHeight="1">
      <c r="A3016" s="5">
        <v>36396.0</v>
      </c>
      <c r="B3016" s="5" t="s">
        <v>2333</v>
      </c>
      <c r="C3016" s="5" t="s">
        <v>124</v>
      </c>
      <c r="D3016" s="5" t="s">
        <v>2852</v>
      </c>
      <c r="E3016" s="7" t="s">
        <v>12467</v>
      </c>
      <c r="F3016" s="5" t="s">
        <v>12348</v>
      </c>
      <c r="G3016" s="5" t="s">
        <v>12468</v>
      </c>
      <c r="H3016" s="5">
        <v>2000.0</v>
      </c>
      <c r="I3016" s="5">
        <v>0.0</v>
      </c>
      <c r="J3016" s="5">
        <v>0.0</v>
      </c>
      <c r="K3016" s="5">
        <v>1.0</v>
      </c>
      <c r="L3016" s="54"/>
      <c r="M3016" s="5" t="s">
        <v>12478</v>
      </c>
      <c r="N3016" s="53" t="s">
        <v>11102</v>
      </c>
      <c r="O3016">
        <v>40.143898</v>
      </c>
      <c r="P3016">
        <v>18.491168</v>
      </c>
      <c r="Q3016" s="5" t="s">
        <v>1121</v>
      </c>
      <c r="R3016" s="10">
        <f t="shared" si="10"/>
        <v>48</v>
      </c>
      <c r="S3016" s="5" t="s">
        <v>12479</v>
      </c>
      <c r="T3016" s="6" t="s">
        <v>1963</v>
      </c>
      <c r="U3016" s="5" t="s">
        <v>12391</v>
      </c>
      <c r="V3016" s="5"/>
    </row>
    <row r="3017" ht="12.75" customHeight="1">
      <c r="A3017" s="5">
        <v>36398.0</v>
      </c>
      <c r="B3017" s="5" t="s">
        <v>49</v>
      </c>
      <c r="C3017" s="52" t="s">
        <v>50</v>
      </c>
      <c r="D3017" s="5" t="s">
        <v>2852</v>
      </c>
      <c r="E3017" s="7" t="s">
        <v>12480</v>
      </c>
      <c r="F3017" s="5" t="s">
        <v>12348</v>
      </c>
      <c r="G3017" s="5" t="s">
        <v>12468</v>
      </c>
      <c r="H3017" s="5">
        <v>2000.0</v>
      </c>
      <c r="I3017" s="5">
        <v>0.0</v>
      </c>
      <c r="J3017" s="5">
        <v>0.0</v>
      </c>
      <c r="K3017" s="5">
        <v>1.0</v>
      </c>
      <c r="L3017" s="54"/>
      <c r="M3017" s="5" t="s">
        <v>12481</v>
      </c>
      <c r="N3017" s="53" t="s">
        <v>2638</v>
      </c>
      <c r="O3017">
        <v>35.888384</v>
      </c>
      <c r="P3017">
        <v>-5.324636</v>
      </c>
      <c r="Q3017" s="5" t="s">
        <v>717</v>
      </c>
      <c r="R3017" s="10">
        <f t="shared" si="10"/>
        <v>213</v>
      </c>
      <c r="S3017" s="5" t="s">
        <v>12482</v>
      </c>
      <c r="T3017" s="6" t="s">
        <v>72</v>
      </c>
      <c r="U3017" s="5" t="s">
        <v>4670</v>
      </c>
      <c r="V3017" s="5"/>
    </row>
    <row r="3018" ht="12.75" customHeight="1">
      <c r="A3018" s="5">
        <v>36400.0</v>
      </c>
      <c r="B3018" s="5" t="s">
        <v>763</v>
      </c>
      <c r="C3018" s="5" t="s">
        <v>124</v>
      </c>
      <c r="D3018" s="5" t="s">
        <v>2852</v>
      </c>
      <c r="E3018" s="7" t="s">
        <v>12480</v>
      </c>
      <c r="F3018" s="5" t="s">
        <v>12348</v>
      </c>
      <c r="G3018" s="5" t="s">
        <v>12468</v>
      </c>
      <c r="H3018" s="5">
        <v>2000.0</v>
      </c>
      <c r="I3018" s="5">
        <v>0.0</v>
      </c>
      <c r="J3018" s="5">
        <v>0.0</v>
      </c>
      <c r="K3018" s="5">
        <v>1.0</v>
      </c>
      <c r="L3018" s="54"/>
      <c r="M3018" s="5" t="s">
        <v>12483</v>
      </c>
      <c r="N3018" s="53" t="s">
        <v>5983</v>
      </c>
      <c r="O3018">
        <v>36.132977</v>
      </c>
      <c r="P3018">
        <v>-5.453909</v>
      </c>
      <c r="Q3018" s="5" t="s">
        <v>770</v>
      </c>
      <c r="R3018" s="10">
        <f t="shared" si="10"/>
        <v>29</v>
      </c>
      <c r="S3018" s="5" t="s">
        <v>12484</v>
      </c>
      <c r="T3018" s="6" t="s">
        <v>72</v>
      </c>
      <c r="U3018" s="5" t="s">
        <v>4670</v>
      </c>
      <c r="V3018" s="5"/>
    </row>
    <row r="3019" ht="12.75" customHeight="1">
      <c r="A3019" s="5">
        <v>36401.0</v>
      </c>
      <c r="B3019" s="5" t="s">
        <v>49</v>
      </c>
      <c r="C3019" s="52" t="s">
        <v>50</v>
      </c>
      <c r="D3019" s="5" t="s">
        <v>2852</v>
      </c>
      <c r="E3019" s="7" t="s">
        <v>12480</v>
      </c>
      <c r="F3019" s="5" t="s">
        <v>12348</v>
      </c>
      <c r="G3019" s="5" t="s">
        <v>12468</v>
      </c>
      <c r="H3019" s="5">
        <v>2000.0</v>
      </c>
      <c r="I3019" s="5">
        <v>0.0</v>
      </c>
      <c r="J3019" s="5">
        <v>0.0</v>
      </c>
      <c r="K3019" s="5">
        <v>2.0</v>
      </c>
      <c r="L3019" s="54"/>
      <c r="M3019" s="5" t="s">
        <v>12485</v>
      </c>
      <c r="N3019" s="53" t="s">
        <v>2857</v>
      </c>
      <c r="O3019">
        <v>36.527061</v>
      </c>
      <c r="P3019">
        <v>-6.288596</v>
      </c>
      <c r="Q3019" s="5" t="s">
        <v>802</v>
      </c>
      <c r="R3019" s="10">
        <f t="shared" si="10"/>
        <v>185</v>
      </c>
      <c r="S3019" s="5" t="s">
        <v>12486</v>
      </c>
      <c r="T3019" s="6" t="s">
        <v>72</v>
      </c>
      <c r="U3019" s="5" t="s">
        <v>4670</v>
      </c>
      <c r="V3019" s="5"/>
    </row>
    <row r="3020" ht="12.75" customHeight="1">
      <c r="A3020" s="5">
        <v>36399.0</v>
      </c>
      <c r="B3020" s="5" t="s">
        <v>49</v>
      </c>
      <c r="C3020" s="52" t="s">
        <v>50</v>
      </c>
      <c r="D3020" s="5" t="s">
        <v>2852</v>
      </c>
      <c r="E3020" s="7" t="s">
        <v>12480</v>
      </c>
      <c r="F3020" s="5" t="s">
        <v>12348</v>
      </c>
      <c r="G3020" s="5" t="s">
        <v>12468</v>
      </c>
      <c r="H3020" s="5">
        <v>2000.0</v>
      </c>
      <c r="I3020" s="5">
        <v>0.0</v>
      </c>
      <c r="J3020" s="5">
        <v>0.0</v>
      </c>
      <c r="K3020" s="5">
        <v>20.0</v>
      </c>
      <c r="L3020" s="54"/>
      <c r="M3020" s="5" t="s">
        <v>12487</v>
      </c>
      <c r="N3020" s="53" t="s">
        <v>2857</v>
      </c>
      <c r="O3020">
        <v>36.527061</v>
      </c>
      <c r="P3020">
        <v>-6.288596</v>
      </c>
      <c r="Q3020" s="5" t="s">
        <v>802</v>
      </c>
      <c r="R3020" s="10">
        <f t="shared" si="10"/>
        <v>185</v>
      </c>
      <c r="S3020" s="5" t="s">
        <v>12486</v>
      </c>
      <c r="T3020" s="6" t="s">
        <v>72</v>
      </c>
      <c r="U3020" s="5" t="s">
        <v>4670</v>
      </c>
      <c r="V3020" s="5"/>
    </row>
    <row r="3021" ht="12.75" customHeight="1">
      <c r="A3021" s="5">
        <v>36403.0</v>
      </c>
      <c r="B3021" s="5" t="s">
        <v>49</v>
      </c>
      <c r="C3021" s="52" t="s">
        <v>50</v>
      </c>
      <c r="D3021" s="5" t="s">
        <v>2852</v>
      </c>
      <c r="E3021" s="7" t="s">
        <v>12488</v>
      </c>
      <c r="F3021" s="5" t="s">
        <v>12348</v>
      </c>
      <c r="G3021" s="5" t="s">
        <v>12468</v>
      </c>
      <c r="H3021" s="5">
        <v>2000.0</v>
      </c>
      <c r="I3021" s="5">
        <v>0.0</v>
      </c>
      <c r="J3021" s="5">
        <v>0.0</v>
      </c>
      <c r="K3021" s="5">
        <v>20.0</v>
      </c>
      <c r="L3021" s="54"/>
      <c r="M3021" s="5" t="s">
        <v>12489</v>
      </c>
      <c r="N3021" s="53" t="s">
        <v>2680</v>
      </c>
      <c r="O3021">
        <v>36.018776</v>
      </c>
      <c r="P3021">
        <v>-5.600819</v>
      </c>
      <c r="Q3021" s="5" t="s">
        <v>761</v>
      </c>
      <c r="R3021" s="10">
        <f t="shared" si="10"/>
        <v>492</v>
      </c>
      <c r="S3021" s="5" t="s">
        <v>12490</v>
      </c>
      <c r="T3021" s="6" t="s">
        <v>72</v>
      </c>
      <c r="U3021" s="5" t="s">
        <v>3128</v>
      </c>
      <c r="V3021" s="5"/>
    </row>
    <row r="3022" ht="12.75" customHeight="1">
      <c r="A3022" s="5">
        <v>36402.0</v>
      </c>
      <c r="B3022" s="5" t="s">
        <v>49</v>
      </c>
      <c r="C3022" s="52" t="s">
        <v>50</v>
      </c>
      <c r="D3022" s="5" t="s">
        <v>2852</v>
      </c>
      <c r="E3022" s="7" t="s">
        <v>12488</v>
      </c>
      <c r="F3022" s="5" t="s">
        <v>12348</v>
      </c>
      <c r="G3022" s="5" t="s">
        <v>12468</v>
      </c>
      <c r="H3022" s="5">
        <v>2000.0</v>
      </c>
      <c r="I3022" s="5">
        <v>0.0</v>
      </c>
      <c r="J3022" s="5">
        <v>0.0</v>
      </c>
      <c r="K3022" s="5">
        <v>1.0</v>
      </c>
      <c r="L3022" s="54"/>
      <c r="M3022" s="5" t="s">
        <v>12491</v>
      </c>
      <c r="N3022" s="53" t="s">
        <v>2680</v>
      </c>
      <c r="O3022">
        <v>36.018776</v>
      </c>
      <c r="P3022">
        <v>-5.600819</v>
      </c>
      <c r="Q3022" s="5" t="s">
        <v>761</v>
      </c>
      <c r="R3022" s="10">
        <f t="shared" si="10"/>
        <v>492</v>
      </c>
      <c r="S3022" s="5" t="s">
        <v>12490</v>
      </c>
      <c r="T3022" s="6" t="s">
        <v>72</v>
      </c>
      <c r="U3022" s="5" t="s">
        <v>3128</v>
      </c>
      <c r="V3022" s="5"/>
    </row>
    <row r="3023" ht="12.75" customHeight="1">
      <c r="A3023" s="5">
        <v>36404.0</v>
      </c>
      <c r="B3023" s="5" t="s">
        <v>98</v>
      </c>
      <c r="C3023" s="5" t="s">
        <v>62</v>
      </c>
      <c r="D3023" s="5" t="s">
        <v>2614</v>
      </c>
      <c r="E3023" s="7" t="s">
        <v>12492</v>
      </c>
      <c r="F3023" s="5" t="s">
        <v>12348</v>
      </c>
      <c r="G3023" s="5" t="s">
        <v>12468</v>
      </c>
      <c r="H3023" s="5">
        <v>2000.0</v>
      </c>
      <c r="I3023" s="5">
        <v>0.0</v>
      </c>
      <c r="J3023" s="5">
        <v>0.0</v>
      </c>
      <c r="K3023" s="5">
        <v>1.0</v>
      </c>
      <c r="L3023" s="54"/>
      <c r="M3023" s="5" t="s">
        <v>12493</v>
      </c>
      <c r="N3023" s="53" t="s">
        <v>10982</v>
      </c>
      <c r="O3023">
        <v>40.351516</v>
      </c>
      <c r="P3023">
        <v>18.175016</v>
      </c>
      <c r="Q3023" s="5" t="s">
        <v>1133</v>
      </c>
      <c r="R3023" s="10">
        <f t="shared" si="10"/>
        <v>15</v>
      </c>
      <c r="S3023" s="5" t="s">
        <v>12494</v>
      </c>
      <c r="T3023" s="6" t="s">
        <v>1963</v>
      </c>
      <c r="U3023" s="5" t="s">
        <v>2326</v>
      </c>
      <c r="V3023" s="5" t="s">
        <v>7579</v>
      </c>
    </row>
    <row r="3024" ht="12.75" customHeight="1">
      <c r="A3024" s="5">
        <v>36405.0</v>
      </c>
      <c r="B3024" s="5" t="s">
        <v>49</v>
      </c>
      <c r="C3024" s="52" t="s">
        <v>50</v>
      </c>
      <c r="D3024" s="5" t="s">
        <v>2852</v>
      </c>
      <c r="E3024" s="7" t="s">
        <v>12495</v>
      </c>
      <c r="F3024" s="5" t="s">
        <v>12348</v>
      </c>
      <c r="G3024" s="5" t="s">
        <v>12468</v>
      </c>
      <c r="H3024" s="5">
        <v>2000.0</v>
      </c>
      <c r="I3024" s="5">
        <v>0.0</v>
      </c>
      <c r="J3024" s="5">
        <v>0.0</v>
      </c>
      <c r="K3024" s="5">
        <v>1.0</v>
      </c>
      <c r="L3024" s="54"/>
      <c r="M3024" s="5" t="s">
        <v>12496</v>
      </c>
      <c r="N3024" s="53" t="s">
        <v>2834</v>
      </c>
      <c r="O3024">
        <v>41.244376</v>
      </c>
      <c r="P3024">
        <v>26.135943</v>
      </c>
      <c r="Q3024" s="5" t="s">
        <v>1214</v>
      </c>
      <c r="R3024" s="10">
        <f t="shared" si="10"/>
        <v>188</v>
      </c>
      <c r="S3024" s="5" t="s">
        <v>12497</v>
      </c>
      <c r="T3024" s="6" t="s">
        <v>53</v>
      </c>
      <c r="U3024" s="5" t="s">
        <v>3128</v>
      </c>
      <c r="V3024" s="5" t="s">
        <v>8704</v>
      </c>
    </row>
    <row r="3025" ht="12.75" customHeight="1">
      <c r="A3025" s="5">
        <v>36406.0</v>
      </c>
      <c r="B3025" s="5" t="s">
        <v>98</v>
      </c>
      <c r="C3025" s="5" t="s">
        <v>62</v>
      </c>
      <c r="D3025" s="5" t="s">
        <v>2852</v>
      </c>
      <c r="E3025" s="7" t="s">
        <v>12495</v>
      </c>
      <c r="F3025" s="5" t="s">
        <v>12348</v>
      </c>
      <c r="G3025" s="5" t="s">
        <v>12468</v>
      </c>
      <c r="H3025" s="5">
        <v>2000.0</v>
      </c>
      <c r="I3025" s="5">
        <v>0.0</v>
      </c>
      <c r="J3025" s="5">
        <v>0.0</v>
      </c>
      <c r="K3025" s="5">
        <v>1.0</v>
      </c>
      <c r="L3025" s="54"/>
      <c r="M3025" s="5" t="s">
        <v>12498</v>
      </c>
      <c r="N3025" s="53" t="s">
        <v>3166</v>
      </c>
      <c r="O3025">
        <v>52.132633</v>
      </c>
      <c r="P3025">
        <v>5.291266</v>
      </c>
      <c r="Q3025" s="5" t="s">
        <v>1714</v>
      </c>
      <c r="R3025" s="10">
        <f t="shared" si="10"/>
        <v>2</v>
      </c>
      <c r="S3025" s="5" t="s">
        <v>12499</v>
      </c>
      <c r="T3025" s="5"/>
      <c r="U3025" s="5" t="s">
        <v>3128</v>
      </c>
      <c r="V3025" s="5"/>
    </row>
    <row r="3026" ht="12.75" customHeight="1">
      <c r="A3026" s="5">
        <v>36407.0</v>
      </c>
      <c r="B3026" s="5" t="s">
        <v>2902</v>
      </c>
      <c r="C3026" s="5" t="s">
        <v>211</v>
      </c>
      <c r="D3026" s="5" t="s">
        <v>2852</v>
      </c>
      <c r="E3026" s="7" t="s">
        <v>12495</v>
      </c>
      <c r="F3026" s="5" t="s">
        <v>12348</v>
      </c>
      <c r="G3026" s="5" t="s">
        <v>12468</v>
      </c>
      <c r="H3026" s="5">
        <v>2000.0</v>
      </c>
      <c r="I3026" s="5">
        <v>0.0</v>
      </c>
      <c r="J3026" s="5">
        <v>0.0</v>
      </c>
      <c r="K3026" s="5">
        <v>1.0</v>
      </c>
      <c r="L3026" s="54"/>
      <c r="M3026" s="5" t="s">
        <v>12500</v>
      </c>
      <c r="N3026" s="53" t="s">
        <v>3810</v>
      </c>
      <c r="O3026">
        <v>55.57156</v>
      </c>
      <c r="P3026">
        <v>-4.410332</v>
      </c>
      <c r="Q3026" s="5" t="s">
        <v>1888</v>
      </c>
      <c r="R3026" s="10">
        <f t="shared" si="10"/>
        <v>11</v>
      </c>
      <c r="S3026" s="5" t="s">
        <v>12501</v>
      </c>
      <c r="T3026" s="5"/>
      <c r="U3026" s="5" t="s">
        <v>3128</v>
      </c>
      <c r="V3026" s="5"/>
    </row>
    <row r="3027" ht="12.75" customHeight="1">
      <c r="A3027" s="5">
        <v>36408.0</v>
      </c>
      <c r="B3027" s="5" t="s">
        <v>49</v>
      </c>
      <c r="C3027" s="52" t="s">
        <v>50</v>
      </c>
      <c r="D3027" s="5" t="s">
        <v>2852</v>
      </c>
      <c r="E3027" s="7" t="s">
        <v>12502</v>
      </c>
      <c r="F3027" s="5" t="s">
        <v>12348</v>
      </c>
      <c r="G3027" s="5" t="s">
        <v>12468</v>
      </c>
      <c r="H3027" s="5">
        <v>2000.0</v>
      </c>
      <c r="I3027" s="5">
        <v>0.0</v>
      </c>
      <c r="J3027" s="5">
        <v>0.0</v>
      </c>
      <c r="K3027" s="5">
        <v>1.0</v>
      </c>
      <c r="L3027" s="54"/>
      <c r="M3027" s="5" t="s">
        <v>12503</v>
      </c>
      <c r="N3027" s="53" t="s">
        <v>2718</v>
      </c>
      <c r="O3027">
        <v>35.292278</v>
      </c>
      <c r="P3027">
        <v>-2.938097</v>
      </c>
      <c r="Q3027" s="5" t="s">
        <v>649</v>
      </c>
      <c r="R3027" s="10">
        <f t="shared" si="10"/>
        <v>79</v>
      </c>
      <c r="S3027" s="5" t="s">
        <v>12504</v>
      </c>
      <c r="T3027" s="6" t="s">
        <v>72</v>
      </c>
      <c r="U3027" s="5" t="s">
        <v>4736</v>
      </c>
      <c r="V3027" s="5"/>
    </row>
    <row r="3028" ht="12.75" customHeight="1">
      <c r="A3028" s="5">
        <v>36409.0</v>
      </c>
      <c r="B3028" s="5" t="s">
        <v>49</v>
      </c>
      <c r="C3028" s="52" t="s">
        <v>50</v>
      </c>
      <c r="D3028" s="5" t="s">
        <v>2614</v>
      </c>
      <c r="E3028" s="7" t="s">
        <v>12505</v>
      </c>
      <c r="F3028" s="5" t="s">
        <v>12348</v>
      </c>
      <c r="G3028" s="5" t="s">
        <v>12468</v>
      </c>
      <c r="H3028" s="5">
        <v>2000.0</v>
      </c>
      <c r="I3028" s="5">
        <v>1.0</v>
      </c>
      <c r="J3028" s="5">
        <v>0.0</v>
      </c>
      <c r="K3028" s="5">
        <v>1.0</v>
      </c>
      <c r="L3028" s="54"/>
      <c r="M3028" s="5" t="s">
        <v>12506</v>
      </c>
      <c r="N3028" s="53" t="s">
        <v>3151</v>
      </c>
      <c r="O3028">
        <v>29.046854</v>
      </c>
      <c r="P3028">
        <v>-13.589973</v>
      </c>
      <c r="Q3028" s="5" t="s">
        <v>400</v>
      </c>
      <c r="R3028" s="10">
        <f t="shared" si="10"/>
        <v>74</v>
      </c>
      <c r="S3028" s="5" t="s">
        <v>12507</v>
      </c>
      <c r="T3028" s="5" t="s">
        <v>1040</v>
      </c>
      <c r="U3028" s="5" t="s">
        <v>2785</v>
      </c>
      <c r="V3028" s="5" t="s">
        <v>12508</v>
      </c>
    </row>
    <row r="3029" ht="12.75" customHeight="1">
      <c r="A3029" s="5">
        <v>36410.0</v>
      </c>
      <c r="B3029" s="5" t="s">
        <v>68</v>
      </c>
      <c r="C3029" s="5" t="s">
        <v>69</v>
      </c>
      <c r="D3029" s="5" t="s">
        <v>2614</v>
      </c>
      <c r="E3029" s="7" t="s">
        <v>12509</v>
      </c>
      <c r="F3029" s="5" t="s">
        <v>12348</v>
      </c>
      <c r="G3029" s="5" t="s">
        <v>12468</v>
      </c>
      <c r="H3029" s="5">
        <v>2000.0</v>
      </c>
      <c r="I3029" s="5">
        <v>0.0</v>
      </c>
      <c r="J3029" s="5">
        <v>0.0</v>
      </c>
      <c r="K3029" s="5">
        <v>1.0</v>
      </c>
      <c r="L3029" s="54"/>
      <c r="M3029" s="5" t="s">
        <v>12510</v>
      </c>
      <c r="N3029" s="53" t="s">
        <v>10982</v>
      </c>
      <c r="O3029">
        <v>40.351516</v>
      </c>
      <c r="P3029">
        <v>18.175016</v>
      </c>
      <c r="Q3029" s="5" t="s">
        <v>1133</v>
      </c>
      <c r="R3029" s="10">
        <f t="shared" si="10"/>
        <v>15</v>
      </c>
      <c r="S3029" s="5" t="s">
        <v>12511</v>
      </c>
      <c r="T3029" s="6" t="s">
        <v>1963</v>
      </c>
      <c r="U3029" s="5" t="s">
        <v>2326</v>
      </c>
      <c r="V3029" s="5" t="s">
        <v>7579</v>
      </c>
    </row>
    <row r="3030" ht="12.75" customHeight="1">
      <c r="A3030" s="5">
        <v>36411.0</v>
      </c>
      <c r="B3030" s="5" t="s">
        <v>49</v>
      </c>
      <c r="C3030" s="52" t="s">
        <v>50</v>
      </c>
      <c r="D3030" s="5" t="s">
        <v>2852</v>
      </c>
      <c r="E3030" s="7" t="s">
        <v>12509</v>
      </c>
      <c r="F3030" s="5" t="s">
        <v>12348</v>
      </c>
      <c r="G3030" s="5" t="s">
        <v>12468</v>
      </c>
      <c r="H3030" s="5">
        <v>2000.0</v>
      </c>
      <c r="I3030" s="5">
        <v>0.0</v>
      </c>
      <c r="J3030" s="5">
        <v>0.0</v>
      </c>
      <c r="K3030" s="5">
        <v>1.0</v>
      </c>
      <c r="L3030" s="54"/>
      <c r="M3030" s="5" t="s">
        <v>12512</v>
      </c>
      <c r="N3030" s="53" t="s">
        <v>3268</v>
      </c>
      <c r="O3030">
        <v>44.348399</v>
      </c>
      <c r="P3030">
        <v>9.234647</v>
      </c>
      <c r="Q3030" s="5" t="s">
        <v>1290</v>
      </c>
      <c r="R3030" s="10">
        <f t="shared" si="10"/>
        <v>57</v>
      </c>
      <c r="S3030" s="5" t="s">
        <v>12513</v>
      </c>
      <c r="T3030" s="6" t="s">
        <v>1963</v>
      </c>
      <c r="U3030" s="5" t="s">
        <v>12203</v>
      </c>
      <c r="V3030" s="5"/>
    </row>
    <row r="3031" ht="12.75" customHeight="1">
      <c r="A3031" s="5">
        <v>36414.0</v>
      </c>
      <c r="B3031" s="5" t="s">
        <v>49</v>
      </c>
      <c r="C3031" s="52" t="s">
        <v>50</v>
      </c>
      <c r="D3031" s="5" t="s">
        <v>2852</v>
      </c>
      <c r="E3031" s="7" t="s">
        <v>12514</v>
      </c>
      <c r="F3031" s="5" t="s">
        <v>12348</v>
      </c>
      <c r="G3031" s="5" t="s">
        <v>12468</v>
      </c>
      <c r="H3031" s="5">
        <v>2000.0</v>
      </c>
      <c r="I3031" s="5">
        <v>0.0</v>
      </c>
      <c r="J3031" s="5">
        <v>0.0</v>
      </c>
      <c r="K3031" s="5">
        <v>5.0</v>
      </c>
      <c r="L3031" s="54"/>
      <c r="M3031" s="5" t="s">
        <v>12515</v>
      </c>
      <c r="N3031" s="53" t="s">
        <v>4941</v>
      </c>
      <c r="O3031">
        <v>28.291564</v>
      </c>
      <c r="P3031">
        <v>-16.62913</v>
      </c>
      <c r="Q3031" s="5" t="s">
        <v>382</v>
      </c>
      <c r="R3031" s="10">
        <f t="shared" si="10"/>
        <v>1120</v>
      </c>
      <c r="S3031" s="5" t="s">
        <v>12516</v>
      </c>
      <c r="T3031" s="5" t="s">
        <v>1040</v>
      </c>
      <c r="U3031" s="5" t="s">
        <v>12517</v>
      </c>
      <c r="V3031" s="5"/>
    </row>
    <row r="3032" ht="12.75" customHeight="1">
      <c r="A3032" s="5">
        <v>36413.0</v>
      </c>
      <c r="B3032" s="5" t="s">
        <v>49</v>
      </c>
      <c r="C3032" s="52" t="s">
        <v>50</v>
      </c>
      <c r="D3032" s="5" t="s">
        <v>2852</v>
      </c>
      <c r="E3032" s="7" t="s">
        <v>12514</v>
      </c>
      <c r="F3032" s="5" t="s">
        <v>12348</v>
      </c>
      <c r="G3032" s="5" t="s">
        <v>12468</v>
      </c>
      <c r="H3032" s="5">
        <v>2000.0</v>
      </c>
      <c r="I3032" s="5">
        <v>0.0</v>
      </c>
      <c r="J3032" s="5">
        <v>0.0</v>
      </c>
      <c r="K3032" s="5">
        <v>3.0</v>
      </c>
      <c r="L3032" s="54"/>
      <c r="M3032" s="5" t="s">
        <v>12518</v>
      </c>
      <c r="N3032" s="53" t="s">
        <v>3151</v>
      </c>
      <c r="O3032">
        <v>29.046854</v>
      </c>
      <c r="P3032">
        <v>-13.589973</v>
      </c>
      <c r="Q3032" s="5" t="s">
        <v>400</v>
      </c>
      <c r="R3032" s="10">
        <f t="shared" si="10"/>
        <v>74</v>
      </c>
      <c r="S3032" s="5" t="s">
        <v>12519</v>
      </c>
      <c r="T3032" s="5" t="s">
        <v>1040</v>
      </c>
      <c r="U3032" s="5" t="s">
        <v>12520</v>
      </c>
      <c r="V3032" s="5" t="s">
        <v>12521</v>
      </c>
    </row>
    <row r="3033" ht="12.75" customHeight="1">
      <c r="A3033" s="5">
        <v>36412.0</v>
      </c>
      <c r="B3033" s="5" t="s">
        <v>2007</v>
      </c>
      <c r="C3033" s="5" t="s">
        <v>124</v>
      </c>
      <c r="D3033" s="5" t="s">
        <v>2614</v>
      </c>
      <c r="E3033" s="7" t="s">
        <v>12514</v>
      </c>
      <c r="F3033" s="5" t="s">
        <v>12348</v>
      </c>
      <c r="G3033" s="5" t="s">
        <v>12468</v>
      </c>
      <c r="H3033" s="5">
        <v>2000.0</v>
      </c>
      <c r="I3033" s="5">
        <v>0.0</v>
      </c>
      <c r="J3033" s="5">
        <v>0.0</v>
      </c>
      <c r="K3033" s="5">
        <v>2.0</v>
      </c>
      <c r="L3033" s="54"/>
      <c r="M3033" s="5" t="s">
        <v>12522</v>
      </c>
      <c r="N3033" s="53" t="s">
        <v>3379</v>
      </c>
      <c r="O3033">
        <v>36.834047</v>
      </c>
      <c r="P3033">
        <v>-2.463714</v>
      </c>
      <c r="Q3033" s="5" t="s">
        <v>863</v>
      </c>
      <c r="R3033" s="10">
        <f t="shared" si="10"/>
        <v>208</v>
      </c>
      <c r="S3033" s="5" t="s">
        <v>12523</v>
      </c>
      <c r="T3033" s="6" t="s">
        <v>72</v>
      </c>
      <c r="U3033" s="5" t="s">
        <v>2785</v>
      </c>
      <c r="V3033" s="5" t="s">
        <v>12524</v>
      </c>
    </row>
    <row r="3034" ht="12.75" customHeight="1">
      <c r="A3034" s="5">
        <v>36417.0</v>
      </c>
      <c r="B3034" s="5" t="s">
        <v>68</v>
      </c>
      <c r="C3034" s="5" t="s">
        <v>69</v>
      </c>
      <c r="D3034" s="5" t="s">
        <v>2852</v>
      </c>
      <c r="E3034" s="7" t="s">
        <v>12525</v>
      </c>
      <c r="F3034" s="5" t="s">
        <v>12348</v>
      </c>
      <c r="G3034" s="5" t="s">
        <v>12468</v>
      </c>
      <c r="H3034" s="5">
        <v>2000.0</v>
      </c>
      <c r="I3034" s="5">
        <v>0.0</v>
      </c>
      <c r="J3034" s="5">
        <v>0.0</v>
      </c>
      <c r="K3034" s="5">
        <v>2.0</v>
      </c>
      <c r="L3034" s="54"/>
      <c r="M3034" s="5" t="s">
        <v>12526</v>
      </c>
      <c r="N3034" s="53" t="s">
        <v>3379</v>
      </c>
      <c r="O3034">
        <v>36.834047</v>
      </c>
      <c r="P3034">
        <v>-2.463714</v>
      </c>
      <c r="Q3034" s="5" t="s">
        <v>863</v>
      </c>
      <c r="R3034" s="10">
        <f t="shared" si="10"/>
        <v>208</v>
      </c>
      <c r="S3034" s="5" t="s">
        <v>12527</v>
      </c>
      <c r="T3034" s="6" t="s">
        <v>72</v>
      </c>
      <c r="U3034" s="5" t="s">
        <v>12528</v>
      </c>
      <c r="V3034" s="5"/>
    </row>
    <row r="3035" ht="12.75" customHeight="1">
      <c r="A3035" s="5">
        <v>36415.0</v>
      </c>
      <c r="B3035" s="5" t="s">
        <v>68</v>
      </c>
      <c r="C3035" s="5" t="s">
        <v>69</v>
      </c>
      <c r="D3035" s="5" t="s">
        <v>2614</v>
      </c>
      <c r="E3035" s="7" t="s">
        <v>12525</v>
      </c>
      <c r="F3035" s="5" t="s">
        <v>12348</v>
      </c>
      <c r="G3035" s="5" t="s">
        <v>12468</v>
      </c>
      <c r="H3035" s="5">
        <v>2000.0</v>
      </c>
      <c r="I3035" s="5">
        <v>0.0</v>
      </c>
      <c r="J3035" s="5">
        <v>0.0</v>
      </c>
      <c r="K3035" s="5">
        <v>1.0</v>
      </c>
      <c r="L3035" s="54"/>
      <c r="M3035" s="5" t="s">
        <v>12529</v>
      </c>
      <c r="N3035" s="53" t="s">
        <v>12530</v>
      </c>
      <c r="O3035">
        <v>44.40565</v>
      </c>
      <c r="P3035">
        <v>8.946256</v>
      </c>
      <c r="Q3035" s="5" t="s">
        <v>1294</v>
      </c>
      <c r="R3035" s="10">
        <f t="shared" si="10"/>
        <v>4</v>
      </c>
      <c r="S3035" s="5" t="s">
        <v>12531</v>
      </c>
      <c r="T3035" s="5"/>
      <c r="U3035" s="5" t="s">
        <v>2326</v>
      </c>
      <c r="V3035" s="5" t="s">
        <v>7579</v>
      </c>
    </row>
    <row r="3036" ht="12.75" customHeight="1">
      <c r="A3036" s="5">
        <v>36416.0</v>
      </c>
      <c r="B3036" s="5" t="s">
        <v>49</v>
      </c>
      <c r="C3036" s="52" t="s">
        <v>50</v>
      </c>
      <c r="D3036" s="5" t="s">
        <v>2852</v>
      </c>
      <c r="E3036" s="7" t="s">
        <v>12525</v>
      </c>
      <c r="F3036" s="5" t="s">
        <v>12348</v>
      </c>
      <c r="G3036" s="5" t="s">
        <v>12468</v>
      </c>
      <c r="H3036" s="5">
        <v>2000.0</v>
      </c>
      <c r="I3036" s="5">
        <v>0.0</v>
      </c>
      <c r="J3036" s="5">
        <v>0.0</v>
      </c>
      <c r="K3036" s="5">
        <v>1.0</v>
      </c>
      <c r="L3036" s="54"/>
      <c r="M3036" s="5" t="s">
        <v>12532</v>
      </c>
      <c r="N3036" s="53" t="s">
        <v>6477</v>
      </c>
      <c r="O3036">
        <v>51.919438</v>
      </c>
      <c r="P3036">
        <v>19.145136</v>
      </c>
      <c r="Q3036" s="5" t="s">
        <v>1692</v>
      </c>
      <c r="R3036" s="10">
        <f t="shared" si="10"/>
        <v>4</v>
      </c>
      <c r="S3036" s="5" t="s">
        <v>12533</v>
      </c>
      <c r="T3036" s="5"/>
      <c r="U3036" s="5" t="s">
        <v>12227</v>
      </c>
      <c r="V3036" s="5" t="s">
        <v>8714</v>
      </c>
    </row>
    <row r="3037" ht="12.75" customHeight="1">
      <c r="A3037" s="5">
        <v>36418.0</v>
      </c>
      <c r="B3037" s="5" t="s">
        <v>49</v>
      </c>
      <c r="C3037" s="52" t="s">
        <v>50</v>
      </c>
      <c r="D3037" s="5" t="s">
        <v>2852</v>
      </c>
      <c r="E3037" s="7" t="s">
        <v>12534</v>
      </c>
      <c r="F3037" s="5" t="s">
        <v>12348</v>
      </c>
      <c r="G3037" s="5" t="s">
        <v>12468</v>
      </c>
      <c r="H3037" s="5">
        <v>2000.0</v>
      </c>
      <c r="I3037" s="5">
        <v>0.0</v>
      </c>
      <c r="J3037" s="5">
        <v>0.0</v>
      </c>
      <c r="K3037" s="5">
        <v>1.0</v>
      </c>
      <c r="L3037" s="54"/>
      <c r="M3037" s="5" t="s">
        <v>12535</v>
      </c>
      <c r="N3037" s="53" t="s">
        <v>9302</v>
      </c>
      <c r="O3037">
        <v>44.40565</v>
      </c>
      <c r="P3037">
        <v>8.946256</v>
      </c>
      <c r="Q3037" s="5" t="s">
        <v>1294</v>
      </c>
      <c r="R3037" s="10">
        <f t="shared" si="10"/>
        <v>4</v>
      </c>
      <c r="S3037" s="5" t="s">
        <v>12536</v>
      </c>
      <c r="T3037" s="5"/>
      <c r="U3037" s="5" t="s">
        <v>12537</v>
      </c>
      <c r="V3037" s="5"/>
    </row>
    <row r="3038" ht="12.75" customHeight="1">
      <c r="A3038" s="5">
        <v>36420.0</v>
      </c>
      <c r="B3038" s="5" t="s">
        <v>49</v>
      </c>
      <c r="C3038" s="52" t="s">
        <v>50</v>
      </c>
      <c r="D3038" s="5" t="s">
        <v>2852</v>
      </c>
      <c r="E3038" s="7" t="s">
        <v>12538</v>
      </c>
      <c r="F3038" s="5" t="s">
        <v>12348</v>
      </c>
      <c r="G3038" s="5" t="s">
        <v>12468</v>
      </c>
      <c r="H3038" s="5">
        <v>2000.0</v>
      </c>
      <c r="I3038" s="5">
        <v>0.0</v>
      </c>
      <c r="J3038" s="5">
        <v>0.0</v>
      </c>
      <c r="K3038" s="5">
        <v>2.0</v>
      </c>
      <c r="L3038" s="54"/>
      <c r="M3038" s="5" t="s">
        <v>12539</v>
      </c>
      <c r="N3038" s="53" t="s">
        <v>12540</v>
      </c>
      <c r="O3038">
        <v>35.844609</v>
      </c>
      <c r="P3038">
        <v>-5.367784</v>
      </c>
      <c r="Q3038" s="5" t="s">
        <v>707</v>
      </c>
      <c r="R3038" s="10">
        <f t="shared" si="10"/>
        <v>2</v>
      </c>
      <c r="S3038" s="5" t="s">
        <v>12541</v>
      </c>
      <c r="T3038" s="6" t="s">
        <v>72</v>
      </c>
      <c r="U3038" s="5" t="s">
        <v>12542</v>
      </c>
      <c r="V3038" s="5"/>
    </row>
    <row r="3039" ht="12.75" customHeight="1">
      <c r="A3039" s="5">
        <v>36421.0</v>
      </c>
      <c r="B3039" s="5" t="s">
        <v>49</v>
      </c>
      <c r="C3039" s="52" t="s">
        <v>50</v>
      </c>
      <c r="D3039" s="5" t="s">
        <v>2852</v>
      </c>
      <c r="E3039" s="7" t="s">
        <v>12538</v>
      </c>
      <c r="F3039" s="5" t="s">
        <v>12348</v>
      </c>
      <c r="G3039" s="5" t="s">
        <v>12468</v>
      </c>
      <c r="H3039" s="5">
        <v>2000.0</v>
      </c>
      <c r="I3039" s="5">
        <v>0.0</v>
      </c>
      <c r="J3039" s="5">
        <v>0.0</v>
      </c>
      <c r="K3039" s="5">
        <v>1.0</v>
      </c>
      <c r="L3039" s="54"/>
      <c r="M3039" s="5" t="s">
        <v>12543</v>
      </c>
      <c r="N3039" s="53" t="s">
        <v>2638</v>
      </c>
      <c r="O3039">
        <v>35.888384</v>
      </c>
      <c r="P3039">
        <v>-5.324636</v>
      </c>
      <c r="Q3039" s="5" t="s">
        <v>717</v>
      </c>
      <c r="R3039" s="10">
        <f t="shared" si="10"/>
        <v>213</v>
      </c>
      <c r="S3039" s="5" t="s">
        <v>12544</v>
      </c>
      <c r="T3039" s="6" t="s">
        <v>72</v>
      </c>
      <c r="U3039" s="5" t="s">
        <v>12545</v>
      </c>
      <c r="V3039" s="5" t="s">
        <v>12546</v>
      </c>
    </row>
    <row r="3040" ht="12.75" customHeight="1">
      <c r="A3040" s="5">
        <v>36419.0</v>
      </c>
      <c r="B3040" s="5" t="s">
        <v>49</v>
      </c>
      <c r="C3040" s="52" t="s">
        <v>50</v>
      </c>
      <c r="D3040" s="5" t="s">
        <v>2852</v>
      </c>
      <c r="E3040" s="7" t="s">
        <v>12538</v>
      </c>
      <c r="F3040" s="5" t="s">
        <v>12348</v>
      </c>
      <c r="G3040" s="5" t="s">
        <v>12468</v>
      </c>
      <c r="H3040" s="5">
        <v>2000.0</v>
      </c>
      <c r="I3040" s="5">
        <v>0.0</v>
      </c>
      <c r="J3040" s="5">
        <v>0.0</v>
      </c>
      <c r="K3040" s="5">
        <v>1.0</v>
      </c>
      <c r="L3040" s="54"/>
      <c r="M3040" s="5" t="s">
        <v>12547</v>
      </c>
      <c r="N3040" s="53" t="s">
        <v>2680</v>
      </c>
      <c r="O3040">
        <v>36.018776</v>
      </c>
      <c r="P3040">
        <v>-5.600819</v>
      </c>
      <c r="Q3040" s="5" t="s">
        <v>761</v>
      </c>
      <c r="R3040" s="10">
        <f t="shared" si="10"/>
        <v>492</v>
      </c>
      <c r="S3040" s="5" t="s">
        <v>12548</v>
      </c>
      <c r="T3040" s="6" t="s">
        <v>72</v>
      </c>
      <c r="U3040" s="5" t="s">
        <v>11764</v>
      </c>
      <c r="V3040" s="5"/>
    </row>
    <row r="3041" ht="12.75" customHeight="1">
      <c r="A3041" s="5">
        <v>36422.0</v>
      </c>
      <c r="B3041" s="5" t="s">
        <v>763</v>
      </c>
      <c r="C3041" s="5" t="s">
        <v>124</v>
      </c>
      <c r="D3041" s="5" t="s">
        <v>2852</v>
      </c>
      <c r="E3041" s="7" t="s">
        <v>12549</v>
      </c>
      <c r="F3041" s="5" t="s">
        <v>12348</v>
      </c>
      <c r="G3041" s="5" t="s">
        <v>12468</v>
      </c>
      <c r="H3041" s="5">
        <v>2000.0</v>
      </c>
      <c r="I3041" s="5">
        <v>0.0</v>
      </c>
      <c r="J3041" s="5">
        <v>0.0</v>
      </c>
      <c r="K3041" s="5">
        <v>1.0</v>
      </c>
      <c r="L3041" s="54"/>
      <c r="M3041" s="5" t="s">
        <v>12550</v>
      </c>
      <c r="N3041" s="53" t="s">
        <v>12551</v>
      </c>
      <c r="O3041">
        <v>50.079533</v>
      </c>
      <c r="P3041">
        <v>12.369864</v>
      </c>
      <c r="Q3041" s="5" t="s">
        <v>1481</v>
      </c>
      <c r="R3041" s="10">
        <f t="shared" si="10"/>
        <v>1</v>
      </c>
      <c r="S3041" s="5" t="s">
        <v>12552</v>
      </c>
      <c r="T3041" s="5"/>
      <c r="U3041" s="5" t="s">
        <v>12553</v>
      </c>
      <c r="V3041" s="5"/>
    </row>
    <row r="3042" ht="12.75" customHeight="1">
      <c r="A3042" s="5">
        <v>36424.0</v>
      </c>
      <c r="B3042" s="5" t="s">
        <v>3409</v>
      </c>
      <c r="C3042" s="5" t="s">
        <v>211</v>
      </c>
      <c r="D3042" s="5" t="s">
        <v>2852</v>
      </c>
      <c r="E3042" s="7" t="s">
        <v>12554</v>
      </c>
      <c r="F3042" s="5" t="s">
        <v>12348</v>
      </c>
      <c r="G3042" s="5" t="s">
        <v>12468</v>
      </c>
      <c r="H3042" s="5">
        <v>2000.0</v>
      </c>
      <c r="I3042" s="5">
        <v>0.0</v>
      </c>
      <c r="J3042" s="5">
        <v>0.0</v>
      </c>
      <c r="K3042" s="5">
        <v>1.0</v>
      </c>
      <c r="L3042" s="54"/>
      <c r="M3042" s="5" t="s">
        <v>12555</v>
      </c>
      <c r="N3042" s="53" t="s">
        <v>12556</v>
      </c>
      <c r="O3042">
        <v>49.98875</v>
      </c>
      <c r="P3042">
        <v>8.421698</v>
      </c>
      <c r="Q3042" s="5" t="s">
        <v>1480</v>
      </c>
      <c r="R3042" s="10">
        <f t="shared" si="10"/>
        <v>1</v>
      </c>
      <c r="S3042" s="5" t="s">
        <v>12557</v>
      </c>
      <c r="T3042" s="5"/>
      <c r="U3042" s="5" t="s">
        <v>4578</v>
      </c>
      <c r="V3042" s="5"/>
    </row>
    <row r="3043" ht="12.75" customHeight="1">
      <c r="A3043" s="5">
        <v>36423.0</v>
      </c>
      <c r="B3043" s="5" t="s">
        <v>2921</v>
      </c>
      <c r="C3043" s="5" t="s">
        <v>124</v>
      </c>
      <c r="D3043" s="5" t="s">
        <v>2852</v>
      </c>
      <c r="E3043" s="7" t="s">
        <v>12554</v>
      </c>
      <c r="F3043" s="5" t="s">
        <v>12348</v>
      </c>
      <c r="G3043" s="5" t="s">
        <v>12468</v>
      </c>
      <c r="H3043" s="5">
        <v>2000.0</v>
      </c>
      <c r="I3043" s="5">
        <v>0.0</v>
      </c>
      <c r="J3043" s="5">
        <v>0.0</v>
      </c>
      <c r="K3043" s="5">
        <v>2.0</v>
      </c>
      <c r="L3043" s="54"/>
      <c r="M3043" s="5" t="s">
        <v>12558</v>
      </c>
      <c r="N3043" s="53" t="s">
        <v>9511</v>
      </c>
      <c r="O3043">
        <v>59.32893</v>
      </c>
      <c r="P3043">
        <v>18.06491</v>
      </c>
      <c r="Q3043" s="5" t="s">
        <v>1908</v>
      </c>
      <c r="R3043" s="10">
        <f t="shared" si="10"/>
        <v>5</v>
      </c>
      <c r="S3043" s="5" t="s">
        <v>12559</v>
      </c>
      <c r="T3043" s="5"/>
      <c r="U3043" s="5" t="s">
        <v>12560</v>
      </c>
      <c r="V3043" s="5"/>
    </row>
    <row r="3044" ht="12.75" customHeight="1">
      <c r="A3044" s="5">
        <v>36425.0</v>
      </c>
      <c r="B3044" s="5" t="s">
        <v>68</v>
      </c>
      <c r="C3044" s="5" t="s">
        <v>69</v>
      </c>
      <c r="D3044" s="5" t="s">
        <v>2852</v>
      </c>
      <c r="E3044" s="7" t="s">
        <v>12561</v>
      </c>
      <c r="F3044" s="5" t="s">
        <v>12348</v>
      </c>
      <c r="G3044" s="5" t="s">
        <v>12468</v>
      </c>
      <c r="H3044" s="5">
        <v>2000.0</v>
      </c>
      <c r="I3044" s="5">
        <v>0.0</v>
      </c>
      <c r="J3044" s="5">
        <v>0.0</v>
      </c>
      <c r="K3044" s="5">
        <v>1.0</v>
      </c>
      <c r="L3044" s="54"/>
      <c r="M3044" s="5" t="s">
        <v>12562</v>
      </c>
      <c r="N3044" s="53" t="s">
        <v>4521</v>
      </c>
      <c r="O3044">
        <v>48.208174</v>
      </c>
      <c r="P3044">
        <v>16.373819</v>
      </c>
      <c r="Q3044" s="5" t="s">
        <v>1410</v>
      </c>
      <c r="R3044" s="10">
        <f t="shared" si="10"/>
        <v>6</v>
      </c>
      <c r="S3044" s="5" t="s">
        <v>12563</v>
      </c>
      <c r="T3044" s="5"/>
      <c r="U3044" s="5" t="s">
        <v>12564</v>
      </c>
      <c r="V3044" s="5"/>
    </row>
    <row r="3045" ht="12.75" customHeight="1">
      <c r="A3045" s="5">
        <v>36426.0</v>
      </c>
      <c r="B3045" s="5" t="s">
        <v>68</v>
      </c>
      <c r="C3045" s="5" t="s">
        <v>69</v>
      </c>
      <c r="D3045" s="5" t="s">
        <v>2614</v>
      </c>
      <c r="E3045" s="7" t="s">
        <v>12565</v>
      </c>
      <c r="F3045" s="5" t="s">
        <v>12348</v>
      </c>
      <c r="G3045" s="5" t="s">
        <v>12468</v>
      </c>
      <c r="H3045" s="5">
        <v>2000.0</v>
      </c>
      <c r="I3045" s="5">
        <v>0.0</v>
      </c>
      <c r="J3045" s="5">
        <v>0.0</v>
      </c>
      <c r="K3045" s="5">
        <v>1.0</v>
      </c>
      <c r="L3045" s="54"/>
      <c r="M3045" s="5" t="s">
        <v>12566</v>
      </c>
      <c r="N3045" s="53" t="s">
        <v>4226</v>
      </c>
      <c r="O3045">
        <v>36.999117</v>
      </c>
      <c r="P3045">
        <v>-1.892141</v>
      </c>
      <c r="Q3045" s="5" t="s">
        <v>888</v>
      </c>
      <c r="R3045" s="10">
        <f t="shared" si="10"/>
        <v>12</v>
      </c>
      <c r="S3045" s="5" t="s">
        <v>12567</v>
      </c>
      <c r="T3045" s="6" t="s">
        <v>72</v>
      </c>
      <c r="U3045" s="5" t="s">
        <v>2785</v>
      </c>
      <c r="V3045" s="5" t="s">
        <v>12568</v>
      </c>
    </row>
    <row r="3046" ht="12.75" customHeight="1">
      <c r="A3046" s="5">
        <v>36427.0</v>
      </c>
      <c r="B3046" s="5" t="s">
        <v>68</v>
      </c>
      <c r="C3046" s="5" t="s">
        <v>69</v>
      </c>
      <c r="D3046" s="5" t="s">
        <v>2852</v>
      </c>
      <c r="E3046" s="7" t="s">
        <v>12569</v>
      </c>
      <c r="F3046" s="5" t="s">
        <v>12348</v>
      </c>
      <c r="G3046" s="5" t="s">
        <v>12468</v>
      </c>
      <c r="H3046" s="5">
        <v>2000.0</v>
      </c>
      <c r="I3046" s="5">
        <v>0.0</v>
      </c>
      <c r="J3046" s="5">
        <v>0.0</v>
      </c>
      <c r="K3046" s="5">
        <v>1.0</v>
      </c>
      <c r="L3046" s="54"/>
      <c r="M3046" s="5" t="s">
        <v>12570</v>
      </c>
      <c r="N3046" s="53" t="s">
        <v>12571</v>
      </c>
      <c r="O3046">
        <v>50.656873</v>
      </c>
      <c r="P3046">
        <v>13.341127</v>
      </c>
      <c r="Q3046" s="5" t="s">
        <v>1502</v>
      </c>
      <c r="R3046" s="10">
        <f t="shared" si="10"/>
        <v>1</v>
      </c>
      <c r="S3046" s="5" t="s">
        <v>12572</v>
      </c>
      <c r="T3046" s="5"/>
      <c r="U3046" s="5" t="s">
        <v>12227</v>
      </c>
      <c r="V3046" s="5"/>
    </row>
    <row r="3047" ht="12.75" customHeight="1">
      <c r="A3047" s="5">
        <v>36428.0</v>
      </c>
      <c r="B3047" s="5" t="s">
        <v>49</v>
      </c>
      <c r="C3047" s="52" t="s">
        <v>50</v>
      </c>
      <c r="D3047" s="5" t="s">
        <v>2852</v>
      </c>
      <c r="E3047" s="7" t="s">
        <v>12573</v>
      </c>
      <c r="F3047" s="5" t="s">
        <v>12574</v>
      </c>
      <c r="G3047" s="5" t="s">
        <v>12575</v>
      </c>
      <c r="H3047" s="5">
        <v>2000.0</v>
      </c>
      <c r="I3047" s="5">
        <v>0.0</v>
      </c>
      <c r="J3047" s="5">
        <v>0.0</v>
      </c>
      <c r="K3047" s="5">
        <v>2.0</v>
      </c>
      <c r="L3047" s="54"/>
      <c r="M3047" s="5" t="s">
        <v>12576</v>
      </c>
      <c r="N3047" s="53" t="s">
        <v>3141</v>
      </c>
      <c r="O3047">
        <v>36.140751</v>
      </c>
      <c r="P3047">
        <v>-5.353585</v>
      </c>
      <c r="Q3047" s="5" t="s">
        <v>774</v>
      </c>
      <c r="R3047" s="10">
        <f t="shared" si="10"/>
        <v>107</v>
      </c>
      <c r="S3047" s="5" t="s">
        <v>12577</v>
      </c>
      <c r="T3047" s="6" t="s">
        <v>72</v>
      </c>
      <c r="U3047" s="5" t="s">
        <v>11834</v>
      </c>
      <c r="V3047" s="5"/>
    </row>
    <row r="3048" ht="12.75" customHeight="1">
      <c r="A3048" s="5">
        <v>36429.0</v>
      </c>
      <c r="B3048" s="5" t="s">
        <v>49</v>
      </c>
      <c r="C3048" s="52" t="s">
        <v>50</v>
      </c>
      <c r="D3048" s="5" t="s">
        <v>2852</v>
      </c>
      <c r="E3048" s="7" t="s">
        <v>12578</v>
      </c>
      <c r="F3048" s="5" t="s">
        <v>12574</v>
      </c>
      <c r="G3048" s="5" t="s">
        <v>12575</v>
      </c>
      <c r="H3048" s="5">
        <v>2000.0</v>
      </c>
      <c r="I3048" s="5">
        <v>0.0</v>
      </c>
      <c r="J3048" s="5">
        <v>0.0</v>
      </c>
      <c r="K3048" s="5">
        <v>1.0</v>
      </c>
      <c r="L3048" s="54"/>
      <c r="M3048" s="5" t="s">
        <v>12579</v>
      </c>
      <c r="N3048" s="53" t="s">
        <v>2638</v>
      </c>
      <c r="O3048">
        <v>35.888384</v>
      </c>
      <c r="P3048">
        <v>-5.324636</v>
      </c>
      <c r="Q3048" s="5" t="s">
        <v>717</v>
      </c>
      <c r="R3048" s="10">
        <f t="shared" si="10"/>
        <v>213</v>
      </c>
      <c r="S3048" s="5" t="s">
        <v>12580</v>
      </c>
      <c r="T3048" s="6" t="s">
        <v>72</v>
      </c>
      <c r="U3048" s="5" t="s">
        <v>3128</v>
      </c>
      <c r="V3048" s="5"/>
    </row>
    <row r="3049" ht="12.75" customHeight="1">
      <c r="A3049" s="5">
        <v>36430.0</v>
      </c>
      <c r="B3049" s="5" t="s">
        <v>49</v>
      </c>
      <c r="C3049" s="52" t="s">
        <v>50</v>
      </c>
      <c r="D3049" s="5" t="s">
        <v>2852</v>
      </c>
      <c r="E3049" s="7" t="s">
        <v>12578</v>
      </c>
      <c r="F3049" s="5" t="s">
        <v>12574</v>
      </c>
      <c r="G3049" s="5" t="s">
        <v>12575</v>
      </c>
      <c r="H3049" s="5">
        <v>2000.0</v>
      </c>
      <c r="I3049" s="5">
        <v>0.0</v>
      </c>
      <c r="J3049" s="5">
        <v>0.0</v>
      </c>
      <c r="K3049" s="5">
        <v>9.0</v>
      </c>
      <c r="L3049" s="54"/>
      <c r="M3049" s="5" t="s">
        <v>12581</v>
      </c>
      <c r="N3049" s="53" t="s">
        <v>2705</v>
      </c>
      <c r="O3049">
        <v>36.799851</v>
      </c>
      <c r="P3049">
        <v>27.102943</v>
      </c>
      <c r="Q3049" s="5" t="s">
        <v>848</v>
      </c>
      <c r="R3049" s="10">
        <f t="shared" si="10"/>
        <v>119</v>
      </c>
      <c r="S3049" s="5" t="s">
        <v>12582</v>
      </c>
      <c r="T3049" s="6" t="s">
        <v>53</v>
      </c>
      <c r="U3049" s="5" t="s">
        <v>12378</v>
      </c>
      <c r="V3049" s="5" t="s">
        <v>12583</v>
      </c>
    </row>
    <row r="3050" ht="12.75" customHeight="1">
      <c r="A3050" s="5">
        <v>36432.0</v>
      </c>
      <c r="B3050" s="5" t="s">
        <v>49</v>
      </c>
      <c r="C3050" s="52" t="s">
        <v>50</v>
      </c>
      <c r="D3050" s="5" t="s">
        <v>2852</v>
      </c>
      <c r="E3050" s="7" t="s">
        <v>12584</v>
      </c>
      <c r="F3050" s="5" t="s">
        <v>12574</v>
      </c>
      <c r="G3050" s="5" t="s">
        <v>12575</v>
      </c>
      <c r="H3050" s="5">
        <v>2000.0</v>
      </c>
      <c r="I3050" s="5">
        <v>0.0</v>
      </c>
      <c r="J3050" s="5">
        <v>0.0</v>
      </c>
      <c r="K3050" s="5">
        <v>5.0</v>
      </c>
      <c r="L3050" s="54"/>
      <c r="M3050" s="5" t="s">
        <v>12585</v>
      </c>
      <c r="N3050" s="53" t="s">
        <v>2857</v>
      </c>
      <c r="O3050">
        <v>36.527061</v>
      </c>
      <c r="P3050">
        <v>-6.288596</v>
      </c>
      <c r="Q3050" s="5" t="s">
        <v>802</v>
      </c>
      <c r="R3050" s="10">
        <f t="shared" si="10"/>
        <v>185</v>
      </c>
      <c r="S3050" s="5" t="s">
        <v>12586</v>
      </c>
      <c r="T3050" s="6" t="s">
        <v>72</v>
      </c>
      <c r="U3050" s="5" t="s">
        <v>5458</v>
      </c>
      <c r="V3050" s="5"/>
    </row>
    <row r="3051" ht="12.75" customHeight="1">
      <c r="A3051" s="5">
        <v>36431.0</v>
      </c>
      <c r="B3051" s="5" t="s">
        <v>68</v>
      </c>
      <c r="C3051" s="5" t="s">
        <v>69</v>
      </c>
      <c r="D3051" s="5" t="s">
        <v>2852</v>
      </c>
      <c r="E3051" s="7" t="s">
        <v>12584</v>
      </c>
      <c r="F3051" s="5" t="s">
        <v>12574</v>
      </c>
      <c r="G3051" s="5" t="s">
        <v>12575</v>
      </c>
      <c r="H3051" s="5">
        <v>2000.0</v>
      </c>
      <c r="I3051" s="5">
        <v>0.0</v>
      </c>
      <c r="J3051" s="5">
        <v>0.0</v>
      </c>
      <c r="K3051" s="5">
        <v>1.0</v>
      </c>
      <c r="L3051" s="54"/>
      <c r="M3051" s="5" t="s">
        <v>12587</v>
      </c>
      <c r="N3051" s="53" t="s">
        <v>12588</v>
      </c>
      <c r="O3051">
        <v>50.767197</v>
      </c>
      <c r="P3051">
        <v>13.532895</v>
      </c>
      <c r="Q3051" s="5" t="s">
        <v>1511</v>
      </c>
      <c r="R3051" s="10">
        <f t="shared" si="10"/>
        <v>1</v>
      </c>
      <c r="S3051" s="5" t="s">
        <v>12589</v>
      </c>
      <c r="T3051" s="5"/>
      <c r="U3051" s="5" t="s">
        <v>12227</v>
      </c>
      <c r="V3051" s="5"/>
    </row>
    <row r="3052" ht="12.75" customHeight="1">
      <c r="A3052" s="5">
        <v>36433.0</v>
      </c>
      <c r="B3052" s="5" t="s">
        <v>2693</v>
      </c>
      <c r="C3052" s="5" t="s">
        <v>62</v>
      </c>
      <c r="D3052" s="5" t="s">
        <v>2852</v>
      </c>
      <c r="E3052" s="7" t="s">
        <v>12590</v>
      </c>
      <c r="F3052" s="5" t="s">
        <v>12574</v>
      </c>
      <c r="G3052" s="5" t="s">
        <v>12575</v>
      </c>
      <c r="H3052" s="5">
        <v>2000.0</v>
      </c>
      <c r="I3052" s="5">
        <v>0.0</v>
      </c>
      <c r="J3052" s="5">
        <v>0.0</v>
      </c>
      <c r="K3052" s="5">
        <v>1.0</v>
      </c>
      <c r="L3052" s="54"/>
      <c r="M3052" s="5" t="s">
        <v>12591</v>
      </c>
      <c r="N3052" s="53" t="s">
        <v>12331</v>
      </c>
      <c r="O3052">
        <v>47.687457</v>
      </c>
      <c r="P3052">
        <v>17.650397</v>
      </c>
      <c r="Q3052" s="5" t="s">
        <v>1392</v>
      </c>
      <c r="R3052" s="10">
        <f t="shared" si="10"/>
        <v>2</v>
      </c>
      <c r="S3052" s="5" t="s">
        <v>12592</v>
      </c>
      <c r="T3052" s="5"/>
      <c r="U3052" s="5" t="s">
        <v>12593</v>
      </c>
      <c r="V3052" s="5"/>
    </row>
    <row r="3053" ht="12.75" customHeight="1">
      <c r="A3053" s="5">
        <v>36434.0</v>
      </c>
      <c r="B3053" s="5" t="s">
        <v>49</v>
      </c>
      <c r="C3053" s="52" t="s">
        <v>50</v>
      </c>
      <c r="D3053" s="5" t="s">
        <v>2852</v>
      </c>
      <c r="E3053" s="7" t="s">
        <v>12594</v>
      </c>
      <c r="F3053" s="5" t="s">
        <v>12574</v>
      </c>
      <c r="G3053" s="5" t="s">
        <v>12575</v>
      </c>
      <c r="H3053" s="5">
        <v>2000.0</v>
      </c>
      <c r="I3053" s="5">
        <v>0.0</v>
      </c>
      <c r="J3053" s="5">
        <v>0.0</v>
      </c>
      <c r="K3053" s="5">
        <v>3.0</v>
      </c>
      <c r="L3053" s="54"/>
      <c r="M3053" s="5" t="s">
        <v>12595</v>
      </c>
      <c r="N3053" s="53" t="s">
        <v>2638</v>
      </c>
      <c r="O3053">
        <v>35.888384</v>
      </c>
      <c r="P3053">
        <v>-5.324636</v>
      </c>
      <c r="Q3053" s="5" t="s">
        <v>717</v>
      </c>
      <c r="R3053" s="10">
        <f t="shared" si="10"/>
        <v>213</v>
      </c>
      <c r="S3053" s="5" t="s">
        <v>12596</v>
      </c>
      <c r="T3053" s="6" t="s">
        <v>72</v>
      </c>
      <c r="U3053" s="5" t="s">
        <v>12438</v>
      </c>
      <c r="V3053" s="5" t="s">
        <v>12597</v>
      </c>
    </row>
    <row r="3054" ht="12.75" customHeight="1">
      <c r="A3054" s="5">
        <v>36435.0</v>
      </c>
      <c r="B3054" s="5" t="s">
        <v>49</v>
      </c>
      <c r="C3054" s="52" t="s">
        <v>50</v>
      </c>
      <c r="D3054" s="5" t="s">
        <v>2852</v>
      </c>
      <c r="E3054" s="7" t="s">
        <v>12594</v>
      </c>
      <c r="F3054" s="5" t="s">
        <v>12574</v>
      </c>
      <c r="G3054" s="5" t="s">
        <v>12575</v>
      </c>
      <c r="H3054" s="5">
        <v>2000.0</v>
      </c>
      <c r="I3054" s="5">
        <v>0.0</v>
      </c>
      <c r="J3054" s="5">
        <v>0.0</v>
      </c>
      <c r="K3054" s="5">
        <v>1.0</v>
      </c>
      <c r="L3054" s="54"/>
      <c r="M3054" s="5" t="s">
        <v>12598</v>
      </c>
      <c r="N3054" s="53" t="s">
        <v>12046</v>
      </c>
      <c r="O3054">
        <v>49.195098</v>
      </c>
      <c r="P3054">
        <v>16.60673</v>
      </c>
      <c r="Q3054" s="5" t="s">
        <v>1457</v>
      </c>
      <c r="R3054" s="10">
        <f t="shared" si="10"/>
        <v>2</v>
      </c>
      <c r="S3054" s="5" t="s">
        <v>12599</v>
      </c>
      <c r="T3054" s="5"/>
      <c r="U3054" s="5" t="s">
        <v>12600</v>
      </c>
      <c r="V3054" s="5" t="s">
        <v>12601</v>
      </c>
    </row>
    <row r="3055" ht="12.75" customHeight="1">
      <c r="A3055" s="5">
        <v>36436.0</v>
      </c>
      <c r="B3055" s="5" t="s">
        <v>49</v>
      </c>
      <c r="C3055" s="52" t="s">
        <v>50</v>
      </c>
      <c r="D3055" s="5" t="s">
        <v>2852</v>
      </c>
      <c r="E3055" s="7" t="s">
        <v>12602</v>
      </c>
      <c r="F3055" s="5" t="s">
        <v>12574</v>
      </c>
      <c r="G3055" s="5" t="s">
        <v>12575</v>
      </c>
      <c r="H3055" s="5">
        <v>2000.0</v>
      </c>
      <c r="I3055" s="5">
        <v>0.0</v>
      </c>
      <c r="J3055" s="5">
        <v>0.0</v>
      </c>
      <c r="K3055" s="5">
        <v>1.0</v>
      </c>
      <c r="L3055" s="54"/>
      <c r="M3055" s="5" t="s">
        <v>12603</v>
      </c>
      <c r="N3055" s="53" t="s">
        <v>3846</v>
      </c>
      <c r="O3055">
        <v>40.632728</v>
      </c>
      <c r="P3055">
        <v>17.941762</v>
      </c>
      <c r="Q3055" s="5" t="s">
        <v>1151</v>
      </c>
      <c r="R3055" s="10">
        <f t="shared" si="10"/>
        <v>72</v>
      </c>
      <c r="S3055" s="5" t="s">
        <v>12604</v>
      </c>
      <c r="T3055" s="6" t="s">
        <v>1963</v>
      </c>
      <c r="U3055" s="5" t="s">
        <v>2459</v>
      </c>
      <c r="V3055" s="5"/>
    </row>
    <row r="3056" ht="12.75" customHeight="1">
      <c r="A3056" s="5">
        <v>36437.0</v>
      </c>
      <c r="B3056" s="5" t="s">
        <v>3521</v>
      </c>
      <c r="C3056" s="5" t="s">
        <v>62</v>
      </c>
      <c r="D3056" s="5" t="s">
        <v>2852</v>
      </c>
      <c r="E3056" s="7" t="s">
        <v>12605</v>
      </c>
      <c r="F3056" s="5" t="s">
        <v>12574</v>
      </c>
      <c r="G3056" s="5" t="s">
        <v>12575</v>
      </c>
      <c r="H3056" s="5">
        <v>2000.0</v>
      </c>
      <c r="I3056" s="5">
        <v>0.0</v>
      </c>
      <c r="J3056" s="5">
        <v>0.0</v>
      </c>
      <c r="K3056" s="5">
        <v>1.0</v>
      </c>
      <c r="L3056" s="54"/>
      <c r="M3056" s="5" t="s">
        <v>12606</v>
      </c>
      <c r="N3056" s="53" t="s">
        <v>12351</v>
      </c>
      <c r="O3056">
        <v>38.017618</v>
      </c>
      <c r="P3056">
        <v>12.537202</v>
      </c>
      <c r="Q3056" s="5" t="s">
        <v>991</v>
      </c>
      <c r="R3056" s="10">
        <f t="shared" si="10"/>
        <v>5</v>
      </c>
      <c r="S3056" s="5" t="s">
        <v>12607</v>
      </c>
      <c r="T3056" s="6" t="s">
        <v>2130</v>
      </c>
      <c r="U3056" s="5" t="s">
        <v>12608</v>
      </c>
      <c r="V3056" s="5"/>
    </row>
    <row r="3057" ht="12.75" customHeight="1">
      <c r="A3057" s="5">
        <v>36438.0</v>
      </c>
      <c r="B3057" s="5" t="s">
        <v>41</v>
      </c>
      <c r="C3057" s="5" t="s">
        <v>42</v>
      </c>
      <c r="D3057" s="5" t="s">
        <v>2852</v>
      </c>
      <c r="E3057" s="7" t="s">
        <v>12609</v>
      </c>
      <c r="F3057" s="5" t="s">
        <v>12574</v>
      </c>
      <c r="G3057" s="5" t="s">
        <v>12575</v>
      </c>
      <c r="H3057" s="5">
        <v>2000.0</v>
      </c>
      <c r="I3057" s="5">
        <v>0.0</v>
      </c>
      <c r="J3057" s="5">
        <v>0.0</v>
      </c>
      <c r="K3057" s="5">
        <v>1.0</v>
      </c>
      <c r="L3057" s="54"/>
      <c r="M3057" s="5" t="s">
        <v>12610</v>
      </c>
      <c r="N3057" s="53" t="s">
        <v>2680</v>
      </c>
      <c r="O3057">
        <v>36.018776</v>
      </c>
      <c r="P3057">
        <v>-5.600819</v>
      </c>
      <c r="Q3057" s="5" t="s">
        <v>761</v>
      </c>
      <c r="R3057" s="10">
        <f t="shared" si="10"/>
        <v>492</v>
      </c>
      <c r="S3057" s="5" t="s">
        <v>12611</v>
      </c>
      <c r="T3057" s="6" t="s">
        <v>72</v>
      </c>
      <c r="U3057" s="5" t="s">
        <v>12612</v>
      </c>
      <c r="V3057" s="5"/>
    </row>
    <row r="3058" ht="12.75" customHeight="1">
      <c r="A3058" s="5">
        <v>36439.0</v>
      </c>
      <c r="B3058" s="5" t="s">
        <v>2962</v>
      </c>
      <c r="C3058" s="5" t="s">
        <v>211</v>
      </c>
      <c r="D3058" s="5" t="s">
        <v>2852</v>
      </c>
      <c r="E3058" s="7" t="s">
        <v>12609</v>
      </c>
      <c r="F3058" s="5" t="s">
        <v>12574</v>
      </c>
      <c r="G3058" s="5" t="s">
        <v>12575</v>
      </c>
      <c r="H3058" s="5">
        <v>2000.0</v>
      </c>
      <c r="I3058" s="5">
        <v>0.0</v>
      </c>
      <c r="J3058" s="5">
        <v>0.0</v>
      </c>
      <c r="K3058" s="5">
        <v>1.0</v>
      </c>
      <c r="L3058" s="54"/>
      <c r="M3058" s="5" t="s">
        <v>12613</v>
      </c>
      <c r="N3058" s="53" t="s">
        <v>12614</v>
      </c>
      <c r="O3058">
        <v>52.853126</v>
      </c>
      <c r="P3058">
        <v>11.157355</v>
      </c>
      <c r="Q3058" s="5" t="s">
        <v>1797</v>
      </c>
      <c r="R3058" s="10">
        <f t="shared" si="10"/>
        <v>1</v>
      </c>
      <c r="S3058" s="5" t="s">
        <v>12615</v>
      </c>
      <c r="T3058" s="5"/>
      <c r="U3058" s="5" t="s">
        <v>4578</v>
      </c>
      <c r="V3058" s="5"/>
    </row>
    <row r="3059" ht="12.75" customHeight="1">
      <c r="A3059" s="5">
        <v>36440.0</v>
      </c>
      <c r="B3059" s="5" t="s">
        <v>68</v>
      </c>
      <c r="C3059" s="5" t="s">
        <v>69</v>
      </c>
      <c r="D3059" s="5" t="s">
        <v>2614</v>
      </c>
      <c r="E3059" s="7" t="s">
        <v>12616</v>
      </c>
      <c r="F3059" s="5" t="s">
        <v>12574</v>
      </c>
      <c r="G3059" s="5" t="s">
        <v>12575</v>
      </c>
      <c r="H3059" s="5">
        <v>2000.0</v>
      </c>
      <c r="I3059" s="5">
        <v>0.0</v>
      </c>
      <c r="J3059" s="5">
        <v>0.0</v>
      </c>
      <c r="K3059" s="5">
        <v>4.0</v>
      </c>
      <c r="L3059" s="54"/>
      <c r="M3059" s="5" t="s">
        <v>12617</v>
      </c>
      <c r="N3059" s="53" t="s">
        <v>8706</v>
      </c>
      <c r="O3059">
        <v>48.669026</v>
      </c>
      <c r="P3059">
        <v>19.699024</v>
      </c>
      <c r="Q3059" s="5" t="s">
        <v>1431</v>
      </c>
      <c r="R3059" s="10">
        <f t="shared" si="10"/>
        <v>16</v>
      </c>
      <c r="S3059" s="5" t="s">
        <v>12618</v>
      </c>
      <c r="T3059" s="5"/>
      <c r="U3059" s="5" t="s">
        <v>10216</v>
      </c>
      <c r="V3059" s="5" t="s">
        <v>12619</v>
      </c>
    </row>
    <row r="3060" ht="12.75" customHeight="1">
      <c r="A3060" s="5">
        <v>36441.0</v>
      </c>
      <c r="B3060" s="5" t="s">
        <v>49</v>
      </c>
      <c r="C3060" s="52" t="s">
        <v>50</v>
      </c>
      <c r="D3060" s="5" t="s">
        <v>2852</v>
      </c>
      <c r="E3060" s="7" t="s">
        <v>12620</v>
      </c>
      <c r="F3060" s="5" t="s">
        <v>12574</v>
      </c>
      <c r="G3060" s="5" t="s">
        <v>12575</v>
      </c>
      <c r="H3060" s="5">
        <v>2000.0</v>
      </c>
      <c r="I3060" s="5">
        <v>0.0</v>
      </c>
      <c r="J3060" s="5">
        <v>0.0</v>
      </c>
      <c r="K3060" s="5">
        <v>1.0</v>
      </c>
      <c r="L3060" s="54"/>
      <c r="M3060" s="5" t="s">
        <v>12621</v>
      </c>
      <c r="N3060" s="53" t="s">
        <v>12622</v>
      </c>
      <c r="O3060">
        <v>36.098208</v>
      </c>
      <c r="P3060">
        <v>-5.820705</v>
      </c>
      <c r="Q3060" s="5" t="s">
        <v>764</v>
      </c>
      <c r="R3060" s="10">
        <f t="shared" si="10"/>
        <v>1</v>
      </c>
      <c r="S3060" s="5" t="s">
        <v>12623</v>
      </c>
      <c r="T3060" s="6" t="s">
        <v>72</v>
      </c>
      <c r="U3060" s="5" t="s">
        <v>11558</v>
      </c>
      <c r="V3060" s="5"/>
    </row>
    <row r="3061" ht="12.75" customHeight="1">
      <c r="A3061" s="5">
        <v>36442.0</v>
      </c>
      <c r="B3061" s="5" t="s">
        <v>49</v>
      </c>
      <c r="C3061" s="52" t="s">
        <v>50</v>
      </c>
      <c r="D3061" s="5" t="s">
        <v>2614</v>
      </c>
      <c r="E3061" s="7" t="s">
        <v>12624</v>
      </c>
      <c r="F3061" s="5" t="s">
        <v>12574</v>
      </c>
      <c r="G3061" s="5" t="s">
        <v>12575</v>
      </c>
      <c r="H3061" s="5">
        <v>2000.0</v>
      </c>
      <c r="I3061" s="5">
        <v>0.0</v>
      </c>
      <c r="J3061" s="5">
        <v>0.0</v>
      </c>
      <c r="K3061" s="5">
        <v>1.0</v>
      </c>
      <c r="L3061" s="54"/>
      <c r="M3061" s="5" t="s">
        <v>12625</v>
      </c>
      <c r="N3061" s="53" t="s">
        <v>6857</v>
      </c>
      <c r="O3061">
        <v>50.110922</v>
      </c>
      <c r="P3061">
        <v>8.682127</v>
      </c>
      <c r="Q3061" s="5" t="s">
        <v>1485</v>
      </c>
      <c r="R3061" s="10">
        <f t="shared" si="10"/>
        <v>6</v>
      </c>
      <c r="S3061" s="5" t="s">
        <v>12626</v>
      </c>
      <c r="T3061" s="5"/>
      <c r="U3061" s="5" t="s">
        <v>8713</v>
      </c>
      <c r="V3061" s="5" t="s">
        <v>8714</v>
      </c>
    </row>
    <row r="3062" ht="12.75" customHeight="1">
      <c r="A3062" s="5">
        <v>36443.0</v>
      </c>
      <c r="B3062" s="5" t="s">
        <v>49</v>
      </c>
      <c r="C3062" s="52" t="s">
        <v>50</v>
      </c>
      <c r="D3062" s="5" t="s">
        <v>2614</v>
      </c>
      <c r="E3062" s="7" t="s">
        <v>12627</v>
      </c>
      <c r="F3062" s="5" t="s">
        <v>12574</v>
      </c>
      <c r="G3062" s="5" t="s">
        <v>12575</v>
      </c>
      <c r="H3062" s="5">
        <v>2000.0</v>
      </c>
      <c r="I3062" s="5">
        <v>0.0</v>
      </c>
      <c r="J3062" s="5">
        <v>0.0</v>
      </c>
      <c r="K3062" s="5">
        <v>1.0</v>
      </c>
      <c r="L3062" s="54"/>
      <c r="M3062" s="5" t="s">
        <v>12628</v>
      </c>
      <c r="N3062" s="53" t="s">
        <v>3608</v>
      </c>
      <c r="O3062">
        <v>41.117143</v>
      </c>
      <c r="P3062">
        <v>16.871871</v>
      </c>
      <c r="Q3062" s="5" t="s">
        <v>1188</v>
      </c>
      <c r="R3062" s="10">
        <f t="shared" si="10"/>
        <v>32</v>
      </c>
      <c r="S3062" s="5" t="s">
        <v>12629</v>
      </c>
      <c r="T3062" s="6" t="s">
        <v>1963</v>
      </c>
      <c r="U3062" s="5" t="s">
        <v>2326</v>
      </c>
      <c r="V3062" s="5" t="s">
        <v>7579</v>
      </c>
    </row>
    <row r="3063" ht="12.75" customHeight="1">
      <c r="A3063" s="5">
        <v>36444.0</v>
      </c>
      <c r="B3063" s="5" t="s">
        <v>49</v>
      </c>
      <c r="C3063" s="52" t="s">
        <v>50</v>
      </c>
      <c r="D3063" s="5" t="s">
        <v>2852</v>
      </c>
      <c r="E3063" s="7" t="s">
        <v>12630</v>
      </c>
      <c r="F3063" s="5" t="s">
        <v>12574</v>
      </c>
      <c r="G3063" s="5" t="s">
        <v>12575</v>
      </c>
      <c r="H3063" s="5">
        <v>2000.0</v>
      </c>
      <c r="I3063" s="5">
        <v>0.0</v>
      </c>
      <c r="J3063" s="5">
        <v>0.0</v>
      </c>
      <c r="K3063" s="5">
        <v>12.0</v>
      </c>
      <c r="L3063" s="54"/>
      <c r="M3063" s="5" t="s">
        <v>12631</v>
      </c>
      <c r="N3063" s="53" t="s">
        <v>7285</v>
      </c>
      <c r="O3063">
        <v>28.291564</v>
      </c>
      <c r="P3063">
        <v>-16.62913</v>
      </c>
      <c r="Q3063" s="5" t="s">
        <v>382</v>
      </c>
      <c r="R3063" s="10">
        <f t="shared" si="10"/>
        <v>1120</v>
      </c>
      <c r="S3063" s="5" t="s">
        <v>12632</v>
      </c>
      <c r="T3063" s="5" t="s">
        <v>1040</v>
      </c>
      <c r="U3063" s="5" t="s">
        <v>2502</v>
      </c>
      <c r="V3063" s="5"/>
    </row>
    <row r="3064" ht="12.75" customHeight="1">
      <c r="A3064" s="5">
        <v>36445.0</v>
      </c>
      <c r="B3064" s="5" t="s">
        <v>68</v>
      </c>
      <c r="C3064" s="5" t="s">
        <v>69</v>
      </c>
      <c r="D3064" s="5" t="s">
        <v>2852</v>
      </c>
      <c r="E3064" s="7" t="s">
        <v>12633</v>
      </c>
      <c r="F3064" s="5" t="s">
        <v>12574</v>
      </c>
      <c r="G3064" s="5" t="s">
        <v>12575</v>
      </c>
      <c r="H3064" s="5">
        <v>2000.0</v>
      </c>
      <c r="I3064" s="5">
        <v>0.0</v>
      </c>
      <c r="J3064" s="5">
        <v>0.0</v>
      </c>
      <c r="K3064" s="5">
        <v>1.0</v>
      </c>
      <c r="L3064" s="54"/>
      <c r="M3064" s="5" t="s">
        <v>12634</v>
      </c>
      <c r="N3064" s="53" t="s">
        <v>3379</v>
      </c>
      <c r="O3064">
        <v>36.834047</v>
      </c>
      <c r="P3064">
        <v>-2.463714</v>
      </c>
      <c r="Q3064" s="5" t="s">
        <v>863</v>
      </c>
      <c r="R3064" s="10">
        <f t="shared" si="10"/>
        <v>208</v>
      </c>
      <c r="S3064" s="5" t="s">
        <v>12635</v>
      </c>
      <c r="T3064" s="6" t="s">
        <v>72</v>
      </c>
      <c r="U3064" s="5" t="s">
        <v>3128</v>
      </c>
      <c r="V3064" s="5"/>
    </row>
    <row r="3065" ht="12.75" customHeight="1">
      <c r="A3065" s="5">
        <v>36448.0</v>
      </c>
      <c r="B3065" s="5" t="s">
        <v>49</v>
      </c>
      <c r="C3065" s="52" t="s">
        <v>50</v>
      </c>
      <c r="D3065" s="5" t="s">
        <v>2852</v>
      </c>
      <c r="E3065" s="7" t="s">
        <v>12636</v>
      </c>
      <c r="F3065" s="5" t="s">
        <v>12574</v>
      </c>
      <c r="G3065" s="5" t="s">
        <v>12637</v>
      </c>
      <c r="H3065" s="5">
        <v>2000.0</v>
      </c>
      <c r="I3065" s="5">
        <v>0.0</v>
      </c>
      <c r="J3065" s="5">
        <v>0.0</v>
      </c>
      <c r="K3065" s="5">
        <v>2.0</v>
      </c>
      <c r="L3065" s="54"/>
      <c r="M3065" s="5" t="s">
        <v>12638</v>
      </c>
      <c r="N3065" s="53" t="s">
        <v>2857</v>
      </c>
      <c r="O3065">
        <v>36.527061</v>
      </c>
      <c r="P3065">
        <v>-6.288596</v>
      </c>
      <c r="Q3065" s="5" t="s">
        <v>802</v>
      </c>
      <c r="R3065" s="10">
        <f t="shared" si="10"/>
        <v>185</v>
      </c>
      <c r="S3065" s="5" t="s">
        <v>12639</v>
      </c>
      <c r="T3065" s="6" t="s">
        <v>72</v>
      </c>
      <c r="U3065" s="5" t="s">
        <v>4736</v>
      </c>
      <c r="V3065" s="5"/>
    </row>
    <row r="3066" ht="12.75" customHeight="1">
      <c r="A3066" s="5">
        <v>36446.0</v>
      </c>
      <c r="B3066" s="5" t="s">
        <v>2333</v>
      </c>
      <c r="C3066" s="5" t="s">
        <v>124</v>
      </c>
      <c r="D3066" s="5" t="s">
        <v>2852</v>
      </c>
      <c r="E3066" s="7" t="s">
        <v>12636</v>
      </c>
      <c r="F3066" s="5" t="s">
        <v>12574</v>
      </c>
      <c r="G3066" s="5" t="s">
        <v>12637</v>
      </c>
      <c r="H3066" s="5">
        <v>2000.0</v>
      </c>
      <c r="I3066" s="5">
        <v>0.0</v>
      </c>
      <c r="J3066" s="5">
        <v>0.0</v>
      </c>
      <c r="K3066" s="5">
        <v>1.0</v>
      </c>
      <c r="L3066" s="54"/>
      <c r="M3066" s="5" t="s">
        <v>12640</v>
      </c>
      <c r="N3066" s="53" t="s">
        <v>11102</v>
      </c>
      <c r="O3066">
        <v>40.143898</v>
      </c>
      <c r="P3066">
        <v>18.491168</v>
      </c>
      <c r="Q3066" s="5" t="s">
        <v>1121</v>
      </c>
      <c r="R3066" s="10">
        <f t="shared" si="10"/>
        <v>48</v>
      </c>
      <c r="S3066" s="5" t="s">
        <v>12641</v>
      </c>
      <c r="T3066" s="6" t="s">
        <v>1963</v>
      </c>
      <c r="U3066" s="5" t="s">
        <v>12391</v>
      </c>
      <c r="V3066" s="5"/>
    </row>
    <row r="3067" ht="12.75" customHeight="1">
      <c r="A3067" s="5">
        <v>36447.0</v>
      </c>
      <c r="B3067" s="5" t="s">
        <v>1995</v>
      </c>
      <c r="C3067" s="52" t="s">
        <v>50</v>
      </c>
      <c r="D3067" s="5" t="s">
        <v>2852</v>
      </c>
      <c r="E3067" s="7" t="s">
        <v>12636</v>
      </c>
      <c r="F3067" s="5" t="s">
        <v>12574</v>
      </c>
      <c r="G3067" s="5" t="s">
        <v>12637</v>
      </c>
      <c r="H3067" s="5">
        <v>2000.0</v>
      </c>
      <c r="I3067" s="5">
        <v>0.0</v>
      </c>
      <c r="J3067" s="5">
        <v>0.0</v>
      </c>
      <c r="K3067" s="5">
        <v>1.0</v>
      </c>
      <c r="L3067" s="54"/>
      <c r="M3067" s="5" t="s">
        <v>12642</v>
      </c>
      <c r="N3067" s="53" t="s">
        <v>12643</v>
      </c>
      <c r="O3067">
        <v>49.487459</v>
      </c>
      <c r="P3067">
        <v>8.466039</v>
      </c>
      <c r="Q3067" s="5" t="s">
        <v>1466</v>
      </c>
      <c r="R3067" s="10">
        <f t="shared" si="10"/>
        <v>1</v>
      </c>
      <c r="S3067" s="5" t="s">
        <v>12644</v>
      </c>
      <c r="T3067" s="5"/>
      <c r="U3067" s="5" t="s">
        <v>4578</v>
      </c>
      <c r="V3067" s="5"/>
    </row>
    <row r="3068" ht="12.75" customHeight="1">
      <c r="A3068" s="5">
        <v>36449.0</v>
      </c>
      <c r="B3068" s="5" t="s">
        <v>68</v>
      </c>
      <c r="C3068" s="5" t="s">
        <v>69</v>
      </c>
      <c r="D3068" s="5" t="s">
        <v>2852</v>
      </c>
      <c r="E3068" s="7" t="s">
        <v>12645</v>
      </c>
      <c r="F3068" s="5" t="s">
        <v>12574</v>
      </c>
      <c r="G3068" s="5" t="s">
        <v>12637</v>
      </c>
      <c r="H3068" s="5">
        <v>2000.0</v>
      </c>
      <c r="I3068" s="5">
        <v>0.0</v>
      </c>
      <c r="J3068" s="5">
        <v>0.0</v>
      </c>
      <c r="K3068" s="5">
        <v>2.0</v>
      </c>
      <c r="L3068" s="54"/>
      <c r="M3068" s="5" t="s">
        <v>12646</v>
      </c>
      <c r="N3068" s="53" t="s">
        <v>3268</v>
      </c>
      <c r="O3068">
        <v>44.348399</v>
      </c>
      <c r="P3068">
        <v>9.234647</v>
      </c>
      <c r="Q3068" s="5" t="s">
        <v>1290</v>
      </c>
      <c r="R3068" s="10">
        <f t="shared" si="10"/>
        <v>57</v>
      </c>
      <c r="S3068" s="5" t="s">
        <v>12647</v>
      </c>
      <c r="T3068" s="6" t="s">
        <v>1963</v>
      </c>
      <c r="U3068" s="5" t="s">
        <v>3219</v>
      </c>
      <c r="V3068" s="5"/>
    </row>
    <row r="3069" ht="12.75" customHeight="1">
      <c r="A3069" s="5">
        <v>36450.0</v>
      </c>
      <c r="B3069" s="5" t="s">
        <v>49</v>
      </c>
      <c r="C3069" s="52" t="s">
        <v>50</v>
      </c>
      <c r="D3069" s="5" t="s">
        <v>2852</v>
      </c>
      <c r="E3069" s="7" t="s">
        <v>12648</v>
      </c>
      <c r="F3069" s="5" t="s">
        <v>12574</v>
      </c>
      <c r="G3069" s="5" t="s">
        <v>12637</v>
      </c>
      <c r="H3069" s="5">
        <v>2000.0</v>
      </c>
      <c r="I3069" s="5">
        <v>0.0</v>
      </c>
      <c r="J3069" s="5">
        <v>0.0</v>
      </c>
      <c r="K3069" s="5">
        <v>17.0</v>
      </c>
      <c r="L3069" s="54"/>
      <c r="M3069" s="5" t="s">
        <v>12649</v>
      </c>
      <c r="N3069" s="53" t="s">
        <v>4941</v>
      </c>
      <c r="O3069">
        <v>28.291564</v>
      </c>
      <c r="P3069">
        <v>-16.62913</v>
      </c>
      <c r="Q3069" s="5" t="s">
        <v>382</v>
      </c>
      <c r="R3069" s="10">
        <f t="shared" si="10"/>
        <v>1120</v>
      </c>
      <c r="S3069" s="5" t="s">
        <v>12650</v>
      </c>
      <c r="T3069" s="5" t="s">
        <v>1040</v>
      </c>
      <c r="U3069" s="5" t="s">
        <v>11853</v>
      </c>
      <c r="V3069" s="5"/>
    </row>
    <row r="3070" ht="12.75" customHeight="1">
      <c r="A3070" s="5">
        <v>36451.0</v>
      </c>
      <c r="B3070" s="5" t="s">
        <v>49</v>
      </c>
      <c r="C3070" s="52" t="s">
        <v>50</v>
      </c>
      <c r="D3070" s="5" t="s">
        <v>2614</v>
      </c>
      <c r="E3070" s="7" t="s">
        <v>12651</v>
      </c>
      <c r="F3070" s="5" t="s">
        <v>12574</v>
      </c>
      <c r="G3070" s="5" t="s">
        <v>12637</v>
      </c>
      <c r="H3070" s="5">
        <v>2000.0</v>
      </c>
      <c r="I3070" s="5">
        <v>0.0</v>
      </c>
      <c r="J3070" s="5">
        <v>0.0</v>
      </c>
      <c r="K3070" s="5">
        <v>2.0</v>
      </c>
      <c r="L3070" s="54"/>
      <c r="M3070" s="5" t="s">
        <v>12652</v>
      </c>
      <c r="N3070" s="53" t="s">
        <v>10982</v>
      </c>
      <c r="O3070">
        <v>40.351516</v>
      </c>
      <c r="P3070">
        <v>18.175016</v>
      </c>
      <c r="Q3070" s="5" t="s">
        <v>1133</v>
      </c>
      <c r="R3070" s="10">
        <f t="shared" si="10"/>
        <v>15</v>
      </c>
      <c r="S3070" s="5" t="s">
        <v>12653</v>
      </c>
      <c r="T3070" s="6" t="s">
        <v>1963</v>
      </c>
      <c r="U3070" s="5" t="s">
        <v>2326</v>
      </c>
      <c r="V3070" s="5" t="s">
        <v>7579</v>
      </c>
    </row>
    <row r="3071" ht="12.75" customHeight="1">
      <c r="A3071" s="5">
        <v>36452.0</v>
      </c>
      <c r="B3071" s="5" t="s">
        <v>49</v>
      </c>
      <c r="C3071" s="52" t="s">
        <v>50</v>
      </c>
      <c r="D3071" s="5" t="s">
        <v>2852</v>
      </c>
      <c r="E3071" s="7" t="s">
        <v>12654</v>
      </c>
      <c r="F3071" s="5" t="s">
        <v>12574</v>
      </c>
      <c r="G3071" s="5" t="s">
        <v>12637</v>
      </c>
      <c r="H3071" s="5">
        <v>2000.0</v>
      </c>
      <c r="I3071" s="5">
        <v>0.0</v>
      </c>
      <c r="J3071" s="5">
        <v>0.0</v>
      </c>
      <c r="K3071" s="5">
        <v>2.0</v>
      </c>
      <c r="L3071" s="54"/>
      <c r="M3071" s="5" t="s">
        <v>12655</v>
      </c>
      <c r="N3071" s="53" t="s">
        <v>12656</v>
      </c>
      <c r="O3071">
        <v>44.494887</v>
      </c>
      <c r="P3071">
        <v>11.342616</v>
      </c>
      <c r="Q3071" s="5" t="s">
        <v>1295</v>
      </c>
      <c r="R3071" s="10">
        <f t="shared" si="10"/>
        <v>6</v>
      </c>
      <c r="S3071" s="5" t="s">
        <v>12657</v>
      </c>
      <c r="T3071" s="6" t="s">
        <v>72</v>
      </c>
      <c r="U3071" s="5" t="s">
        <v>12658</v>
      </c>
      <c r="V3071" s="5" t="s">
        <v>12659</v>
      </c>
    </row>
    <row r="3072" ht="12.75" customHeight="1">
      <c r="A3072" s="5">
        <v>36453.0</v>
      </c>
      <c r="B3072" s="5" t="s">
        <v>2902</v>
      </c>
      <c r="C3072" s="5" t="s">
        <v>211</v>
      </c>
      <c r="D3072" s="5" t="s">
        <v>2852</v>
      </c>
      <c r="E3072" s="7" t="s">
        <v>12654</v>
      </c>
      <c r="F3072" s="5" t="s">
        <v>12574</v>
      </c>
      <c r="G3072" s="5" t="s">
        <v>12637</v>
      </c>
      <c r="H3072" s="5">
        <v>2000.0</v>
      </c>
      <c r="I3072" s="5">
        <v>0.0</v>
      </c>
      <c r="J3072" s="5">
        <v>0.0</v>
      </c>
      <c r="K3072" s="5">
        <v>1.0</v>
      </c>
      <c r="L3072" s="54"/>
      <c r="M3072" s="5" t="s">
        <v>12660</v>
      </c>
      <c r="N3072" s="53" t="s">
        <v>12661</v>
      </c>
      <c r="O3072">
        <v>47.594657</v>
      </c>
      <c r="P3072">
        <v>8.136299</v>
      </c>
      <c r="Q3072" s="5" t="s">
        <v>1390</v>
      </c>
      <c r="R3072" s="10">
        <f t="shared" si="10"/>
        <v>2</v>
      </c>
      <c r="S3072" s="5" t="s">
        <v>12662</v>
      </c>
      <c r="T3072" s="5"/>
      <c r="U3072" s="5" t="s">
        <v>12663</v>
      </c>
      <c r="V3072" s="5"/>
    </row>
    <row r="3073" ht="12.75" customHeight="1">
      <c r="A3073" s="5">
        <v>36454.0</v>
      </c>
      <c r="B3073" s="5" t="s">
        <v>1773</v>
      </c>
      <c r="C3073" s="5" t="s">
        <v>124</v>
      </c>
      <c r="D3073" s="5" t="s">
        <v>2852</v>
      </c>
      <c r="E3073" s="7" t="s">
        <v>12664</v>
      </c>
      <c r="F3073" s="5" t="s">
        <v>12574</v>
      </c>
      <c r="G3073" s="5" t="s">
        <v>12637</v>
      </c>
      <c r="H3073" s="5">
        <v>2000.0</v>
      </c>
      <c r="I3073" s="5">
        <v>0.0</v>
      </c>
      <c r="J3073" s="5">
        <v>0.0</v>
      </c>
      <c r="K3073" s="5">
        <v>1.0</v>
      </c>
      <c r="L3073" s="54"/>
      <c r="M3073" s="5" t="s">
        <v>12665</v>
      </c>
      <c r="N3073" s="53" t="s">
        <v>5824</v>
      </c>
      <c r="O3073">
        <v>51.165691</v>
      </c>
      <c r="P3073">
        <v>10.451526</v>
      </c>
      <c r="Q3073" s="5" t="s">
        <v>1599</v>
      </c>
      <c r="R3073" s="10">
        <f t="shared" si="10"/>
        <v>8</v>
      </c>
      <c r="S3073" s="5" t="s">
        <v>12666</v>
      </c>
      <c r="T3073" s="5"/>
      <c r="U3073" s="5" t="s">
        <v>12667</v>
      </c>
      <c r="V3073" s="5"/>
    </row>
    <row r="3074" ht="12.75" customHeight="1">
      <c r="A3074" s="5">
        <v>36456.0</v>
      </c>
      <c r="B3074" s="5" t="s">
        <v>49</v>
      </c>
      <c r="C3074" s="52" t="s">
        <v>50</v>
      </c>
      <c r="D3074" s="5" t="s">
        <v>2852</v>
      </c>
      <c r="E3074" s="7" t="s">
        <v>12668</v>
      </c>
      <c r="F3074" s="5" t="s">
        <v>12574</v>
      </c>
      <c r="G3074" s="5" t="s">
        <v>12637</v>
      </c>
      <c r="H3074" s="5">
        <v>2000.0</v>
      </c>
      <c r="I3074" s="5">
        <v>0.0</v>
      </c>
      <c r="J3074" s="5">
        <v>0.0</v>
      </c>
      <c r="K3074" s="5">
        <v>2.0</v>
      </c>
      <c r="L3074" s="54"/>
      <c r="M3074" s="5" t="s">
        <v>12669</v>
      </c>
      <c r="N3074" s="53" t="s">
        <v>12670</v>
      </c>
      <c r="O3074">
        <v>36.793212</v>
      </c>
      <c r="P3074">
        <v>14.706973</v>
      </c>
      <c r="Q3074" s="5" t="s">
        <v>847</v>
      </c>
      <c r="R3074" s="10">
        <f t="shared" si="10"/>
        <v>12</v>
      </c>
      <c r="S3074" s="5" t="s">
        <v>12671</v>
      </c>
      <c r="T3074" s="6" t="s">
        <v>2130</v>
      </c>
      <c r="U3074" s="5" t="s">
        <v>12203</v>
      </c>
      <c r="V3074" s="5"/>
    </row>
    <row r="3075" ht="12.75" customHeight="1">
      <c r="A3075" s="5">
        <v>36455.0</v>
      </c>
      <c r="B3075" s="5" t="s">
        <v>1555</v>
      </c>
      <c r="C3075" s="5" t="s">
        <v>42</v>
      </c>
      <c r="D3075" s="5" t="s">
        <v>2852</v>
      </c>
      <c r="E3075" s="7" t="s">
        <v>12668</v>
      </c>
      <c r="F3075" s="5" t="s">
        <v>12574</v>
      </c>
      <c r="G3075" s="5" t="s">
        <v>12637</v>
      </c>
      <c r="H3075" s="5">
        <v>2000.0</v>
      </c>
      <c r="I3075" s="5">
        <v>0.0</v>
      </c>
      <c r="J3075" s="5">
        <v>0.0</v>
      </c>
      <c r="K3075" s="5">
        <v>1.0</v>
      </c>
      <c r="L3075" s="54"/>
      <c r="M3075" s="5" t="s">
        <v>12672</v>
      </c>
      <c r="N3075" s="53" t="s">
        <v>4521</v>
      </c>
      <c r="O3075">
        <v>48.208174</v>
      </c>
      <c r="P3075">
        <v>16.373819</v>
      </c>
      <c r="Q3075" s="5" t="s">
        <v>1410</v>
      </c>
      <c r="R3075" s="10">
        <f t="shared" si="10"/>
        <v>6</v>
      </c>
      <c r="S3075" s="5" t="s">
        <v>12673</v>
      </c>
      <c r="T3075" s="5"/>
      <c r="U3075" s="5" t="s">
        <v>12674</v>
      </c>
      <c r="V3075" s="5"/>
    </row>
    <row r="3076" ht="12.75" customHeight="1">
      <c r="A3076" s="5">
        <v>36457.0</v>
      </c>
      <c r="B3076" s="5" t="s">
        <v>49</v>
      </c>
      <c r="C3076" s="52" t="s">
        <v>50</v>
      </c>
      <c r="D3076" s="5" t="s">
        <v>2852</v>
      </c>
      <c r="E3076" s="7" t="s">
        <v>12668</v>
      </c>
      <c r="F3076" s="5" t="s">
        <v>12574</v>
      </c>
      <c r="G3076" s="5" t="s">
        <v>12637</v>
      </c>
      <c r="H3076" s="5">
        <v>2000.0</v>
      </c>
      <c r="I3076" s="5">
        <v>0.0</v>
      </c>
      <c r="J3076" s="5">
        <v>0.0</v>
      </c>
      <c r="K3076" s="5">
        <v>1.0</v>
      </c>
      <c r="L3076" s="54"/>
      <c r="M3076" s="5" t="s">
        <v>12675</v>
      </c>
      <c r="N3076" s="53" t="s">
        <v>12676</v>
      </c>
      <c r="O3076">
        <v>50.887047</v>
      </c>
      <c r="P3076">
        <v>14.828072</v>
      </c>
      <c r="Q3076" s="5" t="s">
        <v>1532</v>
      </c>
      <c r="R3076" s="10">
        <f t="shared" si="10"/>
        <v>1</v>
      </c>
      <c r="S3076" s="5" t="s">
        <v>12677</v>
      </c>
      <c r="T3076" s="5"/>
      <c r="U3076" s="5" t="s">
        <v>12227</v>
      </c>
      <c r="V3076" s="5"/>
    </row>
    <row r="3077" ht="12.75" customHeight="1">
      <c r="A3077" s="5">
        <v>36238.0</v>
      </c>
      <c r="B3077" s="5" t="s">
        <v>49</v>
      </c>
      <c r="C3077" s="52" t="s">
        <v>50</v>
      </c>
      <c r="D3077" s="5" t="s">
        <v>2852</v>
      </c>
      <c r="E3077" s="7" t="s">
        <v>12678</v>
      </c>
      <c r="F3077" s="5" t="s">
        <v>12679</v>
      </c>
      <c r="G3077" s="5" t="s">
        <v>12680</v>
      </c>
      <c r="H3077" s="5">
        <v>2000.0</v>
      </c>
      <c r="I3077" s="5">
        <v>0.0</v>
      </c>
      <c r="J3077" s="5">
        <v>0.0</v>
      </c>
      <c r="K3077" s="5">
        <v>25.0</v>
      </c>
      <c r="L3077" s="54"/>
      <c r="M3077" s="5" t="s">
        <v>12681</v>
      </c>
      <c r="N3077" s="53" t="s">
        <v>12682</v>
      </c>
      <c r="O3077">
        <v>36.88414</v>
      </c>
      <c r="P3077">
        <v>30.70563</v>
      </c>
      <c r="Q3077" s="5" t="s">
        <v>874</v>
      </c>
      <c r="R3077" s="10">
        <f t="shared" si="10"/>
        <v>31</v>
      </c>
      <c r="S3077" s="5" t="s">
        <v>12683</v>
      </c>
      <c r="T3077" s="6" t="s">
        <v>53</v>
      </c>
      <c r="U3077" s="5" t="s">
        <v>12684</v>
      </c>
      <c r="V3077" s="5" t="s">
        <v>12685</v>
      </c>
    </row>
    <row r="3078" ht="12.75" customHeight="1">
      <c r="A3078" s="5">
        <v>36236.0</v>
      </c>
      <c r="B3078" s="5" t="s">
        <v>49</v>
      </c>
      <c r="C3078" s="52" t="s">
        <v>50</v>
      </c>
      <c r="D3078" s="5" t="s">
        <v>2852</v>
      </c>
      <c r="E3078" s="7" t="s">
        <v>12678</v>
      </c>
      <c r="F3078" s="5" t="s">
        <v>12679</v>
      </c>
      <c r="G3078" s="5" t="s">
        <v>12680</v>
      </c>
      <c r="H3078" s="5">
        <v>2000.0</v>
      </c>
      <c r="I3078" s="5">
        <v>0.0</v>
      </c>
      <c r="J3078" s="5">
        <v>0.0</v>
      </c>
      <c r="K3078" s="5">
        <v>6.0</v>
      </c>
      <c r="L3078" s="54"/>
      <c r="M3078" s="5" t="s">
        <v>12686</v>
      </c>
      <c r="N3078" s="53" t="s">
        <v>12682</v>
      </c>
      <c r="O3078">
        <v>36.88414</v>
      </c>
      <c r="P3078">
        <v>30.70563</v>
      </c>
      <c r="Q3078" s="5" t="s">
        <v>874</v>
      </c>
      <c r="R3078" s="10">
        <f t="shared" si="10"/>
        <v>31</v>
      </c>
      <c r="S3078" s="5" t="s">
        <v>12683</v>
      </c>
      <c r="T3078" s="6" t="s">
        <v>53</v>
      </c>
      <c r="U3078" s="5" t="s">
        <v>12687</v>
      </c>
      <c r="V3078" s="5"/>
    </row>
    <row r="3079" ht="12.75" customHeight="1">
      <c r="A3079" s="5">
        <v>36235.0</v>
      </c>
      <c r="B3079" s="5" t="s">
        <v>49</v>
      </c>
      <c r="C3079" s="52" t="s">
        <v>50</v>
      </c>
      <c r="D3079" s="5" t="s">
        <v>2852</v>
      </c>
      <c r="E3079" s="7" t="s">
        <v>12678</v>
      </c>
      <c r="F3079" s="5" t="s">
        <v>12679</v>
      </c>
      <c r="G3079" s="5" t="s">
        <v>12680</v>
      </c>
      <c r="H3079" s="5">
        <v>2000.0</v>
      </c>
      <c r="I3079" s="5">
        <v>0.0</v>
      </c>
      <c r="J3079" s="5">
        <v>0.0</v>
      </c>
      <c r="K3079" s="5">
        <v>5.0</v>
      </c>
      <c r="L3079" s="54"/>
      <c r="M3079" s="5" t="s">
        <v>12688</v>
      </c>
      <c r="N3079" s="53" t="s">
        <v>9311</v>
      </c>
      <c r="O3079">
        <v>39.16408</v>
      </c>
      <c r="P3079">
        <v>26.372171</v>
      </c>
      <c r="Q3079" s="5" t="s">
        <v>1068</v>
      </c>
      <c r="R3079" s="10">
        <f t="shared" si="10"/>
        <v>101</v>
      </c>
      <c r="S3079" s="5" t="s">
        <v>12689</v>
      </c>
      <c r="T3079" s="6" t="s">
        <v>53</v>
      </c>
      <c r="U3079" s="5" t="s">
        <v>12690</v>
      </c>
      <c r="V3079" s="5"/>
    </row>
    <row r="3080" ht="12.75" customHeight="1">
      <c r="A3080" s="5">
        <v>36234.0</v>
      </c>
      <c r="B3080" s="5" t="s">
        <v>49</v>
      </c>
      <c r="C3080" s="52" t="s">
        <v>50</v>
      </c>
      <c r="D3080" s="5" t="s">
        <v>2852</v>
      </c>
      <c r="E3080" s="7" t="s">
        <v>12678</v>
      </c>
      <c r="F3080" s="5" t="s">
        <v>12679</v>
      </c>
      <c r="G3080" s="5" t="s">
        <v>12680</v>
      </c>
      <c r="H3080" s="5">
        <v>2000.0</v>
      </c>
      <c r="I3080" s="5">
        <v>0.0</v>
      </c>
      <c r="J3080" s="5">
        <v>0.0</v>
      </c>
      <c r="K3080" s="5">
        <v>1.0</v>
      </c>
      <c r="L3080" s="54"/>
      <c r="M3080" s="5" t="s">
        <v>12691</v>
      </c>
      <c r="N3080" s="53" t="s">
        <v>9311</v>
      </c>
      <c r="O3080">
        <v>39.16408</v>
      </c>
      <c r="P3080">
        <v>26.372171</v>
      </c>
      <c r="Q3080" s="5" t="s">
        <v>1068</v>
      </c>
      <c r="R3080" s="10">
        <f t="shared" si="10"/>
        <v>101</v>
      </c>
      <c r="S3080" s="5" t="s">
        <v>12689</v>
      </c>
      <c r="T3080" s="6" t="s">
        <v>53</v>
      </c>
      <c r="U3080" s="5" t="s">
        <v>12690</v>
      </c>
      <c r="V3080" s="5"/>
    </row>
    <row r="3081" ht="12.75" customHeight="1">
      <c r="A3081" s="5">
        <v>36237.0</v>
      </c>
      <c r="B3081" s="5" t="s">
        <v>1076</v>
      </c>
      <c r="C3081" s="52" t="s">
        <v>50</v>
      </c>
      <c r="D3081" s="5" t="s">
        <v>2852</v>
      </c>
      <c r="E3081" s="7" t="s">
        <v>12678</v>
      </c>
      <c r="F3081" s="5" t="s">
        <v>12679</v>
      </c>
      <c r="G3081" s="5" t="s">
        <v>12680</v>
      </c>
      <c r="H3081" s="5">
        <v>2000.0</v>
      </c>
      <c r="I3081" s="5">
        <v>0.0</v>
      </c>
      <c r="J3081" s="5">
        <v>0.0</v>
      </c>
      <c r="K3081" s="5">
        <v>2.0</v>
      </c>
      <c r="L3081" s="54"/>
      <c r="M3081" s="5" t="s">
        <v>12692</v>
      </c>
      <c r="N3081" s="53" t="s">
        <v>3846</v>
      </c>
      <c r="O3081">
        <v>40.632728</v>
      </c>
      <c r="P3081">
        <v>17.941762</v>
      </c>
      <c r="Q3081" s="5" t="s">
        <v>1151</v>
      </c>
      <c r="R3081" s="10">
        <f t="shared" si="10"/>
        <v>72</v>
      </c>
      <c r="S3081" s="5" t="s">
        <v>12693</v>
      </c>
      <c r="T3081" s="6" t="s">
        <v>1963</v>
      </c>
      <c r="U3081" s="5" t="s">
        <v>3219</v>
      </c>
      <c r="V3081" s="5"/>
    </row>
    <row r="3082" ht="12.75" customHeight="1">
      <c r="A3082" s="5">
        <v>36239.0</v>
      </c>
      <c r="B3082" s="5" t="s">
        <v>2962</v>
      </c>
      <c r="C3082" s="5" t="s">
        <v>211</v>
      </c>
      <c r="D3082" s="5" t="s">
        <v>2852</v>
      </c>
      <c r="E3082" s="7" t="s">
        <v>12678</v>
      </c>
      <c r="F3082" s="5" t="s">
        <v>12679</v>
      </c>
      <c r="G3082" s="5" t="s">
        <v>12680</v>
      </c>
      <c r="H3082" s="5">
        <v>2000.0</v>
      </c>
      <c r="I3082" s="5">
        <v>0.0</v>
      </c>
      <c r="J3082" s="5">
        <v>0.0</v>
      </c>
      <c r="K3082" s="5">
        <v>1.0</v>
      </c>
      <c r="L3082" s="54"/>
      <c r="M3082" s="5" t="s">
        <v>12694</v>
      </c>
      <c r="N3082" s="53" t="s">
        <v>12695</v>
      </c>
      <c r="O3082">
        <v>47.707766</v>
      </c>
      <c r="P3082">
        <v>8.641442</v>
      </c>
      <c r="Q3082" s="5" t="s">
        <v>1395</v>
      </c>
      <c r="R3082" s="10">
        <f t="shared" si="10"/>
        <v>1</v>
      </c>
      <c r="S3082" s="5" t="s">
        <v>12696</v>
      </c>
      <c r="T3082" s="5"/>
      <c r="U3082" s="5" t="s">
        <v>11241</v>
      </c>
      <c r="V3082" s="5"/>
    </row>
    <row r="3083" ht="12.75" customHeight="1">
      <c r="A3083" s="5">
        <v>36240.0</v>
      </c>
      <c r="B3083" s="5" t="s">
        <v>3993</v>
      </c>
      <c r="C3083" s="5" t="s">
        <v>211</v>
      </c>
      <c r="D3083" s="5" t="s">
        <v>2852</v>
      </c>
      <c r="E3083" s="7" t="s">
        <v>12678</v>
      </c>
      <c r="F3083" s="5" t="s">
        <v>12679</v>
      </c>
      <c r="G3083" s="5" t="s">
        <v>12680</v>
      </c>
      <c r="H3083" s="5">
        <v>2000.0</v>
      </c>
      <c r="I3083" s="5">
        <v>0.0</v>
      </c>
      <c r="J3083" s="5">
        <v>0.0</v>
      </c>
      <c r="K3083" s="5">
        <v>1.0</v>
      </c>
      <c r="L3083" s="54"/>
      <c r="M3083" s="5" t="s">
        <v>12697</v>
      </c>
      <c r="N3083" s="53" t="s">
        <v>12698</v>
      </c>
      <c r="O3083">
        <v>51.687568</v>
      </c>
      <c r="P3083">
        <v>5.298033</v>
      </c>
      <c r="Q3083" s="5" t="s">
        <v>1678</v>
      </c>
      <c r="R3083" s="10">
        <f t="shared" si="10"/>
        <v>1</v>
      </c>
      <c r="S3083" s="5" t="s">
        <v>12699</v>
      </c>
      <c r="T3083" s="5"/>
      <c r="U3083" s="5" t="s">
        <v>11781</v>
      </c>
      <c r="V3083" s="5"/>
    </row>
    <row r="3084" ht="12.75" customHeight="1">
      <c r="A3084" s="5">
        <v>36241.0</v>
      </c>
      <c r="B3084" s="5" t="s">
        <v>636</v>
      </c>
      <c r="C3084" s="52" t="s">
        <v>50</v>
      </c>
      <c r="D3084" s="5" t="s">
        <v>2852</v>
      </c>
      <c r="E3084" s="7" t="s">
        <v>12700</v>
      </c>
      <c r="F3084" s="5" t="s">
        <v>12679</v>
      </c>
      <c r="G3084" s="5" t="s">
        <v>12680</v>
      </c>
      <c r="H3084" s="5">
        <v>2000.0</v>
      </c>
      <c r="I3084" s="5">
        <v>0.0</v>
      </c>
      <c r="J3084" s="5">
        <v>0.0</v>
      </c>
      <c r="K3084" s="5">
        <v>1.0</v>
      </c>
      <c r="L3084" s="54"/>
      <c r="M3084" s="5" t="s">
        <v>12701</v>
      </c>
      <c r="N3084" s="53" t="s">
        <v>8124</v>
      </c>
      <c r="O3084">
        <v>42.733883</v>
      </c>
      <c r="P3084">
        <v>25.48583</v>
      </c>
      <c r="Q3084" s="5" t="s">
        <v>1261</v>
      </c>
      <c r="R3084" s="10">
        <f t="shared" si="10"/>
        <v>13</v>
      </c>
      <c r="S3084" s="5" t="s">
        <v>12702</v>
      </c>
      <c r="T3084" s="6" t="s">
        <v>53</v>
      </c>
      <c r="U3084" s="5" t="s">
        <v>3128</v>
      </c>
      <c r="V3084" s="5" t="s">
        <v>8704</v>
      </c>
    </row>
    <row r="3085" ht="12.75" customHeight="1">
      <c r="A3085" s="5">
        <v>36243.0</v>
      </c>
      <c r="B3085" s="5" t="s">
        <v>636</v>
      </c>
      <c r="C3085" s="52" t="s">
        <v>50</v>
      </c>
      <c r="D3085" s="5" t="s">
        <v>2852</v>
      </c>
      <c r="E3085" s="7" t="s">
        <v>12703</v>
      </c>
      <c r="F3085" s="5" t="s">
        <v>12679</v>
      </c>
      <c r="G3085" s="5" t="s">
        <v>12680</v>
      </c>
      <c r="H3085" s="5">
        <v>2000.0</v>
      </c>
      <c r="I3085" s="5">
        <v>0.0</v>
      </c>
      <c r="J3085" s="5">
        <v>0.0</v>
      </c>
      <c r="K3085" s="5">
        <v>1.0</v>
      </c>
      <c r="L3085" s="54"/>
      <c r="M3085" s="5" t="s">
        <v>12704</v>
      </c>
      <c r="N3085" s="53" t="s">
        <v>2638</v>
      </c>
      <c r="O3085">
        <v>35.888384</v>
      </c>
      <c r="P3085">
        <v>-5.324636</v>
      </c>
      <c r="Q3085" s="5" t="s">
        <v>717</v>
      </c>
      <c r="R3085" s="10">
        <f t="shared" si="10"/>
        <v>213</v>
      </c>
      <c r="S3085" s="5" t="s">
        <v>12705</v>
      </c>
      <c r="T3085" s="6" t="s">
        <v>72</v>
      </c>
      <c r="U3085" s="5" t="s">
        <v>12658</v>
      </c>
      <c r="V3085" s="5" t="s">
        <v>12659</v>
      </c>
    </row>
    <row r="3086" ht="12.75" customHeight="1">
      <c r="A3086" s="5">
        <v>36242.0</v>
      </c>
      <c r="B3086" s="5" t="s">
        <v>68</v>
      </c>
      <c r="C3086" s="5" t="s">
        <v>69</v>
      </c>
      <c r="D3086" s="5" t="s">
        <v>2614</v>
      </c>
      <c r="E3086" s="7" t="s">
        <v>12703</v>
      </c>
      <c r="F3086" s="5" t="s">
        <v>12679</v>
      </c>
      <c r="G3086" s="5" t="s">
        <v>12680</v>
      </c>
      <c r="H3086" s="5">
        <v>2000.0</v>
      </c>
      <c r="I3086" s="5">
        <v>0.0</v>
      </c>
      <c r="J3086" s="5">
        <v>0.0</v>
      </c>
      <c r="K3086" s="5">
        <v>1.0</v>
      </c>
      <c r="L3086" s="54"/>
      <c r="M3086" s="5" t="s">
        <v>12706</v>
      </c>
      <c r="N3086" s="53" t="s">
        <v>3846</v>
      </c>
      <c r="O3086">
        <v>40.632728</v>
      </c>
      <c r="P3086">
        <v>17.941762</v>
      </c>
      <c r="Q3086" s="5" t="s">
        <v>1151</v>
      </c>
      <c r="R3086" s="10">
        <f t="shared" si="10"/>
        <v>72</v>
      </c>
      <c r="S3086" s="5" t="s">
        <v>12707</v>
      </c>
      <c r="T3086" s="6" t="s">
        <v>1963</v>
      </c>
      <c r="U3086" s="5" t="s">
        <v>2326</v>
      </c>
      <c r="V3086" s="5" t="s">
        <v>7579</v>
      </c>
    </row>
    <row r="3087" ht="12.75" customHeight="1">
      <c r="A3087" s="5">
        <v>36244.0</v>
      </c>
      <c r="B3087" s="5" t="s">
        <v>2921</v>
      </c>
      <c r="C3087" s="5" t="s">
        <v>124</v>
      </c>
      <c r="D3087" s="5" t="s">
        <v>2852</v>
      </c>
      <c r="E3087" s="7" t="s">
        <v>12708</v>
      </c>
      <c r="F3087" s="5" t="s">
        <v>12679</v>
      </c>
      <c r="G3087" s="5" t="s">
        <v>12680</v>
      </c>
      <c r="H3087" s="5">
        <v>2000.0</v>
      </c>
      <c r="I3087" s="5">
        <v>0.0</v>
      </c>
      <c r="J3087" s="5">
        <v>0.0</v>
      </c>
      <c r="K3087" s="5">
        <v>1.0</v>
      </c>
      <c r="L3087" s="54"/>
      <c r="M3087" s="5" t="s">
        <v>12709</v>
      </c>
      <c r="N3087" s="53" t="s">
        <v>11695</v>
      </c>
      <c r="O3087">
        <v>51.155455</v>
      </c>
      <c r="P3087">
        <v>-0.165058</v>
      </c>
      <c r="Q3087" s="5" t="s">
        <v>1592</v>
      </c>
      <c r="R3087" s="10">
        <f t="shared" si="10"/>
        <v>6</v>
      </c>
      <c r="S3087" s="5" t="s">
        <v>12710</v>
      </c>
      <c r="T3087" s="5"/>
      <c r="U3087" s="5" t="s">
        <v>12711</v>
      </c>
      <c r="V3087" s="5" t="s">
        <v>11697</v>
      </c>
    </row>
    <row r="3088" ht="12.75" customHeight="1">
      <c r="A3088" s="5">
        <v>36245.0</v>
      </c>
      <c r="B3088" s="5" t="s">
        <v>2921</v>
      </c>
      <c r="C3088" s="5" t="s">
        <v>124</v>
      </c>
      <c r="D3088" s="5" t="s">
        <v>2852</v>
      </c>
      <c r="E3088" s="7" t="s">
        <v>12712</v>
      </c>
      <c r="F3088" s="5" t="s">
        <v>12679</v>
      </c>
      <c r="G3088" s="5" t="s">
        <v>12680</v>
      </c>
      <c r="H3088" s="5">
        <v>2000.0</v>
      </c>
      <c r="I3088" s="5">
        <v>0.0</v>
      </c>
      <c r="J3088" s="5">
        <v>0.0</v>
      </c>
      <c r="K3088" s="5">
        <v>1.0</v>
      </c>
      <c r="L3088" s="54"/>
      <c r="M3088" s="5" t="s">
        <v>12713</v>
      </c>
      <c r="N3088" s="53" t="s">
        <v>11695</v>
      </c>
      <c r="O3088">
        <v>51.155455</v>
      </c>
      <c r="P3088">
        <v>-0.165058</v>
      </c>
      <c r="Q3088" s="5" t="s">
        <v>1592</v>
      </c>
      <c r="R3088" s="10">
        <f t="shared" si="10"/>
        <v>6</v>
      </c>
      <c r="S3088" s="5" t="s">
        <v>12714</v>
      </c>
      <c r="T3088" s="5"/>
      <c r="U3088" s="5" t="s">
        <v>12711</v>
      </c>
      <c r="V3088" s="5" t="s">
        <v>11697</v>
      </c>
    </row>
    <row r="3089" ht="12.75" customHeight="1">
      <c r="A3089" s="5">
        <v>36246.0</v>
      </c>
      <c r="B3089" s="5" t="s">
        <v>49</v>
      </c>
      <c r="C3089" s="52" t="s">
        <v>50</v>
      </c>
      <c r="D3089" s="5" t="s">
        <v>2614</v>
      </c>
      <c r="E3089" s="7" t="s">
        <v>12715</v>
      </c>
      <c r="F3089" s="5" t="s">
        <v>12679</v>
      </c>
      <c r="G3089" s="5" t="s">
        <v>12680</v>
      </c>
      <c r="H3089" s="5">
        <v>2000.0</v>
      </c>
      <c r="I3089" s="5">
        <v>0.0</v>
      </c>
      <c r="J3089" s="5">
        <v>0.0</v>
      </c>
      <c r="K3089" s="5">
        <v>8.0</v>
      </c>
      <c r="L3089" s="54"/>
      <c r="M3089" s="5" t="s">
        <v>12716</v>
      </c>
      <c r="N3089" s="53" t="s">
        <v>2680</v>
      </c>
      <c r="O3089">
        <v>36.018776</v>
      </c>
      <c r="P3089">
        <v>-5.600819</v>
      </c>
      <c r="Q3089" s="5" t="s">
        <v>761</v>
      </c>
      <c r="R3089" s="10">
        <f t="shared" si="10"/>
        <v>492</v>
      </c>
      <c r="S3089" s="5" t="s">
        <v>12717</v>
      </c>
      <c r="T3089" s="6" t="s">
        <v>72</v>
      </c>
      <c r="U3089" s="5" t="s">
        <v>2785</v>
      </c>
      <c r="V3089" s="5" t="s">
        <v>12718</v>
      </c>
    </row>
    <row r="3090" ht="12.75" customHeight="1">
      <c r="A3090" s="5">
        <v>36252.0</v>
      </c>
      <c r="B3090" s="5" t="s">
        <v>49</v>
      </c>
      <c r="C3090" s="52" t="s">
        <v>50</v>
      </c>
      <c r="D3090" s="5" t="s">
        <v>2852</v>
      </c>
      <c r="E3090" s="7" t="s">
        <v>12719</v>
      </c>
      <c r="F3090" s="5" t="s">
        <v>12679</v>
      </c>
      <c r="G3090" s="5" t="s">
        <v>12680</v>
      </c>
      <c r="H3090" s="5">
        <v>2000.0</v>
      </c>
      <c r="I3090" s="5">
        <v>0.0</v>
      </c>
      <c r="J3090" s="5">
        <v>0.0</v>
      </c>
      <c r="K3090" s="5">
        <v>1.0</v>
      </c>
      <c r="L3090" s="54"/>
      <c r="M3090" s="5" t="s">
        <v>12720</v>
      </c>
      <c r="N3090" s="53" t="s">
        <v>2680</v>
      </c>
      <c r="O3090">
        <v>36.018776</v>
      </c>
      <c r="P3090">
        <v>-5.600819</v>
      </c>
      <c r="Q3090" s="5" t="s">
        <v>761</v>
      </c>
      <c r="R3090" s="10">
        <f t="shared" si="10"/>
        <v>492</v>
      </c>
      <c r="S3090" s="5" t="s">
        <v>12721</v>
      </c>
      <c r="T3090" s="6" t="s">
        <v>72</v>
      </c>
      <c r="U3090" s="5" t="s">
        <v>6999</v>
      </c>
      <c r="V3090" s="5"/>
    </row>
    <row r="3091" ht="12.75" customHeight="1">
      <c r="A3091" s="5">
        <v>36251.0</v>
      </c>
      <c r="B3091" s="5" t="s">
        <v>49</v>
      </c>
      <c r="C3091" s="52" t="s">
        <v>50</v>
      </c>
      <c r="D3091" s="5" t="s">
        <v>2852</v>
      </c>
      <c r="E3091" s="7" t="s">
        <v>12719</v>
      </c>
      <c r="F3091" s="5" t="s">
        <v>12679</v>
      </c>
      <c r="G3091" s="5" t="s">
        <v>12680</v>
      </c>
      <c r="H3091" s="5">
        <v>2000.0</v>
      </c>
      <c r="I3091" s="5">
        <v>0.0</v>
      </c>
      <c r="J3091" s="5">
        <v>0.0</v>
      </c>
      <c r="K3091" s="5">
        <v>2.0</v>
      </c>
      <c r="L3091" s="54"/>
      <c r="M3091" s="5" t="s">
        <v>12722</v>
      </c>
      <c r="N3091" s="53" t="s">
        <v>11102</v>
      </c>
      <c r="O3091">
        <v>40.143898</v>
      </c>
      <c r="P3091">
        <v>18.491168</v>
      </c>
      <c r="Q3091" s="5" t="s">
        <v>1121</v>
      </c>
      <c r="R3091" s="10">
        <f t="shared" si="10"/>
        <v>48</v>
      </c>
      <c r="S3091" s="5" t="s">
        <v>12723</v>
      </c>
      <c r="T3091" s="6" t="s">
        <v>1963</v>
      </c>
      <c r="U3091" s="5" t="s">
        <v>11764</v>
      </c>
      <c r="V3091" s="5"/>
    </row>
    <row r="3092" ht="12.75" customHeight="1">
      <c r="A3092" s="5">
        <v>36250.0</v>
      </c>
      <c r="B3092" s="5" t="s">
        <v>49</v>
      </c>
      <c r="C3092" s="52" t="s">
        <v>50</v>
      </c>
      <c r="D3092" s="5" t="s">
        <v>2852</v>
      </c>
      <c r="E3092" s="7" t="s">
        <v>12719</v>
      </c>
      <c r="F3092" s="5" t="s">
        <v>12679</v>
      </c>
      <c r="G3092" s="5" t="s">
        <v>12680</v>
      </c>
      <c r="H3092" s="5">
        <v>2000.0</v>
      </c>
      <c r="I3092" s="5">
        <v>0.0</v>
      </c>
      <c r="J3092" s="5">
        <v>0.0</v>
      </c>
      <c r="K3092" s="5">
        <v>1.0</v>
      </c>
      <c r="L3092" s="54"/>
      <c r="M3092" s="5" t="s">
        <v>12724</v>
      </c>
      <c r="N3092" s="53" t="s">
        <v>11102</v>
      </c>
      <c r="O3092">
        <v>40.143898</v>
      </c>
      <c r="P3092">
        <v>18.491168</v>
      </c>
      <c r="Q3092" s="5" t="s">
        <v>1121</v>
      </c>
      <c r="R3092" s="10">
        <f t="shared" si="10"/>
        <v>48</v>
      </c>
      <c r="S3092" s="5" t="s">
        <v>12723</v>
      </c>
      <c r="T3092" s="6" t="s">
        <v>1963</v>
      </c>
      <c r="U3092" s="5" t="s">
        <v>11764</v>
      </c>
      <c r="V3092" s="5"/>
    </row>
    <row r="3093" ht="12.75" customHeight="1">
      <c r="A3093" s="5">
        <v>36247.0</v>
      </c>
      <c r="B3093" s="5" t="s">
        <v>68</v>
      </c>
      <c r="C3093" s="5" t="s">
        <v>69</v>
      </c>
      <c r="D3093" s="5" t="s">
        <v>2614</v>
      </c>
      <c r="E3093" s="7" t="s">
        <v>12719</v>
      </c>
      <c r="F3093" s="5" t="s">
        <v>12679</v>
      </c>
      <c r="G3093" s="5" t="s">
        <v>12680</v>
      </c>
      <c r="H3093" s="5">
        <v>2000.0</v>
      </c>
      <c r="I3093" s="5">
        <v>0.0</v>
      </c>
      <c r="J3093" s="5">
        <v>0.0</v>
      </c>
      <c r="K3093" s="5">
        <v>3.0</v>
      </c>
      <c r="L3093" s="54"/>
      <c r="M3093" s="5" t="s">
        <v>12725</v>
      </c>
      <c r="N3093" s="53" t="s">
        <v>11102</v>
      </c>
      <c r="O3093">
        <v>40.143898</v>
      </c>
      <c r="P3093">
        <v>18.491168</v>
      </c>
      <c r="Q3093" s="5" t="s">
        <v>1121</v>
      </c>
      <c r="R3093" s="10">
        <f t="shared" si="10"/>
        <v>48</v>
      </c>
      <c r="S3093" s="5" t="s">
        <v>12723</v>
      </c>
      <c r="T3093" s="6" t="s">
        <v>1963</v>
      </c>
      <c r="U3093" s="5" t="s">
        <v>2326</v>
      </c>
      <c r="V3093" s="5" t="s">
        <v>7579</v>
      </c>
    </row>
    <row r="3094" ht="12.75" customHeight="1">
      <c r="A3094" s="5">
        <v>36248.0</v>
      </c>
      <c r="B3094" s="5" t="s">
        <v>763</v>
      </c>
      <c r="C3094" s="5" t="s">
        <v>124</v>
      </c>
      <c r="D3094" s="5" t="s">
        <v>2852</v>
      </c>
      <c r="E3094" s="7" t="s">
        <v>12719</v>
      </c>
      <c r="F3094" s="5" t="s">
        <v>12679</v>
      </c>
      <c r="G3094" s="5" t="s">
        <v>12680</v>
      </c>
      <c r="H3094" s="5">
        <v>2000.0</v>
      </c>
      <c r="I3094" s="5">
        <v>0.0</v>
      </c>
      <c r="J3094" s="5">
        <v>0.0</v>
      </c>
      <c r="K3094" s="5">
        <v>2.0</v>
      </c>
      <c r="L3094" s="54"/>
      <c r="M3094" s="5" t="s">
        <v>12726</v>
      </c>
      <c r="N3094" s="53" t="s">
        <v>6595</v>
      </c>
      <c r="O3094">
        <v>40.63935</v>
      </c>
      <c r="P3094">
        <v>22.944606</v>
      </c>
      <c r="Q3094" s="5" t="s">
        <v>1157</v>
      </c>
      <c r="R3094" s="10">
        <f t="shared" si="10"/>
        <v>12</v>
      </c>
      <c r="S3094" s="5" t="s">
        <v>12727</v>
      </c>
      <c r="T3094" s="6" t="s">
        <v>53</v>
      </c>
      <c r="U3094" s="5" t="s">
        <v>3128</v>
      </c>
      <c r="V3094" s="5" t="s">
        <v>7579</v>
      </c>
    </row>
    <row r="3095" ht="12.75" customHeight="1">
      <c r="A3095" s="5">
        <v>36249.0</v>
      </c>
      <c r="B3095" s="5" t="s">
        <v>49</v>
      </c>
      <c r="C3095" s="52" t="s">
        <v>50</v>
      </c>
      <c r="D3095" s="5" t="s">
        <v>2852</v>
      </c>
      <c r="E3095" s="7" t="s">
        <v>12719</v>
      </c>
      <c r="F3095" s="5" t="s">
        <v>12679</v>
      </c>
      <c r="G3095" s="5" t="s">
        <v>12680</v>
      </c>
      <c r="H3095" s="5">
        <v>2000.0</v>
      </c>
      <c r="I3095" s="5">
        <v>0.0</v>
      </c>
      <c r="J3095" s="5">
        <v>0.0</v>
      </c>
      <c r="K3095" s="5">
        <v>1.0</v>
      </c>
      <c r="L3095" s="54"/>
      <c r="M3095" s="5" t="s">
        <v>12728</v>
      </c>
      <c r="N3095" s="53" t="s">
        <v>12656</v>
      </c>
      <c r="O3095">
        <v>44.494887</v>
      </c>
      <c r="P3095">
        <v>11.342616</v>
      </c>
      <c r="Q3095" s="5" t="s">
        <v>1295</v>
      </c>
      <c r="R3095" s="10">
        <f t="shared" si="10"/>
        <v>6</v>
      </c>
      <c r="S3095" s="5" t="s">
        <v>12729</v>
      </c>
      <c r="T3095" s="6" t="s">
        <v>72</v>
      </c>
      <c r="U3095" s="5" t="s">
        <v>3128</v>
      </c>
      <c r="V3095" s="5"/>
    </row>
    <row r="3096" ht="12.75" customHeight="1">
      <c r="A3096" s="5">
        <v>36253.0</v>
      </c>
      <c r="B3096" s="5" t="s">
        <v>2962</v>
      </c>
      <c r="C3096" s="5" t="s">
        <v>211</v>
      </c>
      <c r="D3096" s="5" t="s">
        <v>2852</v>
      </c>
      <c r="E3096" s="7" t="s">
        <v>12719</v>
      </c>
      <c r="F3096" s="5" t="s">
        <v>12679</v>
      </c>
      <c r="G3096" s="5" t="s">
        <v>12680</v>
      </c>
      <c r="H3096" s="5">
        <v>2000.0</v>
      </c>
      <c r="I3096" s="5">
        <v>0.0</v>
      </c>
      <c r="J3096" s="5">
        <v>0.0</v>
      </c>
      <c r="K3096" s="5">
        <v>1.0</v>
      </c>
      <c r="L3096" s="54"/>
      <c r="M3096" s="5" t="s">
        <v>12730</v>
      </c>
      <c r="N3096" s="53" t="s">
        <v>11580</v>
      </c>
      <c r="O3096">
        <v>53.835187</v>
      </c>
      <c r="P3096">
        <v>-2.219377</v>
      </c>
      <c r="Q3096" s="5" t="s">
        <v>1866</v>
      </c>
      <c r="R3096" s="10">
        <f t="shared" si="10"/>
        <v>3</v>
      </c>
      <c r="S3096" s="5" t="s">
        <v>12731</v>
      </c>
      <c r="T3096" s="5"/>
      <c r="U3096" s="5" t="s">
        <v>12732</v>
      </c>
      <c r="V3096" s="5"/>
    </row>
    <row r="3097" ht="12.75" customHeight="1">
      <c r="A3097" s="5">
        <v>36254.0</v>
      </c>
      <c r="B3097" s="5" t="s">
        <v>41</v>
      </c>
      <c r="C3097" s="5" t="s">
        <v>42</v>
      </c>
      <c r="D3097" s="5" t="s">
        <v>2614</v>
      </c>
      <c r="E3097" s="7" t="s">
        <v>12733</v>
      </c>
      <c r="F3097" s="5" t="s">
        <v>12679</v>
      </c>
      <c r="G3097" s="5" t="s">
        <v>12680</v>
      </c>
      <c r="H3097" s="5">
        <v>2000.0</v>
      </c>
      <c r="I3097" s="5">
        <v>0.0</v>
      </c>
      <c r="J3097" s="5">
        <v>0.0</v>
      </c>
      <c r="K3097" s="5">
        <v>1.0</v>
      </c>
      <c r="L3097" s="54"/>
      <c r="M3097" s="5" t="s">
        <v>12734</v>
      </c>
      <c r="N3097" s="53" t="s">
        <v>12735</v>
      </c>
      <c r="O3097">
        <v>45.1</v>
      </c>
      <c r="P3097">
        <v>15.2</v>
      </c>
      <c r="Q3097" s="5" t="s">
        <v>1308</v>
      </c>
      <c r="R3097" s="10">
        <f t="shared" si="10"/>
        <v>9</v>
      </c>
      <c r="S3097" s="5" t="s">
        <v>12736</v>
      </c>
      <c r="T3097" s="6" t="s">
        <v>65</v>
      </c>
      <c r="U3097" s="5" t="s">
        <v>2326</v>
      </c>
      <c r="V3097" s="5" t="s">
        <v>7579</v>
      </c>
    </row>
    <row r="3098" ht="12.75" customHeight="1">
      <c r="A3098" s="5">
        <v>36255.0</v>
      </c>
      <c r="B3098" s="5" t="s">
        <v>2962</v>
      </c>
      <c r="C3098" s="5" t="s">
        <v>211</v>
      </c>
      <c r="D3098" s="5" t="s">
        <v>2852</v>
      </c>
      <c r="E3098" s="7" t="s">
        <v>12733</v>
      </c>
      <c r="F3098" s="5" t="s">
        <v>12679</v>
      </c>
      <c r="G3098" s="5" t="s">
        <v>12680</v>
      </c>
      <c r="H3098" s="5">
        <v>2000.0</v>
      </c>
      <c r="I3098" s="5">
        <v>0.0</v>
      </c>
      <c r="J3098" s="5">
        <v>0.0</v>
      </c>
      <c r="K3098" s="5">
        <v>1.0</v>
      </c>
      <c r="L3098" s="54"/>
      <c r="M3098" s="5" t="s">
        <v>12737</v>
      </c>
      <c r="N3098" s="53" t="s">
        <v>3810</v>
      </c>
      <c r="O3098">
        <v>55.57156</v>
      </c>
      <c r="P3098">
        <v>-4.410332</v>
      </c>
      <c r="Q3098" s="5" t="s">
        <v>1888</v>
      </c>
      <c r="R3098" s="10">
        <f t="shared" si="10"/>
        <v>11</v>
      </c>
      <c r="S3098" s="5" t="s">
        <v>12738</v>
      </c>
      <c r="T3098" s="5"/>
      <c r="U3098" s="5" t="s">
        <v>12739</v>
      </c>
      <c r="V3098" s="5"/>
    </row>
    <row r="3099" ht="12.75" customHeight="1">
      <c r="A3099" s="5">
        <v>36256.0</v>
      </c>
      <c r="B3099" s="5" t="s">
        <v>1857</v>
      </c>
      <c r="C3099" s="52" t="s">
        <v>50</v>
      </c>
      <c r="D3099" s="5" t="s">
        <v>2852</v>
      </c>
      <c r="E3099" s="7" t="s">
        <v>12740</v>
      </c>
      <c r="F3099" s="5" t="s">
        <v>12679</v>
      </c>
      <c r="G3099" s="5" t="s">
        <v>12680</v>
      </c>
      <c r="H3099" s="5">
        <v>2000.0</v>
      </c>
      <c r="I3099" s="5">
        <v>0.0</v>
      </c>
      <c r="J3099" s="5">
        <v>0.0</v>
      </c>
      <c r="K3099" s="5">
        <v>1.0</v>
      </c>
      <c r="L3099" s="54"/>
      <c r="M3099" s="5" t="s">
        <v>12741</v>
      </c>
      <c r="N3099" s="53" t="s">
        <v>12742</v>
      </c>
      <c r="O3099">
        <v>47.433177</v>
      </c>
      <c r="P3099">
        <v>19.26214</v>
      </c>
      <c r="Q3099" s="5" t="s">
        <v>1380</v>
      </c>
      <c r="R3099" s="10">
        <f t="shared" si="10"/>
        <v>1</v>
      </c>
      <c r="S3099" s="5" t="s">
        <v>12743</v>
      </c>
      <c r="T3099" s="5"/>
      <c r="U3099" s="5" t="s">
        <v>12744</v>
      </c>
      <c r="V3099" s="5"/>
    </row>
    <row r="3100" ht="12.75" customHeight="1">
      <c r="A3100" s="5">
        <v>36257.0</v>
      </c>
      <c r="B3100" s="5" t="s">
        <v>49</v>
      </c>
      <c r="C3100" s="52" t="s">
        <v>50</v>
      </c>
      <c r="D3100" s="5" t="s">
        <v>2852</v>
      </c>
      <c r="E3100" s="7" t="s">
        <v>12745</v>
      </c>
      <c r="F3100" s="5" t="s">
        <v>12679</v>
      </c>
      <c r="G3100" s="5" t="s">
        <v>12680</v>
      </c>
      <c r="H3100" s="5">
        <v>2000.0</v>
      </c>
      <c r="I3100" s="5">
        <v>0.0</v>
      </c>
      <c r="J3100" s="5">
        <v>0.0</v>
      </c>
      <c r="K3100" s="5">
        <v>2.0</v>
      </c>
      <c r="L3100" s="54"/>
      <c r="M3100" s="5" t="s">
        <v>12746</v>
      </c>
      <c r="N3100" s="53" t="s">
        <v>2680</v>
      </c>
      <c r="O3100">
        <v>36.018776</v>
      </c>
      <c r="P3100">
        <v>-5.600819</v>
      </c>
      <c r="Q3100" s="5" t="s">
        <v>761</v>
      </c>
      <c r="R3100" s="10">
        <f t="shared" si="10"/>
        <v>492</v>
      </c>
      <c r="S3100" s="5" t="s">
        <v>12747</v>
      </c>
      <c r="T3100" s="6" t="s">
        <v>72</v>
      </c>
      <c r="U3100" s="5" t="s">
        <v>12748</v>
      </c>
      <c r="V3100" s="5" t="s">
        <v>12749</v>
      </c>
    </row>
    <row r="3101" ht="12.75" customHeight="1">
      <c r="A3101" s="5">
        <v>36258.0</v>
      </c>
      <c r="B3101" s="5" t="s">
        <v>49</v>
      </c>
      <c r="C3101" s="52" t="s">
        <v>50</v>
      </c>
      <c r="D3101" s="5" t="s">
        <v>2852</v>
      </c>
      <c r="E3101" s="7" t="s">
        <v>12750</v>
      </c>
      <c r="F3101" s="5" t="s">
        <v>12679</v>
      </c>
      <c r="G3101" s="5" t="s">
        <v>12680</v>
      </c>
      <c r="H3101" s="5">
        <v>2000.0</v>
      </c>
      <c r="I3101" s="5">
        <v>0.0</v>
      </c>
      <c r="J3101" s="5">
        <v>0.0</v>
      </c>
      <c r="K3101" s="5">
        <v>1.0</v>
      </c>
      <c r="L3101" s="54"/>
      <c r="M3101" s="5" t="s">
        <v>12751</v>
      </c>
      <c r="N3101" s="53" t="s">
        <v>2638</v>
      </c>
      <c r="O3101">
        <v>35.888384</v>
      </c>
      <c r="P3101">
        <v>-5.324636</v>
      </c>
      <c r="Q3101" s="5" t="s">
        <v>717</v>
      </c>
      <c r="R3101" s="10">
        <f t="shared" si="10"/>
        <v>213</v>
      </c>
      <c r="S3101" s="5" t="s">
        <v>12752</v>
      </c>
      <c r="T3101" s="6" t="s">
        <v>72</v>
      </c>
      <c r="U3101" s="5" t="s">
        <v>12753</v>
      </c>
      <c r="V3101" s="5" t="s">
        <v>12754</v>
      </c>
    </row>
    <row r="3102" ht="12.75" customHeight="1">
      <c r="A3102" s="5">
        <v>36260.0</v>
      </c>
      <c r="B3102" s="5" t="s">
        <v>49</v>
      </c>
      <c r="C3102" s="52" t="s">
        <v>50</v>
      </c>
      <c r="D3102" s="5" t="s">
        <v>2852</v>
      </c>
      <c r="E3102" s="7" t="s">
        <v>12750</v>
      </c>
      <c r="F3102" s="5" t="s">
        <v>12679</v>
      </c>
      <c r="G3102" s="5" t="s">
        <v>12680</v>
      </c>
      <c r="H3102" s="5">
        <v>2000.0</v>
      </c>
      <c r="I3102" s="5">
        <v>0.0</v>
      </c>
      <c r="J3102" s="5">
        <v>0.0</v>
      </c>
      <c r="K3102" s="5">
        <v>1.0</v>
      </c>
      <c r="L3102" s="54"/>
      <c r="M3102" s="5" t="s">
        <v>12755</v>
      </c>
      <c r="N3102" s="53" t="s">
        <v>2680</v>
      </c>
      <c r="O3102">
        <v>36.018776</v>
      </c>
      <c r="P3102">
        <v>-5.600819</v>
      </c>
      <c r="Q3102" s="5" t="s">
        <v>761</v>
      </c>
      <c r="R3102" s="10">
        <f t="shared" si="10"/>
        <v>492</v>
      </c>
      <c r="S3102" s="5" t="s">
        <v>12756</v>
      </c>
      <c r="T3102" s="6" t="s">
        <v>72</v>
      </c>
      <c r="U3102" s="5" t="s">
        <v>12748</v>
      </c>
      <c r="V3102" s="5"/>
    </row>
    <row r="3103" ht="12.75" customHeight="1">
      <c r="A3103" s="5">
        <v>36259.0</v>
      </c>
      <c r="B3103" s="5" t="s">
        <v>49</v>
      </c>
      <c r="C3103" s="52" t="s">
        <v>50</v>
      </c>
      <c r="D3103" s="5" t="s">
        <v>2852</v>
      </c>
      <c r="E3103" s="7" t="s">
        <v>12750</v>
      </c>
      <c r="F3103" s="5" t="s">
        <v>12679</v>
      </c>
      <c r="G3103" s="5" t="s">
        <v>12680</v>
      </c>
      <c r="H3103" s="5">
        <v>2000.0</v>
      </c>
      <c r="I3103" s="5">
        <v>0.0</v>
      </c>
      <c r="J3103" s="5">
        <v>0.0</v>
      </c>
      <c r="K3103" s="5">
        <v>1.0</v>
      </c>
      <c r="L3103" s="54"/>
      <c r="M3103" s="5" t="s">
        <v>12757</v>
      </c>
      <c r="N3103" s="53" t="s">
        <v>2680</v>
      </c>
      <c r="O3103">
        <v>36.018776</v>
      </c>
      <c r="P3103">
        <v>-5.600819</v>
      </c>
      <c r="Q3103" s="5" t="s">
        <v>761</v>
      </c>
      <c r="R3103" s="10">
        <f t="shared" si="10"/>
        <v>492</v>
      </c>
      <c r="S3103" s="5" t="s">
        <v>12756</v>
      </c>
      <c r="T3103" s="6" t="s">
        <v>72</v>
      </c>
      <c r="U3103" s="5" t="s">
        <v>11834</v>
      </c>
      <c r="V3103" s="5"/>
    </row>
    <row r="3104" ht="12.75" customHeight="1">
      <c r="A3104" s="5">
        <v>36261.0</v>
      </c>
      <c r="B3104" s="5" t="s">
        <v>49</v>
      </c>
      <c r="C3104" s="52" t="s">
        <v>50</v>
      </c>
      <c r="D3104" s="5" t="s">
        <v>2852</v>
      </c>
      <c r="E3104" s="7" t="s">
        <v>12750</v>
      </c>
      <c r="F3104" s="5" t="s">
        <v>12679</v>
      </c>
      <c r="G3104" s="5" t="s">
        <v>12680</v>
      </c>
      <c r="H3104" s="5">
        <v>2000.0</v>
      </c>
      <c r="I3104" s="5">
        <v>0.0</v>
      </c>
      <c r="J3104" s="5">
        <v>0.0</v>
      </c>
      <c r="K3104" s="5">
        <v>1.0</v>
      </c>
      <c r="L3104" s="54"/>
      <c r="M3104" s="5" t="s">
        <v>12758</v>
      </c>
      <c r="N3104" s="53" t="s">
        <v>5983</v>
      </c>
      <c r="O3104">
        <v>36.132977</v>
      </c>
      <c r="P3104">
        <v>-5.453909</v>
      </c>
      <c r="Q3104" s="5" t="s">
        <v>770</v>
      </c>
      <c r="R3104" s="10">
        <f t="shared" si="10"/>
        <v>29</v>
      </c>
      <c r="S3104" s="5" t="s">
        <v>12759</v>
      </c>
      <c r="T3104" s="6" t="s">
        <v>72</v>
      </c>
      <c r="U3104" s="5" t="s">
        <v>3128</v>
      </c>
      <c r="V3104" s="5"/>
    </row>
    <row r="3105" ht="12.75" customHeight="1">
      <c r="A3105" s="5">
        <v>36264.0</v>
      </c>
      <c r="B3105" s="5" t="s">
        <v>49</v>
      </c>
      <c r="C3105" s="52" t="s">
        <v>50</v>
      </c>
      <c r="D3105" s="5" t="s">
        <v>2852</v>
      </c>
      <c r="E3105" s="7" t="s">
        <v>12760</v>
      </c>
      <c r="F3105" s="5" t="s">
        <v>12679</v>
      </c>
      <c r="G3105" s="5" t="s">
        <v>12680</v>
      </c>
      <c r="H3105" s="5">
        <v>2000.0</v>
      </c>
      <c r="I3105" s="5">
        <v>0.0</v>
      </c>
      <c r="J3105" s="5">
        <v>0.0</v>
      </c>
      <c r="K3105" s="5">
        <v>27.0</v>
      </c>
      <c r="L3105" s="54"/>
      <c r="M3105" s="5" t="s">
        <v>12761</v>
      </c>
      <c r="N3105" s="53" t="s">
        <v>12236</v>
      </c>
      <c r="O3105">
        <v>36.834047</v>
      </c>
      <c r="P3105">
        <v>-2.463714</v>
      </c>
      <c r="Q3105" s="5" t="s">
        <v>863</v>
      </c>
      <c r="R3105" s="10">
        <f t="shared" si="10"/>
        <v>208</v>
      </c>
      <c r="S3105" s="5" t="s">
        <v>12762</v>
      </c>
      <c r="T3105" s="6" t="s">
        <v>72</v>
      </c>
      <c r="U3105" s="5" t="s">
        <v>12763</v>
      </c>
      <c r="V3105" s="5"/>
    </row>
    <row r="3106" ht="12.75" customHeight="1">
      <c r="A3106" s="5">
        <v>36265.0</v>
      </c>
      <c r="B3106" s="5" t="s">
        <v>12764</v>
      </c>
      <c r="C3106" s="5" t="s">
        <v>211</v>
      </c>
      <c r="D3106" s="5" t="s">
        <v>2852</v>
      </c>
      <c r="E3106" s="7" t="s">
        <v>12760</v>
      </c>
      <c r="F3106" s="5" t="s">
        <v>12679</v>
      </c>
      <c r="G3106" s="5" t="s">
        <v>12680</v>
      </c>
      <c r="H3106" s="5">
        <v>2000.0</v>
      </c>
      <c r="I3106" s="5">
        <v>0.0</v>
      </c>
      <c r="J3106" s="5">
        <v>0.0</v>
      </c>
      <c r="K3106" s="5">
        <v>1.0</v>
      </c>
      <c r="L3106" s="54"/>
      <c r="M3106" s="5" t="s">
        <v>12765</v>
      </c>
      <c r="N3106" s="53" t="s">
        <v>12766</v>
      </c>
      <c r="O3106">
        <v>52.218</v>
      </c>
      <c r="P3106">
        <v>13.224975</v>
      </c>
      <c r="Q3106" s="5" t="s">
        <v>1729</v>
      </c>
      <c r="R3106" s="10">
        <f t="shared" si="10"/>
        <v>1</v>
      </c>
      <c r="S3106" s="5" t="s">
        <v>12767</v>
      </c>
      <c r="T3106" s="5"/>
      <c r="U3106" s="5" t="s">
        <v>4578</v>
      </c>
      <c r="V3106" s="5"/>
    </row>
    <row r="3107" ht="12.75" customHeight="1">
      <c r="A3107" s="5">
        <v>36262.0</v>
      </c>
      <c r="B3107" s="5" t="s">
        <v>1076</v>
      </c>
      <c r="C3107" s="52" t="s">
        <v>50</v>
      </c>
      <c r="D3107" s="5" t="s">
        <v>2614</v>
      </c>
      <c r="E3107" s="7" t="s">
        <v>12760</v>
      </c>
      <c r="F3107" s="5" t="s">
        <v>12679</v>
      </c>
      <c r="G3107" s="5" t="s">
        <v>12680</v>
      </c>
      <c r="H3107" s="5">
        <v>2000.0</v>
      </c>
      <c r="I3107" s="5">
        <v>0.0</v>
      </c>
      <c r="J3107" s="5">
        <v>0.0</v>
      </c>
      <c r="K3107" s="5">
        <v>1.0</v>
      </c>
      <c r="L3107" s="54"/>
      <c r="M3107" s="5" t="s">
        <v>12768</v>
      </c>
      <c r="N3107" s="53" t="s">
        <v>3966</v>
      </c>
      <c r="O3107">
        <v>60.128161</v>
      </c>
      <c r="P3107">
        <v>18.643501</v>
      </c>
      <c r="Q3107" s="5" t="s">
        <v>1915</v>
      </c>
      <c r="R3107" s="10">
        <f t="shared" si="10"/>
        <v>5</v>
      </c>
      <c r="S3107" s="5" t="s">
        <v>12769</v>
      </c>
      <c r="T3107" s="5"/>
      <c r="U3107" s="5" t="s">
        <v>8703</v>
      </c>
      <c r="V3107" s="5" t="s">
        <v>8704</v>
      </c>
    </row>
    <row r="3108" ht="12.75" customHeight="1">
      <c r="A3108" s="5">
        <v>36263.0</v>
      </c>
      <c r="B3108" s="5" t="s">
        <v>491</v>
      </c>
      <c r="C3108" s="52" t="s">
        <v>50</v>
      </c>
      <c r="D3108" s="5" t="s">
        <v>2614</v>
      </c>
      <c r="E3108" s="7" t="s">
        <v>12760</v>
      </c>
      <c r="F3108" s="5" t="s">
        <v>12679</v>
      </c>
      <c r="G3108" s="5" t="s">
        <v>12680</v>
      </c>
      <c r="H3108" s="5">
        <v>2000.0</v>
      </c>
      <c r="I3108" s="5">
        <v>0.0</v>
      </c>
      <c r="J3108" s="5">
        <v>0.0</v>
      </c>
      <c r="K3108" s="5">
        <v>1.0</v>
      </c>
      <c r="L3108" s="54"/>
      <c r="M3108" s="5" t="s">
        <v>12770</v>
      </c>
      <c r="N3108" s="53" t="s">
        <v>12771</v>
      </c>
      <c r="O3108">
        <v>61.52401</v>
      </c>
      <c r="P3108">
        <v>105.318756</v>
      </c>
      <c r="Q3108" s="5" t="s">
        <v>1924</v>
      </c>
      <c r="R3108" s="10">
        <f t="shared" si="10"/>
        <v>1</v>
      </c>
      <c r="S3108" s="5" t="s">
        <v>12772</v>
      </c>
      <c r="T3108" s="5"/>
      <c r="U3108" s="5" t="s">
        <v>8703</v>
      </c>
      <c r="V3108" s="5" t="s">
        <v>8704</v>
      </c>
    </row>
    <row r="3109" ht="12.75" customHeight="1">
      <c r="A3109" s="5">
        <v>36266.0</v>
      </c>
      <c r="B3109" s="5" t="s">
        <v>49</v>
      </c>
      <c r="C3109" s="52" t="s">
        <v>50</v>
      </c>
      <c r="D3109" s="5" t="s">
        <v>2852</v>
      </c>
      <c r="E3109" s="7" t="s">
        <v>12773</v>
      </c>
      <c r="F3109" s="5" t="s">
        <v>12679</v>
      </c>
      <c r="G3109" s="5" t="s">
        <v>12680</v>
      </c>
      <c r="H3109" s="5">
        <v>2000.0</v>
      </c>
      <c r="I3109" s="5">
        <v>0.0</v>
      </c>
      <c r="J3109" s="5">
        <v>0.0</v>
      </c>
      <c r="K3109" s="5">
        <v>1.0</v>
      </c>
      <c r="L3109" s="54"/>
      <c r="M3109" s="5" t="s">
        <v>12774</v>
      </c>
      <c r="N3109" s="53" t="s">
        <v>2638</v>
      </c>
      <c r="O3109">
        <v>35.888384</v>
      </c>
      <c r="P3109">
        <v>-5.324636</v>
      </c>
      <c r="Q3109" s="5" t="s">
        <v>717</v>
      </c>
      <c r="R3109" s="10">
        <f t="shared" si="10"/>
        <v>213</v>
      </c>
      <c r="S3109" s="5" t="s">
        <v>12775</v>
      </c>
      <c r="T3109" s="6" t="s">
        <v>72</v>
      </c>
      <c r="U3109" s="5" t="s">
        <v>3128</v>
      </c>
      <c r="V3109" s="5"/>
    </row>
    <row r="3110" ht="12.75" customHeight="1">
      <c r="A3110" s="5">
        <v>36267.0</v>
      </c>
      <c r="B3110" s="5" t="s">
        <v>49</v>
      </c>
      <c r="C3110" s="52" t="s">
        <v>50</v>
      </c>
      <c r="D3110" s="5" t="s">
        <v>2852</v>
      </c>
      <c r="E3110" s="7" t="s">
        <v>12773</v>
      </c>
      <c r="F3110" s="5" t="s">
        <v>12679</v>
      </c>
      <c r="G3110" s="5" t="s">
        <v>12680</v>
      </c>
      <c r="H3110" s="5">
        <v>2000.0</v>
      </c>
      <c r="I3110" s="5">
        <v>0.0</v>
      </c>
      <c r="J3110" s="5">
        <v>0.0</v>
      </c>
      <c r="K3110" s="5">
        <v>2.0</v>
      </c>
      <c r="L3110" s="54"/>
      <c r="M3110" s="5" t="s">
        <v>12776</v>
      </c>
      <c r="N3110" s="53" t="s">
        <v>2680</v>
      </c>
      <c r="O3110">
        <v>36.018776</v>
      </c>
      <c r="P3110">
        <v>-5.600819</v>
      </c>
      <c r="Q3110" s="5" t="s">
        <v>761</v>
      </c>
      <c r="R3110" s="10">
        <f t="shared" si="10"/>
        <v>492</v>
      </c>
      <c r="S3110" s="5" t="s">
        <v>12777</v>
      </c>
      <c r="T3110" s="6" t="s">
        <v>72</v>
      </c>
      <c r="U3110" s="5" t="s">
        <v>3128</v>
      </c>
      <c r="V3110" s="5"/>
    </row>
    <row r="3111" ht="12.75" customHeight="1">
      <c r="A3111" s="5">
        <v>36268.0</v>
      </c>
      <c r="B3111" s="5" t="s">
        <v>49</v>
      </c>
      <c r="C3111" s="52" t="s">
        <v>50</v>
      </c>
      <c r="D3111" s="5" t="s">
        <v>2614</v>
      </c>
      <c r="E3111" s="7" t="s">
        <v>12778</v>
      </c>
      <c r="F3111" s="5" t="s">
        <v>12679</v>
      </c>
      <c r="G3111" s="5" t="s">
        <v>12680</v>
      </c>
      <c r="H3111" s="5">
        <v>2000.0</v>
      </c>
      <c r="I3111" s="5">
        <v>0.0</v>
      </c>
      <c r="J3111" s="5">
        <v>0.0</v>
      </c>
      <c r="K3111" s="5">
        <v>3.0</v>
      </c>
      <c r="L3111" s="54"/>
      <c r="M3111" s="5" t="s">
        <v>12779</v>
      </c>
      <c r="N3111" s="53" t="s">
        <v>2680</v>
      </c>
      <c r="O3111">
        <v>36.018776</v>
      </c>
      <c r="P3111">
        <v>-5.600819</v>
      </c>
      <c r="Q3111" s="5" t="s">
        <v>761</v>
      </c>
      <c r="R3111" s="10">
        <f t="shared" si="10"/>
        <v>492</v>
      </c>
      <c r="S3111" s="5" t="s">
        <v>12780</v>
      </c>
      <c r="T3111" s="6" t="s">
        <v>72</v>
      </c>
      <c r="U3111" s="5" t="s">
        <v>2785</v>
      </c>
      <c r="V3111" s="5" t="s">
        <v>12781</v>
      </c>
    </row>
    <row r="3112" ht="12.75" customHeight="1">
      <c r="A3112" s="5">
        <v>36269.0</v>
      </c>
      <c r="B3112" s="5" t="s">
        <v>49</v>
      </c>
      <c r="C3112" s="52" t="s">
        <v>50</v>
      </c>
      <c r="D3112" s="5" t="s">
        <v>2614</v>
      </c>
      <c r="E3112" s="7" t="s">
        <v>12782</v>
      </c>
      <c r="F3112" s="5" t="s">
        <v>12679</v>
      </c>
      <c r="G3112" s="5" t="s">
        <v>12680</v>
      </c>
      <c r="H3112" s="5">
        <v>2000.0</v>
      </c>
      <c r="I3112" s="5">
        <v>0.0</v>
      </c>
      <c r="J3112" s="5">
        <v>0.0</v>
      </c>
      <c r="K3112" s="5">
        <v>4.0</v>
      </c>
      <c r="L3112" s="54"/>
      <c r="M3112" s="5" t="s">
        <v>12783</v>
      </c>
      <c r="N3112" s="53" t="s">
        <v>2638</v>
      </c>
      <c r="O3112">
        <v>35.888384</v>
      </c>
      <c r="P3112">
        <v>-5.324636</v>
      </c>
      <c r="Q3112" s="5" t="s">
        <v>717</v>
      </c>
      <c r="R3112" s="10">
        <f t="shared" si="10"/>
        <v>213</v>
      </c>
      <c r="S3112" s="5" t="s">
        <v>12784</v>
      </c>
      <c r="T3112" s="6" t="s">
        <v>72</v>
      </c>
      <c r="U3112" s="5" t="s">
        <v>2785</v>
      </c>
      <c r="V3112" s="5" t="s">
        <v>12785</v>
      </c>
    </row>
    <row r="3113" ht="12.75" customHeight="1">
      <c r="A3113" s="5">
        <v>36270.0</v>
      </c>
      <c r="B3113" s="5" t="s">
        <v>49</v>
      </c>
      <c r="C3113" s="52" t="s">
        <v>50</v>
      </c>
      <c r="D3113" s="5" t="s">
        <v>2852</v>
      </c>
      <c r="E3113" s="7" t="s">
        <v>12786</v>
      </c>
      <c r="F3113" s="5" t="s">
        <v>12679</v>
      </c>
      <c r="G3113" s="5" t="s">
        <v>12680</v>
      </c>
      <c r="H3113" s="5">
        <v>2000.0</v>
      </c>
      <c r="I3113" s="5">
        <v>0.0</v>
      </c>
      <c r="J3113" s="5">
        <v>0.0</v>
      </c>
      <c r="K3113" s="5">
        <v>1.0</v>
      </c>
      <c r="L3113" s="54"/>
      <c r="M3113" s="5" t="s">
        <v>12787</v>
      </c>
      <c r="N3113" s="53" t="s">
        <v>3379</v>
      </c>
      <c r="O3113">
        <v>36.834047</v>
      </c>
      <c r="P3113">
        <v>-2.463714</v>
      </c>
      <c r="Q3113" s="5" t="s">
        <v>863</v>
      </c>
      <c r="R3113" s="10">
        <f t="shared" si="10"/>
        <v>208</v>
      </c>
      <c r="S3113" s="5" t="s">
        <v>12788</v>
      </c>
      <c r="T3113" s="6" t="s">
        <v>72</v>
      </c>
      <c r="U3113" s="5" t="s">
        <v>3128</v>
      </c>
      <c r="V3113" s="5"/>
    </row>
    <row r="3114" ht="12.75" customHeight="1">
      <c r="A3114" s="5">
        <v>36271.0</v>
      </c>
      <c r="B3114" s="5" t="s">
        <v>68</v>
      </c>
      <c r="C3114" s="5" t="s">
        <v>69</v>
      </c>
      <c r="D3114" s="5" t="s">
        <v>2614</v>
      </c>
      <c r="E3114" s="7" t="s">
        <v>12789</v>
      </c>
      <c r="F3114" s="5" t="s">
        <v>12679</v>
      </c>
      <c r="G3114" s="5" t="s">
        <v>12680</v>
      </c>
      <c r="H3114" s="5">
        <v>2000.0</v>
      </c>
      <c r="I3114" s="5">
        <v>0.0</v>
      </c>
      <c r="J3114" s="5">
        <v>0.0</v>
      </c>
      <c r="K3114" s="5">
        <v>2.0</v>
      </c>
      <c r="L3114" s="54"/>
      <c r="M3114" s="5" t="s">
        <v>12790</v>
      </c>
      <c r="N3114" s="53" t="s">
        <v>2857</v>
      </c>
      <c r="O3114">
        <v>36.527061</v>
      </c>
      <c r="P3114">
        <v>-6.288596</v>
      </c>
      <c r="Q3114" s="5" t="s">
        <v>802</v>
      </c>
      <c r="R3114" s="10">
        <f t="shared" si="10"/>
        <v>185</v>
      </c>
      <c r="S3114" s="5" t="s">
        <v>12791</v>
      </c>
      <c r="T3114" s="6" t="s">
        <v>72</v>
      </c>
      <c r="U3114" s="5" t="s">
        <v>2785</v>
      </c>
      <c r="V3114" s="5" t="s">
        <v>12792</v>
      </c>
    </row>
    <row r="3115" ht="12.75" customHeight="1">
      <c r="A3115" s="5">
        <v>36274.0</v>
      </c>
      <c r="B3115" s="5" t="s">
        <v>49</v>
      </c>
      <c r="C3115" s="52" t="s">
        <v>50</v>
      </c>
      <c r="D3115" s="5" t="s">
        <v>2852</v>
      </c>
      <c r="E3115" s="7" t="s">
        <v>12793</v>
      </c>
      <c r="F3115" s="5" t="s">
        <v>12679</v>
      </c>
      <c r="G3115" s="5" t="s">
        <v>12680</v>
      </c>
      <c r="H3115" s="5">
        <v>2000.0</v>
      </c>
      <c r="I3115" s="5">
        <v>0.0</v>
      </c>
      <c r="J3115" s="5">
        <v>0.0</v>
      </c>
      <c r="K3115" s="5">
        <v>6.0</v>
      </c>
      <c r="L3115" s="54"/>
      <c r="M3115" s="5" t="s">
        <v>12794</v>
      </c>
      <c r="N3115" s="53" t="s">
        <v>2680</v>
      </c>
      <c r="O3115">
        <v>36.018776</v>
      </c>
      <c r="P3115">
        <v>-5.600819</v>
      </c>
      <c r="Q3115" s="5" t="s">
        <v>761</v>
      </c>
      <c r="R3115" s="10">
        <f t="shared" si="10"/>
        <v>492</v>
      </c>
      <c r="S3115" s="5" t="s">
        <v>12795</v>
      </c>
      <c r="T3115" s="6" t="s">
        <v>72</v>
      </c>
      <c r="U3115" s="5" t="s">
        <v>11834</v>
      </c>
      <c r="V3115" s="5"/>
    </row>
    <row r="3116" ht="12.75" customHeight="1">
      <c r="A3116" s="5">
        <v>36272.0</v>
      </c>
      <c r="B3116" s="5" t="s">
        <v>68</v>
      </c>
      <c r="C3116" s="5" t="s">
        <v>69</v>
      </c>
      <c r="D3116" s="5" t="s">
        <v>2614</v>
      </c>
      <c r="E3116" s="7" t="s">
        <v>12793</v>
      </c>
      <c r="F3116" s="5" t="s">
        <v>12679</v>
      </c>
      <c r="G3116" s="5" t="s">
        <v>12680</v>
      </c>
      <c r="H3116" s="5">
        <v>2000.0</v>
      </c>
      <c r="I3116" s="5">
        <v>0.0</v>
      </c>
      <c r="J3116" s="5">
        <v>0.0</v>
      </c>
      <c r="K3116" s="5">
        <v>1.0</v>
      </c>
      <c r="L3116" s="54"/>
      <c r="M3116" s="5" t="s">
        <v>12796</v>
      </c>
      <c r="N3116" s="53" t="s">
        <v>2680</v>
      </c>
      <c r="O3116">
        <v>36.018776</v>
      </c>
      <c r="P3116">
        <v>-5.600819</v>
      </c>
      <c r="Q3116" s="5" t="s">
        <v>761</v>
      </c>
      <c r="R3116" s="10">
        <f t="shared" si="10"/>
        <v>492</v>
      </c>
      <c r="S3116" s="5" t="s">
        <v>12795</v>
      </c>
      <c r="T3116" s="6" t="s">
        <v>72</v>
      </c>
      <c r="U3116" s="5" t="s">
        <v>2785</v>
      </c>
      <c r="V3116" s="5" t="s">
        <v>12797</v>
      </c>
    </row>
    <row r="3117" ht="12.75" customHeight="1">
      <c r="A3117" s="5">
        <v>36273.0</v>
      </c>
      <c r="B3117" s="5" t="s">
        <v>68</v>
      </c>
      <c r="C3117" s="5" t="s">
        <v>69</v>
      </c>
      <c r="D3117" s="5" t="s">
        <v>2852</v>
      </c>
      <c r="E3117" s="7" t="s">
        <v>12793</v>
      </c>
      <c r="F3117" s="5" t="s">
        <v>12679</v>
      </c>
      <c r="G3117" s="5" t="s">
        <v>12680</v>
      </c>
      <c r="H3117" s="5">
        <v>2000.0</v>
      </c>
      <c r="I3117" s="5">
        <v>0.0</v>
      </c>
      <c r="J3117" s="5">
        <v>0.0</v>
      </c>
      <c r="K3117" s="5">
        <v>1.0</v>
      </c>
      <c r="L3117" s="54"/>
      <c r="M3117" s="5" t="s">
        <v>12798</v>
      </c>
      <c r="N3117" s="53" t="s">
        <v>6147</v>
      </c>
      <c r="O3117">
        <v>40.261643</v>
      </c>
      <c r="P3117">
        <v>20.786133</v>
      </c>
      <c r="Q3117" s="5" t="s">
        <v>1125</v>
      </c>
      <c r="R3117" s="10">
        <f t="shared" si="10"/>
        <v>3</v>
      </c>
      <c r="S3117" s="5" t="s">
        <v>12799</v>
      </c>
      <c r="T3117" s="5" t="s">
        <v>1965</v>
      </c>
      <c r="U3117" s="5" t="s">
        <v>3128</v>
      </c>
      <c r="V3117" s="5"/>
    </row>
    <row r="3118" ht="12.75" customHeight="1">
      <c r="A3118" s="5">
        <v>36275.0</v>
      </c>
      <c r="B3118" s="5" t="s">
        <v>68</v>
      </c>
      <c r="C3118" s="5" t="s">
        <v>69</v>
      </c>
      <c r="D3118" s="5" t="s">
        <v>2614</v>
      </c>
      <c r="E3118" s="7" t="s">
        <v>12800</v>
      </c>
      <c r="F3118" s="5" t="s">
        <v>12679</v>
      </c>
      <c r="G3118" s="5" t="s">
        <v>12680</v>
      </c>
      <c r="H3118" s="5">
        <v>2000.0</v>
      </c>
      <c r="I3118" s="5">
        <v>0.0</v>
      </c>
      <c r="J3118" s="5">
        <v>0.0</v>
      </c>
      <c r="K3118" s="5">
        <v>17.0</v>
      </c>
      <c r="L3118" s="54"/>
      <c r="M3118" s="5" t="s">
        <v>12801</v>
      </c>
      <c r="N3118" s="53" t="s">
        <v>2944</v>
      </c>
      <c r="O3118">
        <v>-12.8275</v>
      </c>
      <c r="P3118">
        <v>45.166244</v>
      </c>
      <c r="Q3118" s="5" t="s">
        <v>228</v>
      </c>
      <c r="R3118" s="10">
        <f t="shared" si="10"/>
        <v>757</v>
      </c>
      <c r="S3118" s="5" t="s">
        <v>12802</v>
      </c>
      <c r="T3118" s="5"/>
      <c r="U3118" s="5" t="s">
        <v>8097</v>
      </c>
      <c r="V3118" s="5" t="s">
        <v>8585</v>
      </c>
    </row>
    <row r="3119" ht="12.75" customHeight="1">
      <c r="A3119" s="5">
        <v>36276.0</v>
      </c>
      <c r="B3119" s="5" t="s">
        <v>68</v>
      </c>
      <c r="C3119" s="5" t="s">
        <v>69</v>
      </c>
      <c r="D3119" s="5" t="s">
        <v>2614</v>
      </c>
      <c r="E3119" s="7" t="s">
        <v>12803</v>
      </c>
      <c r="F3119" s="5" t="s">
        <v>12679</v>
      </c>
      <c r="G3119" s="5" t="s">
        <v>12680</v>
      </c>
      <c r="H3119" s="5">
        <v>2000.0</v>
      </c>
      <c r="I3119" s="5">
        <v>0.0</v>
      </c>
      <c r="J3119" s="5">
        <v>0.0</v>
      </c>
      <c r="K3119" s="5">
        <v>1.0</v>
      </c>
      <c r="L3119" s="54"/>
      <c r="M3119" s="5" t="s">
        <v>12804</v>
      </c>
      <c r="N3119" s="53" t="s">
        <v>2680</v>
      </c>
      <c r="O3119">
        <v>36.018776</v>
      </c>
      <c r="P3119">
        <v>-5.600819</v>
      </c>
      <c r="Q3119" s="5" t="s">
        <v>761</v>
      </c>
      <c r="R3119" s="10">
        <f t="shared" si="10"/>
        <v>492</v>
      </c>
      <c r="S3119" s="5" t="s">
        <v>12805</v>
      </c>
      <c r="T3119" s="6" t="s">
        <v>72</v>
      </c>
      <c r="U3119" s="5" t="s">
        <v>2785</v>
      </c>
      <c r="V3119" s="5" t="s">
        <v>12806</v>
      </c>
    </row>
    <row r="3120" ht="12.75" customHeight="1">
      <c r="A3120" s="5">
        <v>36277.0</v>
      </c>
      <c r="B3120" s="5" t="s">
        <v>68</v>
      </c>
      <c r="C3120" s="5" t="s">
        <v>69</v>
      </c>
      <c r="D3120" s="5" t="s">
        <v>2852</v>
      </c>
      <c r="E3120" s="7" t="s">
        <v>12807</v>
      </c>
      <c r="F3120" s="5" t="s">
        <v>12679</v>
      </c>
      <c r="G3120" s="5" t="s">
        <v>12808</v>
      </c>
      <c r="H3120" s="5">
        <v>2000.0</v>
      </c>
      <c r="I3120" s="5">
        <v>0.0</v>
      </c>
      <c r="J3120" s="5">
        <v>0.0</v>
      </c>
      <c r="K3120" s="5">
        <v>1.0</v>
      </c>
      <c r="L3120" s="54"/>
      <c r="M3120" s="5" t="s">
        <v>12809</v>
      </c>
      <c r="N3120" s="53" t="s">
        <v>2718</v>
      </c>
      <c r="O3120">
        <v>35.292278</v>
      </c>
      <c r="P3120">
        <v>-2.938097</v>
      </c>
      <c r="Q3120" s="5" t="s">
        <v>649</v>
      </c>
      <c r="R3120" s="10">
        <f t="shared" si="10"/>
        <v>79</v>
      </c>
      <c r="S3120" s="5" t="s">
        <v>12810</v>
      </c>
      <c r="T3120" s="6" t="s">
        <v>72</v>
      </c>
      <c r="U3120" s="5" t="s">
        <v>4736</v>
      </c>
      <c r="V3120" s="5"/>
    </row>
    <row r="3121" ht="12.75" customHeight="1">
      <c r="A3121" s="5">
        <v>36278.0</v>
      </c>
      <c r="B3121" s="5" t="s">
        <v>1995</v>
      </c>
      <c r="C3121" s="52" t="s">
        <v>50</v>
      </c>
      <c r="D3121" s="5" t="s">
        <v>2852</v>
      </c>
      <c r="E3121" s="7" t="s">
        <v>12811</v>
      </c>
      <c r="F3121" s="5" t="s">
        <v>12679</v>
      </c>
      <c r="G3121" s="5" t="s">
        <v>12808</v>
      </c>
      <c r="H3121" s="5">
        <v>2000.0</v>
      </c>
      <c r="I3121" s="5">
        <v>0.0</v>
      </c>
      <c r="J3121" s="5">
        <v>0.0</v>
      </c>
      <c r="K3121" s="5">
        <v>1.0</v>
      </c>
      <c r="L3121" s="54"/>
      <c r="M3121" s="5" t="s">
        <v>12812</v>
      </c>
      <c r="N3121" s="53" t="s">
        <v>12813</v>
      </c>
      <c r="O3121">
        <v>46.7822</v>
      </c>
      <c r="P3121">
        <v>8.56939</v>
      </c>
      <c r="Q3121" s="5" t="s">
        <v>1365</v>
      </c>
      <c r="R3121" s="10">
        <f t="shared" si="10"/>
        <v>1</v>
      </c>
      <c r="S3121" s="5" t="s">
        <v>12814</v>
      </c>
      <c r="T3121" s="5"/>
      <c r="U3121" s="5" t="s">
        <v>12815</v>
      </c>
      <c r="V3121" s="5"/>
    </row>
    <row r="3122" ht="12.75" customHeight="1">
      <c r="A3122" s="5">
        <v>36279.0</v>
      </c>
      <c r="B3122" s="5" t="s">
        <v>49</v>
      </c>
      <c r="C3122" s="52" t="s">
        <v>50</v>
      </c>
      <c r="D3122" s="5" t="s">
        <v>2852</v>
      </c>
      <c r="E3122" s="7" t="s">
        <v>12816</v>
      </c>
      <c r="F3122" s="5" t="s">
        <v>12679</v>
      </c>
      <c r="G3122" s="5" t="s">
        <v>12808</v>
      </c>
      <c r="H3122" s="5">
        <v>2000.0</v>
      </c>
      <c r="I3122" s="5">
        <v>0.0</v>
      </c>
      <c r="J3122" s="5">
        <v>0.0</v>
      </c>
      <c r="K3122" s="5">
        <v>1.0</v>
      </c>
      <c r="L3122" s="54"/>
      <c r="M3122" s="5" t="s">
        <v>12817</v>
      </c>
      <c r="N3122" s="53" t="s">
        <v>2638</v>
      </c>
      <c r="O3122">
        <v>35.888384</v>
      </c>
      <c r="P3122">
        <v>-5.324636</v>
      </c>
      <c r="Q3122" s="5" t="s">
        <v>717</v>
      </c>
      <c r="R3122" s="10">
        <f t="shared" si="10"/>
        <v>213</v>
      </c>
      <c r="S3122" s="5" t="s">
        <v>12818</v>
      </c>
      <c r="T3122" s="6" t="s">
        <v>72</v>
      </c>
      <c r="U3122" s="5" t="s">
        <v>3128</v>
      </c>
      <c r="V3122" s="5" t="s">
        <v>12819</v>
      </c>
    </row>
    <row r="3123" ht="12.75" customHeight="1">
      <c r="A3123" s="5">
        <v>36280.0</v>
      </c>
      <c r="B3123" s="5" t="s">
        <v>68</v>
      </c>
      <c r="C3123" s="5" t="s">
        <v>69</v>
      </c>
      <c r="D3123" s="5" t="s">
        <v>2614</v>
      </c>
      <c r="E3123" s="7" t="s">
        <v>12820</v>
      </c>
      <c r="F3123" s="5" t="s">
        <v>12679</v>
      </c>
      <c r="G3123" s="5" t="s">
        <v>12808</v>
      </c>
      <c r="H3123" s="5">
        <v>2000.0</v>
      </c>
      <c r="I3123" s="5">
        <v>2.0</v>
      </c>
      <c r="J3123" s="5">
        <v>0.0</v>
      </c>
      <c r="K3123" s="5">
        <v>2.0</v>
      </c>
      <c r="L3123" s="54"/>
      <c r="M3123" s="5" t="s">
        <v>12821</v>
      </c>
      <c r="N3123" s="53" t="s">
        <v>11029</v>
      </c>
      <c r="O3123">
        <v>40.403712</v>
      </c>
      <c r="P3123">
        <v>17.557323</v>
      </c>
      <c r="Q3123" s="5" t="s">
        <v>1139</v>
      </c>
      <c r="R3123" s="10">
        <f t="shared" si="10"/>
        <v>39</v>
      </c>
      <c r="S3123" s="5" t="s">
        <v>12822</v>
      </c>
      <c r="T3123" s="6" t="s">
        <v>65</v>
      </c>
      <c r="U3123" s="5" t="s">
        <v>12823</v>
      </c>
      <c r="V3123" s="5" t="s">
        <v>12824</v>
      </c>
    </row>
    <row r="3124" ht="12.75" customHeight="1">
      <c r="A3124" s="5">
        <v>36281.0</v>
      </c>
      <c r="B3124" s="5" t="s">
        <v>763</v>
      </c>
      <c r="C3124" s="5" t="s">
        <v>124</v>
      </c>
      <c r="D3124" s="5" t="s">
        <v>2852</v>
      </c>
      <c r="E3124" s="7" t="s">
        <v>12825</v>
      </c>
      <c r="F3124" s="5" t="s">
        <v>12679</v>
      </c>
      <c r="G3124" s="5" t="s">
        <v>12808</v>
      </c>
      <c r="H3124" s="5">
        <v>2000.0</v>
      </c>
      <c r="I3124" s="5">
        <v>0.0</v>
      </c>
      <c r="J3124" s="5">
        <v>0.0</v>
      </c>
      <c r="K3124" s="5">
        <v>1.0</v>
      </c>
      <c r="L3124" s="54"/>
      <c r="M3124" s="5" t="s">
        <v>12826</v>
      </c>
      <c r="N3124" s="53" t="s">
        <v>10113</v>
      </c>
      <c r="O3124">
        <v>51.127876</v>
      </c>
      <c r="P3124">
        <v>1.313403</v>
      </c>
      <c r="Q3124" s="5" t="s">
        <v>1586</v>
      </c>
      <c r="R3124" s="10">
        <f t="shared" si="10"/>
        <v>6</v>
      </c>
      <c r="S3124" s="5" t="s">
        <v>12827</v>
      </c>
      <c r="T3124" s="5"/>
      <c r="U3124" s="5" t="s">
        <v>3219</v>
      </c>
      <c r="V3124" s="5" t="s">
        <v>11937</v>
      </c>
    </row>
    <row r="3125" ht="12.75" customHeight="1">
      <c r="A3125" s="5">
        <v>36282.0</v>
      </c>
      <c r="B3125" s="5" t="s">
        <v>68</v>
      </c>
      <c r="C3125" s="5" t="s">
        <v>69</v>
      </c>
      <c r="D3125" s="5" t="s">
        <v>2852</v>
      </c>
      <c r="E3125" s="7" t="s">
        <v>12828</v>
      </c>
      <c r="F3125" s="5" t="s">
        <v>12679</v>
      </c>
      <c r="G3125" s="5" t="s">
        <v>12808</v>
      </c>
      <c r="H3125" s="5">
        <v>2000.0</v>
      </c>
      <c r="I3125" s="5">
        <v>0.0</v>
      </c>
      <c r="J3125" s="5">
        <v>0.0</v>
      </c>
      <c r="K3125" s="5">
        <v>2.0</v>
      </c>
      <c r="L3125" s="54"/>
      <c r="M3125" s="5" t="s">
        <v>12829</v>
      </c>
      <c r="N3125" s="53" t="s">
        <v>12830</v>
      </c>
      <c r="O3125">
        <v>38.367942</v>
      </c>
      <c r="P3125">
        <v>43.718279</v>
      </c>
      <c r="Q3125" s="5" t="s">
        <v>1019</v>
      </c>
      <c r="R3125" s="10">
        <f t="shared" si="10"/>
        <v>2</v>
      </c>
      <c r="S3125" s="5" t="s">
        <v>12831</v>
      </c>
      <c r="T3125" s="5"/>
      <c r="U3125" s="5" t="s">
        <v>3128</v>
      </c>
      <c r="V3125" s="5" t="s">
        <v>8704</v>
      </c>
    </row>
    <row r="3126" ht="12.75" customHeight="1">
      <c r="A3126" s="5">
        <v>36283.0</v>
      </c>
      <c r="B3126" s="5" t="s">
        <v>68</v>
      </c>
      <c r="C3126" s="5" t="s">
        <v>69</v>
      </c>
      <c r="D3126" s="5" t="s">
        <v>2614</v>
      </c>
      <c r="E3126" s="7" t="s">
        <v>12832</v>
      </c>
      <c r="F3126" s="5" t="s">
        <v>12679</v>
      </c>
      <c r="G3126" s="5" t="s">
        <v>12808</v>
      </c>
      <c r="H3126" s="5">
        <v>2000.0</v>
      </c>
      <c r="I3126" s="5">
        <v>0.0</v>
      </c>
      <c r="J3126" s="5">
        <v>0.0</v>
      </c>
      <c r="K3126" s="5">
        <v>1.0</v>
      </c>
      <c r="L3126" s="54"/>
      <c r="M3126" s="5" t="s">
        <v>12833</v>
      </c>
      <c r="N3126" s="53" t="s">
        <v>2944</v>
      </c>
      <c r="O3126">
        <v>-12.8275</v>
      </c>
      <c r="P3126">
        <v>45.166244</v>
      </c>
      <c r="Q3126" s="5" t="s">
        <v>228</v>
      </c>
      <c r="R3126" s="10">
        <f t="shared" si="10"/>
        <v>757</v>
      </c>
      <c r="S3126" s="5" t="s">
        <v>12834</v>
      </c>
      <c r="T3126" s="5"/>
      <c r="U3126" s="5" t="s">
        <v>8097</v>
      </c>
      <c r="V3126" s="5" t="s">
        <v>8585</v>
      </c>
    </row>
    <row r="3127" ht="12.75" customHeight="1">
      <c r="A3127" s="5">
        <v>36284.0</v>
      </c>
      <c r="B3127" s="5" t="s">
        <v>2902</v>
      </c>
      <c r="C3127" s="5" t="s">
        <v>211</v>
      </c>
      <c r="D3127" s="5" t="s">
        <v>2852</v>
      </c>
      <c r="E3127" s="7" t="s">
        <v>12835</v>
      </c>
      <c r="F3127" s="5" t="s">
        <v>12679</v>
      </c>
      <c r="G3127" s="5" t="s">
        <v>12808</v>
      </c>
      <c r="H3127" s="5">
        <v>2000.0</v>
      </c>
      <c r="I3127" s="5">
        <v>0.0</v>
      </c>
      <c r="J3127" s="5">
        <v>0.0</v>
      </c>
      <c r="K3127" s="5">
        <v>1.0</v>
      </c>
      <c r="L3127" s="54"/>
      <c r="M3127" s="5" t="s">
        <v>12836</v>
      </c>
      <c r="N3127" s="53" t="s">
        <v>12837</v>
      </c>
      <c r="O3127">
        <v>50.083558</v>
      </c>
      <c r="P3127">
        <v>8.469386</v>
      </c>
      <c r="Q3127" s="5" t="s">
        <v>1483</v>
      </c>
      <c r="R3127" s="10">
        <f t="shared" si="10"/>
        <v>1</v>
      </c>
      <c r="S3127" s="5" t="s">
        <v>12838</v>
      </c>
      <c r="T3127" s="5"/>
      <c r="U3127" s="5" t="s">
        <v>3219</v>
      </c>
      <c r="V3127" s="5"/>
    </row>
    <row r="3128" ht="12.75" customHeight="1">
      <c r="A3128" s="5">
        <v>36285.0</v>
      </c>
      <c r="B3128" s="5" t="s">
        <v>49</v>
      </c>
      <c r="C3128" s="52" t="s">
        <v>50</v>
      </c>
      <c r="D3128" s="5" t="s">
        <v>2852</v>
      </c>
      <c r="E3128" s="7" t="s">
        <v>12839</v>
      </c>
      <c r="F3128" s="5" t="s">
        <v>12679</v>
      </c>
      <c r="G3128" s="5" t="s">
        <v>12808</v>
      </c>
      <c r="H3128" s="5">
        <v>2000.0</v>
      </c>
      <c r="I3128" s="5">
        <v>0.0</v>
      </c>
      <c r="J3128" s="5">
        <v>0.0</v>
      </c>
      <c r="K3128" s="5">
        <v>1.0</v>
      </c>
      <c r="L3128" s="54"/>
      <c r="M3128" s="5" t="s">
        <v>12840</v>
      </c>
      <c r="N3128" s="53" t="s">
        <v>2680</v>
      </c>
      <c r="O3128">
        <v>36.018776</v>
      </c>
      <c r="P3128">
        <v>-5.600819</v>
      </c>
      <c r="Q3128" s="5" t="s">
        <v>761</v>
      </c>
      <c r="R3128" s="10">
        <f t="shared" si="10"/>
        <v>492</v>
      </c>
      <c r="S3128" s="5" t="s">
        <v>12841</v>
      </c>
      <c r="T3128" s="6" t="s">
        <v>72</v>
      </c>
      <c r="U3128" s="5" t="s">
        <v>12658</v>
      </c>
      <c r="V3128" s="5"/>
    </row>
    <row r="3129" ht="12.75" customHeight="1">
      <c r="A3129" s="5">
        <v>36287.0</v>
      </c>
      <c r="B3129" s="5" t="s">
        <v>68</v>
      </c>
      <c r="C3129" s="5" t="s">
        <v>69</v>
      </c>
      <c r="D3129" s="5" t="s">
        <v>2614</v>
      </c>
      <c r="E3129" s="7" t="s">
        <v>12842</v>
      </c>
      <c r="F3129" s="5" t="s">
        <v>12679</v>
      </c>
      <c r="G3129" s="5" t="s">
        <v>12808</v>
      </c>
      <c r="H3129" s="5">
        <v>2000.0</v>
      </c>
      <c r="I3129" s="5">
        <v>0.0</v>
      </c>
      <c r="J3129" s="5">
        <v>0.0</v>
      </c>
      <c r="K3129" s="5">
        <v>1.0</v>
      </c>
      <c r="L3129" s="54"/>
      <c r="M3129" s="5" t="s">
        <v>12843</v>
      </c>
      <c r="N3129" s="53" t="s">
        <v>2680</v>
      </c>
      <c r="O3129">
        <v>36.018776</v>
      </c>
      <c r="P3129">
        <v>-5.600819</v>
      </c>
      <c r="Q3129" s="5" t="s">
        <v>761</v>
      </c>
      <c r="R3129" s="10">
        <f t="shared" si="10"/>
        <v>492</v>
      </c>
      <c r="S3129" s="5" t="s">
        <v>12844</v>
      </c>
      <c r="T3129" s="6" t="s">
        <v>72</v>
      </c>
      <c r="U3129" s="5" t="s">
        <v>2785</v>
      </c>
      <c r="V3129" s="5" t="s">
        <v>12845</v>
      </c>
    </row>
    <row r="3130" ht="12.75" customHeight="1">
      <c r="A3130" s="5">
        <v>36288.0</v>
      </c>
      <c r="B3130" s="5" t="s">
        <v>68</v>
      </c>
      <c r="C3130" s="5" t="s">
        <v>69</v>
      </c>
      <c r="D3130" s="5" t="s">
        <v>2614</v>
      </c>
      <c r="E3130" s="7" t="s">
        <v>12846</v>
      </c>
      <c r="F3130" s="5" t="s">
        <v>12679</v>
      </c>
      <c r="G3130" s="5" t="s">
        <v>12847</v>
      </c>
      <c r="H3130" s="5">
        <v>2000.0</v>
      </c>
      <c r="I3130" s="5">
        <v>0.0</v>
      </c>
      <c r="J3130" s="5">
        <v>0.0</v>
      </c>
      <c r="K3130" s="5">
        <v>1.0</v>
      </c>
      <c r="L3130" s="54"/>
      <c r="M3130" s="5" t="s">
        <v>12848</v>
      </c>
      <c r="N3130" s="53" t="s">
        <v>10686</v>
      </c>
      <c r="O3130">
        <v>40.519269</v>
      </c>
      <c r="P3130">
        <v>21.268717</v>
      </c>
      <c r="Q3130" s="5" t="s">
        <v>1150</v>
      </c>
      <c r="R3130" s="10">
        <f t="shared" si="10"/>
        <v>4</v>
      </c>
      <c r="S3130" s="5" t="s">
        <v>12849</v>
      </c>
      <c r="T3130" s="5"/>
      <c r="U3130" s="5" t="s">
        <v>5938</v>
      </c>
      <c r="V3130" s="5" t="s">
        <v>12850</v>
      </c>
    </row>
    <row r="3131" ht="12.75" customHeight="1">
      <c r="A3131" s="5">
        <v>36289.0</v>
      </c>
      <c r="B3131" s="5" t="s">
        <v>68</v>
      </c>
      <c r="C3131" s="5" t="s">
        <v>69</v>
      </c>
      <c r="D3131" s="5" t="s">
        <v>2614</v>
      </c>
      <c r="E3131" s="7" t="s">
        <v>12851</v>
      </c>
      <c r="F3131" s="5" t="s">
        <v>12679</v>
      </c>
      <c r="G3131" s="5" t="s">
        <v>12847</v>
      </c>
      <c r="H3131" s="5">
        <v>2000.0</v>
      </c>
      <c r="I3131" s="5">
        <v>0.0</v>
      </c>
      <c r="J3131" s="5">
        <v>0.0</v>
      </c>
      <c r="K3131" s="5">
        <v>11.0</v>
      </c>
      <c r="L3131" s="54"/>
      <c r="M3131" s="5" t="s">
        <v>12852</v>
      </c>
      <c r="N3131" s="53" t="s">
        <v>2944</v>
      </c>
      <c r="O3131">
        <v>-12.8275</v>
      </c>
      <c r="P3131">
        <v>45.166244</v>
      </c>
      <c r="Q3131" s="5" t="s">
        <v>228</v>
      </c>
      <c r="R3131" s="10">
        <f t="shared" si="10"/>
        <v>757</v>
      </c>
      <c r="S3131" s="5" t="s">
        <v>12853</v>
      </c>
      <c r="T3131" s="5"/>
      <c r="U3131" s="5" t="s">
        <v>8097</v>
      </c>
      <c r="V3131" s="5" t="s">
        <v>8585</v>
      </c>
    </row>
    <row r="3132" ht="12.75" customHeight="1">
      <c r="A3132" s="5">
        <v>36290.0</v>
      </c>
      <c r="B3132" s="5" t="s">
        <v>49</v>
      </c>
      <c r="C3132" s="52" t="s">
        <v>50</v>
      </c>
      <c r="D3132" s="5" t="s">
        <v>2852</v>
      </c>
      <c r="E3132" s="7" t="s">
        <v>12851</v>
      </c>
      <c r="F3132" s="5" t="s">
        <v>12679</v>
      </c>
      <c r="G3132" s="5" t="s">
        <v>12847</v>
      </c>
      <c r="H3132" s="5">
        <v>2000.0</v>
      </c>
      <c r="I3132" s="5">
        <v>0.0</v>
      </c>
      <c r="J3132" s="5">
        <v>0.0</v>
      </c>
      <c r="K3132" s="5">
        <v>3.0</v>
      </c>
      <c r="L3132" s="54"/>
      <c r="M3132" s="5" t="s">
        <v>12854</v>
      </c>
      <c r="N3132" s="53" t="s">
        <v>5692</v>
      </c>
      <c r="O3132">
        <v>36.926927</v>
      </c>
      <c r="P3132">
        <v>14.725513</v>
      </c>
      <c r="Q3132" s="5" t="s">
        <v>887</v>
      </c>
      <c r="R3132" s="10">
        <f t="shared" si="10"/>
        <v>58</v>
      </c>
      <c r="S3132" s="5" t="s">
        <v>12855</v>
      </c>
      <c r="T3132" s="6" t="s">
        <v>2130</v>
      </c>
      <c r="U3132" s="5" t="s">
        <v>3128</v>
      </c>
      <c r="V3132" s="5"/>
    </row>
    <row r="3133" ht="12.75" customHeight="1">
      <c r="A3133" s="5">
        <v>36291.0</v>
      </c>
      <c r="B3133" s="5" t="s">
        <v>68</v>
      </c>
      <c r="C3133" s="5" t="s">
        <v>69</v>
      </c>
      <c r="D3133" s="5" t="s">
        <v>2852</v>
      </c>
      <c r="E3133" s="7" t="s">
        <v>12851</v>
      </c>
      <c r="F3133" s="5" t="s">
        <v>12679</v>
      </c>
      <c r="G3133" s="5" t="s">
        <v>12847</v>
      </c>
      <c r="H3133" s="5">
        <v>2000.0</v>
      </c>
      <c r="I3133" s="5">
        <v>0.0</v>
      </c>
      <c r="J3133" s="5">
        <v>0.0</v>
      </c>
      <c r="K3133" s="5">
        <v>1.0</v>
      </c>
      <c r="L3133" s="54"/>
      <c r="M3133" s="5" t="s">
        <v>12856</v>
      </c>
      <c r="N3133" s="53" t="s">
        <v>12857</v>
      </c>
      <c r="O3133">
        <v>47.230685</v>
      </c>
      <c r="P3133">
        <v>16.621844</v>
      </c>
      <c r="Q3133" s="5" t="s">
        <v>1375</v>
      </c>
      <c r="R3133" s="10">
        <f t="shared" si="10"/>
        <v>1</v>
      </c>
      <c r="S3133" s="5" t="s">
        <v>12858</v>
      </c>
      <c r="T3133" s="5"/>
      <c r="U3133" s="5" t="s">
        <v>9999</v>
      </c>
      <c r="V3133" s="5"/>
    </row>
    <row r="3134" ht="12.75" customHeight="1">
      <c r="A3134" s="5">
        <v>36292.0</v>
      </c>
      <c r="B3134" s="5" t="s">
        <v>1161</v>
      </c>
      <c r="C3134" s="5" t="s">
        <v>124</v>
      </c>
      <c r="D3134" s="5" t="s">
        <v>2852</v>
      </c>
      <c r="E3134" s="7" t="s">
        <v>12859</v>
      </c>
      <c r="F3134" s="5" t="s">
        <v>12679</v>
      </c>
      <c r="G3134" s="5" t="s">
        <v>12847</v>
      </c>
      <c r="H3134" s="5">
        <v>2000.0</v>
      </c>
      <c r="I3134" s="5">
        <v>0.0</v>
      </c>
      <c r="J3134" s="5">
        <v>0.0</v>
      </c>
      <c r="K3134" s="5">
        <v>2.0</v>
      </c>
      <c r="L3134" s="54"/>
      <c r="M3134" s="5" t="s">
        <v>12860</v>
      </c>
      <c r="N3134" s="53" t="s">
        <v>4147</v>
      </c>
      <c r="O3134">
        <v>53.551085</v>
      </c>
      <c r="P3134">
        <v>9.993682</v>
      </c>
      <c r="Q3134" s="5" t="s">
        <v>1846</v>
      </c>
      <c r="R3134" s="10">
        <f t="shared" si="10"/>
        <v>7</v>
      </c>
      <c r="S3134" s="5" t="s">
        <v>12861</v>
      </c>
      <c r="T3134" s="5"/>
      <c r="U3134" s="5" t="s">
        <v>4578</v>
      </c>
      <c r="V3134" s="5"/>
    </row>
    <row r="3135" ht="12.75" customHeight="1">
      <c r="A3135" s="5">
        <v>36294.0</v>
      </c>
      <c r="B3135" s="5" t="s">
        <v>1076</v>
      </c>
      <c r="C3135" s="52" t="s">
        <v>50</v>
      </c>
      <c r="D3135" s="5" t="s">
        <v>2852</v>
      </c>
      <c r="E3135" s="7" t="s">
        <v>12862</v>
      </c>
      <c r="F3135" s="5" t="s">
        <v>12679</v>
      </c>
      <c r="G3135" s="5" t="s">
        <v>12847</v>
      </c>
      <c r="H3135" s="5">
        <v>2000.0</v>
      </c>
      <c r="I3135" s="5">
        <v>0.0</v>
      </c>
      <c r="J3135" s="5">
        <v>0.0</v>
      </c>
      <c r="K3135" s="5">
        <v>1.0</v>
      </c>
      <c r="L3135" s="54"/>
      <c r="M3135" s="5" t="s">
        <v>12863</v>
      </c>
      <c r="N3135" s="53" t="s">
        <v>10119</v>
      </c>
      <c r="O3135">
        <v>39.587628</v>
      </c>
      <c r="P3135">
        <v>18.94043</v>
      </c>
      <c r="Q3135" s="5" t="s">
        <v>1097</v>
      </c>
      <c r="R3135" s="10">
        <f t="shared" si="10"/>
        <v>12</v>
      </c>
      <c r="S3135" s="5" t="s">
        <v>12864</v>
      </c>
      <c r="T3135" s="6" t="s">
        <v>1963</v>
      </c>
      <c r="U3135" s="5" t="s">
        <v>3128</v>
      </c>
      <c r="V3135" s="5" t="s">
        <v>8704</v>
      </c>
    </row>
    <row r="3136" ht="12.75" customHeight="1">
      <c r="A3136" s="5">
        <v>36293.0</v>
      </c>
      <c r="B3136" s="5" t="s">
        <v>68</v>
      </c>
      <c r="C3136" s="5" t="s">
        <v>69</v>
      </c>
      <c r="D3136" s="5" t="s">
        <v>2614</v>
      </c>
      <c r="E3136" s="7" t="s">
        <v>12862</v>
      </c>
      <c r="F3136" s="5" t="s">
        <v>12679</v>
      </c>
      <c r="G3136" s="5" t="s">
        <v>12847</v>
      </c>
      <c r="H3136" s="5">
        <v>2000.0</v>
      </c>
      <c r="I3136" s="5">
        <v>0.0</v>
      </c>
      <c r="J3136" s="5">
        <v>0.0</v>
      </c>
      <c r="K3136" s="5">
        <v>1.0</v>
      </c>
      <c r="L3136" s="54"/>
      <c r="M3136" s="5" t="s">
        <v>12865</v>
      </c>
      <c r="N3136" s="53" t="s">
        <v>2996</v>
      </c>
      <c r="O3136">
        <v>43.61583</v>
      </c>
      <c r="P3136">
        <v>13.518915</v>
      </c>
      <c r="Q3136" s="5" t="s">
        <v>1284</v>
      </c>
      <c r="R3136" s="10">
        <f t="shared" si="10"/>
        <v>16</v>
      </c>
      <c r="S3136" s="5" t="s">
        <v>12866</v>
      </c>
      <c r="T3136" s="5"/>
      <c r="U3136" s="5" t="s">
        <v>2326</v>
      </c>
      <c r="V3136" s="5" t="s">
        <v>7579</v>
      </c>
    </row>
    <row r="3137" ht="12.75" customHeight="1">
      <c r="A3137" s="5">
        <v>36296.0</v>
      </c>
      <c r="B3137" s="5" t="s">
        <v>49</v>
      </c>
      <c r="C3137" s="52" t="s">
        <v>50</v>
      </c>
      <c r="D3137" s="5" t="s">
        <v>2852</v>
      </c>
      <c r="E3137" s="7" t="s">
        <v>12867</v>
      </c>
      <c r="F3137" s="5" t="s">
        <v>12679</v>
      </c>
      <c r="G3137" s="5" t="s">
        <v>12847</v>
      </c>
      <c r="H3137" s="5">
        <v>2000.0</v>
      </c>
      <c r="I3137" s="5">
        <v>0.0</v>
      </c>
      <c r="J3137" s="5">
        <v>0.0</v>
      </c>
      <c r="K3137" s="5">
        <v>1.0</v>
      </c>
      <c r="L3137" s="54"/>
      <c r="M3137" s="5" t="s">
        <v>12868</v>
      </c>
      <c r="N3137" s="53" t="s">
        <v>2680</v>
      </c>
      <c r="O3137">
        <v>36.018776</v>
      </c>
      <c r="P3137">
        <v>-5.600819</v>
      </c>
      <c r="Q3137" s="5" t="s">
        <v>761</v>
      </c>
      <c r="R3137" s="10">
        <f t="shared" si="10"/>
        <v>492</v>
      </c>
      <c r="S3137" s="5" t="s">
        <v>12869</v>
      </c>
      <c r="T3137" s="6" t="s">
        <v>72</v>
      </c>
      <c r="U3137" s="5" t="s">
        <v>3128</v>
      </c>
      <c r="V3137" s="5" t="s">
        <v>12870</v>
      </c>
    </row>
    <row r="3138" ht="12.75" customHeight="1">
      <c r="A3138" s="5">
        <v>36295.0</v>
      </c>
      <c r="B3138" s="5" t="s">
        <v>49</v>
      </c>
      <c r="C3138" s="52" t="s">
        <v>50</v>
      </c>
      <c r="D3138" s="5" t="s">
        <v>2852</v>
      </c>
      <c r="E3138" s="7" t="s">
        <v>12867</v>
      </c>
      <c r="F3138" s="5" t="s">
        <v>12679</v>
      </c>
      <c r="G3138" s="5" t="s">
        <v>12847</v>
      </c>
      <c r="H3138" s="5">
        <v>2000.0</v>
      </c>
      <c r="I3138" s="5">
        <v>0.0</v>
      </c>
      <c r="J3138" s="5">
        <v>0.0</v>
      </c>
      <c r="K3138" s="5">
        <v>1.0</v>
      </c>
      <c r="L3138" s="54"/>
      <c r="M3138" s="5" t="s">
        <v>12871</v>
      </c>
      <c r="N3138" s="53" t="s">
        <v>3379</v>
      </c>
      <c r="O3138">
        <v>36.834047</v>
      </c>
      <c r="P3138">
        <v>-2.463714</v>
      </c>
      <c r="Q3138" s="5" t="s">
        <v>863</v>
      </c>
      <c r="R3138" s="10">
        <f t="shared" si="10"/>
        <v>208</v>
      </c>
      <c r="S3138" s="5" t="s">
        <v>12872</v>
      </c>
      <c r="T3138" s="6" t="s">
        <v>72</v>
      </c>
      <c r="U3138" s="5" t="s">
        <v>3128</v>
      </c>
      <c r="V3138" s="5"/>
    </row>
    <row r="3139" ht="12.75" customHeight="1">
      <c r="A3139" s="5">
        <v>36297.0</v>
      </c>
      <c r="B3139" s="5" t="s">
        <v>763</v>
      </c>
      <c r="C3139" s="5" t="s">
        <v>124</v>
      </c>
      <c r="D3139" s="5" t="s">
        <v>2852</v>
      </c>
      <c r="E3139" s="7" t="s">
        <v>12873</v>
      </c>
      <c r="F3139" s="5" t="s">
        <v>12679</v>
      </c>
      <c r="G3139" s="5" t="s">
        <v>12847</v>
      </c>
      <c r="H3139" s="5">
        <v>2000.0</v>
      </c>
      <c r="I3139" s="5">
        <v>0.0</v>
      </c>
      <c r="J3139" s="5">
        <v>0.0</v>
      </c>
      <c r="K3139" s="5">
        <v>3.0</v>
      </c>
      <c r="L3139" s="54"/>
      <c r="M3139" s="5" t="s">
        <v>12874</v>
      </c>
      <c r="N3139" s="53" t="s">
        <v>12875</v>
      </c>
      <c r="O3139">
        <v>40.63935</v>
      </c>
      <c r="P3139">
        <v>22.944606</v>
      </c>
      <c r="Q3139" s="5" t="s">
        <v>1157</v>
      </c>
      <c r="R3139" s="10">
        <f t="shared" si="10"/>
        <v>12</v>
      </c>
      <c r="S3139" s="5" t="s">
        <v>12876</v>
      </c>
      <c r="T3139" s="6" t="s">
        <v>53</v>
      </c>
      <c r="U3139" s="5" t="s">
        <v>3128</v>
      </c>
      <c r="V3139" s="5"/>
    </row>
    <row r="3140" ht="12.75" customHeight="1">
      <c r="A3140" s="5">
        <v>36299.0</v>
      </c>
      <c r="B3140" s="5" t="s">
        <v>1076</v>
      </c>
      <c r="C3140" s="52" t="s">
        <v>50</v>
      </c>
      <c r="D3140" s="5" t="s">
        <v>2852</v>
      </c>
      <c r="E3140" s="7" t="s">
        <v>12877</v>
      </c>
      <c r="F3140" s="5" t="s">
        <v>12679</v>
      </c>
      <c r="G3140" s="5" t="s">
        <v>12847</v>
      </c>
      <c r="H3140" s="5">
        <v>2000.0</v>
      </c>
      <c r="I3140" s="5">
        <v>0.0</v>
      </c>
      <c r="J3140" s="5">
        <v>0.0</v>
      </c>
      <c r="K3140" s="5">
        <v>5.0</v>
      </c>
      <c r="L3140" s="54"/>
      <c r="M3140" s="5" t="s">
        <v>12878</v>
      </c>
      <c r="N3140" s="53" t="s">
        <v>4014</v>
      </c>
      <c r="O3140">
        <v>41.462198</v>
      </c>
      <c r="P3140">
        <v>15.54463</v>
      </c>
      <c r="Q3140" s="5" t="s">
        <v>1225</v>
      </c>
      <c r="R3140" s="10">
        <f t="shared" si="10"/>
        <v>8</v>
      </c>
      <c r="S3140" s="5" t="s">
        <v>12879</v>
      </c>
      <c r="T3140" s="5"/>
      <c r="U3140" s="5" t="s">
        <v>5951</v>
      </c>
      <c r="V3140" s="5" t="s">
        <v>9369</v>
      </c>
    </row>
    <row r="3141" ht="12.75" customHeight="1">
      <c r="A3141" s="5">
        <v>36298.0</v>
      </c>
      <c r="B3141" s="5" t="s">
        <v>1076</v>
      </c>
      <c r="C3141" s="52" t="s">
        <v>50</v>
      </c>
      <c r="D3141" s="5" t="s">
        <v>2852</v>
      </c>
      <c r="E3141" s="7" t="s">
        <v>12877</v>
      </c>
      <c r="F3141" s="5" t="s">
        <v>12679</v>
      </c>
      <c r="G3141" s="5" t="s">
        <v>12847</v>
      </c>
      <c r="H3141" s="5">
        <v>2000.0</v>
      </c>
      <c r="I3141" s="5">
        <v>0.0</v>
      </c>
      <c r="J3141" s="5">
        <v>0.0</v>
      </c>
      <c r="K3141" s="5">
        <v>1.0</v>
      </c>
      <c r="L3141" s="54"/>
      <c r="M3141" s="5" t="s">
        <v>12880</v>
      </c>
      <c r="N3141" s="53" t="s">
        <v>4014</v>
      </c>
      <c r="O3141">
        <v>41.462198</v>
      </c>
      <c r="P3141">
        <v>15.54463</v>
      </c>
      <c r="Q3141" s="5" t="s">
        <v>1225</v>
      </c>
      <c r="R3141" s="10">
        <f t="shared" si="10"/>
        <v>8</v>
      </c>
      <c r="S3141" s="5" t="s">
        <v>12879</v>
      </c>
      <c r="T3141" s="5"/>
      <c r="U3141" s="5" t="s">
        <v>3128</v>
      </c>
      <c r="V3141" s="5"/>
    </row>
    <row r="3142" ht="12.75" customHeight="1">
      <c r="A3142" s="5">
        <v>36300.0</v>
      </c>
      <c r="B3142" s="5" t="s">
        <v>1995</v>
      </c>
      <c r="C3142" s="52" t="s">
        <v>50</v>
      </c>
      <c r="D3142" s="5" t="s">
        <v>2852</v>
      </c>
      <c r="E3142" s="7" t="s">
        <v>12881</v>
      </c>
      <c r="F3142" s="5" t="s">
        <v>12679</v>
      </c>
      <c r="G3142" s="5" t="s">
        <v>12847</v>
      </c>
      <c r="H3142" s="5">
        <v>2000.0</v>
      </c>
      <c r="I3142" s="5">
        <v>0.0</v>
      </c>
      <c r="J3142" s="5">
        <v>0.0</v>
      </c>
      <c r="K3142" s="5">
        <v>1.0</v>
      </c>
      <c r="L3142" s="54"/>
      <c r="M3142" s="5" t="s">
        <v>12882</v>
      </c>
      <c r="N3142" s="53" t="s">
        <v>12883</v>
      </c>
      <c r="O3142">
        <v>50.90793</v>
      </c>
      <c r="P3142">
        <v>4.51349</v>
      </c>
      <c r="Q3142" s="5" t="s">
        <v>1536</v>
      </c>
      <c r="R3142" s="10">
        <f t="shared" si="10"/>
        <v>1</v>
      </c>
      <c r="S3142" s="5" t="s">
        <v>12884</v>
      </c>
      <c r="T3142" s="5"/>
      <c r="U3142" s="5" t="s">
        <v>12885</v>
      </c>
      <c r="V3142" s="5"/>
    </row>
    <row r="3143" ht="12.75" customHeight="1">
      <c r="A3143" s="5">
        <v>36301.0</v>
      </c>
      <c r="B3143" s="5" t="s">
        <v>49</v>
      </c>
      <c r="C3143" s="52" t="s">
        <v>50</v>
      </c>
      <c r="D3143" s="5" t="s">
        <v>2852</v>
      </c>
      <c r="E3143" s="7" t="s">
        <v>12886</v>
      </c>
      <c r="F3143" s="5" t="s">
        <v>12679</v>
      </c>
      <c r="G3143" s="5" t="s">
        <v>12847</v>
      </c>
      <c r="H3143" s="5">
        <v>2000.0</v>
      </c>
      <c r="I3143" s="5">
        <v>0.0</v>
      </c>
      <c r="J3143" s="5">
        <v>0.0</v>
      </c>
      <c r="K3143" s="5">
        <v>1.0</v>
      </c>
      <c r="L3143" s="54"/>
      <c r="M3143" s="5" t="s">
        <v>12887</v>
      </c>
      <c r="N3143" s="53" t="s">
        <v>12888</v>
      </c>
      <c r="O3143">
        <v>53.629738</v>
      </c>
      <c r="P3143">
        <v>13.163799</v>
      </c>
      <c r="Q3143" s="5" t="s">
        <v>1849</v>
      </c>
      <c r="R3143" s="10">
        <f t="shared" si="10"/>
        <v>1</v>
      </c>
      <c r="S3143" s="5" t="s">
        <v>12889</v>
      </c>
      <c r="T3143" s="5"/>
      <c r="U3143" s="5" t="s">
        <v>12227</v>
      </c>
      <c r="V3143" s="5"/>
    </row>
    <row r="3144" ht="12.75" customHeight="1">
      <c r="A3144" s="5">
        <v>36302.0</v>
      </c>
      <c r="B3144" s="5" t="s">
        <v>68</v>
      </c>
      <c r="C3144" s="5" t="s">
        <v>69</v>
      </c>
      <c r="D3144" s="5" t="s">
        <v>2852</v>
      </c>
      <c r="E3144" s="7" t="s">
        <v>12890</v>
      </c>
      <c r="F3144" s="5" t="s">
        <v>12679</v>
      </c>
      <c r="G3144" s="5" t="s">
        <v>12847</v>
      </c>
      <c r="H3144" s="5">
        <v>2000.0</v>
      </c>
      <c r="I3144" s="5">
        <v>0.0</v>
      </c>
      <c r="J3144" s="5">
        <v>0.0</v>
      </c>
      <c r="K3144" s="5">
        <v>9.0</v>
      </c>
      <c r="L3144" s="54"/>
      <c r="M3144" s="5" t="s">
        <v>12891</v>
      </c>
      <c r="N3144" s="53" t="s">
        <v>7081</v>
      </c>
      <c r="O3144">
        <v>32.427908</v>
      </c>
      <c r="P3144">
        <v>53.688046</v>
      </c>
      <c r="Q3144" s="5" t="s">
        <v>470</v>
      </c>
      <c r="R3144" s="10">
        <f t="shared" si="10"/>
        <v>95</v>
      </c>
      <c r="S3144" s="5" t="s">
        <v>12892</v>
      </c>
      <c r="T3144" s="5"/>
      <c r="U3144" s="5" t="s">
        <v>12893</v>
      </c>
      <c r="V3144" s="5"/>
    </row>
    <row r="3145" ht="12.75" customHeight="1">
      <c r="A3145" s="5">
        <v>36303.0</v>
      </c>
      <c r="B3145" s="5" t="s">
        <v>68</v>
      </c>
      <c r="C3145" s="5" t="s">
        <v>69</v>
      </c>
      <c r="D3145" s="5" t="s">
        <v>2614</v>
      </c>
      <c r="E3145" s="7" t="s">
        <v>12894</v>
      </c>
      <c r="F3145" s="5" t="s">
        <v>12679</v>
      </c>
      <c r="G3145" s="5" t="s">
        <v>12847</v>
      </c>
      <c r="H3145" s="5">
        <v>2000.0</v>
      </c>
      <c r="I3145" s="5">
        <v>0.0</v>
      </c>
      <c r="J3145" s="5">
        <v>0.0</v>
      </c>
      <c r="K3145" s="5">
        <v>1.0</v>
      </c>
      <c r="L3145" s="54"/>
      <c r="M3145" s="5" t="s">
        <v>12895</v>
      </c>
      <c r="N3145" s="53" t="s">
        <v>12896</v>
      </c>
      <c r="O3145">
        <v>49.817492</v>
      </c>
      <c r="P3145">
        <v>15.472962</v>
      </c>
      <c r="Q3145" s="5" t="s">
        <v>1476</v>
      </c>
      <c r="R3145" s="10">
        <f t="shared" si="10"/>
        <v>1</v>
      </c>
      <c r="S3145" s="5" t="s">
        <v>12897</v>
      </c>
      <c r="T3145" s="5"/>
      <c r="U3145" s="5" t="s">
        <v>12898</v>
      </c>
      <c r="V3145" s="5" t="s">
        <v>12899</v>
      </c>
    </row>
    <row r="3146" ht="12.75" customHeight="1">
      <c r="A3146" s="5">
        <v>36304.0</v>
      </c>
      <c r="B3146" s="5" t="s">
        <v>3521</v>
      </c>
      <c r="C3146" s="5" t="s">
        <v>62</v>
      </c>
      <c r="D3146" s="5" t="s">
        <v>2852</v>
      </c>
      <c r="E3146" s="7" t="s">
        <v>12900</v>
      </c>
      <c r="F3146" s="5" t="s">
        <v>12679</v>
      </c>
      <c r="G3146" s="5" t="s">
        <v>12847</v>
      </c>
      <c r="H3146" s="5">
        <v>2000.0</v>
      </c>
      <c r="I3146" s="5">
        <v>0.0</v>
      </c>
      <c r="J3146" s="5">
        <v>0.0</v>
      </c>
      <c r="K3146" s="5">
        <v>1.0</v>
      </c>
      <c r="L3146" s="54"/>
      <c r="M3146" s="5" t="s">
        <v>12901</v>
      </c>
      <c r="N3146" s="53" t="s">
        <v>5655</v>
      </c>
      <c r="O3146">
        <v>38.017618</v>
      </c>
      <c r="P3146">
        <v>12.537202</v>
      </c>
      <c r="Q3146" s="5" t="s">
        <v>991</v>
      </c>
      <c r="R3146" s="10">
        <f t="shared" si="10"/>
        <v>5</v>
      </c>
      <c r="S3146" s="5" t="s">
        <v>12902</v>
      </c>
      <c r="T3146" s="6" t="s">
        <v>2130</v>
      </c>
      <c r="U3146" s="5" t="s">
        <v>12903</v>
      </c>
      <c r="V3146" s="5"/>
    </row>
    <row r="3147" ht="12.75" customHeight="1">
      <c r="A3147" s="5">
        <v>36458.0</v>
      </c>
      <c r="B3147" s="5" t="s">
        <v>4108</v>
      </c>
      <c r="C3147" s="5" t="s">
        <v>211</v>
      </c>
      <c r="D3147" s="5" t="s">
        <v>2852</v>
      </c>
      <c r="E3147" s="7" t="s">
        <v>12904</v>
      </c>
      <c r="F3147" s="5" t="s">
        <v>12574</v>
      </c>
      <c r="G3147" s="5" t="s">
        <v>12905</v>
      </c>
      <c r="H3147" s="5">
        <v>2000.0</v>
      </c>
      <c r="I3147" s="5">
        <v>0.0</v>
      </c>
      <c r="J3147" s="5">
        <v>0.0</v>
      </c>
      <c r="K3147" s="5">
        <v>1.0</v>
      </c>
      <c r="L3147" s="54"/>
      <c r="M3147" s="5" t="s">
        <v>12906</v>
      </c>
      <c r="N3147" s="53" t="s">
        <v>6857</v>
      </c>
      <c r="O3147">
        <v>50.110922</v>
      </c>
      <c r="P3147">
        <v>8.682127</v>
      </c>
      <c r="Q3147" s="5" t="s">
        <v>1485</v>
      </c>
      <c r="R3147" s="10">
        <f t="shared" si="10"/>
        <v>6</v>
      </c>
      <c r="S3147" s="5" t="s">
        <v>12907</v>
      </c>
      <c r="T3147" s="5"/>
      <c r="U3147" s="5" t="s">
        <v>4578</v>
      </c>
      <c r="V3147" s="5"/>
    </row>
    <row r="3148" ht="12.75" customHeight="1">
      <c r="A3148" s="5">
        <v>36459.0</v>
      </c>
      <c r="B3148" s="5" t="s">
        <v>2962</v>
      </c>
      <c r="C3148" s="5" t="s">
        <v>211</v>
      </c>
      <c r="D3148" s="5" t="s">
        <v>2852</v>
      </c>
      <c r="E3148" s="7" t="s">
        <v>12908</v>
      </c>
      <c r="F3148" s="5" t="s">
        <v>12574</v>
      </c>
      <c r="G3148" s="5" t="s">
        <v>12905</v>
      </c>
      <c r="H3148" s="5">
        <v>2000.0</v>
      </c>
      <c r="I3148" s="5">
        <v>0.0</v>
      </c>
      <c r="J3148" s="5">
        <v>0.0</v>
      </c>
      <c r="K3148" s="5">
        <v>1.0</v>
      </c>
      <c r="L3148" s="54"/>
      <c r="M3148" s="5" t="s">
        <v>12909</v>
      </c>
      <c r="N3148" s="53" t="s">
        <v>12910</v>
      </c>
      <c r="O3148">
        <v>47.764064</v>
      </c>
      <c r="P3148">
        <v>8.853396</v>
      </c>
      <c r="Q3148" s="5" t="s">
        <v>1397</v>
      </c>
      <c r="R3148" s="10">
        <f t="shared" si="10"/>
        <v>1</v>
      </c>
      <c r="S3148" s="5" t="s">
        <v>12911</v>
      </c>
      <c r="T3148" s="5"/>
      <c r="U3148" s="5" t="s">
        <v>4578</v>
      </c>
      <c r="V3148" s="5"/>
    </row>
    <row r="3149" ht="12.75" customHeight="1">
      <c r="A3149" s="5">
        <v>36460.0</v>
      </c>
      <c r="B3149" s="5" t="s">
        <v>2902</v>
      </c>
      <c r="C3149" s="5" t="s">
        <v>211</v>
      </c>
      <c r="D3149" s="5" t="s">
        <v>2852</v>
      </c>
      <c r="E3149" s="7" t="s">
        <v>12912</v>
      </c>
      <c r="F3149" s="5" t="s">
        <v>12574</v>
      </c>
      <c r="G3149" s="5" t="s">
        <v>12905</v>
      </c>
      <c r="H3149" s="5">
        <v>2000.0</v>
      </c>
      <c r="I3149" s="5">
        <v>0.0</v>
      </c>
      <c r="J3149" s="5">
        <v>0.0</v>
      </c>
      <c r="K3149" s="5">
        <v>1.0</v>
      </c>
      <c r="L3149" s="54"/>
      <c r="M3149" s="5" t="s">
        <v>12913</v>
      </c>
      <c r="N3149" s="53" t="s">
        <v>8384</v>
      </c>
      <c r="O3149">
        <v>51.487453</v>
      </c>
      <c r="P3149">
        <v>-0.475554</v>
      </c>
      <c r="Q3149" s="5" t="s">
        <v>1655</v>
      </c>
      <c r="R3149" s="10">
        <f t="shared" si="10"/>
        <v>4</v>
      </c>
      <c r="S3149" s="5" t="s">
        <v>12914</v>
      </c>
      <c r="T3149" s="5"/>
      <c r="U3149" s="5" t="s">
        <v>11254</v>
      </c>
      <c r="V3149" s="5"/>
    </row>
    <row r="3150" ht="12.75" customHeight="1">
      <c r="A3150" s="5">
        <v>36461.0</v>
      </c>
      <c r="B3150" s="5" t="s">
        <v>2902</v>
      </c>
      <c r="C3150" s="5" t="s">
        <v>211</v>
      </c>
      <c r="D3150" s="5" t="s">
        <v>2852</v>
      </c>
      <c r="E3150" s="7" t="s">
        <v>12915</v>
      </c>
      <c r="F3150" s="5" t="s">
        <v>12574</v>
      </c>
      <c r="G3150" s="5" t="s">
        <v>12905</v>
      </c>
      <c r="H3150" s="5">
        <v>2000.0</v>
      </c>
      <c r="I3150" s="5">
        <v>0.0</v>
      </c>
      <c r="J3150" s="5">
        <v>0.0</v>
      </c>
      <c r="K3150" s="5">
        <v>1.0</v>
      </c>
      <c r="L3150" s="54"/>
      <c r="M3150" s="5" t="s">
        <v>12916</v>
      </c>
      <c r="N3150" s="53" t="s">
        <v>12917</v>
      </c>
      <c r="O3150">
        <v>48.539225</v>
      </c>
      <c r="P3150">
        <v>12.145922</v>
      </c>
      <c r="Q3150" s="5" t="s">
        <v>1423</v>
      </c>
      <c r="R3150" s="10">
        <f t="shared" si="10"/>
        <v>1</v>
      </c>
      <c r="S3150" s="5" t="s">
        <v>12918</v>
      </c>
      <c r="T3150" s="5"/>
      <c r="U3150" s="5" t="s">
        <v>12919</v>
      </c>
      <c r="V3150" s="5"/>
    </row>
    <row r="3151" ht="12.75" customHeight="1">
      <c r="A3151" s="5">
        <v>36462.0</v>
      </c>
      <c r="B3151" s="5" t="s">
        <v>636</v>
      </c>
      <c r="C3151" s="52" t="s">
        <v>50</v>
      </c>
      <c r="D3151" s="5" t="s">
        <v>2852</v>
      </c>
      <c r="E3151" s="7" t="s">
        <v>12920</v>
      </c>
      <c r="F3151" s="5" t="s">
        <v>12574</v>
      </c>
      <c r="G3151" s="5" t="s">
        <v>12905</v>
      </c>
      <c r="H3151" s="5">
        <v>2000.0</v>
      </c>
      <c r="I3151" s="5">
        <v>0.0</v>
      </c>
      <c r="J3151" s="5">
        <v>0.0</v>
      </c>
      <c r="K3151" s="5">
        <v>2.0</v>
      </c>
      <c r="L3151" s="54"/>
      <c r="M3151" s="5" t="s">
        <v>12921</v>
      </c>
      <c r="N3151" s="53" t="s">
        <v>8124</v>
      </c>
      <c r="O3151">
        <v>42.733883</v>
      </c>
      <c r="P3151">
        <v>25.48583</v>
      </c>
      <c r="Q3151" s="5" t="s">
        <v>1261</v>
      </c>
      <c r="R3151" s="10">
        <f t="shared" si="10"/>
        <v>13</v>
      </c>
      <c r="S3151" s="5" t="s">
        <v>12922</v>
      </c>
      <c r="T3151" s="6" t="s">
        <v>53</v>
      </c>
      <c r="U3151" s="5" t="s">
        <v>3128</v>
      </c>
      <c r="V3151" s="5" t="s">
        <v>7579</v>
      </c>
    </row>
    <row r="3152" ht="12.75" customHeight="1">
      <c r="A3152" s="5">
        <v>36464.0</v>
      </c>
      <c r="B3152" s="5" t="s">
        <v>49</v>
      </c>
      <c r="C3152" s="52" t="s">
        <v>50</v>
      </c>
      <c r="D3152" s="5" t="s">
        <v>2852</v>
      </c>
      <c r="E3152" s="7" t="s">
        <v>12923</v>
      </c>
      <c r="F3152" s="5" t="s">
        <v>12574</v>
      </c>
      <c r="G3152" s="5" t="s">
        <v>12905</v>
      </c>
      <c r="H3152" s="5">
        <v>2000.0</v>
      </c>
      <c r="I3152" s="5">
        <v>0.0</v>
      </c>
      <c r="J3152" s="5">
        <v>0.0</v>
      </c>
      <c r="K3152" s="5">
        <v>1.0</v>
      </c>
      <c r="L3152" s="54"/>
      <c r="M3152" s="5" t="s">
        <v>12924</v>
      </c>
      <c r="N3152" s="53" t="s">
        <v>6308</v>
      </c>
      <c r="O3152">
        <v>28.009757</v>
      </c>
      <c r="P3152">
        <v>-15.53205</v>
      </c>
      <c r="Q3152" s="5" t="s">
        <v>366</v>
      </c>
      <c r="R3152" s="10">
        <f t="shared" si="10"/>
        <v>5</v>
      </c>
      <c r="S3152" s="5" t="s">
        <v>12925</v>
      </c>
      <c r="T3152" s="5" t="s">
        <v>1040</v>
      </c>
      <c r="U3152" s="5" t="s">
        <v>12391</v>
      </c>
      <c r="V3152" s="5" t="s">
        <v>9471</v>
      </c>
    </row>
    <row r="3153" ht="12.75" customHeight="1">
      <c r="A3153" s="5">
        <v>36463.0</v>
      </c>
      <c r="B3153" s="5" t="s">
        <v>3521</v>
      </c>
      <c r="C3153" s="5" t="s">
        <v>62</v>
      </c>
      <c r="D3153" s="5" t="s">
        <v>2852</v>
      </c>
      <c r="E3153" s="7" t="s">
        <v>12923</v>
      </c>
      <c r="F3153" s="5" t="s">
        <v>12574</v>
      </c>
      <c r="G3153" s="5" t="s">
        <v>12905</v>
      </c>
      <c r="H3153" s="5">
        <v>2000.0</v>
      </c>
      <c r="I3153" s="5">
        <v>0.0</v>
      </c>
      <c r="J3153" s="5">
        <v>0.0</v>
      </c>
      <c r="K3153" s="5">
        <v>1.0</v>
      </c>
      <c r="L3153" s="54"/>
      <c r="M3153" s="5" t="s">
        <v>12926</v>
      </c>
      <c r="N3153" s="53" t="s">
        <v>12351</v>
      </c>
      <c r="O3153">
        <v>38.017618</v>
      </c>
      <c r="P3153">
        <v>12.537202</v>
      </c>
      <c r="Q3153" s="5" t="s">
        <v>991</v>
      </c>
      <c r="R3153" s="10">
        <f t="shared" si="10"/>
        <v>5</v>
      </c>
      <c r="S3153" s="5" t="s">
        <v>12927</v>
      </c>
      <c r="T3153" s="6" t="s">
        <v>2130</v>
      </c>
      <c r="U3153" s="5" t="s">
        <v>12353</v>
      </c>
      <c r="V3153" s="5"/>
    </row>
    <row r="3154" ht="12.75" customHeight="1">
      <c r="A3154" s="5">
        <v>36465.0</v>
      </c>
      <c r="B3154" s="5" t="s">
        <v>49</v>
      </c>
      <c r="C3154" s="52" t="s">
        <v>50</v>
      </c>
      <c r="D3154" s="5" t="s">
        <v>2852</v>
      </c>
      <c r="E3154" s="7" t="s">
        <v>12923</v>
      </c>
      <c r="F3154" s="5" t="s">
        <v>12574</v>
      </c>
      <c r="G3154" s="5" t="s">
        <v>12905</v>
      </c>
      <c r="H3154" s="5">
        <v>2000.0</v>
      </c>
      <c r="I3154" s="5">
        <v>0.0</v>
      </c>
      <c r="J3154" s="5">
        <v>0.0</v>
      </c>
      <c r="K3154" s="5">
        <v>1.0</v>
      </c>
      <c r="L3154" s="54"/>
      <c r="M3154" s="5" t="s">
        <v>12928</v>
      </c>
      <c r="N3154" s="53" t="s">
        <v>9302</v>
      </c>
      <c r="O3154">
        <v>44.40565</v>
      </c>
      <c r="P3154">
        <v>8.946256</v>
      </c>
      <c r="Q3154" s="5" t="s">
        <v>1294</v>
      </c>
      <c r="R3154" s="10">
        <f t="shared" si="10"/>
        <v>4</v>
      </c>
      <c r="S3154" s="5" t="s">
        <v>12929</v>
      </c>
      <c r="T3154" s="5"/>
      <c r="U3154" s="5" t="s">
        <v>12391</v>
      </c>
      <c r="V3154" s="5" t="s">
        <v>9471</v>
      </c>
    </row>
    <row r="3155" ht="12.75" customHeight="1">
      <c r="A3155" s="5">
        <v>36469.0</v>
      </c>
      <c r="B3155" s="5" t="s">
        <v>49</v>
      </c>
      <c r="C3155" s="52" t="s">
        <v>50</v>
      </c>
      <c r="D3155" s="5" t="s">
        <v>2852</v>
      </c>
      <c r="E3155" s="7" t="s">
        <v>12930</v>
      </c>
      <c r="F3155" s="5" t="s">
        <v>12574</v>
      </c>
      <c r="G3155" s="5" t="s">
        <v>12905</v>
      </c>
      <c r="H3155" s="5">
        <v>2000.0</v>
      </c>
      <c r="I3155" s="5">
        <v>0.0</v>
      </c>
      <c r="J3155" s="5">
        <v>0.0</v>
      </c>
      <c r="K3155" s="5">
        <v>1.0</v>
      </c>
      <c r="L3155" s="54"/>
      <c r="M3155" s="5" t="s">
        <v>12931</v>
      </c>
      <c r="N3155" s="53" t="s">
        <v>2638</v>
      </c>
      <c r="O3155">
        <v>35.888384</v>
      </c>
      <c r="P3155">
        <v>-5.324636</v>
      </c>
      <c r="Q3155" s="5" t="s">
        <v>717</v>
      </c>
      <c r="R3155" s="10">
        <f t="shared" si="10"/>
        <v>213</v>
      </c>
      <c r="S3155" s="5" t="s">
        <v>12932</v>
      </c>
      <c r="T3155" s="6" t="s">
        <v>72</v>
      </c>
      <c r="U3155" s="5" t="s">
        <v>12244</v>
      </c>
      <c r="V3155" s="5"/>
    </row>
    <row r="3156" ht="12.75" customHeight="1">
      <c r="A3156" s="5">
        <v>36468.0</v>
      </c>
      <c r="B3156" s="5" t="s">
        <v>49</v>
      </c>
      <c r="C3156" s="52" t="s">
        <v>50</v>
      </c>
      <c r="D3156" s="5" t="s">
        <v>2852</v>
      </c>
      <c r="E3156" s="7" t="s">
        <v>12930</v>
      </c>
      <c r="F3156" s="5" t="s">
        <v>12574</v>
      </c>
      <c r="G3156" s="5" t="s">
        <v>12905</v>
      </c>
      <c r="H3156" s="5">
        <v>2000.0</v>
      </c>
      <c r="I3156" s="5">
        <v>0.0</v>
      </c>
      <c r="J3156" s="5">
        <v>0.0</v>
      </c>
      <c r="K3156" s="5">
        <v>3.0</v>
      </c>
      <c r="L3156" s="54"/>
      <c r="M3156" s="5" t="s">
        <v>12933</v>
      </c>
      <c r="N3156" s="53" t="s">
        <v>2638</v>
      </c>
      <c r="O3156">
        <v>35.888384</v>
      </c>
      <c r="P3156">
        <v>-5.324636</v>
      </c>
      <c r="Q3156" s="5" t="s">
        <v>717</v>
      </c>
      <c r="R3156" s="10">
        <f t="shared" si="10"/>
        <v>213</v>
      </c>
      <c r="S3156" s="5" t="s">
        <v>12932</v>
      </c>
      <c r="T3156" s="6" t="s">
        <v>72</v>
      </c>
      <c r="U3156" s="5" t="s">
        <v>12934</v>
      </c>
      <c r="V3156" s="5"/>
    </row>
    <row r="3157" ht="12.75" customHeight="1">
      <c r="A3157" s="5">
        <v>36467.0</v>
      </c>
      <c r="B3157" s="5" t="s">
        <v>2025</v>
      </c>
      <c r="C3157" s="52" t="s">
        <v>50</v>
      </c>
      <c r="D3157" s="5" t="s">
        <v>2852</v>
      </c>
      <c r="E3157" s="7" t="s">
        <v>12930</v>
      </c>
      <c r="F3157" s="5" t="s">
        <v>12574</v>
      </c>
      <c r="G3157" s="5" t="s">
        <v>12905</v>
      </c>
      <c r="H3157" s="5">
        <v>2000.0</v>
      </c>
      <c r="I3157" s="5">
        <v>0.0</v>
      </c>
      <c r="J3157" s="5">
        <v>0.0</v>
      </c>
      <c r="K3157" s="5">
        <v>1.0</v>
      </c>
      <c r="L3157" s="54"/>
      <c r="M3157" s="5" t="s">
        <v>12935</v>
      </c>
      <c r="N3157" s="53" t="s">
        <v>12936</v>
      </c>
      <c r="O3157">
        <v>50.394047</v>
      </c>
      <c r="P3157">
        <v>49.21875</v>
      </c>
      <c r="Q3157" s="5" t="s">
        <v>1489</v>
      </c>
      <c r="R3157" s="10">
        <f t="shared" si="10"/>
        <v>1</v>
      </c>
      <c r="S3157" s="5" t="s">
        <v>12937</v>
      </c>
      <c r="T3157" s="5"/>
      <c r="U3157" s="5" t="s">
        <v>3128</v>
      </c>
      <c r="V3157" s="5"/>
    </row>
    <row r="3158" ht="12.75" customHeight="1">
      <c r="A3158" s="5">
        <v>36470.0</v>
      </c>
      <c r="B3158" s="5" t="s">
        <v>1995</v>
      </c>
      <c r="C3158" s="52" t="s">
        <v>50</v>
      </c>
      <c r="D3158" s="5" t="s">
        <v>2852</v>
      </c>
      <c r="E3158" s="7" t="s">
        <v>12930</v>
      </c>
      <c r="F3158" s="5" t="s">
        <v>12574</v>
      </c>
      <c r="G3158" s="5" t="s">
        <v>12905</v>
      </c>
      <c r="H3158" s="5">
        <v>2000.0</v>
      </c>
      <c r="I3158" s="5">
        <v>0.0</v>
      </c>
      <c r="J3158" s="5">
        <v>0.0</v>
      </c>
      <c r="K3158" s="5">
        <v>1.0</v>
      </c>
      <c r="L3158" s="54"/>
      <c r="M3158" s="5" t="s">
        <v>12938</v>
      </c>
      <c r="N3158" s="53" t="s">
        <v>3412</v>
      </c>
      <c r="O3158">
        <v>52.370216</v>
      </c>
      <c r="P3158">
        <v>4.895168</v>
      </c>
      <c r="Q3158" s="5" t="s">
        <v>1753</v>
      </c>
      <c r="R3158" s="10">
        <f t="shared" si="10"/>
        <v>14</v>
      </c>
      <c r="S3158" s="5" t="s">
        <v>12939</v>
      </c>
      <c r="T3158" s="5"/>
      <c r="U3158" s="5" t="s">
        <v>4492</v>
      </c>
      <c r="V3158" s="5"/>
    </row>
    <row r="3159" ht="12.75" customHeight="1">
      <c r="A3159" s="5">
        <v>36466.0</v>
      </c>
      <c r="B3159" s="5" t="s">
        <v>2962</v>
      </c>
      <c r="C3159" s="5" t="s">
        <v>211</v>
      </c>
      <c r="D3159" s="5" t="s">
        <v>2852</v>
      </c>
      <c r="E3159" s="7" t="s">
        <v>12930</v>
      </c>
      <c r="F3159" s="5" t="s">
        <v>12574</v>
      </c>
      <c r="G3159" s="5" t="s">
        <v>12905</v>
      </c>
      <c r="H3159" s="5">
        <v>2000.0</v>
      </c>
      <c r="I3159" s="5">
        <v>0.0</v>
      </c>
      <c r="J3159" s="5">
        <v>0.0</v>
      </c>
      <c r="K3159" s="5">
        <v>1.0</v>
      </c>
      <c r="L3159" s="54"/>
      <c r="M3159" s="5" t="s">
        <v>12940</v>
      </c>
      <c r="N3159" s="53" t="s">
        <v>9511</v>
      </c>
      <c r="O3159">
        <v>59.32893</v>
      </c>
      <c r="P3159">
        <v>18.06491</v>
      </c>
      <c r="Q3159" s="5" t="s">
        <v>1908</v>
      </c>
      <c r="R3159" s="10">
        <f t="shared" si="10"/>
        <v>5</v>
      </c>
      <c r="S3159" s="5" t="s">
        <v>12941</v>
      </c>
      <c r="T3159" s="5"/>
      <c r="U3159" s="5" t="s">
        <v>12942</v>
      </c>
      <c r="V3159" s="5"/>
    </row>
    <row r="3160" ht="12.75" customHeight="1">
      <c r="A3160" s="5">
        <v>36471.0</v>
      </c>
      <c r="B3160" s="5" t="s">
        <v>1076</v>
      </c>
      <c r="C3160" s="52" t="s">
        <v>50</v>
      </c>
      <c r="D3160" s="5" t="s">
        <v>2852</v>
      </c>
      <c r="E3160" s="7" t="s">
        <v>12930</v>
      </c>
      <c r="F3160" s="5" t="s">
        <v>12574</v>
      </c>
      <c r="G3160" s="5" t="s">
        <v>12905</v>
      </c>
      <c r="H3160" s="5">
        <v>2000.0</v>
      </c>
      <c r="I3160" s="5">
        <v>0.0</v>
      </c>
      <c r="J3160" s="5">
        <v>0.0</v>
      </c>
      <c r="K3160" s="5">
        <v>1.0</v>
      </c>
      <c r="L3160" s="54"/>
      <c r="M3160" s="5" t="s">
        <v>12943</v>
      </c>
      <c r="N3160" s="53" t="s">
        <v>3966</v>
      </c>
      <c r="O3160">
        <v>60.128161</v>
      </c>
      <c r="P3160">
        <v>18.643501</v>
      </c>
      <c r="Q3160" s="5" t="s">
        <v>1915</v>
      </c>
      <c r="R3160" s="10">
        <f t="shared" si="10"/>
        <v>5</v>
      </c>
      <c r="S3160" s="5" t="s">
        <v>12944</v>
      </c>
      <c r="T3160" s="5"/>
      <c r="U3160" s="5" t="s">
        <v>3128</v>
      </c>
      <c r="V3160" s="5"/>
    </row>
    <row r="3161" ht="12.75" customHeight="1">
      <c r="A3161" s="5">
        <v>36474.0</v>
      </c>
      <c r="B3161" s="5" t="s">
        <v>49</v>
      </c>
      <c r="C3161" s="52" t="s">
        <v>50</v>
      </c>
      <c r="D3161" s="5" t="s">
        <v>2852</v>
      </c>
      <c r="E3161" s="7" t="s">
        <v>12945</v>
      </c>
      <c r="F3161" s="5" t="s">
        <v>12574</v>
      </c>
      <c r="G3161" s="5" t="s">
        <v>12905</v>
      </c>
      <c r="H3161" s="5">
        <v>2000.0</v>
      </c>
      <c r="I3161" s="5">
        <v>0.0</v>
      </c>
      <c r="J3161" s="5">
        <v>0.0</v>
      </c>
      <c r="K3161" s="5">
        <v>1.0</v>
      </c>
      <c r="L3161" s="54"/>
      <c r="M3161" s="5" t="s">
        <v>12946</v>
      </c>
      <c r="N3161" s="53" t="s">
        <v>2680</v>
      </c>
      <c r="O3161">
        <v>36.018776</v>
      </c>
      <c r="P3161">
        <v>-5.600819</v>
      </c>
      <c r="Q3161" s="5" t="s">
        <v>761</v>
      </c>
      <c r="R3161" s="10">
        <f t="shared" si="10"/>
        <v>492</v>
      </c>
      <c r="S3161" s="5" t="s">
        <v>12947</v>
      </c>
      <c r="T3161" s="6" t="s">
        <v>72</v>
      </c>
      <c r="U3161" s="5" t="s">
        <v>3128</v>
      </c>
      <c r="V3161" s="5"/>
    </row>
    <row r="3162" ht="12.75" customHeight="1">
      <c r="A3162" s="5">
        <v>36473.0</v>
      </c>
      <c r="B3162" s="5" t="s">
        <v>49</v>
      </c>
      <c r="C3162" s="52" t="s">
        <v>50</v>
      </c>
      <c r="D3162" s="5" t="s">
        <v>2852</v>
      </c>
      <c r="E3162" s="7" t="s">
        <v>12945</v>
      </c>
      <c r="F3162" s="5" t="s">
        <v>12574</v>
      </c>
      <c r="G3162" s="5" t="s">
        <v>12905</v>
      </c>
      <c r="H3162" s="5">
        <v>2000.0</v>
      </c>
      <c r="I3162" s="5">
        <v>0.0</v>
      </c>
      <c r="J3162" s="5">
        <v>0.0</v>
      </c>
      <c r="K3162" s="5">
        <v>2.0</v>
      </c>
      <c r="L3162" s="54"/>
      <c r="M3162" s="5" t="s">
        <v>12948</v>
      </c>
      <c r="N3162" s="53" t="s">
        <v>12949</v>
      </c>
      <c r="O3162">
        <v>36.828221</v>
      </c>
      <c r="P3162">
        <v>11.940496</v>
      </c>
      <c r="Q3162" s="5" t="s">
        <v>857</v>
      </c>
      <c r="R3162" s="10">
        <f t="shared" si="10"/>
        <v>37</v>
      </c>
      <c r="S3162" s="5" t="s">
        <v>12950</v>
      </c>
      <c r="T3162" s="6" t="s">
        <v>2130</v>
      </c>
      <c r="U3162" s="5" t="s">
        <v>3219</v>
      </c>
      <c r="V3162" s="5"/>
    </row>
    <row r="3163" ht="12.75" customHeight="1">
      <c r="A3163" s="5">
        <v>36475.0</v>
      </c>
      <c r="B3163" s="5" t="s">
        <v>41</v>
      </c>
      <c r="C3163" s="5" t="s">
        <v>42</v>
      </c>
      <c r="D3163" s="5" t="s">
        <v>2852</v>
      </c>
      <c r="E3163" s="7" t="s">
        <v>12945</v>
      </c>
      <c r="F3163" s="5" t="s">
        <v>12574</v>
      </c>
      <c r="G3163" s="5" t="s">
        <v>12905</v>
      </c>
      <c r="H3163" s="5">
        <v>2000.0</v>
      </c>
      <c r="I3163" s="5">
        <v>0.0</v>
      </c>
      <c r="J3163" s="5">
        <v>0.0</v>
      </c>
      <c r="K3163" s="5">
        <v>1.0</v>
      </c>
      <c r="L3163" s="54"/>
      <c r="M3163" s="5" t="s">
        <v>12951</v>
      </c>
      <c r="N3163" s="53" t="s">
        <v>10686</v>
      </c>
      <c r="O3163">
        <v>40.519269</v>
      </c>
      <c r="P3163">
        <v>21.268717</v>
      </c>
      <c r="Q3163" s="5" t="s">
        <v>1150</v>
      </c>
      <c r="R3163" s="10">
        <f t="shared" si="10"/>
        <v>4</v>
      </c>
      <c r="S3163" s="5" t="s">
        <v>12952</v>
      </c>
      <c r="T3163" s="5"/>
      <c r="U3163" s="5" t="s">
        <v>12953</v>
      </c>
      <c r="V3163" s="5"/>
    </row>
    <row r="3164" ht="12.75" customHeight="1">
      <c r="A3164" s="5">
        <v>36476.0</v>
      </c>
      <c r="B3164" s="5" t="s">
        <v>41</v>
      </c>
      <c r="C3164" s="5" t="s">
        <v>42</v>
      </c>
      <c r="D3164" s="5" t="s">
        <v>2852</v>
      </c>
      <c r="E3164" s="7" t="s">
        <v>12945</v>
      </c>
      <c r="F3164" s="5" t="s">
        <v>12574</v>
      </c>
      <c r="G3164" s="5" t="s">
        <v>12905</v>
      </c>
      <c r="H3164" s="5">
        <v>2000.0</v>
      </c>
      <c r="I3164" s="5">
        <v>0.0</v>
      </c>
      <c r="J3164" s="5">
        <v>0.0</v>
      </c>
      <c r="K3164" s="5">
        <v>1.0</v>
      </c>
      <c r="L3164" s="54"/>
      <c r="M3164" s="5" t="s">
        <v>12954</v>
      </c>
      <c r="N3164" s="53" t="s">
        <v>12955</v>
      </c>
      <c r="O3164">
        <v>40.784526</v>
      </c>
      <c r="P3164">
        <v>21.413122</v>
      </c>
      <c r="Q3164" s="5" t="s">
        <v>1160</v>
      </c>
      <c r="R3164" s="10">
        <f t="shared" si="10"/>
        <v>1</v>
      </c>
      <c r="S3164" s="5" t="s">
        <v>12956</v>
      </c>
      <c r="T3164" s="5"/>
      <c r="U3164" s="5" t="s">
        <v>3128</v>
      </c>
      <c r="V3164" s="5"/>
    </row>
    <row r="3165" ht="12.75" customHeight="1">
      <c r="A3165" s="5">
        <v>36472.0</v>
      </c>
      <c r="B3165" s="5" t="s">
        <v>763</v>
      </c>
      <c r="C3165" s="5" t="s">
        <v>124</v>
      </c>
      <c r="D3165" s="5" t="s">
        <v>2852</v>
      </c>
      <c r="E3165" s="7" t="s">
        <v>12945</v>
      </c>
      <c r="F3165" s="5" t="s">
        <v>12574</v>
      </c>
      <c r="G3165" s="5" t="s">
        <v>12905</v>
      </c>
      <c r="H3165" s="5">
        <v>2000.0</v>
      </c>
      <c r="I3165" s="5">
        <v>0.0</v>
      </c>
      <c r="J3165" s="5">
        <v>0.0</v>
      </c>
      <c r="K3165" s="5">
        <v>1.0</v>
      </c>
      <c r="L3165" s="54"/>
      <c r="M3165" s="5" t="s">
        <v>12957</v>
      </c>
      <c r="N3165" s="53" t="s">
        <v>12958</v>
      </c>
      <c r="O3165">
        <v>50.155257</v>
      </c>
      <c r="P3165">
        <v>7.783938</v>
      </c>
      <c r="Q3165" s="5" t="s">
        <v>1488</v>
      </c>
      <c r="R3165" s="10">
        <f t="shared" si="10"/>
        <v>1</v>
      </c>
      <c r="S3165" s="5" t="s">
        <v>12959</v>
      </c>
      <c r="T3165" s="5"/>
      <c r="U3165" s="5" t="s">
        <v>4578</v>
      </c>
      <c r="V3165" s="5"/>
    </row>
    <row r="3166" ht="12.75" customHeight="1">
      <c r="A3166" s="5">
        <v>36477.0</v>
      </c>
      <c r="B3166" s="5" t="s">
        <v>5200</v>
      </c>
      <c r="C3166" s="5" t="s">
        <v>124</v>
      </c>
      <c r="D3166" s="5" t="s">
        <v>2852</v>
      </c>
      <c r="E3166" s="7" t="s">
        <v>12960</v>
      </c>
      <c r="F3166" s="5" t="s">
        <v>12574</v>
      </c>
      <c r="G3166" s="5" t="s">
        <v>12905</v>
      </c>
      <c r="H3166" s="5">
        <v>2000.0</v>
      </c>
      <c r="I3166" s="5">
        <v>0.0</v>
      </c>
      <c r="J3166" s="5">
        <v>0.0</v>
      </c>
      <c r="K3166" s="5">
        <v>2.0</v>
      </c>
      <c r="L3166" s="54"/>
      <c r="M3166" s="5" t="s">
        <v>12961</v>
      </c>
      <c r="N3166" s="53" t="s">
        <v>12215</v>
      </c>
      <c r="O3166">
        <v>39.864207</v>
      </c>
      <c r="P3166">
        <v>20.792365</v>
      </c>
      <c r="Q3166" s="5" t="s">
        <v>1111</v>
      </c>
      <c r="R3166" s="10">
        <f t="shared" si="10"/>
        <v>5</v>
      </c>
      <c r="S3166" s="5" t="s">
        <v>12962</v>
      </c>
      <c r="T3166" s="5" t="s">
        <v>1965</v>
      </c>
      <c r="U3166" s="5" t="s">
        <v>3128</v>
      </c>
      <c r="V3166" s="5" t="s">
        <v>7579</v>
      </c>
    </row>
    <row r="3167" ht="12.75" customHeight="1">
      <c r="A3167" s="5">
        <v>36479.0</v>
      </c>
      <c r="B3167" s="5" t="s">
        <v>49</v>
      </c>
      <c r="C3167" s="52" t="s">
        <v>50</v>
      </c>
      <c r="D3167" s="5" t="s">
        <v>2852</v>
      </c>
      <c r="E3167" s="7" t="s">
        <v>12963</v>
      </c>
      <c r="F3167" s="5" t="s">
        <v>12574</v>
      </c>
      <c r="G3167" s="5" t="s">
        <v>12905</v>
      </c>
      <c r="H3167" s="5">
        <v>2000.0</v>
      </c>
      <c r="I3167" s="5">
        <v>0.0</v>
      </c>
      <c r="J3167" s="5">
        <v>0.0</v>
      </c>
      <c r="K3167" s="5">
        <v>1.0</v>
      </c>
      <c r="L3167" s="54"/>
      <c r="M3167" s="5" t="s">
        <v>12964</v>
      </c>
      <c r="N3167" s="53" t="s">
        <v>4054</v>
      </c>
      <c r="O3167">
        <v>35.964373</v>
      </c>
      <c r="P3167">
        <v>-5.196533</v>
      </c>
      <c r="Q3167" s="5" t="s">
        <v>744</v>
      </c>
      <c r="R3167" s="10">
        <f t="shared" si="10"/>
        <v>63</v>
      </c>
      <c r="S3167" s="5" t="s">
        <v>12965</v>
      </c>
      <c r="T3167" s="6" t="s">
        <v>72</v>
      </c>
      <c r="U3167" s="5" t="s">
        <v>3128</v>
      </c>
      <c r="V3167" s="5"/>
    </row>
    <row r="3168" ht="12.75" customHeight="1">
      <c r="A3168" s="5">
        <v>36478.0</v>
      </c>
      <c r="B3168" s="5" t="s">
        <v>49</v>
      </c>
      <c r="C3168" s="52" t="s">
        <v>50</v>
      </c>
      <c r="D3168" s="5" t="s">
        <v>2852</v>
      </c>
      <c r="E3168" s="7" t="s">
        <v>12963</v>
      </c>
      <c r="F3168" s="5" t="s">
        <v>12574</v>
      </c>
      <c r="G3168" s="5" t="s">
        <v>12905</v>
      </c>
      <c r="H3168" s="5">
        <v>2000.0</v>
      </c>
      <c r="I3168" s="5">
        <v>0.0</v>
      </c>
      <c r="J3168" s="5">
        <v>0.0</v>
      </c>
      <c r="K3168" s="5">
        <v>24.0</v>
      </c>
      <c r="L3168" s="54"/>
      <c r="M3168" s="5" t="s">
        <v>12966</v>
      </c>
      <c r="N3168" s="53" t="s">
        <v>6113</v>
      </c>
      <c r="O3168">
        <v>37.075546</v>
      </c>
      <c r="P3168">
        <v>25.520736</v>
      </c>
      <c r="Q3168" s="5" t="s">
        <v>899</v>
      </c>
      <c r="R3168" s="10">
        <f t="shared" si="10"/>
        <v>70</v>
      </c>
      <c r="S3168" s="5" t="s">
        <v>12967</v>
      </c>
      <c r="T3168" s="6" t="s">
        <v>53</v>
      </c>
      <c r="U3168" s="5" t="s">
        <v>12968</v>
      </c>
      <c r="V3168" s="5"/>
    </row>
    <row r="3169" ht="12.75" customHeight="1">
      <c r="A3169" s="5">
        <v>36481.0</v>
      </c>
      <c r="B3169" s="5" t="s">
        <v>49</v>
      </c>
      <c r="C3169" s="52" t="s">
        <v>50</v>
      </c>
      <c r="D3169" s="5" t="s">
        <v>2852</v>
      </c>
      <c r="E3169" s="7" t="s">
        <v>12969</v>
      </c>
      <c r="F3169" s="5" t="s">
        <v>12574</v>
      </c>
      <c r="G3169" s="5" t="s">
        <v>12905</v>
      </c>
      <c r="H3169" s="5">
        <v>2000.0</v>
      </c>
      <c r="I3169" s="5">
        <v>0.0</v>
      </c>
      <c r="J3169" s="5">
        <v>0.0</v>
      </c>
      <c r="K3169" s="5">
        <v>1.0</v>
      </c>
      <c r="L3169" s="54"/>
      <c r="M3169" s="5" t="s">
        <v>12970</v>
      </c>
      <c r="N3169" s="53" t="s">
        <v>5814</v>
      </c>
      <c r="O3169">
        <v>28.358744</v>
      </c>
      <c r="P3169">
        <v>-14.053676</v>
      </c>
      <c r="Q3169" s="5" t="s">
        <v>390</v>
      </c>
      <c r="R3169" s="10">
        <f t="shared" si="10"/>
        <v>488</v>
      </c>
      <c r="S3169" s="5" t="s">
        <v>12971</v>
      </c>
      <c r="T3169" s="5" t="s">
        <v>1040</v>
      </c>
      <c r="U3169" s="5" t="s">
        <v>4492</v>
      </c>
      <c r="V3169" s="5"/>
    </row>
    <row r="3170" ht="12.75" customHeight="1">
      <c r="A3170" s="5">
        <v>36482.0</v>
      </c>
      <c r="B3170" s="5" t="s">
        <v>49</v>
      </c>
      <c r="C3170" s="52" t="s">
        <v>50</v>
      </c>
      <c r="D3170" s="5" t="s">
        <v>2852</v>
      </c>
      <c r="E3170" s="7" t="s">
        <v>12969</v>
      </c>
      <c r="F3170" s="5" t="s">
        <v>12574</v>
      </c>
      <c r="G3170" s="5" t="s">
        <v>12905</v>
      </c>
      <c r="H3170" s="5">
        <v>2000.0</v>
      </c>
      <c r="I3170" s="5">
        <v>0.0</v>
      </c>
      <c r="J3170" s="5">
        <v>0.0</v>
      </c>
      <c r="K3170" s="5">
        <v>2.0</v>
      </c>
      <c r="L3170" s="54"/>
      <c r="M3170" s="5" t="s">
        <v>12972</v>
      </c>
      <c r="N3170" s="53" t="s">
        <v>2680</v>
      </c>
      <c r="O3170">
        <v>36.018776</v>
      </c>
      <c r="P3170">
        <v>-5.600819</v>
      </c>
      <c r="Q3170" s="5" t="s">
        <v>761</v>
      </c>
      <c r="R3170" s="10">
        <f t="shared" si="10"/>
        <v>492</v>
      </c>
      <c r="S3170" s="5" t="s">
        <v>12973</v>
      </c>
      <c r="T3170" s="6" t="s">
        <v>72</v>
      </c>
      <c r="U3170" s="5" t="s">
        <v>4492</v>
      </c>
      <c r="V3170" s="5"/>
    </row>
    <row r="3171" ht="12.75" customHeight="1">
      <c r="A3171" s="5">
        <v>36480.0</v>
      </c>
      <c r="B3171" s="5" t="s">
        <v>68</v>
      </c>
      <c r="C3171" s="5" t="s">
        <v>69</v>
      </c>
      <c r="D3171" s="5" t="s">
        <v>2614</v>
      </c>
      <c r="E3171" s="7" t="s">
        <v>12969</v>
      </c>
      <c r="F3171" s="5" t="s">
        <v>12574</v>
      </c>
      <c r="G3171" s="5" t="s">
        <v>12905</v>
      </c>
      <c r="H3171" s="5">
        <v>2000.0</v>
      </c>
      <c r="I3171" s="5">
        <v>0.0</v>
      </c>
      <c r="J3171" s="5">
        <v>0.0</v>
      </c>
      <c r="K3171" s="5">
        <v>6.0</v>
      </c>
      <c r="L3171" s="54"/>
      <c r="M3171" s="5" t="s">
        <v>12974</v>
      </c>
      <c r="N3171" s="53" t="s">
        <v>12975</v>
      </c>
      <c r="O3171">
        <v>41.122439</v>
      </c>
      <c r="P3171">
        <v>25.406558</v>
      </c>
      <c r="Q3171" s="5" t="s">
        <v>1197</v>
      </c>
      <c r="R3171" s="10">
        <f t="shared" si="10"/>
        <v>6</v>
      </c>
      <c r="S3171" s="5" t="s">
        <v>12976</v>
      </c>
      <c r="T3171" s="6" t="s">
        <v>53</v>
      </c>
      <c r="U3171" s="5" t="s">
        <v>2326</v>
      </c>
      <c r="V3171" s="5" t="s">
        <v>7579</v>
      </c>
    </row>
    <row r="3172" ht="12.75" customHeight="1">
      <c r="A3172" s="5">
        <v>36485.0</v>
      </c>
      <c r="B3172" s="5" t="s">
        <v>1076</v>
      </c>
      <c r="C3172" s="52" t="s">
        <v>50</v>
      </c>
      <c r="D3172" s="5" t="s">
        <v>2852</v>
      </c>
      <c r="E3172" s="7" t="s">
        <v>12977</v>
      </c>
      <c r="F3172" s="5" t="s">
        <v>12574</v>
      </c>
      <c r="G3172" s="5" t="s">
        <v>12905</v>
      </c>
      <c r="H3172" s="5">
        <v>2000.0</v>
      </c>
      <c r="I3172" s="5">
        <v>0.0</v>
      </c>
      <c r="J3172" s="5">
        <v>0.0</v>
      </c>
      <c r="K3172" s="5">
        <v>2.0</v>
      </c>
      <c r="L3172" s="54"/>
      <c r="M3172" s="5" t="s">
        <v>12978</v>
      </c>
      <c r="N3172" s="53" t="s">
        <v>7822</v>
      </c>
      <c r="O3172">
        <v>35.010802</v>
      </c>
      <c r="P3172">
        <v>-7.514648</v>
      </c>
      <c r="Q3172" s="5" t="s">
        <v>614</v>
      </c>
      <c r="R3172" s="10">
        <f t="shared" si="10"/>
        <v>117</v>
      </c>
      <c r="S3172" s="5" t="s">
        <v>12979</v>
      </c>
      <c r="T3172" s="6" t="s">
        <v>72</v>
      </c>
      <c r="U3172" s="5" t="s">
        <v>11558</v>
      </c>
      <c r="V3172" s="5"/>
    </row>
    <row r="3173" ht="12.75" customHeight="1">
      <c r="A3173" s="5">
        <v>36483.0</v>
      </c>
      <c r="B3173" s="5" t="s">
        <v>49</v>
      </c>
      <c r="C3173" s="52" t="s">
        <v>50</v>
      </c>
      <c r="D3173" s="5" t="s">
        <v>2614</v>
      </c>
      <c r="E3173" s="7" t="s">
        <v>12977</v>
      </c>
      <c r="F3173" s="5" t="s">
        <v>12574</v>
      </c>
      <c r="G3173" s="5" t="s">
        <v>12905</v>
      </c>
      <c r="H3173" s="5">
        <v>2000.0</v>
      </c>
      <c r="I3173" s="5">
        <v>0.0</v>
      </c>
      <c r="J3173" s="5">
        <v>0.0</v>
      </c>
      <c r="K3173" s="5">
        <v>8.0</v>
      </c>
      <c r="L3173" s="54"/>
      <c r="M3173" s="5" t="s">
        <v>12980</v>
      </c>
      <c r="N3173" s="53" t="s">
        <v>2680</v>
      </c>
      <c r="O3173">
        <v>36.018776</v>
      </c>
      <c r="P3173">
        <v>-5.600819</v>
      </c>
      <c r="Q3173" s="5" t="s">
        <v>761</v>
      </c>
      <c r="R3173" s="10">
        <f t="shared" si="10"/>
        <v>492</v>
      </c>
      <c r="S3173" s="5" t="s">
        <v>12981</v>
      </c>
      <c r="T3173" s="6" t="s">
        <v>72</v>
      </c>
      <c r="U3173" s="5" t="s">
        <v>2785</v>
      </c>
      <c r="V3173" s="5" t="s">
        <v>12982</v>
      </c>
    </row>
    <row r="3174" ht="12.75" customHeight="1">
      <c r="A3174" s="5">
        <v>36484.0</v>
      </c>
      <c r="B3174" s="5" t="s">
        <v>2333</v>
      </c>
      <c r="C3174" s="5" t="s">
        <v>124</v>
      </c>
      <c r="D3174" s="5" t="s">
        <v>2614</v>
      </c>
      <c r="E3174" s="7" t="s">
        <v>12977</v>
      </c>
      <c r="F3174" s="5" t="s">
        <v>12574</v>
      </c>
      <c r="G3174" s="5" t="s">
        <v>12905</v>
      </c>
      <c r="H3174" s="5">
        <v>2000.0</v>
      </c>
      <c r="I3174" s="5">
        <v>0.0</v>
      </c>
      <c r="J3174" s="5">
        <v>0.0</v>
      </c>
      <c r="K3174" s="5">
        <v>1.0</v>
      </c>
      <c r="L3174" s="54"/>
      <c r="M3174" s="5" t="s">
        <v>12983</v>
      </c>
      <c r="N3174" s="53" t="s">
        <v>10982</v>
      </c>
      <c r="O3174">
        <v>40.351516</v>
      </c>
      <c r="P3174">
        <v>18.175016</v>
      </c>
      <c r="Q3174" s="5" t="s">
        <v>1133</v>
      </c>
      <c r="R3174" s="10">
        <f t="shared" si="10"/>
        <v>15</v>
      </c>
      <c r="S3174" s="5" t="s">
        <v>12984</v>
      </c>
      <c r="T3174" s="6" t="s">
        <v>1963</v>
      </c>
      <c r="U3174" s="5" t="s">
        <v>2326</v>
      </c>
      <c r="V3174" s="5" t="s">
        <v>7579</v>
      </c>
    </row>
    <row r="3175" ht="12.75" customHeight="1">
      <c r="A3175" s="5">
        <v>36490.0</v>
      </c>
      <c r="B3175" s="5" t="s">
        <v>49</v>
      </c>
      <c r="C3175" s="52" t="s">
        <v>50</v>
      </c>
      <c r="D3175" s="5" t="s">
        <v>2852</v>
      </c>
      <c r="E3175" s="7" t="s">
        <v>12985</v>
      </c>
      <c r="F3175" s="5" t="s">
        <v>12574</v>
      </c>
      <c r="G3175" s="5" t="s">
        <v>12905</v>
      </c>
      <c r="H3175" s="5">
        <v>2000.0</v>
      </c>
      <c r="I3175" s="5">
        <v>0.0</v>
      </c>
      <c r="J3175" s="5">
        <v>0.0</v>
      </c>
      <c r="K3175" s="5">
        <v>1.0</v>
      </c>
      <c r="L3175" s="54"/>
      <c r="M3175" s="5" t="s">
        <v>12986</v>
      </c>
      <c r="N3175" s="53" t="s">
        <v>2638</v>
      </c>
      <c r="O3175">
        <v>35.888384</v>
      </c>
      <c r="P3175">
        <v>-5.324636</v>
      </c>
      <c r="Q3175" s="5" t="s">
        <v>717</v>
      </c>
      <c r="R3175" s="10">
        <f t="shared" si="10"/>
        <v>213</v>
      </c>
      <c r="S3175" s="5" t="s">
        <v>12987</v>
      </c>
      <c r="T3175" s="6" t="s">
        <v>72</v>
      </c>
      <c r="U3175" s="5" t="s">
        <v>11558</v>
      </c>
      <c r="V3175" s="5"/>
    </row>
    <row r="3176" ht="12.75" customHeight="1">
      <c r="A3176" s="5">
        <v>36487.0</v>
      </c>
      <c r="B3176" s="5" t="s">
        <v>49</v>
      </c>
      <c r="C3176" s="52" t="s">
        <v>50</v>
      </c>
      <c r="D3176" s="5" t="s">
        <v>2852</v>
      </c>
      <c r="E3176" s="7" t="s">
        <v>12985</v>
      </c>
      <c r="F3176" s="5" t="s">
        <v>12574</v>
      </c>
      <c r="G3176" s="5" t="s">
        <v>12905</v>
      </c>
      <c r="H3176" s="5">
        <v>2000.0</v>
      </c>
      <c r="I3176" s="5">
        <v>0.0</v>
      </c>
      <c r="J3176" s="5">
        <v>0.0</v>
      </c>
      <c r="K3176" s="5">
        <v>1.0</v>
      </c>
      <c r="L3176" s="54"/>
      <c r="M3176" s="5" t="s">
        <v>12988</v>
      </c>
      <c r="N3176" s="53" t="s">
        <v>2680</v>
      </c>
      <c r="O3176">
        <v>36.018776</v>
      </c>
      <c r="P3176">
        <v>-5.600819</v>
      </c>
      <c r="Q3176" s="5" t="s">
        <v>761</v>
      </c>
      <c r="R3176" s="10">
        <f t="shared" si="10"/>
        <v>492</v>
      </c>
      <c r="S3176" s="5" t="s">
        <v>12989</v>
      </c>
      <c r="T3176" s="6" t="s">
        <v>72</v>
      </c>
      <c r="U3176" s="5" t="s">
        <v>11558</v>
      </c>
      <c r="V3176" s="5" t="s">
        <v>12990</v>
      </c>
    </row>
    <row r="3177" ht="12.75" customHeight="1">
      <c r="A3177" s="5">
        <v>36489.0</v>
      </c>
      <c r="B3177" s="5" t="s">
        <v>763</v>
      </c>
      <c r="C3177" s="5" t="s">
        <v>124</v>
      </c>
      <c r="D3177" s="5" t="s">
        <v>2852</v>
      </c>
      <c r="E3177" s="7" t="s">
        <v>12985</v>
      </c>
      <c r="F3177" s="5" t="s">
        <v>12574</v>
      </c>
      <c r="G3177" s="5" t="s">
        <v>12905</v>
      </c>
      <c r="H3177" s="5">
        <v>2000.0</v>
      </c>
      <c r="I3177" s="5">
        <v>0.0</v>
      </c>
      <c r="J3177" s="5">
        <v>0.0</v>
      </c>
      <c r="K3177" s="5">
        <v>1.0</v>
      </c>
      <c r="L3177" s="54"/>
      <c r="M3177" s="5" t="s">
        <v>12991</v>
      </c>
      <c r="N3177" s="53" t="s">
        <v>2857</v>
      </c>
      <c r="O3177">
        <v>36.527061</v>
      </c>
      <c r="P3177">
        <v>-6.288596</v>
      </c>
      <c r="Q3177" s="5" t="s">
        <v>802</v>
      </c>
      <c r="R3177" s="10">
        <f t="shared" si="10"/>
        <v>185</v>
      </c>
      <c r="S3177" s="5" t="s">
        <v>12992</v>
      </c>
      <c r="T3177" s="6" t="s">
        <v>72</v>
      </c>
      <c r="U3177" s="5" t="s">
        <v>11558</v>
      </c>
      <c r="V3177" s="5"/>
    </row>
    <row r="3178" ht="12.75" customHeight="1">
      <c r="A3178" s="5">
        <v>36488.0</v>
      </c>
      <c r="B3178" s="5" t="s">
        <v>49</v>
      </c>
      <c r="C3178" s="52" t="s">
        <v>50</v>
      </c>
      <c r="D3178" s="5" t="s">
        <v>2852</v>
      </c>
      <c r="E3178" s="7" t="s">
        <v>12985</v>
      </c>
      <c r="F3178" s="5" t="s">
        <v>12574</v>
      </c>
      <c r="G3178" s="5" t="s">
        <v>12905</v>
      </c>
      <c r="H3178" s="5">
        <v>2000.0</v>
      </c>
      <c r="I3178" s="5">
        <v>0.0</v>
      </c>
      <c r="J3178" s="5">
        <v>0.0</v>
      </c>
      <c r="K3178" s="5">
        <v>7.0</v>
      </c>
      <c r="L3178" s="54"/>
      <c r="M3178" s="5" t="s">
        <v>12993</v>
      </c>
      <c r="N3178" s="53" t="s">
        <v>11029</v>
      </c>
      <c r="O3178">
        <v>40.403712</v>
      </c>
      <c r="P3178">
        <v>17.557323</v>
      </c>
      <c r="Q3178" s="5" t="s">
        <v>1139</v>
      </c>
      <c r="R3178" s="10">
        <f t="shared" si="10"/>
        <v>39</v>
      </c>
      <c r="S3178" s="5" t="s">
        <v>12994</v>
      </c>
      <c r="T3178" s="6" t="s">
        <v>1963</v>
      </c>
      <c r="U3178" s="5" t="s">
        <v>3128</v>
      </c>
      <c r="V3178" s="5" t="s">
        <v>12220</v>
      </c>
    </row>
    <row r="3179" ht="12.75" customHeight="1">
      <c r="A3179" s="5">
        <v>36486.0</v>
      </c>
      <c r="B3179" s="5" t="s">
        <v>5200</v>
      </c>
      <c r="C3179" s="5" t="s">
        <v>124</v>
      </c>
      <c r="D3179" s="5" t="s">
        <v>2852</v>
      </c>
      <c r="E3179" s="7" t="s">
        <v>12985</v>
      </c>
      <c r="F3179" s="5" t="s">
        <v>12574</v>
      </c>
      <c r="G3179" s="5" t="s">
        <v>12905</v>
      </c>
      <c r="H3179" s="5">
        <v>2000.0</v>
      </c>
      <c r="I3179" s="5">
        <v>0.0</v>
      </c>
      <c r="J3179" s="5">
        <v>0.0</v>
      </c>
      <c r="K3179" s="5">
        <v>1.0</v>
      </c>
      <c r="L3179" s="54"/>
      <c r="M3179" s="5" t="s">
        <v>12995</v>
      </c>
      <c r="N3179" s="53" t="s">
        <v>4319</v>
      </c>
      <c r="O3179">
        <v>48.217686</v>
      </c>
      <c r="P3179">
        <v>21.506965</v>
      </c>
      <c r="Q3179" s="5" t="s">
        <v>1416</v>
      </c>
      <c r="R3179" s="10">
        <f t="shared" si="10"/>
        <v>4</v>
      </c>
      <c r="S3179" s="5" t="s">
        <v>12996</v>
      </c>
      <c r="T3179" s="6" t="s">
        <v>1964</v>
      </c>
      <c r="U3179" s="5" t="s">
        <v>3128</v>
      </c>
      <c r="V3179" s="5"/>
    </row>
    <row r="3180" ht="12.75" customHeight="1">
      <c r="A3180" s="5">
        <v>36493.0</v>
      </c>
      <c r="B3180" s="5" t="s">
        <v>49</v>
      </c>
      <c r="C3180" s="52" t="s">
        <v>50</v>
      </c>
      <c r="D3180" s="5" t="s">
        <v>2852</v>
      </c>
      <c r="E3180" s="7" t="s">
        <v>12997</v>
      </c>
      <c r="F3180" s="5" t="s">
        <v>12574</v>
      </c>
      <c r="G3180" s="5" t="s">
        <v>12905</v>
      </c>
      <c r="H3180" s="5">
        <v>2000.0</v>
      </c>
      <c r="I3180" s="5">
        <v>0.0</v>
      </c>
      <c r="J3180" s="5">
        <v>0.0</v>
      </c>
      <c r="K3180" s="5">
        <v>1.0</v>
      </c>
      <c r="L3180" s="54"/>
      <c r="M3180" s="5" t="s">
        <v>12998</v>
      </c>
      <c r="N3180" s="53" t="s">
        <v>2638</v>
      </c>
      <c r="O3180">
        <v>35.888384</v>
      </c>
      <c r="P3180">
        <v>-5.324636</v>
      </c>
      <c r="Q3180" s="5" t="s">
        <v>717</v>
      </c>
      <c r="R3180" s="10">
        <f t="shared" si="10"/>
        <v>213</v>
      </c>
      <c r="S3180" s="5" t="s">
        <v>12999</v>
      </c>
      <c r="T3180" s="6" t="s">
        <v>72</v>
      </c>
      <c r="U3180" s="5" t="s">
        <v>11558</v>
      </c>
      <c r="V3180" s="5"/>
    </row>
    <row r="3181" ht="12.75" customHeight="1">
      <c r="A3181" s="5">
        <v>36494.0</v>
      </c>
      <c r="B3181" s="5" t="s">
        <v>49</v>
      </c>
      <c r="C3181" s="52" t="s">
        <v>50</v>
      </c>
      <c r="D3181" s="5" t="s">
        <v>2852</v>
      </c>
      <c r="E3181" s="7" t="s">
        <v>12997</v>
      </c>
      <c r="F3181" s="5" t="s">
        <v>12574</v>
      </c>
      <c r="G3181" s="5" t="s">
        <v>12905</v>
      </c>
      <c r="H3181" s="5">
        <v>2000.0</v>
      </c>
      <c r="I3181" s="5">
        <v>0.0</v>
      </c>
      <c r="J3181" s="5">
        <v>0.0</v>
      </c>
      <c r="K3181" s="5">
        <v>8.0</v>
      </c>
      <c r="L3181" s="54"/>
      <c r="M3181" s="5" t="s">
        <v>13000</v>
      </c>
      <c r="N3181" s="53" t="s">
        <v>3141</v>
      </c>
      <c r="O3181">
        <v>36.140751</v>
      </c>
      <c r="P3181">
        <v>-5.353585</v>
      </c>
      <c r="Q3181" s="5" t="s">
        <v>774</v>
      </c>
      <c r="R3181" s="10">
        <f t="shared" si="10"/>
        <v>107</v>
      </c>
      <c r="S3181" s="5" t="s">
        <v>13001</v>
      </c>
      <c r="T3181" s="6" t="s">
        <v>72</v>
      </c>
      <c r="U3181" s="5" t="s">
        <v>254</v>
      </c>
      <c r="V3181" s="5"/>
    </row>
    <row r="3182" ht="12.75" customHeight="1">
      <c r="A3182" s="5">
        <v>36492.0</v>
      </c>
      <c r="B3182" s="5" t="s">
        <v>49</v>
      </c>
      <c r="C3182" s="52" t="s">
        <v>50</v>
      </c>
      <c r="D3182" s="5" t="s">
        <v>2852</v>
      </c>
      <c r="E3182" s="7" t="s">
        <v>12997</v>
      </c>
      <c r="F3182" s="5" t="s">
        <v>12574</v>
      </c>
      <c r="G3182" s="5" t="s">
        <v>12905</v>
      </c>
      <c r="H3182" s="5">
        <v>2000.0</v>
      </c>
      <c r="I3182" s="5">
        <v>0.0</v>
      </c>
      <c r="J3182" s="5">
        <v>0.0</v>
      </c>
      <c r="K3182" s="5">
        <v>1.0</v>
      </c>
      <c r="L3182" s="54"/>
      <c r="M3182" s="5" t="s">
        <v>13002</v>
      </c>
      <c r="N3182" s="53" t="s">
        <v>3141</v>
      </c>
      <c r="O3182">
        <v>36.140751</v>
      </c>
      <c r="P3182">
        <v>-5.353585</v>
      </c>
      <c r="Q3182" s="5" t="s">
        <v>774</v>
      </c>
      <c r="R3182" s="10">
        <f t="shared" si="10"/>
        <v>107</v>
      </c>
      <c r="S3182" s="5" t="s">
        <v>13001</v>
      </c>
      <c r="T3182" s="6" t="s">
        <v>72</v>
      </c>
      <c r="U3182" s="5" t="s">
        <v>254</v>
      </c>
      <c r="V3182" s="5"/>
    </row>
    <row r="3183" ht="12.75" customHeight="1">
      <c r="A3183" s="5">
        <v>36491.0</v>
      </c>
      <c r="B3183" s="5" t="s">
        <v>2333</v>
      </c>
      <c r="C3183" s="5" t="s">
        <v>124</v>
      </c>
      <c r="D3183" s="5" t="s">
        <v>2614</v>
      </c>
      <c r="E3183" s="7" t="s">
        <v>12997</v>
      </c>
      <c r="F3183" s="5" t="s">
        <v>12574</v>
      </c>
      <c r="G3183" s="5" t="s">
        <v>12905</v>
      </c>
      <c r="H3183" s="5">
        <v>2000.0</v>
      </c>
      <c r="I3183" s="5">
        <v>0.0</v>
      </c>
      <c r="J3183" s="5">
        <v>0.0</v>
      </c>
      <c r="K3183" s="5">
        <v>1.0</v>
      </c>
      <c r="L3183" s="54"/>
      <c r="M3183" s="5" t="s">
        <v>13003</v>
      </c>
      <c r="N3183" s="53" t="s">
        <v>4014</v>
      </c>
      <c r="O3183">
        <v>41.462198</v>
      </c>
      <c r="P3183">
        <v>15.54463</v>
      </c>
      <c r="Q3183" s="5" t="s">
        <v>1225</v>
      </c>
      <c r="R3183" s="10">
        <f t="shared" si="10"/>
        <v>8</v>
      </c>
      <c r="S3183" s="5" t="s">
        <v>13004</v>
      </c>
      <c r="T3183" s="5"/>
      <c r="U3183" s="5" t="s">
        <v>2326</v>
      </c>
      <c r="V3183" s="5" t="s">
        <v>7579</v>
      </c>
    </row>
    <row r="3184" ht="12.75" customHeight="1">
      <c r="A3184" s="5">
        <v>36495.0</v>
      </c>
      <c r="B3184" s="5" t="s">
        <v>2902</v>
      </c>
      <c r="C3184" s="5" t="s">
        <v>211</v>
      </c>
      <c r="D3184" s="5" t="s">
        <v>2852</v>
      </c>
      <c r="E3184" s="7" t="s">
        <v>12997</v>
      </c>
      <c r="F3184" s="5" t="s">
        <v>12574</v>
      </c>
      <c r="G3184" s="5" t="s">
        <v>12905</v>
      </c>
      <c r="H3184" s="5">
        <v>2000.0</v>
      </c>
      <c r="I3184" s="5">
        <v>0.0</v>
      </c>
      <c r="J3184" s="5">
        <v>0.0</v>
      </c>
      <c r="K3184" s="5">
        <v>1.0</v>
      </c>
      <c r="L3184" s="54"/>
      <c r="M3184" s="5" t="s">
        <v>13005</v>
      </c>
      <c r="N3184" s="53" t="s">
        <v>4301</v>
      </c>
      <c r="O3184">
        <v>53.408371</v>
      </c>
      <c r="P3184">
        <v>-2.991573</v>
      </c>
      <c r="Q3184" s="5" t="s">
        <v>1828</v>
      </c>
      <c r="R3184" s="10">
        <f t="shared" si="10"/>
        <v>2</v>
      </c>
      <c r="S3184" s="5" t="s">
        <v>13006</v>
      </c>
      <c r="T3184" s="5"/>
      <c r="U3184" s="5" t="s">
        <v>13007</v>
      </c>
      <c r="V3184" s="5"/>
    </row>
    <row r="3185" ht="12.75" customHeight="1">
      <c r="A3185" s="5">
        <v>36497.0</v>
      </c>
      <c r="B3185" s="5" t="s">
        <v>49</v>
      </c>
      <c r="C3185" s="52" t="s">
        <v>50</v>
      </c>
      <c r="D3185" s="5" t="s">
        <v>2852</v>
      </c>
      <c r="E3185" s="7" t="s">
        <v>13008</v>
      </c>
      <c r="F3185" s="5" t="s">
        <v>12574</v>
      </c>
      <c r="G3185" s="5" t="s">
        <v>12905</v>
      </c>
      <c r="H3185" s="5">
        <v>2000.0</v>
      </c>
      <c r="I3185" s="5">
        <v>0.0</v>
      </c>
      <c r="J3185" s="5">
        <v>0.0</v>
      </c>
      <c r="K3185" s="5">
        <v>4.0</v>
      </c>
      <c r="L3185" s="54"/>
      <c r="M3185" s="5" t="s">
        <v>13009</v>
      </c>
      <c r="N3185" s="53" t="s">
        <v>11102</v>
      </c>
      <c r="O3185">
        <v>40.143898</v>
      </c>
      <c r="P3185">
        <v>18.491168</v>
      </c>
      <c r="Q3185" s="5" t="s">
        <v>1121</v>
      </c>
      <c r="R3185" s="10">
        <f t="shared" si="10"/>
        <v>48</v>
      </c>
      <c r="S3185" s="5" t="s">
        <v>13010</v>
      </c>
      <c r="T3185" s="6" t="s">
        <v>1963</v>
      </c>
      <c r="U3185" s="5" t="s">
        <v>3219</v>
      </c>
      <c r="V3185" s="5"/>
    </row>
    <row r="3186" ht="12.75" customHeight="1">
      <c r="A3186" s="5">
        <v>36498.0</v>
      </c>
      <c r="B3186" s="5" t="s">
        <v>1161</v>
      </c>
      <c r="C3186" s="5" t="s">
        <v>124</v>
      </c>
      <c r="D3186" s="5" t="s">
        <v>2852</v>
      </c>
      <c r="E3186" s="7" t="s">
        <v>13008</v>
      </c>
      <c r="F3186" s="5" t="s">
        <v>12574</v>
      </c>
      <c r="G3186" s="5" t="s">
        <v>12905</v>
      </c>
      <c r="H3186" s="5">
        <v>2000.0</v>
      </c>
      <c r="I3186" s="5">
        <v>0.0</v>
      </c>
      <c r="J3186" s="5">
        <v>0.0</v>
      </c>
      <c r="K3186" s="5">
        <v>2.0</v>
      </c>
      <c r="L3186" s="54"/>
      <c r="M3186" s="5" t="s">
        <v>13011</v>
      </c>
      <c r="N3186" s="53" t="s">
        <v>10847</v>
      </c>
      <c r="O3186">
        <v>40.851775</v>
      </c>
      <c r="P3186">
        <v>14.268124</v>
      </c>
      <c r="Q3186" s="5" t="s">
        <v>1170</v>
      </c>
      <c r="R3186" s="10">
        <f t="shared" si="10"/>
        <v>7</v>
      </c>
      <c r="S3186" s="5" t="s">
        <v>13012</v>
      </c>
      <c r="T3186" s="5"/>
      <c r="U3186" s="5" t="s">
        <v>3219</v>
      </c>
      <c r="V3186" s="5"/>
    </row>
    <row r="3187" ht="12.75" customHeight="1">
      <c r="A3187" s="5">
        <v>36496.0</v>
      </c>
      <c r="B3187" s="5" t="s">
        <v>1161</v>
      </c>
      <c r="C3187" s="5" t="s">
        <v>124</v>
      </c>
      <c r="D3187" s="5" t="s">
        <v>2852</v>
      </c>
      <c r="E3187" s="7" t="s">
        <v>13008</v>
      </c>
      <c r="F3187" s="5" t="s">
        <v>12574</v>
      </c>
      <c r="G3187" s="5" t="s">
        <v>12905</v>
      </c>
      <c r="H3187" s="5">
        <v>2000.0</v>
      </c>
      <c r="I3187" s="5">
        <v>0.0</v>
      </c>
      <c r="J3187" s="5">
        <v>0.0</v>
      </c>
      <c r="K3187" s="5">
        <v>5.0</v>
      </c>
      <c r="L3187" s="54"/>
      <c r="M3187" s="5" t="s">
        <v>13013</v>
      </c>
      <c r="N3187" s="53" t="s">
        <v>13014</v>
      </c>
      <c r="O3187">
        <v>45.59834</v>
      </c>
      <c r="P3187">
        <v>8.914248</v>
      </c>
      <c r="Q3187" s="5" t="s">
        <v>1331</v>
      </c>
      <c r="R3187" s="10">
        <f t="shared" si="10"/>
        <v>5</v>
      </c>
      <c r="S3187" s="5" t="s">
        <v>13015</v>
      </c>
      <c r="T3187" s="5"/>
      <c r="U3187" s="5" t="s">
        <v>3219</v>
      </c>
      <c r="V3187" s="5"/>
    </row>
    <row r="3188" ht="12.75" customHeight="1">
      <c r="A3188" s="5">
        <v>36500.0</v>
      </c>
      <c r="B3188" s="5" t="s">
        <v>2902</v>
      </c>
      <c r="C3188" s="5" t="s">
        <v>211</v>
      </c>
      <c r="D3188" s="5" t="s">
        <v>2852</v>
      </c>
      <c r="E3188" s="7" t="s">
        <v>13008</v>
      </c>
      <c r="F3188" s="5" t="s">
        <v>12574</v>
      </c>
      <c r="G3188" s="5" t="s">
        <v>12905</v>
      </c>
      <c r="H3188" s="5">
        <v>2000.0</v>
      </c>
      <c r="I3188" s="5">
        <v>0.0</v>
      </c>
      <c r="J3188" s="5">
        <v>0.0</v>
      </c>
      <c r="K3188" s="5">
        <v>1.0</v>
      </c>
      <c r="L3188" s="54"/>
      <c r="M3188" s="5" t="s">
        <v>13016</v>
      </c>
      <c r="N3188" s="53" t="s">
        <v>13017</v>
      </c>
      <c r="O3188">
        <v>48.09033</v>
      </c>
      <c r="P3188">
        <v>14.61606</v>
      </c>
      <c r="Q3188" s="5" t="s">
        <v>1407</v>
      </c>
      <c r="R3188" s="10">
        <f t="shared" si="10"/>
        <v>1</v>
      </c>
      <c r="S3188" s="5" t="s">
        <v>13018</v>
      </c>
      <c r="T3188" s="5"/>
      <c r="U3188" s="5" t="s">
        <v>9660</v>
      </c>
      <c r="V3188" s="5"/>
    </row>
    <row r="3189" ht="12.75" customHeight="1">
      <c r="A3189" s="5">
        <v>36499.0</v>
      </c>
      <c r="B3189" s="5" t="s">
        <v>2902</v>
      </c>
      <c r="C3189" s="5" t="s">
        <v>211</v>
      </c>
      <c r="D3189" s="5" t="s">
        <v>2852</v>
      </c>
      <c r="E3189" s="7" t="s">
        <v>13008</v>
      </c>
      <c r="F3189" s="5" t="s">
        <v>12574</v>
      </c>
      <c r="G3189" s="5" t="s">
        <v>12905</v>
      </c>
      <c r="H3189" s="5">
        <v>2000.0</v>
      </c>
      <c r="I3189" s="5">
        <v>0.0</v>
      </c>
      <c r="J3189" s="5">
        <v>0.0</v>
      </c>
      <c r="K3189" s="5">
        <v>1.0</v>
      </c>
      <c r="L3189" s="54"/>
      <c r="M3189" s="5" t="s">
        <v>13019</v>
      </c>
      <c r="N3189" s="53" t="s">
        <v>2905</v>
      </c>
      <c r="O3189">
        <v>50.832793</v>
      </c>
      <c r="P3189">
        <v>9.572866</v>
      </c>
      <c r="Q3189" s="5" t="s">
        <v>1524</v>
      </c>
      <c r="R3189" s="10">
        <f t="shared" si="10"/>
        <v>2</v>
      </c>
      <c r="S3189" s="5" t="s">
        <v>13020</v>
      </c>
      <c r="T3189" s="5"/>
      <c r="U3189" s="5" t="s">
        <v>9660</v>
      </c>
      <c r="V3189" s="5"/>
    </row>
    <row r="3190" ht="12.75" customHeight="1">
      <c r="A3190" s="5">
        <v>36501.0</v>
      </c>
      <c r="B3190" s="5" t="s">
        <v>98</v>
      </c>
      <c r="C3190" s="5" t="s">
        <v>62</v>
      </c>
      <c r="D3190" s="5" t="s">
        <v>2852</v>
      </c>
      <c r="E3190" s="7" t="s">
        <v>13008</v>
      </c>
      <c r="F3190" s="5" t="s">
        <v>12574</v>
      </c>
      <c r="G3190" s="5" t="s">
        <v>12905</v>
      </c>
      <c r="H3190" s="5">
        <v>2000.0</v>
      </c>
      <c r="I3190" s="5">
        <v>0.0</v>
      </c>
      <c r="J3190" s="5">
        <v>0.0</v>
      </c>
      <c r="K3190" s="5">
        <v>1.0</v>
      </c>
      <c r="L3190" s="54"/>
      <c r="M3190" s="5" t="s">
        <v>13021</v>
      </c>
      <c r="N3190" s="53" t="s">
        <v>13022</v>
      </c>
      <c r="O3190">
        <v>55.378051</v>
      </c>
      <c r="P3190">
        <v>-3.435973</v>
      </c>
      <c r="Q3190" s="5" t="s">
        <v>1882</v>
      </c>
      <c r="R3190" s="10">
        <f t="shared" si="10"/>
        <v>23</v>
      </c>
      <c r="S3190" s="5" t="s">
        <v>13023</v>
      </c>
      <c r="T3190" s="5"/>
      <c r="U3190" s="5" t="s">
        <v>13024</v>
      </c>
      <c r="V3190" s="5"/>
    </row>
    <row r="3191" ht="12.75" customHeight="1">
      <c r="A3191" s="5">
        <v>36503.0</v>
      </c>
      <c r="B3191" s="5" t="s">
        <v>49</v>
      </c>
      <c r="C3191" s="52" t="s">
        <v>50</v>
      </c>
      <c r="D3191" s="5" t="s">
        <v>2852</v>
      </c>
      <c r="E3191" s="7" t="s">
        <v>13025</v>
      </c>
      <c r="F3191" s="5" t="s">
        <v>12574</v>
      </c>
      <c r="G3191" s="5" t="s">
        <v>12905</v>
      </c>
      <c r="H3191" s="5">
        <v>2000.0</v>
      </c>
      <c r="I3191" s="5">
        <v>0.0</v>
      </c>
      <c r="J3191" s="5">
        <v>0.0</v>
      </c>
      <c r="K3191" s="5">
        <v>15.0</v>
      </c>
      <c r="L3191" s="54"/>
      <c r="M3191" s="5" t="s">
        <v>13026</v>
      </c>
      <c r="N3191" s="53" t="s">
        <v>6690</v>
      </c>
      <c r="O3191">
        <v>27.153611</v>
      </c>
      <c r="P3191">
        <v>-13.203333</v>
      </c>
      <c r="Q3191" s="5" t="s">
        <v>349</v>
      </c>
      <c r="R3191" s="10">
        <f t="shared" si="10"/>
        <v>348</v>
      </c>
      <c r="S3191" s="5" t="s">
        <v>13027</v>
      </c>
      <c r="T3191" s="6" t="s">
        <v>72</v>
      </c>
      <c r="U3191" s="5" t="s">
        <v>11558</v>
      </c>
      <c r="V3191" s="5"/>
    </row>
    <row r="3192" ht="12.75" customHeight="1">
      <c r="A3192" s="5">
        <v>36502.0</v>
      </c>
      <c r="B3192" s="5" t="s">
        <v>1995</v>
      </c>
      <c r="C3192" s="52" t="s">
        <v>50</v>
      </c>
      <c r="D3192" s="5" t="s">
        <v>2852</v>
      </c>
      <c r="E3192" s="7" t="s">
        <v>13025</v>
      </c>
      <c r="F3192" s="5" t="s">
        <v>12574</v>
      </c>
      <c r="G3192" s="5" t="s">
        <v>12905</v>
      </c>
      <c r="H3192" s="5">
        <v>2000.0</v>
      </c>
      <c r="I3192" s="5">
        <v>0.0</v>
      </c>
      <c r="J3192" s="5">
        <v>0.0</v>
      </c>
      <c r="K3192" s="5">
        <v>1.0</v>
      </c>
      <c r="L3192" s="54"/>
      <c r="M3192" s="5" t="s">
        <v>13028</v>
      </c>
      <c r="N3192" s="53" t="s">
        <v>13029</v>
      </c>
      <c r="O3192">
        <v>42.039604</v>
      </c>
      <c r="P3192">
        <v>9.012893</v>
      </c>
      <c r="Q3192" s="5" t="s">
        <v>1251</v>
      </c>
      <c r="R3192" s="10">
        <f t="shared" si="10"/>
        <v>1</v>
      </c>
      <c r="S3192" s="5" t="s">
        <v>13030</v>
      </c>
      <c r="T3192" s="5"/>
      <c r="U3192" s="5" t="s">
        <v>13031</v>
      </c>
      <c r="V3192" s="5"/>
    </row>
    <row r="3193" ht="12.75" customHeight="1">
      <c r="A3193" s="5">
        <v>70806.0</v>
      </c>
      <c r="B3193" s="5" t="s">
        <v>41</v>
      </c>
      <c r="C3193" s="5" t="s">
        <v>42</v>
      </c>
      <c r="D3193" s="5"/>
      <c r="E3193" s="7"/>
      <c r="F3193" s="5"/>
      <c r="G3193" s="5"/>
      <c r="H3193" s="5"/>
      <c r="I3193" s="5">
        <v>1.0</v>
      </c>
      <c r="J3193" s="5">
        <v>0.0</v>
      </c>
      <c r="K3193" s="5">
        <v>1.0</v>
      </c>
      <c r="L3193" s="54"/>
      <c r="M3193" s="5" t="s">
        <v>13032</v>
      </c>
      <c r="N3193" s="53" t="s">
        <v>13033</v>
      </c>
      <c r="O3193">
        <v>31.200092</v>
      </c>
      <c r="P3193">
        <v>29.918739</v>
      </c>
      <c r="Q3193" s="5" t="s">
        <v>427</v>
      </c>
      <c r="R3193" s="10">
        <f t="shared" si="10"/>
        <v>133</v>
      </c>
      <c r="S3193" s="5" t="s">
        <v>13034</v>
      </c>
      <c r="T3193" s="5" t="s">
        <v>2130</v>
      </c>
      <c r="U3193" s="5" t="s">
        <v>13035</v>
      </c>
      <c r="V3193" s="5"/>
    </row>
    <row r="3194" ht="12.75" customHeight="1">
      <c r="A3194" s="5">
        <v>56344.0</v>
      </c>
      <c r="B3194" s="5" t="s">
        <v>68</v>
      </c>
      <c r="C3194" s="5" t="s">
        <v>69</v>
      </c>
      <c r="D3194" s="5"/>
      <c r="E3194" s="7"/>
      <c r="F3194" s="5"/>
      <c r="G3194" s="5"/>
      <c r="H3194" s="5"/>
      <c r="I3194" s="5">
        <v>1.0</v>
      </c>
      <c r="J3194" s="5">
        <v>0.0</v>
      </c>
      <c r="K3194" s="5">
        <v>1.0</v>
      </c>
      <c r="L3194" s="54"/>
      <c r="M3194" s="5" t="s">
        <v>13036</v>
      </c>
      <c r="N3194" s="53"/>
      <c r="O3194">
        <v>0.344922</v>
      </c>
      <c r="P3194">
        <v>51.4609</v>
      </c>
      <c r="Q3194" s="5" t="str">
        <f>O3194&amp;", "&amp;P3194</f>
        <v>0.344922, 51.4609</v>
      </c>
      <c r="R3194" s="10">
        <f t="shared" si="10"/>
        <v>1</v>
      </c>
      <c r="S3194" s="5" t="s">
        <v>13037</v>
      </c>
      <c r="T3194" s="5"/>
      <c r="U3194" s="5" t="s">
        <v>176</v>
      </c>
      <c r="V3194" s="5" t="s">
        <v>13038</v>
      </c>
    </row>
    <row r="3195" ht="12.75" customHeight="1">
      <c r="A3195" s="5"/>
      <c r="B3195" s="5"/>
      <c r="C3195" s="5"/>
      <c r="D3195" s="5"/>
      <c r="E3195" s="7"/>
      <c r="F3195" s="5"/>
      <c r="G3195" s="5"/>
      <c r="H3195" s="5"/>
      <c r="I3195" s="5"/>
      <c r="J3195" s="5"/>
      <c r="K3195" s="5"/>
      <c r="L3195" s="54"/>
      <c r="M3195" s="5"/>
      <c r="N3195" s="53"/>
      <c r="Q3195" s="5"/>
      <c r="R3195" s="10">
        <f t="shared" si="10"/>
        <v>0</v>
      </c>
      <c r="S3195" s="5"/>
      <c r="T3195" s="5"/>
      <c r="U3195" s="5"/>
      <c r="V3195" s="5"/>
    </row>
    <row r="3196" ht="12.75" customHeight="1">
      <c r="A3196" s="5"/>
      <c r="B3196" s="5"/>
      <c r="C3196" s="5"/>
      <c r="D3196" s="5"/>
      <c r="E3196" s="7"/>
      <c r="F3196" s="5"/>
      <c r="G3196" s="5"/>
      <c r="H3196" s="5"/>
      <c r="I3196" s="5"/>
      <c r="J3196" s="5"/>
      <c r="K3196" s="5"/>
      <c r="L3196" s="54"/>
      <c r="M3196" s="5"/>
      <c r="N3196" s="53"/>
      <c r="Q3196" s="5"/>
      <c r="R3196" s="10">
        <f t="shared" si="10"/>
        <v>0</v>
      </c>
      <c r="S3196" s="5"/>
      <c r="T3196" s="5"/>
      <c r="U3196" s="5"/>
      <c r="V3196" s="5"/>
    </row>
    <row r="3197" ht="12.75" customHeight="1">
      <c r="A3197" s="5"/>
      <c r="B3197" s="5"/>
      <c r="C3197" s="5"/>
      <c r="D3197" s="5"/>
      <c r="E3197" s="7"/>
      <c r="F3197" s="5"/>
      <c r="G3197" s="5"/>
      <c r="H3197" s="5"/>
      <c r="I3197" s="5"/>
      <c r="J3197" s="5"/>
      <c r="K3197" s="5"/>
      <c r="L3197" s="54"/>
      <c r="M3197" s="5"/>
      <c r="N3197" s="53"/>
      <c r="Q3197" s="5"/>
      <c r="R3197" s="10">
        <f t="shared" si="10"/>
        <v>0</v>
      </c>
      <c r="S3197" s="5"/>
      <c r="T3197" s="5"/>
      <c r="U3197" s="5"/>
      <c r="V3197" s="5"/>
    </row>
    <row r="3198" ht="12.75" customHeight="1">
      <c r="A3198" s="5"/>
      <c r="B3198" s="5"/>
      <c r="C3198" s="5"/>
      <c r="D3198" s="5"/>
      <c r="E3198" s="7"/>
      <c r="F3198" s="5"/>
      <c r="G3198" s="5"/>
      <c r="H3198" s="5"/>
      <c r="I3198" s="5"/>
      <c r="J3198" s="5"/>
      <c r="K3198" s="5"/>
      <c r="L3198" s="54"/>
      <c r="M3198" s="5"/>
      <c r="N3198" s="53"/>
      <c r="Q3198" s="5"/>
      <c r="R3198" s="10">
        <f t="shared" si="10"/>
        <v>0</v>
      </c>
      <c r="S3198" s="5"/>
      <c r="T3198" s="5"/>
      <c r="U3198" s="5"/>
      <c r="V3198" s="5"/>
    </row>
    <row r="3199" ht="12.75" customHeight="1">
      <c r="A3199" s="5"/>
      <c r="B3199" s="5"/>
      <c r="C3199" s="5"/>
      <c r="D3199" s="5"/>
      <c r="E3199" s="7"/>
      <c r="F3199" s="5"/>
      <c r="G3199" s="5"/>
      <c r="H3199" s="5"/>
      <c r="I3199" s="5"/>
      <c r="J3199" s="5"/>
      <c r="K3199" s="5"/>
      <c r="L3199" s="54"/>
      <c r="M3199" s="5"/>
      <c r="N3199" s="53"/>
      <c r="Q3199" s="5"/>
      <c r="R3199" s="10">
        <f t="shared" si="10"/>
        <v>0</v>
      </c>
      <c r="S3199" s="5"/>
      <c r="T3199" s="5"/>
      <c r="U3199" s="5"/>
      <c r="V3199" s="5"/>
    </row>
    <row r="3200" ht="12.75" customHeight="1">
      <c r="A3200" s="5"/>
      <c r="B3200" s="5"/>
      <c r="C3200" s="5"/>
      <c r="D3200" s="5"/>
      <c r="E3200" s="7"/>
      <c r="F3200" s="5"/>
      <c r="G3200" s="5"/>
      <c r="H3200" s="5"/>
      <c r="I3200" s="5"/>
      <c r="J3200" s="5"/>
      <c r="K3200" s="5"/>
      <c r="L3200" s="54"/>
      <c r="M3200" s="5"/>
      <c r="N3200" s="53"/>
      <c r="Q3200" s="5"/>
      <c r="R3200" s="10">
        <f t="shared" si="10"/>
        <v>0</v>
      </c>
      <c r="S3200" s="5"/>
      <c r="T3200" s="5"/>
      <c r="U3200" s="5"/>
      <c r="V3200" s="5"/>
    </row>
    <row r="3201" ht="12.75" customHeight="1">
      <c r="A3201" s="5"/>
      <c r="B3201" s="5"/>
      <c r="C3201" s="5"/>
      <c r="D3201" s="5"/>
      <c r="E3201" s="7"/>
      <c r="F3201" s="5"/>
      <c r="G3201" s="5"/>
      <c r="H3201" s="5"/>
      <c r="I3201" s="5"/>
      <c r="J3201" s="5"/>
      <c r="K3201" s="5"/>
      <c r="L3201" s="54"/>
      <c r="M3201" s="5"/>
      <c r="N3201" s="53"/>
      <c r="Q3201" s="5"/>
      <c r="R3201" s="10">
        <f t="shared" si="10"/>
        <v>0</v>
      </c>
      <c r="S3201" s="5"/>
      <c r="T3201" s="5"/>
      <c r="U3201" s="5"/>
      <c r="V3201" s="5"/>
    </row>
    <row r="3202" ht="12.75" customHeight="1">
      <c r="A3202" s="5"/>
      <c r="B3202" s="5"/>
      <c r="C3202" s="5"/>
      <c r="D3202" s="5"/>
      <c r="E3202" s="7"/>
      <c r="F3202" s="5"/>
      <c r="G3202" s="5"/>
      <c r="H3202" s="5"/>
      <c r="I3202" s="5"/>
      <c r="J3202" s="5"/>
      <c r="K3202" s="5"/>
      <c r="L3202" s="54"/>
      <c r="M3202" s="5"/>
      <c r="N3202" s="53"/>
      <c r="Q3202" s="5"/>
      <c r="R3202" s="10">
        <f t="shared" si="10"/>
        <v>0</v>
      </c>
      <c r="S3202" s="5"/>
      <c r="T3202" s="5"/>
      <c r="U3202" s="5"/>
      <c r="V3202" s="5"/>
    </row>
    <row r="3203" ht="12.75" customHeight="1">
      <c r="A3203" s="5"/>
      <c r="B3203" s="5"/>
      <c r="C3203" s="5"/>
      <c r="D3203" s="5"/>
      <c r="E3203" s="7"/>
      <c r="F3203" s="5"/>
      <c r="G3203" s="5"/>
      <c r="H3203" s="5"/>
      <c r="I3203" s="5"/>
      <c r="J3203" s="5"/>
      <c r="K3203" s="5"/>
      <c r="L3203" s="54"/>
      <c r="M3203" s="5"/>
      <c r="N3203" s="53"/>
      <c r="Q3203" s="5"/>
      <c r="R3203" s="10">
        <f t="shared" si="10"/>
        <v>0</v>
      </c>
      <c r="S3203" s="5"/>
      <c r="T3203" s="5"/>
      <c r="U3203" s="5"/>
      <c r="V3203" s="5"/>
    </row>
    <row r="3204" ht="12.75" customHeight="1">
      <c r="A3204" s="5"/>
      <c r="B3204" s="5"/>
      <c r="C3204" s="5"/>
      <c r="D3204" s="5"/>
      <c r="E3204" s="7"/>
      <c r="F3204" s="5"/>
      <c r="G3204" s="5"/>
      <c r="H3204" s="5"/>
      <c r="I3204" s="5"/>
      <c r="J3204" s="5"/>
      <c r="K3204" s="5"/>
      <c r="L3204" s="54"/>
      <c r="M3204" s="5"/>
      <c r="N3204" s="53"/>
      <c r="Q3204" s="5"/>
      <c r="R3204" s="10">
        <f t="shared" si="10"/>
        <v>0</v>
      </c>
      <c r="S3204" s="5"/>
      <c r="T3204" s="5"/>
      <c r="U3204" s="5"/>
      <c r="V3204" s="5"/>
    </row>
    <row r="3205" ht="12.75" customHeight="1">
      <c r="A3205" s="5"/>
      <c r="B3205" s="5"/>
      <c r="C3205" s="5"/>
      <c r="D3205" s="5"/>
      <c r="E3205" s="7"/>
      <c r="F3205" s="5"/>
      <c r="G3205" s="5"/>
      <c r="H3205" s="5"/>
      <c r="I3205" s="5"/>
      <c r="J3205" s="5"/>
      <c r="K3205" s="5"/>
      <c r="L3205" s="54"/>
      <c r="M3205" s="5"/>
      <c r="N3205" s="53"/>
      <c r="Q3205" s="5"/>
      <c r="R3205" s="10">
        <f t="shared" si="10"/>
        <v>0</v>
      </c>
      <c r="S3205" s="5"/>
      <c r="T3205" s="5"/>
      <c r="U3205" s="5"/>
      <c r="V3205" s="5"/>
    </row>
    <row r="3206" ht="12.75" customHeight="1">
      <c r="A3206" s="5"/>
      <c r="B3206" s="5"/>
      <c r="C3206" s="5"/>
      <c r="D3206" s="5"/>
      <c r="E3206" s="7"/>
      <c r="F3206" s="5"/>
      <c r="G3206" s="5"/>
      <c r="H3206" s="5"/>
      <c r="I3206" s="5"/>
      <c r="J3206" s="5"/>
      <c r="K3206" s="5"/>
      <c r="L3206" s="54"/>
      <c r="M3206" s="5"/>
      <c r="N3206" s="53"/>
      <c r="Q3206" s="5"/>
      <c r="R3206" s="10">
        <f t="shared" si="10"/>
        <v>0</v>
      </c>
      <c r="S3206" s="5"/>
      <c r="T3206" s="5"/>
      <c r="U3206" s="5"/>
      <c r="V3206" s="5"/>
    </row>
    <row r="3207" ht="12.75" customHeight="1">
      <c r="A3207" s="5"/>
      <c r="B3207" s="5"/>
      <c r="C3207" s="5"/>
      <c r="D3207" s="5"/>
      <c r="E3207" s="7"/>
      <c r="F3207" s="5"/>
      <c r="G3207" s="5"/>
      <c r="H3207" s="5"/>
      <c r="I3207" s="5"/>
      <c r="J3207" s="5"/>
      <c r="K3207" s="5"/>
      <c r="L3207" s="54"/>
      <c r="M3207" s="5"/>
      <c r="N3207" s="53"/>
      <c r="Q3207" s="5"/>
      <c r="R3207" s="10">
        <f t="shared" si="10"/>
        <v>0</v>
      </c>
      <c r="S3207" s="5"/>
      <c r="T3207" s="5"/>
      <c r="U3207" s="5"/>
      <c r="V3207" s="5"/>
    </row>
    <row r="3208" ht="12.75" customHeight="1">
      <c r="A3208" s="5"/>
      <c r="B3208" s="5"/>
      <c r="C3208" s="5"/>
      <c r="D3208" s="5"/>
      <c r="E3208" s="7"/>
      <c r="F3208" s="5"/>
      <c r="G3208" s="5"/>
      <c r="H3208" s="5"/>
      <c r="I3208" s="5"/>
      <c r="J3208" s="5"/>
      <c r="K3208" s="5"/>
      <c r="L3208" s="54"/>
      <c r="M3208" s="5"/>
      <c r="N3208" s="53"/>
      <c r="Q3208" s="5"/>
      <c r="R3208" s="5"/>
      <c r="S3208" s="5"/>
      <c r="T3208" s="5"/>
      <c r="U3208" s="5"/>
      <c r="V3208" s="5"/>
    </row>
    <row r="3209" ht="12.75" customHeight="1">
      <c r="A3209" s="5"/>
      <c r="B3209" s="5"/>
      <c r="C3209" s="5"/>
      <c r="D3209" s="5"/>
      <c r="E3209" s="7"/>
      <c r="F3209" s="5"/>
      <c r="G3209" s="5"/>
      <c r="H3209" s="5"/>
      <c r="I3209" s="5"/>
      <c r="J3209" s="5"/>
      <c r="K3209" s="5"/>
      <c r="L3209" s="54"/>
      <c r="M3209" s="5"/>
      <c r="N3209" s="53"/>
      <c r="Q3209" s="5"/>
      <c r="R3209" s="5"/>
      <c r="S3209" s="5"/>
      <c r="T3209" s="5"/>
      <c r="U3209" s="5"/>
      <c r="V3209" s="5"/>
    </row>
    <row r="3210" ht="12.75" customHeight="1">
      <c r="A3210" s="5"/>
      <c r="B3210" s="5"/>
      <c r="C3210" s="5"/>
      <c r="D3210" s="5"/>
      <c r="E3210" s="7"/>
      <c r="F3210" s="5"/>
      <c r="G3210" s="5"/>
      <c r="H3210" s="5"/>
      <c r="I3210" s="5"/>
      <c r="J3210" s="5"/>
      <c r="K3210" s="5"/>
      <c r="L3210" s="54"/>
      <c r="M3210" s="5"/>
      <c r="N3210" s="53"/>
      <c r="Q3210" s="5"/>
      <c r="R3210" s="5"/>
      <c r="S3210" s="5"/>
      <c r="T3210" s="5"/>
      <c r="U3210" s="5"/>
      <c r="V3210" s="5"/>
    </row>
    <row r="3211" ht="12.75" customHeight="1">
      <c r="A3211" s="5"/>
      <c r="B3211" s="5"/>
      <c r="C3211" s="5"/>
      <c r="D3211" s="5"/>
      <c r="E3211" s="7"/>
      <c r="F3211" s="5"/>
      <c r="G3211" s="5"/>
      <c r="H3211" s="5"/>
      <c r="I3211" s="5"/>
      <c r="J3211" s="5"/>
      <c r="K3211" s="5"/>
      <c r="L3211" s="54"/>
      <c r="M3211" s="5"/>
      <c r="N3211" s="53"/>
      <c r="Q3211" s="5"/>
      <c r="R3211" s="5"/>
      <c r="S3211" s="5"/>
      <c r="T3211" s="5"/>
      <c r="U3211" s="5"/>
      <c r="V3211" s="5"/>
    </row>
    <row r="3212" ht="12.75" customHeight="1">
      <c r="A3212" s="5"/>
      <c r="B3212" s="5"/>
      <c r="C3212" s="5"/>
      <c r="D3212" s="5"/>
      <c r="E3212" s="7"/>
      <c r="F3212" s="5"/>
      <c r="G3212" s="5"/>
      <c r="H3212" s="5"/>
      <c r="I3212" s="5"/>
      <c r="J3212" s="5"/>
      <c r="K3212" s="5"/>
      <c r="L3212" s="54"/>
      <c r="M3212" s="5"/>
      <c r="N3212" s="53"/>
      <c r="Q3212" s="5"/>
      <c r="R3212" s="5"/>
      <c r="S3212" s="5"/>
      <c r="T3212" s="5"/>
      <c r="U3212" s="5"/>
      <c r="V3212" s="5"/>
    </row>
    <row r="3213" ht="12.75" customHeight="1">
      <c r="A3213" s="5"/>
      <c r="B3213" s="5"/>
      <c r="C3213" s="5"/>
      <c r="D3213" s="5"/>
      <c r="E3213" s="7"/>
      <c r="F3213" s="5"/>
      <c r="G3213" s="5"/>
      <c r="H3213" s="5"/>
      <c r="I3213" s="5"/>
      <c r="J3213" s="5"/>
      <c r="K3213" s="5"/>
      <c r="L3213" s="54"/>
      <c r="M3213" s="5"/>
      <c r="N3213" s="53"/>
      <c r="Q3213" s="5"/>
      <c r="R3213" s="5"/>
      <c r="S3213" s="5"/>
      <c r="T3213" s="5"/>
      <c r="U3213" s="5"/>
      <c r="V3213" s="5"/>
    </row>
    <row r="3214" ht="12.75" customHeight="1">
      <c r="A3214" s="5"/>
      <c r="B3214" s="5"/>
      <c r="C3214" s="5"/>
      <c r="D3214" s="5"/>
      <c r="E3214" s="7"/>
      <c r="F3214" s="5"/>
      <c r="G3214" s="5"/>
      <c r="H3214" s="5"/>
      <c r="I3214" s="5"/>
      <c r="J3214" s="5"/>
      <c r="K3214" s="5"/>
      <c r="L3214" s="54"/>
      <c r="M3214" s="5"/>
      <c r="N3214" s="53"/>
      <c r="Q3214" s="5"/>
      <c r="R3214" s="5"/>
      <c r="S3214" s="5"/>
      <c r="T3214" s="5"/>
      <c r="U3214" s="5"/>
      <c r="V3214" s="5"/>
    </row>
    <row r="3215" ht="12.75" customHeight="1">
      <c r="A3215" s="5"/>
      <c r="B3215" s="5"/>
      <c r="C3215" s="5"/>
      <c r="D3215" s="5"/>
      <c r="E3215" s="7"/>
      <c r="F3215" s="5"/>
      <c r="G3215" s="5"/>
      <c r="H3215" s="5"/>
      <c r="I3215" s="5"/>
      <c r="J3215" s="5"/>
      <c r="K3215" s="5"/>
      <c r="L3215" s="54"/>
      <c r="M3215" s="5"/>
      <c r="N3215" s="53"/>
      <c r="Q3215" s="5"/>
      <c r="R3215" s="5"/>
      <c r="S3215" s="5"/>
      <c r="T3215" s="5"/>
      <c r="U3215" s="5"/>
      <c r="V3215" s="5"/>
    </row>
    <row r="3216" ht="12.75" customHeight="1">
      <c r="A3216" s="5"/>
      <c r="B3216" s="5"/>
      <c r="C3216" s="5"/>
      <c r="D3216" s="5"/>
      <c r="E3216" s="7"/>
      <c r="F3216" s="5"/>
      <c r="G3216" s="5"/>
      <c r="H3216" s="5"/>
      <c r="I3216" s="5"/>
      <c r="J3216" s="5"/>
      <c r="K3216" s="5"/>
      <c r="L3216" s="54"/>
      <c r="M3216" s="5"/>
      <c r="N3216" s="53"/>
      <c r="Q3216" s="5"/>
      <c r="R3216" s="5"/>
      <c r="S3216" s="5"/>
      <c r="T3216" s="5"/>
      <c r="U3216" s="5"/>
      <c r="V3216" s="5"/>
    </row>
    <row r="3217" ht="12.75" customHeight="1">
      <c r="A3217" s="5"/>
      <c r="B3217" s="5"/>
      <c r="C3217" s="5"/>
      <c r="D3217" s="5"/>
      <c r="E3217" s="7"/>
      <c r="F3217" s="5"/>
      <c r="G3217" s="5"/>
      <c r="H3217" s="5"/>
      <c r="I3217" s="5"/>
      <c r="J3217" s="5"/>
      <c r="K3217" s="5"/>
      <c r="L3217" s="54"/>
      <c r="M3217" s="5"/>
      <c r="N3217" s="53"/>
      <c r="Q3217" s="5"/>
      <c r="R3217" s="5"/>
      <c r="S3217" s="5"/>
      <c r="T3217" s="5"/>
      <c r="U3217" s="5"/>
      <c r="V3217" s="5"/>
    </row>
    <row r="3218" ht="12.75" customHeight="1">
      <c r="A3218" s="5"/>
      <c r="B3218" s="5"/>
      <c r="C3218" s="5"/>
      <c r="D3218" s="5"/>
      <c r="E3218" s="7"/>
      <c r="F3218" s="5"/>
      <c r="G3218" s="5"/>
      <c r="H3218" s="5"/>
      <c r="I3218" s="5"/>
      <c r="J3218" s="5"/>
      <c r="K3218" s="5"/>
      <c r="L3218" s="54"/>
      <c r="M3218" s="5"/>
      <c r="N3218" s="53"/>
      <c r="Q3218" s="5"/>
      <c r="R3218" s="5"/>
      <c r="S3218" s="5"/>
      <c r="T3218" s="5"/>
      <c r="U3218" s="5"/>
      <c r="V3218" s="5"/>
    </row>
    <row r="3219" ht="12.75" customHeight="1">
      <c r="A3219" s="5"/>
      <c r="B3219" s="5"/>
      <c r="C3219" s="5"/>
      <c r="D3219" s="5"/>
      <c r="E3219" s="7"/>
      <c r="F3219" s="5"/>
      <c r="G3219" s="5"/>
      <c r="H3219" s="5"/>
      <c r="I3219" s="5"/>
      <c r="J3219" s="5"/>
      <c r="K3219" s="5"/>
      <c r="L3219" s="54"/>
      <c r="M3219" s="5"/>
      <c r="N3219" s="53"/>
      <c r="Q3219" s="5"/>
      <c r="R3219" s="5"/>
      <c r="S3219" s="5"/>
      <c r="T3219" s="5"/>
      <c r="U3219" s="5"/>
      <c r="V3219" s="5"/>
    </row>
    <row r="3220" ht="12.75" customHeight="1">
      <c r="A3220" s="5"/>
      <c r="B3220" s="5"/>
      <c r="C3220" s="5"/>
      <c r="D3220" s="5"/>
      <c r="E3220" s="7"/>
      <c r="F3220" s="5"/>
      <c r="G3220" s="5"/>
      <c r="H3220" s="5"/>
      <c r="I3220" s="5"/>
      <c r="J3220" s="5"/>
      <c r="K3220" s="5"/>
      <c r="L3220" s="54"/>
      <c r="M3220" s="5"/>
      <c r="N3220" s="53"/>
      <c r="Q3220" s="5"/>
      <c r="R3220" s="5"/>
      <c r="S3220" s="5"/>
      <c r="T3220" s="5"/>
      <c r="U3220" s="5"/>
      <c r="V3220" s="5"/>
    </row>
    <row r="3221" ht="12.75" customHeight="1">
      <c r="A3221" s="5"/>
      <c r="B3221" s="5"/>
      <c r="C3221" s="5"/>
      <c r="D3221" s="5"/>
      <c r="E3221" s="7"/>
      <c r="F3221" s="5"/>
      <c r="G3221" s="5"/>
      <c r="H3221" s="5"/>
      <c r="I3221" s="5"/>
      <c r="J3221" s="5"/>
      <c r="K3221" s="5"/>
      <c r="L3221" s="54"/>
      <c r="M3221" s="5"/>
      <c r="N3221" s="53"/>
      <c r="Q3221" s="5"/>
      <c r="R3221" s="5"/>
      <c r="S3221" s="5"/>
      <c r="T3221" s="5"/>
      <c r="U3221" s="5"/>
      <c r="V3221" s="5"/>
    </row>
    <row r="3222" ht="12.75" customHeight="1">
      <c r="A3222" s="5"/>
      <c r="B3222" s="5"/>
      <c r="C3222" s="5"/>
      <c r="D3222" s="5"/>
      <c r="E3222" s="7"/>
      <c r="F3222" s="5"/>
      <c r="G3222" s="5"/>
      <c r="H3222" s="5"/>
      <c r="I3222" s="5"/>
      <c r="J3222" s="5"/>
      <c r="K3222" s="5"/>
      <c r="L3222" s="54"/>
      <c r="M3222" s="5"/>
      <c r="N3222" s="53"/>
      <c r="Q3222" s="5"/>
      <c r="R3222" s="5"/>
      <c r="S3222" s="5"/>
      <c r="T3222" s="5"/>
      <c r="U3222" s="5"/>
      <c r="V3222" s="5"/>
    </row>
    <row r="3223" ht="12.75" customHeight="1">
      <c r="A3223" s="5"/>
      <c r="B3223" s="5"/>
      <c r="C3223" s="5"/>
      <c r="D3223" s="5"/>
      <c r="E3223" s="7"/>
      <c r="F3223" s="5"/>
      <c r="G3223" s="5"/>
      <c r="H3223" s="5"/>
      <c r="I3223" s="5"/>
      <c r="J3223" s="5"/>
      <c r="K3223" s="5"/>
      <c r="L3223" s="54"/>
      <c r="M3223" s="5"/>
      <c r="N3223" s="53"/>
      <c r="Q3223" s="5"/>
      <c r="R3223" s="5"/>
      <c r="S3223" s="5"/>
      <c r="T3223" s="5"/>
      <c r="U3223" s="5"/>
      <c r="V3223" s="5"/>
    </row>
    <row r="3224" ht="12.75" customHeight="1">
      <c r="A3224" s="5"/>
      <c r="B3224" s="5"/>
      <c r="C3224" s="5"/>
      <c r="D3224" s="5"/>
      <c r="E3224" s="7"/>
      <c r="F3224" s="5"/>
      <c r="G3224" s="5"/>
      <c r="H3224" s="5"/>
      <c r="I3224" s="5"/>
      <c r="J3224" s="5"/>
      <c r="K3224" s="5"/>
      <c r="L3224" s="54"/>
      <c r="M3224" s="5"/>
      <c r="N3224" s="53"/>
      <c r="Q3224" s="5"/>
      <c r="R3224" s="5"/>
      <c r="S3224" s="5"/>
      <c r="T3224" s="5"/>
      <c r="U3224" s="5"/>
      <c r="V3224" s="5"/>
    </row>
    <row r="3225" ht="12.75" customHeight="1">
      <c r="A3225" s="5"/>
      <c r="B3225" s="5"/>
      <c r="C3225" s="5"/>
      <c r="D3225" s="5"/>
      <c r="E3225" s="7"/>
      <c r="F3225" s="5"/>
      <c r="G3225" s="5"/>
      <c r="H3225" s="5"/>
      <c r="I3225" s="5"/>
      <c r="J3225" s="5"/>
      <c r="K3225" s="5"/>
      <c r="L3225" s="54"/>
      <c r="M3225" s="5"/>
      <c r="N3225" s="53"/>
      <c r="Q3225" s="5"/>
      <c r="R3225" s="5"/>
      <c r="S3225" s="5"/>
      <c r="T3225" s="5"/>
      <c r="U3225" s="5"/>
      <c r="V3225" s="5"/>
    </row>
    <row r="3226" ht="12.75" customHeight="1">
      <c r="A3226" s="5"/>
      <c r="B3226" s="5"/>
      <c r="C3226" s="5"/>
      <c r="D3226" s="5"/>
      <c r="E3226" s="7"/>
      <c r="F3226" s="5"/>
      <c r="G3226" s="5"/>
      <c r="H3226" s="5"/>
      <c r="I3226" s="5"/>
      <c r="J3226" s="5"/>
      <c r="K3226" s="5"/>
      <c r="L3226" s="54"/>
      <c r="M3226" s="5"/>
      <c r="N3226" s="53"/>
      <c r="Q3226" s="5"/>
      <c r="R3226" s="5"/>
      <c r="S3226" s="5"/>
      <c r="T3226" s="5"/>
      <c r="U3226" s="5"/>
      <c r="V3226" s="5"/>
    </row>
    <row r="3227" ht="12.75" customHeight="1">
      <c r="A3227" s="5"/>
      <c r="B3227" s="5"/>
      <c r="C3227" s="5"/>
      <c r="D3227" s="5"/>
      <c r="E3227" s="7"/>
      <c r="F3227" s="5"/>
      <c r="G3227" s="5"/>
      <c r="H3227" s="5"/>
      <c r="I3227" s="5"/>
      <c r="J3227" s="5"/>
      <c r="K3227" s="5"/>
      <c r="L3227" s="54"/>
      <c r="M3227" s="5"/>
      <c r="N3227" s="53"/>
      <c r="Q3227" s="5"/>
      <c r="R3227" s="5"/>
      <c r="S3227" s="5"/>
      <c r="T3227" s="5"/>
      <c r="U3227" s="5"/>
      <c r="V3227" s="5"/>
    </row>
    <row r="3228" ht="12.75" customHeight="1">
      <c r="A3228" s="5"/>
      <c r="B3228" s="5"/>
      <c r="C3228" s="5"/>
      <c r="D3228" s="5"/>
      <c r="E3228" s="7"/>
      <c r="F3228" s="5"/>
      <c r="G3228" s="5"/>
      <c r="H3228" s="5"/>
      <c r="I3228" s="5"/>
      <c r="J3228" s="5"/>
      <c r="K3228" s="5"/>
      <c r="L3228" s="54"/>
      <c r="M3228" s="5"/>
      <c r="N3228" s="53"/>
      <c r="Q3228" s="5"/>
      <c r="R3228" s="5"/>
      <c r="S3228" s="5"/>
      <c r="T3228" s="5"/>
      <c r="U3228" s="5"/>
      <c r="V3228" s="5"/>
    </row>
    <row r="3229" ht="12.75" customHeight="1">
      <c r="A3229" s="5"/>
      <c r="B3229" s="5"/>
      <c r="C3229" s="5"/>
      <c r="D3229" s="5"/>
      <c r="E3229" s="7"/>
      <c r="F3229" s="5"/>
      <c r="G3229" s="5"/>
      <c r="H3229" s="5"/>
      <c r="I3229" s="5"/>
      <c r="J3229" s="5"/>
      <c r="K3229" s="5"/>
      <c r="L3229" s="54"/>
      <c r="M3229" s="5"/>
      <c r="N3229" s="53"/>
      <c r="Q3229" s="5"/>
      <c r="R3229" s="5"/>
      <c r="S3229" s="5"/>
      <c r="T3229" s="5"/>
      <c r="U3229" s="5"/>
      <c r="V3229" s="5"/>
    </row>
    <row r="3230" ht="12.75" customHeight="1">
      <c r="A3230" s="5"/>
      <c r="B3230" s="5"/>
      <c r="C3230" s="5"/>
      <c r="D3230" s="5"/>
      <c r="E3230" s="7"/>
      <c r="F3230" s="5"/>
      <c r="G3230" s="5"/>
      <c r="H3230" s="5"/>
      <c r="I3230" s="5"/>
      <c r="J3230" s="5"/>
      <c r="K3230" s="5"/>
      <c r="L3230" s="54"/>
      <c r="M3230" s="5"/>
      <c r="N3230" s="53"/>
      <c r="Q3230" s="5"/>
      <c r="R3230" s="5"/>
      <c r="S3230" s="5"/>
      <c r="T3230" s="5"/>
      <c r="U3230" s="5"/>
      <c r="V3230" s="5"/>
    </row>
    <row r="3231" ht="12.75" customHeight="1">
      <c r="A3231" s="5"/>
      <c r="B3231" s="5"/>
      <c r="C3231" s="5"/>
      <c r="D3231" s="5"/>
      <c r="E3231" s="7"/>
      <c r="F3231" s="5"/>
      <c r="G3231" s="5"/>
      <c r="H3231" s="5"/>
      <c r="I3231" s="5"/>
      <c r="J3231" s="5"/>
      <c r="K3231" s="5"/>
      <c r="L3231" s="54"/>
      <c r="M3231" s="5"/>
      <c r="N3231" s="53"/>
      <c r="Q3231" s="5"/>
      <c r="R3231" s="5"/>
      <c r="S3231" s="5"/>
      <c r="T3231" s="5"/>
      <c r="U3231" s="5"/>
      <c r="V3231" s="5"/>
    </row>
    <row r="3232" ht="12.75" customHeight="1">
      <c r="A3232" s="5"/>
      <c r="B3232" s="5"/>
      <c r="C3232" s="5"/>
      <c r="D3232" s="5"/>
      <c r="E3232" s="7"/>
      <c r="F3232" s="5"/>
      <c r="G3232" s="5"/>
      <c r="H3232" s="5"/>
      <c r="I3232" s="5"/>
      <c r="J3232" s="5"/>
      <c r="K3232" s="5"/>
      <c r="L3232" s="54"/>
      <c r="M3232" s="5"/>
      <c r="N3232" s="53"/>
      <c r="Q3232" s="5"/>
      <c r="R3232" s="5"/>
      <c r="S3232" s="5"/>
      <c r="T3232" s="5"/>
      <c r="U3232" s="5"/>
      <c r="V3232" s="5"/>
    </row>
    <row r="3233" ht="12.75" customHeight="1">
      <c r="A3233" s="5"/>
      <c r="B3233" s="5"/>
      <c r="C3233" s="5"/>
      <c r="D3233" s="5"/>
      <c r="E3233" s="7"/>
      <c r="F3233" s="5"/>
      <c r="G3233" s="5"/>
      <c r="H3233" s="5"/>
      <c r="I3233" s="5"/>
      <c r="J3233" s="5"/>
      <c r="K3233" s="5"/>
      <c r="L3233" s="54"/>
      <c r="M3233" s="5"/>
      <c r="N3233" s="53"/>
      <c r="Q3233" s="5"/>
      <c r="R3233" s="5"/>
      <c r="S3233" s="5"/>
      <c r="T3233" s="5"/>
      <c r="U3233" s="5"/>
      <c r="V3233" s="5"/>
    </row>
    <row r="3234" ht="12.75" customHeight="1">
      <c r="A3234" s="5"/>
      <c r="B3234" s="5"/>
      <c r="C3234" s="5"/>
      <c r="D3234" s="5"/>
      <c r="E3234" s="7"/>
      <c r="F3234" s="5"/>
      <c r="G3234" s="5"/>
      <c r="H3234" s="5"/>
      <c r="I3234" s="5"/>
      <c r="J3234" s="5"/>
      <c r="K3234" s="5"/>
      <c r="L3234" s="54"/>
      <c r="M3234" s="5"/>
      <c r="N3234" s="53"/>
      <c r="Q3234" s="5"/>
      <c r="R3234" s="5"/>
      <c r="S3234" s="5"/>
      <c r="T3234" s="5"/>
      <c r="U3234" s="5"/>
      <c r="V3234" s="5"/>
    </row>
    <row r="3235" ht="12.75" customHeight="1">
      <c r="A3235" s="5"/>
      <c r="B3235" s="5"/>
      <c r="C3235" s="5"/>
      <c r="D3235" s="5"/>
      <c r="E3235" s="7"/>
      <c r="F3235" s="5"/>
      <c r="G3235" s="5"/>
      <c r="H3235" s="5"/>
      <c r="I3235" s="5"/>
      <c r="J3235" s="5"/>
      <c r="K3235" s="5"/>
      <c r="L3235" s="54"/>
      <c r="M3235" s="5"/>
      <c r="N3235" s="53"/>
      <c r="Q3235" s="5"/>
      <c r="R3235" s="5"/>
      <c r="S3235" s="5"/>
      <c r="T3235" s="5"/>
      <c r="U3235" s="5"/>
      <c r="V3235" s="5"/>
    </row>
    <row r="3236" ht="12.75" customHeight="1">
      <c r="A3236" s="5"/>
      <c r="B3236" s="5"/>
      <c r="C3236" s="5"/>
      <c r="D3236" s="5"/>
      <c r="E3236" s="7"/>
      <c r="F3236" s="5"/>
      <c r="G3236" s="5"/>
      <c r="H3236" s="5"/>
      <c r="I3236" s="5"/>
      <c r="J3236" s="5"/>
      <c r="K3236" s="5"/>
      <c r="L3236" s="54"/>
      <c r="M3236" s="5"/>
      <c r="N3236" s="53"/>
      <c r="Q3236" s="5"/>
      <c r="R3236" s="5"/>
      <c r="S3236" s="5"/>
      <c r="T3236" s="5"/>
      <c r="U3236" s="5"/>
      <c r="V3236" s="5"/>
    </row>
    <row r="3237" ht="12.75" customHeight="1">
      <c r="A3237" s="5"/>
      <c r="B3237" s="5"/>
      <c r="C3237" s="5"/>
      <c r="D3237" s="5"/>
      <c r="E3237" s="7"/>
      <c r="F3237" s="5"/>
      <c r="G3237" s="5"/>
      <c r="H3237" s="5"/>
      <c r="I3237" s="5"/>
      <c r="J3237" s="5"/>
      <c r="K3237" s="5"/>
      <c r="L3237" s="54"/>
      <c r="M3237" s="5"/>
      <c r="N3237" s="53"/>
      <c r="Q3237" s="5"/>
      <c r="R3237" s="5"/>
      <c r="S3237" s="5"/>
      <c r="T3237" s="5"/>
      <c r="U3237" s="5"/>
      <c r="V3237" s="5"/>
    </row>
    <row r="3238" ht="12.75" customHeight="1">
      <c r="A3238" s="5"/>
      <c r="B3238" s="5"/>
      <c r="C3238" s="5"/>
      <c r="D3238" s="5"/>
      <c r="E3238" s="7"/>
      <c r="F3238" s="5"/>
      <c r="G3238" s="5"/>
      <c r="H3238" s="5"/>
      <c r="I3238" s="5"/>
      <c r="J3238" s="5"/>
      <c r="K3238" s="5"/>
      <c r="L3238" s="54"/>
      <c r="M3238" s="5"/>
      <c r="N3238" s="53"/>
      <c r="Q3238" s="5"/>
      <c r="R3238" s="5"/>
      <c r="S3238" s="5"/>
      <c r="T3238" s="5"/>
      <c r="U3238" s="5"/>
      <c r="V3238" s="5"/>
    </row>
    <row r="3239" ht="12.75" customHeight="1">
      <c r="A3239" s="5"/>
      <c r="B3239" s="5"/>
      <c r="C3239" s="5"/>
      <c r="D3239" s="5"/>
      <c r="E3239" s="7"/>
      <c r="F3239" s="5"/>
      <c r="G3239" s="5"/>
      <c r="H3239" s="5"/>
      <c r="I3239" s="5"/>
      <c r="J3239" s="5"/>
      <c r="K3239" s="5"/>
      <c r="L3239" s="54"/>
      <c r="M3239" s="5"/>
      <c r="N3239" s="53"/>
      <c r="Q3239" s="5"/>
      <c r="R3239" s="5"/>
      <c r="S3239" s="5"/>
      <c r="T3239" s="5"/>
      <c r="U3239" s="5"/>
      <c r="V3239" s="5"/>
    </row>
    <row r="3240" ht="12.75" customHeight="1">
      <c r="A3240" s="5"/>
      <c r="B3240" s="5"/>
      <c r="C3240" s="5"/>
      <c r="D3240" s="5"/>
      <c r="E3240" s="7"/>
      <c r="F3240" s="5"/>
      <c r="G3240" s="5"/>
      <c r="H3240" s="5"/>
      <c r="I3240" s="5"/>
      <c r="J3240" s="5"/>
      <c r="K3240" s="5"/>
      <c r="L3240" s="54"/>
      <c r="M3240" s="5"/>
      <c r="N3240" s="53"/>
      <c r="Q3240" s="5"/>
      <c r="R3240" s="5"/>
      <c r="S3240" s="5"/>
      <c r="T3240" s="5"/>
      <c r="U3240" s="5"/>
      <c r="V3240" s="5"/>
    </row>
    <row r="3241" ht="12.75" customHeight="1">
      <c r="A3241" s="5"/>
      <c r="B3241" s="5"/>
      <c r="C3241" s="5"/>
      <c r="D3241" s="5"/>
      <c r="E3241" s="7"/>
      <c r="F3241" s="5"/>
      <c r="G3241" s="5"/>
      <c r="H3241" s="5"/>
      <c r="I3241" s="5"/>
      <c r="J3241" s="5"/>
      <c r="K3241" s="5"/>
      <c r="L3241" s="54"/>
      <c r="M3241" s="5"/>
      <c r="N3241" s="53"/>
      <c r="Q3241" s="5"/>
      <c r="R3241" s="5"/>
      <c r="S3241" s="5"/>
      <c r="T3241" s="5"/>
      <c r="U3241" s="5"/>
      <c r="V3241" s="5"/>
    </row>
    <row r="3242" ht="12.75" customHeight="1">
      <c r="A3242" s="5"/>
      <c r="B3242" s="5"/>
      <c r="C3242" s="5"/>
      <c r="D3242" s="5"/>
      <c r="E3242" s="7"/>
      <c r="F3242" s="5"/>
      <c r="G3242" s="5"/>
      <c r="H3242" s="5"/>
      <c r="I3242" s="5"/>
      <c r="J3242" s="5"/>
      <c r="K3242" s="5"/>
      <c r="L3242" s="54"/>
      <c r="M3242" s="5"/>
      <c r="N3242" s="53"/>
      <c r="Q3242" s="5"/>
      <c r="R3242" s="5"/>
      <c r="S3242" s="5"/>
      <c r="T3242" s="5"/>
      <c r="U3242" s="5"/>
      <c r="V3242" s="5"/>
    </row>
    <row r="3243" ht="12.75" customHeight="1">
      <c r="A3243" s="5"/>
      <c r="B3243" s="5"/>
      <c r="C3243" s="5"/>
      <c r="D3243" s="5"/>
      <c r="E3243" s="7"/>
      <c r="F3243" s="5"/>
      <c r="G3243" s="5"/>
      <c r="H3243" s="5"/>
      <c r="I3243" s="5"/>
      <c r="J3243" s="5"/>
      <c r="K3243" s="5"/>
      <c r="L3243" s="54"/>
      <c r="M3243" s="5"/>
      <c r="N3243" s="53"/>
      <c r="Q3243" s="5"/>
      <c r="R3243" s="5"/>
      <c r="S3243" s="5"/>
      <c r="T3243" s="5"/>
      <c r="U3243" s="5"/>
      <c r="V3243" s="5"/>
    </row>
    <row r="3244" ht="12.75" customHeight="1">
      <c r="A3244" s="5"/>
      <c r="B3244" s="5"/>
      <c r="C3244" s="5"/>
      <c r="D3244" s="5"/>
      <c r="E3244" s="7"/>
      <c r="F3244" s="5"/>
      <c r="G3244" s="5"/>
      <c r="H3244" s="5"/>
      <c r="I3244" s="5"/>
      <c r="J3244" s="5"/>
      <c r="K3244" s="5"/>
      <c r="L3244" s="54"/>
      <c r="M3244" s="5"/>
      <c r="N3244" s="53"/>
      <c r="Q3244" s="5"/>
      <c r="R3244" s="5"/>
      <c r="S3244" s="5"/>
      <c r="T3244" s="5"/>
      <c r="U3244" s="5"/>
      <c r="V3244" s="5"/>
    </row>
    <row r="3245" ht="12.75" customHeight="1">
      <c r="A3245" s="5"/>
      <c r="B3245" s="5"/>
      <c r="C3245" s="5"/>
      <c r="D3245" s="5"/>
      <c r="E3245" s="7"/>
      <c r="F3245" s="5"/>
      <c r="G3245" s="5"/>
      <c r="H3245" s="5"/>
      <c r="I3245" s="5"/>
      <c r="J3245" s="5"/>
      <c r="K3245" s="5"/>
      <c r="L3245" s="54"/>
      <c r="M3245" s="5"/>
      <c r="N3245" s="53"/>
      <c r="Q3245" s="5"/>
      <c r="R3245" s="5"/>
      <c r="S3245" s="5"/>
      <c r="T3245" s="5"/>
      <c r="U3245" s="5"/>
      <c r="V3245" s="5"/>
    </row>
    <row r="3246" ht="12.75" customHeight="1">
      <c r="A3246" s="5"/>
      <c r="B3246" s="5"/>
      <c r="C3246" s="5"/>
      <c r="D3246" s="5"/>
      <c r="E3246" s="7"/>
      <c r="F3246" s="5"/>
      <c r="G3246" s="5"/>
      <c r="H3246" s="5"/>
      <c r="I3246" s="5"/>
      <c r="J3246" s="5"/>
      <c r="K3246" s="5"/>
      <c r="L3246" s="54"/>
      <c r="M3246" s="5"/>
      <c r="N3246" s="53"/>
      <c r="Q3246" s="5"/>
      <c r="R3246" s="5"/>
      <c r="S3246" s="5"/>
      <c r="T3246" s="5"/>
      <c r="U3246" s="5"/>
      <c r="V3246" s="5"/>
    </row>
    <row r="3247" ht="12.75" customHeight="1">
      <c r="A3247" s="5"/>
      <c r="B3247" s="5"/>
      <c r="C3247" s="5"/>
      <c r="D3247" s="5"/>
      <c r="E3247" s="7"/>
      <c r="F3247" s="5"/>
      <c r="G3247" s="5"/>
      <c r="H3247" s="5"/>
      <c r="I3247" s="5"/>
      <c r="J3247" s="5"/>
      <c r="K3247" s="5"/>
      <c r="L3247" s="54"/>
      <c r="M3247" s="5"/>
      <c r="N3247" s="53"/>
      <c r="Q3247" s="5"/>
      <c r="R3247" s="5"/>
      <c r="S3247" s="5"/>
      <c r="T3247" s="5"/>
      <c r="U3247" s="5"/>
      <c r="V3247" s="5"/>
    </row>
    <row r="3248" ht="12.75" customHeight="1">
      <c r="A3248" s="5"/>
      <c r="B3248" s="5"/>
      <c r="C3248" s="5"/>
      <c r="D3248" s="5"/>
      <c r="E3248" s="7"/>
      <c r="F3248" s="5"/>
      <c r="G3248" s="5"/>
      <c r="H3248" s="5"/>
      <c r="I3248" s="5"/>
      <c r="J3248" s="5"/>
      <c r="K3248" s="5"/>
      <c r="L3248" s="54"/>
      <c r="M3248" s="5"/>
      <c r="N3248" s="53"/>
      <c r="Q3248" s="5"/>
      <c r="R3248" s="5"/>
      <c r="S3248" s="5"/>
      <c r="T3248" s="5"/>
      <c r="U3248" s="5"/>
      <c r="V3248" s="5"/>
    </row>
    <row r="3249" ht="12.75" customHeight="1">
      <c r="A3249" s="5"/>
      <c r="B3249" s="5"/>
      <c r="C3249" s="5"/>
      <c r="D3249" s="5"/>
      <c r="E3249" s="7"/>
      <c r="F3249" s="5"/>
      <c r="G3249" s="5"/>
      <c r="H3249" s="5"/>
      <c r="I3249" s="5"/>
      <c r="J3249" s="5"/>
      <c r="K3249" s="5"/>
      <c r="L3249" s="54"/>
      <c r="M3249" s="5"/>
      <c r="N3249" s="53"/>
      <c r="Q3249" s="5"/>
      <c r="R3249" s="5"/>
      <c r="S3249" s="5"/>
      <c r="T3249" s="5"/>
      <c r="U3249" s="5"/>
      <c r="V3249" s="5"/>
    </row>
    <row r="3250" ht="12.75" customHeight="1">
      <c r="A3250" s="5"/>
      <c r="B3250" s="5"/>
      <c r="C3250" s="5"/>
      <c r="D3250" s="5"/>
      <c r="E3250" s="7"/>
      <c r="F3250" s="5"/>
      <c r="G3250" s="5"/>
      <c r="H3250" s="5"/>
      <c r="I3250" s="5"/>
      <c r="J3250" s="5"/>
      <c r="K3250" s="5"/>
      <c r="L3250" s="54"/>
      <c r="M3250" s="5"/>
      <c r="N3250" s="53"/>
      <c r="Q3250" s="5"/>
      <c r="R3250" s="5"/>
      <c r="S3250" s="5"/>
      <c r="T3250" s="5"/>
      <c r="U3250" s="5"/>
      <c r="V3250" s="5"/>
    </row>
    <row r="3251" ht="12.75" customHeight="1">
      <c r="A3251" s="5"/>
      <c r="B3251" s="5"/>
      <c r="C3251" s="5"/>
      <c r="D3251" s="5"/>
      <c r="E3251" s="7"/>
      <c r="F3251" s="5"/>
      <c r="G3251" s="5"/>
      <c r="H3251" s="5"/>
      <c r="I3251" s="5"/>
      <c r="J3251" s="5"/>
      <c r="K3251" s="5"/>
      <c r="L3251" s="54"/>
      <c r="M3251" s="5"/>
      <c r="N3251" s="53"/>
      <c r="Q3251" s="5"/>
      <c r="R3251" s="5"/>
      <c r="S3251" s="5"/>
      <c r="T3251" s="5"/>
      <c r="U3251" s="5"/>
      <c r="V3251" s="5"/>
    </row>
    <row r="3252" ht="12.75" customHeight="1">
      <c r="A3252" s="5"/>
      <c r="B3252" s="5"/>
      <c r="C3252" s="5"/>
      <c r="D3252" s="5"/>
      <c r="E3252" s="7"/>
      <c r="F3252" s="5"/>
      <c r="G3252" s="5"/>
      <c r="H3252" s="5"/>
      <c r="I3252" s="5"/>
      <c r="J3252" s="5"/>
      <c r="K3252" s="5"/>
      <c r="L3252" s="54"/>
      <c r="M3252" s="5"/>
      <c r="N3252" s="53"/>
      <c r="Q3252" s="5"/>
      <c r="R3252" s="5"/>
      <c r="S3252" s="5"/>
      <c r="T3252" s="5"/>
      <c r="U3252" s="5"/>
      <c r="V3252" s="5"/>
    </row>
    <row r="3253" ht="12.75" customHeight="1">
      <c r="A3253" s="5"/>
      <c r="B3253" s="5"/>
      <c r="C3253" s="5"/>
      <c r="D3253" s="5"/>
      <c r="E3253" s="7"/>
      <c r="F3253" s="5"/>
      <c r="G3253" s="5"/>
      <c r="H3253" s="5"/>
      <c r="I3253" s="5"/>
      <c r="J3253" s="5"/>
      <c r="K3253" s="5"/>
      <c r="L3253" s="54"/>
      <c r="M3253" s="5"/>
      <c r="N3253" s="53"/>
      <c r="Q3253" s="5"/>
      <c r="R3253" s="5"/>
      <c r="S3253" s="5"/>
      <c r="T3253" s="5"/>
      <c r="U3253" s="5"/>
      <c r="V3253" s="5"/>
    </row>
    <row r="3254" ht="12.75" customHeight="1">
      <c r="A3254" s="5"/>
      <c r="B3254" s="5"/>
      <c r="C3254" s="5"/>
      <c r="D3254" s="5"/>
      <c r="E3254" s="7"/>
      <c r="F3254" s="5"/>
      <c r="G3254" s="5"/>
      <c r="H3254" s="5"/>
      <c r="I3254" s="5"/>
      <c r="J3254" s="5"/>
      <c r="K3254" s="5"/>
      <c r="L3254" s="54"/>
      <c r="M3254" s="5"/>
      <c r="N3254" s="53"/>
      <c r="Q3254" s="5"/>
      <c r="R3254" s="5"/>
      <c r="S3254" s="5"/>
      <c r="T3254" s="5"/>
      <c r="U3254" s="5"/>
      <c r="V3254" s="5"/>
    </row>
    <row r="3255" ht="12.75" customHeight="1">
      <c r="A3255" s="5"/>
      <c r="B3255" s="5"/>
      <c r="C3255" s="5"/>
      <c r="D3255" s="5"/>
      <c r="E3255" s="7"/>
      <c r="F3255" s="5"/>
      <c r="G3255" s="5"/>
      <c r="H3255" s="5"/>
      <c r="I3255" s="5"/>
      <c r="J3255" s="5"/>
      <c r="K3255" s="5"/>
      <c r="L3255" s="54"/>
      <c r="M3255" s="5"/>
      <c r="N3255" s="53"/>
      <c r="Q3255" s="5"/>
      <c r="R3255" s="5"/>
      <c r="S3255" s="5"/>
      <c r="T3255" s="5"/>
      <c r="U3255" s="5"/>
      <c r="V3255" s="5"/>
    </row>
    <row r="3256" ht="12.75" customHeight="1">
      <c r="A3256" s="5"/>
      <c r="B3256" s="5"/>
      <c r="C3256" s="5"/>
      <c r="D3256" s="5"/>
      <c r="E3256" s="7"/>
      <c r="F3256" s="5"/>
      <c r="G3256" s="5"/>
      <c r="H3256" s="5"/>
      <c r="I3256" s="5"/>
      <c r="J3256" s="5"/>
      <c r="K3256" s="5"/>
      <c r="L3256" s="54"/>
      <c r="M3256" s="5"/>
      <c r="N3256" s="53"/>
      <c r="Q3256" s="5"/>
      <c r="R3256" s="5"/>
      <c r="S3256" s="5"/>
      <c r="T3256" s="5"/>
      <c r="U3256" s="5"/>
      <c r="V3256" s="5"/>
    </row>
    <row r="3257" ht="12.75" customHeight="1">
      <c r="A3257" s="5"/>
      <c r="B3257" s="5"/>
      <c r="C3257" s="5"/>
      <c r="D3257" s="5"/>
      <c r="E3257" s="7"/>
      <c r="F3257" s="5"/>
      <c r="G3257" s="5"/>
      <c r="H3257" s="5"/>
      <c r="I3257" s="5"/>
      <c r="J3257" s="5"/>
      <c r="K3257" s="5"/>
      <c r="L3257" s="54"/>
      <c r="M3257" s="5"/>
      <c r="N3257" s="53"/>
      <c r="Q3257" s="5"/>
      <c r="R3257" s="5"/>
      <c r="S3257" s="5"/>
      <c r="T3257" s="5"/>
      <c r="U3257" s="5"/>
      <c r="V3257" s="5"/>
    </row>
    <row r="3258" ht="12.75" customHeight="1">
      <c r="A3258" s="5"/>
      <c r="B3258" s="5"/>
      <c r="C3258" s="5"/>
      <c r="D3258" s="5"/>
      <c r="E3258" s="7"/>
      <c r="F3258" s="5"/>
      <c r="G3258" s="5"/>
      <c r="H3258" s="5"/>
      <c r="I3258" s="5"/>
      <c r="J3258" s="5"/>
      <c r="K3258" s="5"/>
      <c r="L3258" s="54"/>
      <c r="M3258" s="5"/>
      <c r="N3258" s="53"/>
      <c r="Q3258" s="5"/>
      <c r="R3258" s="5"/>
      <c r="S3258" s="5"/>
      <c r="T3258" s="5"/>
      <c r="U3258" s="5"/>
      <c r="V3258" s="5"/>
    </row>
    <row r="3259" ht="12.75" customHeight="1">
      <c r="A3259" s="5"/>
      <c r="B3259" s="5"/>
      <c r="C3259" s="5"/>
      <c r="D3259" s="5"/>
      <c r="E3259" s="7"/>
      <c r="F3259" s="5"/>
      <c r="G3259" s="5"/>
      <c r="H3259" s="5"/>
      <c r="I3259" s="5"/>
      <c r="J3259" s="5"/>
      <c r="K3259" s="5"/>
      <c r="L3259" s="54"/>
      <c r="M3259" s="5"/>
      <c r="N3259" s="53"/>
      <c r="Q3259" s="5"/>
      <c r="R3259" s="5"/>
      <c r="S3259" s="5"/>
      <c r="T3259" s="5"/>
      <c r="U3259" s="5"/>
      <c r="V3259" s="5"/>
    </row>
    <row r="3260" ht="12.75" customHeight="1">
      <c r="A3260" s="5"/>
      <c r="B3260" s="5"/>
      <c r="C3260" s="5"/>
      <c r="D3260" s="5"/>
      <c r="E3260" s="7"/>
      <c r="F3260" s="5"/>
      <c r="G3260" s="5"/>
      <c r="H3260" s="5"/>
      <c r="I3260" s="5"/>
      <c r="J3260" s="5"/>
      <c r="K3260" s="5"/>
      <c r="L3260" s="54"/>
      <c r="M3260" s="5"/>
      <c r="N3260" s="53"/>
      <c r="Q3260" s="5"/>
      <c r="R3260" s="5"/>
      <c r="S3260" s="5"/>
      <c r="T3260" s="5"/>
      <c r="U3260" s="5"/>
      <c r="V3260" s="5"/>
    </row>
    <row r="3261" ht="12.75" customHeight="1">
      <c r="A3261" s="5"/>
      <c r="B3261" s="5"/>
      <c r="C3261" s="5"/>
      <c r="D3261" s="5"/>
      <c r="E3261" s="7"/>
      <c r="F3261" s="5"/>
      <c r="G3261" s="5"/>
      <c r="H3261" s="5"/>
      <c r="I3261" s="5"/>
      <c r="J3261" s="5"/>
      <c r="K3261" s="5"/>
      <c r="L3261" s="54"/>
      <c r="M3261" s="5"/>
      <c r="N3261" s="53"/>
      <c r="Q3261" s="5"/>
      <c r="R3261" s="5"/>
      <c r="S3261" s="5"/>
      <c r="T3261" s="5"/>
      <c r="U3261" s="5"/>
      <c r="V3261" s="5"/>
    </row>
    <row r="3262" ht="12.75" customHeight="1">
      <c r="A3262" s="5"/>
      <c r="B3262" s="5"/>
      <c r="C3262" s="5"/>
      <c r="D3262" s="5"/>
      <c r="E3262" s="7"/>
      <c r="F3262" s="5"/>
      <c r="G3262" s="5"/>
      <c r="H3262" s="5"/>
      <c r="I3262" s="5"/>
      <c r="J3262" s="5"/>
      <c r="K3262" s="5"/>
      <c r="L3262" s="54"/>
      <c r="M3262" s="5"/>
      <c r="N3262" s="53"/>
      <c r="Q3262" s="5"/>
      <c r="R3262" s="5"/>
      <c r="S3262" s="5"/>
      <c r="T3262" s="5"/>
      <c r="U3262" s="5"/>
      <c r="V3262" s="5"/>
    </row>
    <row r="3263" ht="12.75" customHeight="1">
      <c r="A3263" s="5"/>
      <c r="B3263" s="5"/>
      <c r="C3263" s="5"/>
      <c r="D3263" s="5"/>
      <c r="E3263" s="7"/>
      <c r="F3263" s="5"/>
      <c r="G3263" s="5"/>
      <c r="H3263" s="5"/>
      <c r="I3263" s="5"/>
      <c r="J3263" s="5"/>
      <c r="K3263" s="5"/>
      <c r="L3263" s="54"/>
      <c r="M3263" s="5"/>
      <c r="N3263" s="53"/>
      <c r="Q3263" s="5"/>
      <c r="R3263" s="5"/>
      <c r="S3263" s="5"/>
      <c r="T3263" s="5"/>
      <c r="U3263" s="5"/>
      <c r="V3263" s="5"/>
    </row>
    <row r="3264" ht="12.75" customHeight="1">
      <c r="A3264" s="5"/>
      <c r="B3264" s="5"/>
      <c r="C3264" s="5"/>
      <c r="D3264" s="5"/>
      <c r="E3264" s="7"/>
      <c r="F3264" s="5"/>
      <c r="G3264" s="5"/>
      <c r="H3264" s="5"/>
      <c r="I3264" s="5"/>
      <c r="J3264" s="5"/>
      <c r="K3264" s="5"/>
      <c r="L3264" s="54"/>
      <c r="M3264" s="5"/>
      <c r="N3264" s="53"/>
      <c r="Q3264" s="5"/>
      <c r="R3264" s="5"/>
      <c r="S3264" s="5"/>
      <c r="T3264" s="5"/>
      <c r="U3264" s="5"/>
      <c r="V3264" s="5"/>
    </row>
    <row r="3265" ht="12.75" customHeight="1">
      <c r="A3265" s="5"/>
      <c r="B3265" s="5"/>
      <c r="C3265" s="5"/>
      <c r="D3265" s="5"/>
      <c r="E3265" s="7"/>
      <c r="F3265" s="5"/>
      <c r="G3265" s="5"/>
      <c r="H3265" s="5"/>
      <c r="I3265" s="5"/>
      <c r="J3265" s="5"/>
      <c r="K3265" s="5"/>
      <c r="L3265" s="54"/>
      <c r="M3265" s="5"/>
      <c r="N3265" s="53"/>
      <c r="Q3265" s="5"/>
      <c r="R3265" s="5"/>
      <c r="S3265" s="5"/>
      <c r="T3265" s="5"/>
      <c r="U3265" s="5"/>
      <c r="V3265" s="5"/>
    </row>
    <row r="3266" ht="12.75" customHeight="1">
      <c r="A3266" s="5"/>
      <c r="B3266" s="5"/>
      <c r="C3266" s="5"/>
      <c r="D3266" s="5"/>
      <c r="E3266" s="7"/>
      <c r="F3266" s="5"/>
      <c r="G3266" s="5"/>
      <c r="H3266" s="5"/>
      <c r="I3266" s="5"/>
      <c r="J3266" s="5"/>
      <c r="K3266" s="5"/>
      <c r="L3266" s="54"/>
      <c r="M3266" s="5"/>
      <c r="N3266" s="53"/>
      <c r="Q3266" s="5"/>
      <c r="R3266" s="5"/>
      <c r="S3266" s="5"/>
      <c r="T3266" s="5"/>
      <c r="U3266" s="5"/>
      <c r="V3266" s="5"/>
    </row>
    <row r="3267" ht="12.75" customHeight="1">
      <c r="A3267" s="5"/>
      <c r="B3267" s="5"/>
      <c r="C3267" s="5"/>
      <c r="D3267" s="5"/>
      <c r="E3267" s="7"/>
      <c r="F3267" s="5"/>
      <c r="G3267" s="5"/>
      <c r="H3267" s="5"/>
      <c r="I3267" s="5"/>
      <c r="J3267" s="5"/>
      <c r="K3267" s="5"/>
      <c r="L3267" s="54"/>
      <c r="M3267" s="5"/>
      <c r="N3267" s="53"/>
      <c r="Q3267" s="5"/>
      <c r="R3267" s="5"/>
      <c r="S3267" s="5"/>
      <c r="T3267" s="5"/>
      <c r="U3267" s="5"/>
      <c r="V3267" s="5"/>
    </row>
    <row r="3268" ht="12.75" customHeight="1">
      <c r="A3268" s="5"/>
      <c r="B3268" s="5"/>
      <c r="C3268" s="5"/>
      <c r="D3268" s="5"/>
      <c r="E3268" s="7"/>
      <c r="F3268" s="5"/>
      <c r="G3268" s="5"/>
      <c r="H3268" s="5"/>
      <c r="I3268" s="5"/>
      <c r="J3268" s="5"/>
      <c r="K3268" s="5"/>
      <c r="L3268" s="54"/>
      <c r="M3268" s="5"/>
      <c r="N3268" s="53"/>
      <c r="Q3268" s="5"/>
      <c r="R3268" s="5"/>
      <c r="S3268" s="5"/>
      <c r="T3268" s="5"/>
      <c r="U3268" s="5"/>
      <c r="V3268" s="5"/>
    </row>
    <row r="3269" ht="12.75" customHeight="1">
      <c r="A3269" s="5"/>
      <c r="B3269" s="5"/>
      <c r="C3269" s="5"/>
      <c r="D3269" s="5"/>
      <c r="E3269" s="7"/>
      <c r="F3269" s="5"/>
      <c r="G3269" s="5"/>
      <c r="H3269" s="5"/>
      <c r="I3269" s="5"/>
      <c r="J3269" s="5"/>
      <c r="K3269" s="5"/>
      <c r="L3269" s="54"/>
      <c r="M3269" s="5"/>
      <c r="N3269" s="53"/>
      <c r="Q3269" s="5"/>
      <c r="R3269" s="5"/>
      <c r="S3269" s="5"/>
      <c r="T3269" s="5"/>
      <c r="U3269" s="5"/>
      <c r="V3269" s="5"/>
    </row>
    <row r="3270" ht="12.75" customHeight="1">
      <c r="A3270" s="5"/>
      <c r="B3270" s="5"/>
      <c r="C3270" s="5"/>
      <c r="D3270" s="5"/>
      <c r="E3270" s="7"/>
      <c r="F3270" s="5"/>
      <c r="G3270" s="5"/>
      <c r="H3270" s="5"/>
      <c r="I3270" s="5"/>
      <c r="J3270" s="5"/>
      <c r="K3270" s="5"/>
      <c r="L3270" s="54"/>
      <c r="M3270" s="5"/>
      <c r="N3270" s="53"/>
      <c r="Q3270" s="5"/>
      <c r="R3270" s="5"/>
      <c r="S3270" s="5"/>
      <c r="T3270" s="5"/>
      <c r="U3270" s="5"/>
      <c r="V3270" s="5"/>
    </row>
    <row r="3271" ht="12.75" customHeight="1">
      <c r="A3271" s="5"/>
      <c r="B3271" s="5"/>
      <c r="C3271" s="5"/>
      <c r="D3271" s="5"/>
      <c r="E3271" s="7"/>
      <c r="F3271" s="5"/>
      <c r="G3271" s="5"/>
      <c r="H3271" s="5"/>
      <c r="I3271" s="5"/>
      <c r="J3271" s="5"/>
      <c r="K3271" s="5"/>
      <c r="L3271" s="54"/>
      <c r="M3271" s="5"/>
      <c r="N3271" s="53"/>
      <c r="Q3271" s="5"/>
      <c r="R3271" s="5"/>
      <c r="S3271" s="5"/>
      <c r="T3271" s="5"/>
      <c r="U3271" s="5"/>
      <c r="V3271" s="5"/>
    </row>
    <row r="3272" ht="12.75" customHeight="1">
      <c r="A3272" s="5"/>
      <c r="B3272" s="5"/>
      <c r="C3272" s="5"/>
      <c r="D3272" s="5"/>
      <c r="E3272" s="7"/>
      <c r="F3272" s="5"/>
      <c r="G3272" s="5"/>
      <c r="H3272" s="5"/>
      <c r="I3272" s="5"/>
      <c r="J3272" s="5"/>
      <c r="K3272" s="5"/>
      <c r="L3272" s="54"/>
      <c r="M3272" s="5"/>
      <c r="N3272" s="53"/>
      <c r="Q3272" s="5"/>
      <c r="R3272" s="5"/>
      <c r="S3272" s="5"/>
      <c r="T3272" s="5"/>
      <c r="U3272" s="5"/>
      <c r="V3272" s="5"/>
    </row>
    <row r="3273" ht="12.75" customHeight="1">
      <c r="A3273" s="5"/>
      <c r="B3273" s="5"/>
      <c r="C3273" s="5"/>
      <c r="D3273" s="5"/>
      <c r="E3273" s="7"/>
      <c r="F3273" s="5"/>
      <c r="G3273" s="5"/>
      <c r="H3273" s="5"/>
      <c r="I3273" s="5"/>
      <c r="J3273" s="5"/>
      <c r="K3273" s="5"/>
      <c r="L3273" s="54"/>
      <c r="M3273" s="5"/>
      <c r="N3273" s="53"/>
      <c r="Q3273" s="5"/>
      <c r="R3273" s="5"/>
      <c r="S3273" s="5"/>
      <c r="T3273" s="5"/>
      <c r="U3273" s="5"/>
      <c r="V3273" s="5"/>
    </row>
    <row r="3274" ht="12.75" customHeight="1">
      <c r="A3274" s="5"/>
      <c r="B3274" s="5"/>
      <c r="C3274" s="5"/>
      <c r="D3274" s="5"/>
      <c r="E3274" s="7"/>
      <c r="F3274" s="5"/>
      <c r="G3274" s="5"/>
      <c r="H3274" s="5"/>
      <c r="I3274" s="5"/>
      <c r="J3274" s="5"/>
      <c r="K3274" s="5"/>
      <c r="L3274" s="54"/>
      <c r="M3274" s="5"/>
      <c r="N3274" s="53"/>
      <c r="Q3274" s="5"/>
      <c r="R3274" s="5"/>
      <c r="S3274" s="5"/>
      <c r="T3274" s="5"/>
      <c r="U3274" s="5"/>
      <c r="V3274" s="5"/>
    </row>
    <row r="3275" ht="12.75" customHeight="1">
      <c r="A3275" s="5"/>
      <c r="B3275" s="5"/>
      <c r="C3275" s="5"/>
      <c r="D3275" s="5"/>
      <c r="E3275" s="7"/>
      <c r="F3275" s="5"/>
      <c r="G3275" s="5"/>
      <c r="H3275" s="5"/>
      <c r="I3275" s="5"/>
      <c r="J3275" s="5"/>
      <c r="K3275" s="5"/>
      <c r="L3275" s="54"/>
      <c r="M3275" s="5"/>
      <c r="N3275" s="53"/>
      <c r="Q3275" s="5"/>
      <c r="R3275" s="5"/>
      <c r="S3275" s="5"/>
      <c r="T3275" s="5"/>
      <c r="U3275" s="5"/>
      <c r="V3275" s="5"/>
    </row>
    <row r="3276" ht="12.75" customHeight="1">
      <c r="A3276" s="5"/>
      <c r="B3276" s="5"/>
      <c r="C3276" s="5"/>
      <c r="D3276" s="5"/>
      <c r="E3276" s="7"/>
      <c r="F3276" s="5"/>
      <c r="G3276" s="5"/>
      <c r="H3276" s="5"/>
      <c r="I3276" s="5"/>
      <c r="J3276" s="5"/>
      <c r="K3276" s="5"/>
      <c r="L3276" s="54"/>
      <c r="M3276" s="5"/>
      <c r="N3276" s="53"/>
      <c r="Q3276" s="5"/>
      <c r="R3276" s="5"/>
      <c r="S3276" s="5"/>
      <c r="T3276" s="5"/>
      <c r="U3276" s="5"/>
      <c r="V3276" s="5"/>
    </row>
    <row r="3277" ht="12.75" customHeight="1">
      <c r="A3277" s="5"/>
      <c r="B3277" s="5"/>
      <c r="C3277" s="5"/>
      <c r="D3277" s="5"/>
      <c r="E3277" s="7"/>
      <c r="F3277" s="5"/>
      <c r="G3277" s="5"/>
      <c r="H3277" s="5"/>
      <c r="I3277" s="5"/>
      <c r="J3277" s="5"/>
      <c r="K3277" s="5"/>
      <c r="L3277" s="54"/>
      <c r="M3277" s="5"/>
      <c r="N3277" s="53"/>
      <c r="Q3277" s="5"/>
      <c r="R3277" s="5"/>
      <c r="S3277" s="5"/>
      <c r="T3277" s="5"/>
      <c r="U3277" s="5"/>
      <c r="V3277" s="5"/>
    </row>
    <row r="3278" ht="12.75" customHeight="1">
      <c r="A3278" s="5"/>
      <c r="B3278" s="5"/>
      <c r="C3278" s="5"/>
      <c r="D3278" s="5"/>
      <c r="E3278" s="7"/>
      <c r="F3278" s="5"/>
      <c r="G3278" s="5"/>
      <c r="H3278" s="5"/>
      <c r="I3278" s="5"/>
      <c r="J3278" s="5"/>
      <c r="K3278" s="5"/>
      <c r="L3278" s="54"/>
      <c r="M3278" s="5"/>
      <c r="N3278" s="53"/>
      <c r="Q3278" s="5"/>
      <c r="R3278" s="5"/>
      <c r="S3278" s="5"/>
      <c r="T3278" s="5"/>
      <c r="U3278" s="5"/>
      <c r="V3278" s="5"/>
    </row>
    <row r="3279" ht="12.75" customHeight="1">
      <c r="A3279" s="5"/>
      <c r="B3279" s="5"/>
      <c r="C3279" s="5"/>
      <c r="D3279" s="5"/>
      <c r="E3279" s="7"/>
      <c r="F3279" s="5"/>
      <c r="G3279" s="5"/>
      <c r="H3279" s="5"/>
      <c r="I3279" s="5"/>
      <c r="J3279" s="5"/>
      <c r="K3279" s="5"/>
      <c r="L3279" s="54"/>
      <c r="M3279" s="5"/>
      <c r="N3279" s="53"/>
      <c r="Q3279" s="5"/>
      <c r="R3279" s="5"/>
      <c r="S3279" s="5"/>
      <c r="T3279" s="5"/>
      <c r="U3279" s="5"/>
      <c r="V3279" s="5"/>
    </row>
    <row r="3280" ht="12.75" customHeight="1">
      <c r="A3280" s="5"/>
      <c r="B3280" s="5"/>
      <c r="C3280" s="5"/>
      <c r="D3280" s="5"/>
      <c r="E3280" s="7"/>
      <c r="F3280" s="5"/>
      <c r="G3280" s="5"/>
      <c r="H3280" s="5"/>
      <c r="I3280" s="5"/>
      <c r="J3280" s="5"/>
      <c r="K3280" s="5"/>
      <c r="L3280" s="54"/>
      <c r="M3280" s="5"/>
      <c r="N3280" s="53"/>
      <c r="Q3280" s="5"/>
      <c r="R3280" s="5"/>
      <c r="S3280" s="5"/>
      <c r="T3280" s="5"/>
      <c r="U3280" s="5"/>
      <c r="V3280" s="5"/>
    </row>
    <row r="3281" ht="12.75" customHeight="1">
      <c r="A3281" s="5"/>
      <c r="B3281" s="5"/>
      <c r="C3281" s="5"/>
      <c r="D3281" s="5"/>
      <c r="E3281" s="7"/>
      <c r="F3281" s="5"/>
      <c r="G3281" s="5"/>
      <c r="H3281" s="5"/>
      <c r="I3281" s="5"/>
      <c r="J3281" s="5"/>
      <c r="K3281" s="5"/>
      <c r="L3281" s="54"/>
      <c r="M3281" s="5"/>
      <c r="N3281" s="53"/>
      <c r="Q3281" s="5"/>
      <c r="R3281" s="5"/>
      <c r="S3281" s="5"/>
      <c r="T3281" s="5"/>
      <c r="U3281" s="5"/>
      <c r="V3281" s="5"/>
    </row>
    <row r="3282" ht="12.75" customHeight="1">
      <c r="A3282" s="5"/>
      <c r="B3282" s="5"/>
      <c r="C3282" s="5"/>
      <c r="D3282" s="5"/>
      <c r="E3282" s="7"/>
      <c r="F3282" s="5"/>
      <c r="G3282" s="5"/>
      <c r="H3282" s="5"/>
      <c r="I3282" s="5"/>
      <c r="J3282" s="5"/>
      <c r="K3282" s="5"/>
      <c r="L3282" s="54"/>
      <c r="M3282" s="5"/>
      <c r="N3282" s="53"/>
      <c r="Q3282" s="5"/>
      <c r="R3282" s="5"/>
      <c r="S3282" s="5"/>
      <c r="T3282" s="5"/>
      <c r="U3282" s="5"/>
      <c r="V3282" s="5"/>
    </row>
    <row r="3283" ht="12.75" customHeight="1">
      <c r="A3283" s="5"/>
      <c r="B3283" s="5"/>
      <c r="C3283" s="5"/>
      <c r="D3283" s="5"/>
      <c r="E3283" s="7"/>
      <c r="F3283" s="5"/>
      <c r="G3283" s="5"/>
      <c r="H3283" s="5"/>
      <c r="I3283" s="5"/>
      <c r="J3283" s="5"/>
      <c r="K3283" s="5"/>
      <c r="L3283" s="54"/>
      <c r="M3283" s="5"/>
      <c r="N3283" s="53"/>
      <c r="Q3283" s="5"/>
      <c r="R3283" s="5"/>
      <c r="S3283" s="5"/>
      <c r="T3283" s="5"/>
      <c r="U3283" s="5"/>
      <c r="V3283" s="5"/>
    </row>
    <row r="3284" ht="12.75" customHeight="1">
      <c r="A3284" s="5"/>
      <c r="B3284" s="5"/>
      <c r="C3284" s="5"/>
      <c r="D3284" s="5"/>
      <c r="E3284" s="7"/>
      <c r="F3284" s="5"/>
      <c r="G3284" s="5"/>
      <c r="H3284" s="5"/>
      <c r="I3284" s="5"/>
      <c r="J3284" s="5"/>
      <c r="K3284" s="5"/>
      <c r="L3284" s="54"/>
      <c r="M3284" s="5"/>
      <c r="N3284" s="53"/>
      <c r="Q3284" s="5"/>
      <c r="R3284" s="5"/>
      <c r="S3284" s="5"/>
      <c r="T3284" s="5"/>
      <c r="U3284" s="5"/>
      <c r="V3284" s="5"/>
    </row>
    <row r="3285" ht="12.75" customHeight="1">
      <c r="A3285" s="5"/>
      <c r="B3285" s="5"/>
      <c r="C3285" s="5"/>
      <c r="D3285" s="5"/>
      <c r="E3285" s="7"/>
      <c r="F3285" s="5"/>
      <c r="G3285" s="5"/>
      <c r="H3285" s="5"/>
      <c r="I3285" s="5"/>
      <c r="J3285" s="5"/>
      <c r="K3285" s="5"/>
      <c r="L3285" s="54"/>
      <c r="M3285" s="5"/>
      <c r="N3285" s="53"/>
      <c r="Q3285" s="5"/>
      <c r="R3285" s="5"/>
      <c r="S3285" s="5"/>
      <c r="T3285" s="5"/>
      <c r="U3285" s="5"/>
      <c r="V3285" s="5"/>
    </row>
    <row r="3286" ht="12.75" customHeight="1">
      <c r="A3286" s="5"/>
      <c r="B3286" s="5"/>
      <c r="C3286" s="5"/>
      <c r="D3286" s="5"/>
      <c r="E3286" s="7"/>
      <c r="F3286" s="5"/>
      <c r="G3286" s="5"/>
      <c r="H3286" s="5"/>
      <c r="I3286" s="5"/>
      <c r="J3286" s="5"/>
      <c r="K3286" s="5"/>
      <c r="L3286" s="54"/>
      <c r="M3286" s="5"/>
      <c r="N3286" s="53"/>
      <c r="Q3286" s="5"/>
      <c r="R3286" s="5"/>
      <c r="S3286" s="5"/>
      <c r="T3286" s="5"/>
      <c r="U3286" s="5"/>
      <c r="V3286" s="5"/>
    </row>
    <row r="3287" ht="12.75" customHeight="1">
      <c r="A3287" s="5"/>
      <c r="B3287" s="5"/>
      <c r="C3287" s="5"/>
      <c r="D3287" s="5"/>
      <c r="E3287" s="7"/>
      <c r="F3287" s="5"/>
      <c r="G3287" s="5"/>
      <c r="H3287" s="5"/>
      <c r="I3287" s="5"/>
      <c r="J3287" s="5"/>
      <c r="K3287" s="5"/>
      <c r="L3287" s="54"/>
      <c r="M3287" s="5"/>
      <c r="N3287" s="53"/>
      <c r="Q3287" s="5"/>
      <c r="R3287" s="5"/>
      <c r="S3287" s="5"/>
      <c r="T3287" s="5"/>
      <c r="U3287" s="5"/>
      <c r="V3287" s="5"/>
    </row>
    <row r="3288" ht="12.75" customHeight="1">
      <c r="A3288" s="5"/>
      <c r="B3288" s="5"/>
      <c r="C3288" s="5"/>
      <c r="D3288" s="5"/>
      <c r="E3288" s="7"/>
      <c r="F3288" s="5"/>
      <c r="G3288" s="5"/>
      <c r="H3288" s="5"/>
      <c r="I3288" s="5"/>
      <c r="J3288" s="5"/>
      <c r="K3288" s="5"/>
      <c r="L3288" s="54"/>
      <c r="M3288" s="5"/>
      <c r="N3288" s="53"/>
      <c r="Q3288" s="5"/>
      <c r="R3288" s="5"/>
      <c r="S3288" s="5"/>
      <c r="T3288" s="5"/>
      <c r="U3288" s="5"/>
      <c r="V3288" s="5"/>
    </row>
    <row r="3289" ht="12.75" customHeight="1">
      <c r="A3289" s="5"/>
      <c r="B3289" s="5"/>
      <c r="C3289" s="5"/>
      <c r="D3289" s="5"/>
      <c r="E3289" s="7"/>
      <c r="F3289" s="5"/>
      <c r="G3289" s="5"/>
      <c r="H3289" s="5"/>
      <c r="I3289" s="5"/>
      <c r="J3289" s="5"/>
      <c r="K3289" s="5"/>
      <c r="L3289" s="54"/>
      <c r="M3289" s="5"/>
      <c r="N3289" s="53"/>
      <c r="Q3289" s="5"/>
      <c r="R3289" s="5"/>
      <c r="S3289" s="5"/>
      <c r="T3289" s="5"/>
      <c r="U3289" s="5"/>
      <c r="V3289" s="5"/>
    </row>
    <row r="3290" ht="12.75" customHeight="1">
      <c r="A3290" s="5"/>
      <c r="B3290" s="5"/>
      <c r="C3290" s="5"/>
      <c r="D3290" s="5"/>
      <c r="E3290" s="7"/>
      <c r="F3290" s="5"/>
      <c r="G3290" s="5"/>
      <c r="H3290" s="5"/>
      <c r="I3290" s="5"/>
      <c r="J3290" s="5"/>
      <c r="K3290" s="5"/>
      <c r="L3290" s="54"/>
      <c r="M3290" s="5"/>
      <c r="N3290" s="53"/>
      <c r="Q3290" s="5"/>
      <c r="R3290" s="5"/>
      <c r="S3290" s="5"/>
      <c r="T3290" s="5"/>
      <c r="U3290" s="5"/>
      <c r="V3290" s="5"/>
    </row>
    <row r="3291" ht="12.75" customHeight="1">
      <c r="A3291" s="5"/>
      <c r="B3291" s="5"/>
      <c r="C3291" s="5"/>
      <c r="D3291" s="5"/>
      <c r="E3291" s="7"/>
      <c r="F3291" s="5"/>
      <c r="G3291" s="5"/>
      <c r="H3291" s="5"/>
      <c r="I3291" s="5"/>
      <c r="J3291" s="5"/>
      <c r="K3291" s="5"/>
      <c r="L3291" s="54"/>
      <c r="M3291" s="5"/>
      <c r="N3291" s="53"/>
      <c r="Q3291" s="5"/>
      <c r="R3291" s="5"/>
      <c r="S3291" s="5"/>
      <c r="T3291" s="5"/>
      <c r="U3291" s="5"/>
      <c r="V3291" s="5"/>
    </row>
    <row r="3292" ht="12.75" customHeight="1">
      <c r="A3292" s="5"/>
      <c r="B3292" s="5"/>
      <c r="C3292" s="5"/>
      <c r="D3292" s="5"/>
      <c r="E3292" s="7"/>
      <c r="F3292" s="5"/>
      <c r="G3292" s="5"/>
      <c r="H3292" s="5"/>
      <c r="I3292" s="5"/>
      <c r="J3292" s="5"/>
      <c r="K3292" s="5"/>
      <c r="L3292" s="54"/>
      <c r="M3292" s="5"/>
      <c r="N3292" s="53"/>
      <c r="Q3292" s="5"/>
      <c r="R3292" s="5"/>
      <c r="S3292" s="5"/>
      <c r="T3292" s="5"/>
      <c r="U3292" s="5"/>
      <c r="V3292" s="5"/>
    </row>
    <row r="3293" ht="12.75" customHeight="1">
      <c r="A3293" s="5"/>
      <c r="B3293" s="5"/>
      <c r="C3293" s="5"/>
      <c r="D3293" s="5"/>
      <c r="E3293" s="7"/>
      <c r="F3293" s="5"/>
      <c r="G3293" s="5"/>
      <c r="H3293" s="5"/>
      <c r="I3293" s="5"/>
      <c r="J3293" s="5"/>
      <c r="K3293" s="5"/>
      <c r="L3293" s="54"/>
      <c r="M3293" s="5"/>
      <c r="N3293" s="53"/>
      <c r="Q3293" s="5"/>
      <c r="R3293" s="5"/>
      <c r="S3293" s="5"/>
      <c r="T3293" s="5"/>
      <c r="U3293" s="5"/>
      <c r="V3293" s="5"/>
    </row>
    <row r="3294" ht="12.75" customHeight="1">
      <c r="A3294" s="5"/>
      <c r="B3294" s="5"/>
      <c r="C3294" s="5"/>
      <c r="D3294" s="5"/>
      <c r="E3294" s="7"/>
      <c r="F3294" s="5"/>
      <c r="G3294" s="5"/>
      <c r="H3294" s="5"/>
      <c r="I3294" s="5"/>
      <c r="J3294" s="5"/>
      <c r="K3294" s="5"/>
      <c r="L3294" s="54"/>
      <c r="M3294" s="5"/>
      <c r="N3294" s="53"/>
      <c r="Q3294" s="5"/>
      <c r="R3294" s="5"/>
      <c r="S3294" s="5"/>
      <c r="T3294" s="5"/>
      <c r="U3294" s="5"/>
      <c r="V3294" s="5"/>
    </row>
    <row r="3295" ht="12.75" customHeight="1">
      <c r="A3295" s="5"/>
      <c r="B3295" s="5"/>
      <c r="C3295" s="5"/>
      <c r="D3295" s="5"/>
      <c r="E3295" s="7"/>
      <c r="F3295" s="5"/>
      <c r="G3295" s="5"/>
      <c r="H3295" s="5"/>
      <c r="I3295" s="5"/>
      <c r="J3295" s="5"/>
      <c r="K3295" s="5"/>
      <c r="L3295" s="54"/>
      <c r="M3295" s="5"/>
      <c r="N3295" s="53"/>
      <c r="Q3295" s="5"/>
      <c r="R3295" s="5"/>
      <c r="S3295" s="5"/>
      <c r="T3295" s="5"/>
      <c r="U3295" s="5"/>
      <c r="V3295" s="5"/>
    </row>
    <row r="3296" ht="12.75" customHeight="1">
      <c r="A3296" s="5"/>
      <c r="B3296" s="5"/>
      <c r="C3296" s="5"/>
      <c r="D3296" s="5"/>
      <c r="E3296" s="7"/>
      <c r="F3296" s="5"/>
      <c r="G3296" s="5"/>
      <c r="H3296" s="5"/>
      <c r="I3296" s="5"/>
      <c r="J3296" s="5"/>
      <c r="K3296" s="5"/>
      <c r="L3296" s="54"/>
      <c r="M3296" s="5"/>
      <c r="N3296" s="53"/>
      <c r="Q3296" s="5"/>
      <c r="R3296" s="5"/>
      <c r="S3296" s="5"/>
      <c r="T3296" s="5"/>
      <c r="U3296" s="5"/>
      <c r="V3296" s="5"/>
    </row>
    <row r="3297" ht="12.75" customHeight="1">
      <c r="A3297" s="5"/>
      <c r="B3297" s="5"/>
      <c r="C3297" s="5"/>
      <c r="D3297" s="5"/>
      <c r="E3297" s="7"/>
      <c r="F3297" s="5"/>
      <c r="G3297" s="5"/>
      <c r="H3297" s="5"/>
      <c r="I3297" s="5"/>
      <c r="J3297" s="5"/>
      <c r="K3297" s="5"/>
      <c r="L3297" s="54"/>
      <c r="M3297" s="5"/>
      <c r="N3297" s="53"/>
      <c r="Q3297" s="5"/>
      <c r="R3297" s="5"/>
      <c r="S3297" s="5"/>
      <c r="T3297" s="5"/>
      <c r="U3297" s="5"/>
      <c r="V3297" s="5"/>
    </row>
    <row r="3298" ht="12.75" customHeight="1">
      <c r="A3298" s="5"/>
      <c r="B3298" s="5"/>
      <c r="C3298" s="5"/>
      <c r="D3298" s="5"/>
      <c r="E3298" s="7"/>
      <c r="F3298" s="5"/>
      <c r="G3298" s="5"/>
      <c r="H3298" s="5"/>
      <c r="I3298" s="5"/>
      <c r="J3298" s="5"/>
      <c r="K3298" s="5"/>
      <c r="L3298" s="54"/>
      <c r="M3298" s="5"/>
      <c r="N3298" s="53"/>
      <c r="Q3298" s="5"/>
      <c r="R3298" s="5"/>
      <c r="S3298" s="5"/>
      <c r="T3298" s="5"/>
      <c r="U3298" s="5"/>
      <c r="V3298" s="5"/>
    </row>
    <row r="3299" ht="12.75" customHeight="1">
      <c r="A3299" s="5"/>
      <c r="B3299" s="5"/>
      <c r="C3299" s="5"/>
      <c r="D3299" s="5"/>
      <c r="E3299" s="7"/>
      <c r="F3299" s="5"/>
      <c r="G3299" s="5"/>
      <c r="H3299" s="5"/>
      <c r="I3299" s="5"/>
      <c r="J3299" s="5"/>
      <c r="K3299" s="5"/>
      <c r="L3299" s="54"/>
      <c r="M3299" s="5"/>
      <c r="N3299" s="53"/>
      <c r="Q3299" s="5"/>
      <c r="R3299" s="5"/>
      <c r="S3299" s="5"/>
      <c r="T3299" s="5"/>
      <c r="U3299" s="5"/>
      <c r="V3299" s="5"/>
    </row>
    <row r="3300" ht="12.75" customHeight="1">
      <c r="A3300" s="5"/>
      <c r="B3300" s="5"/>
      <c r="C3300" s="5"/>
      <c r="D3300" s="5"/>
      <c r="E3300" s="7"/>
      <c r="F3300" s="5"/>
      <c r="G3300" s="5"/>
      <c r="H3300" s="5"/>
      <c r="I3300" s="5"/>
      <c r="J3300" s="5"/>
      <c r="K3300" s="5"/>
      <c r="L3300" s="54"/>
      <c r="M3300" s="5"/>
      <c r="N3300" s="53"/>
      <c r="Q3300" s="5"/>
      <c r="R3300" s="5"/>
      <c r="S3300" s="5"/>
      <c r="T3300" s="5"/>
      <c r="U3300" s="5"/>
      <c r="V3300" s="5"/>
    </row>
    <row r="3301" ht="12.75" customHeight="1">
      <c r="A3301" s="5"/>
      <c r="B3301" s="5"/>
      <c r="C3301" s="5"/>
      <c r="D3301" s="5"/>
      <c r="E3301" s="7"/>
      <c r="F3301" s="5"/>
      <c r="G3301" s="5"/>
      <c r="H3301" s="5"/>
      <c r="I3301" s="5"/>
      <c r="J3301" s="5"/>
      <c r="K3301" s="5"/>
      <c r="L3301" s="54"/>
      <c r="M3301" s="5"/>
      <c r="N3301" s="53"/>
      <c r="Q3301" s="5"/>
      <c r="R3301" s="5"/>
      <c r="S3301" s="5"/>
      <c r="T3301" s="5"/>
      <c r="U3301" s="5"/>
      <c r="V3301" s="5"/>
    </row>
    <row r="3302" ht="12.75" customHeight="1">
      <c r="A3302" s="5"/>
      <c r="B3302" s="5"/>
      <c r="C3302" s="5"/>
      <c r="D3302" s="5"/>
      <c r="E3302" s="7"/>
      <c r="F3302" s="5"/>
      <c r="G3302" s="5"/>
      <c r="H3302" s="5"/>
      <c r="I3302" s="5"/>
      <c r="J3302" s="5"/>
      <c r="K3302" s="5"/>
      <c r="L3302" s="54"/>
      <c r="M3302" s="5"/>
      <c r="N3302" s="53"/>
      <c r="Q3302" s="5"/>
      <c r="R3302" s="5"/>
      <c r="S3302" s="5"/>
      <c r="T3302" s="5"/>
      <c r="U3302" s="5"/>
      <c r="V3302" s="5"/>
    </row>
    <row r="3303" ht="12.75" customHeight="1">
      <c r="A3303" s="5"/>
      <c r="B3303" s="5"/>
      <c r="C3303" s="5"/>
      <c r="D3303" s="5"/>
      <c r="E3303" s="7"/>
      <c r="F3303" s="5"/>
      <c r="G3303" s="5"/>
      <c r="H3303" s="5"/>
      <c r="I3303" s="5"/>
      <c r="J3303" s="5"/>
      <c r="K3303" s="5"/>
      <c r="L3303" s="54"/>
      <c r="M3303" s="5"/>
      <c r="N3303" s="53"/>
      <c r="Q3303" s="5"/>
      <c r="R3303" s="5"/>
      <c r="S3303" s="5"/>
      <c r="T3303" s="5"/>
      <c r="U3303" s="5"/>
      <c r="V3303" s="5"/>
    </row>
    <row r="3304" ht="12.75" customHeight="1">
      <c r="A3304" s="5"/>
      <c r="B3304" s="5"/>
      <c r="C3304" s="5"/>
      <c r="D3304" s="5"/>
      <c r="E3304" s="7"/>
      <c r="F3304" s="5"/>
      <c r="G3304" s="5"/>
      <c r="H3304" s="5"/>
      <c r="I3304" s="5"/>
      <c r="J3304" s="5"/>
      <c r="K3304" s="5"/>
      <c r="L3304" s="54"/>
      <c r="M3304" s="5"/>
      <c r="N3304" s="53"/>
      <c r="Q3304" s="5"/>
      <c r="R3304" s="5"/>
      <c r="S3304" s="5"/>
      <c r="T3304" s="5"/>
      <c r="U3304" s="5"/>
      <c r="V3304" s="5"/>
    </row>
    <row r="3305" ht="12.75" customHeight="1">
      <c r="A3305" s="5"/>
      <c r="B3305" s="5"/>
      <c r="C3305" s="5"/>
      <c r="D3305" s="5"/>
      <c r="E3305" s="7"/>
      <c r="F3305" s="5"/>
      <c r="G3305" s="5"/>
      <c r="H3305" s="5"/>
      <c r="I3305" s="5"/>
      <c r="J3305" s="5"/>
      <c r="K3305" s="5"/>
      <c r="L3305" s="54"/>
      <c r="M3305" s="5"/>
      <c r="N3305" s="53"/>
      <c r="Q3305" s="5"/>
      <c r="R3305" s="5"/>
      <c r="S3305" s="5"/>
      <c r="T3305" s="5"/>
      <c r="U3305" s="5"/>
      <c r="V3305" s="5"/>
    </row>
    <row r="3306" ht="12.75" customHeight="1">
      <c r="A3306" s="5"/>
      <c r="B3306" s="5"/>
      <c r="C3306" s="5"/>
      <c r="D3306" s="5"/>
      <c r="E3306" s="7"/>
      <c r="F3306" s="5"/>
      <c r="G3306" s="5"/>
      <c r="H3306" s="5"/>
      <c r="I3306" s="5"/>
      <c r="J3306" s="5"/>
      <c r="K3306" s="5"/>
      <c r="L3306" s="54"/>
      <c r="M3306" s="5"/>
      <c r="N3306" s="53"/>
      <c r="Q3306" s="5"/>
      <c r="R3306" s="5"/>
      <c r="S3306" s="5"/>
      <c r="T3306" s="5"/>
      <c r="U3306" s="5"/>
      <c r="V3306" s="5"/>
    </row>
    <row r="3307" ht="12.75" customHeight="1">
      <c r="A3307" s="5"/>
      <c r="B3307" s="5"/>
      <c r="C3307" s="5"/>
      <c r="D3307" s="5"/>
      <c r="E3307" s="7"/>
      <c r="F3307" s="5"/>
      <c r="G3307" s="5"/>
      <c r="H3307" s="5"/>
      <c r="I3307" s="5"/>
      <c r="J3307" s="5"/>
      <c r="K3307" s="5"/>
      <c r="L3307" s="54"/>
      <c r="M3307" s="5"/>
      <c r="N3307" s="53"/>
      <c r="Q3307" s="5"/>
      <c r="R3307" s="5"/>
      <c r="S3307" s="5"/>
      <c r="T3307" s="5"/>
      <c r="U3307" s="5"/>
      <c r="V3307" s="5"/>
    </row>
    <row r="3308" ht="12.75" customHeight="1">
      <c r="A3308" s="5"/>
      <c r="B3308" s="5"/>
      <c r="C3308" s="5"/>
      <c r="D3308" s="5"/>
      <c r="E3308" s="7"/>
      <c r="F3308" s="5"/>
      <c r="G3308" s="5"/>
      <c r="H3308" s="5"/>
      <c r="I3308" s="5"/>
      <c r="J3308" s="5"/>
      <c r="K3308" s="5"/>
      <c r="L3308" s="54"/>
      <c r="M3308" s="5"/>
      <c r="N3308" s="53"/>
      <c r="Q3308" s="5"/>
      <c r="R3308" s="5"/>
      <c r="S3308" s="5"/>
      <c r="T3308" s="5"/>
      <c r="U3308" s="5"/>
      <c r="V3308" s="5"/>
    </row>
    <row r="3309" ht="12.75" customHeight="1">
      <c r="A3309" s="5"/>
      <c r="B3309" s="5"/>
      <c r="C3309" s="5"/>
      <c r="D3309" s="5"/>
      <c r="E3309" s="7"/>
      <c r="F3309" s="5"/>
      <c r="G3309" s="5"/>
      <c r="H3309" s="5"/>
      <c r="I3309" s="5"/>
      <c r="J3309" s="5"/>
      <c r="K3309" s="5"/>
      <c r="L3309" s="54"/>
      <c r="M3309" s="5"/>
      <c r="N3309" s="53"/>
      <c r="Q3309" s="5"/>
      <c r="R3309" s="5"/>
      <c r="S3309" s="5"/>
      <c r="T3309" s="5"/>
      <c r="U3309" s="5"/>
      <c r="V3309" s="5"/>
    </row>
    <row r="3310" ht="12.75" customHeight="1">
      <c r="A3310" s="5"/>
      <c r="B3310" s="5"/>
      <c r="C3310" s="5"/>
      <c r="D3310" s="5"/>
      <c r="E3310" s="7"/>
      <c r="F3310" s="5"/>
      <c r="G3310" s="5"/>
      <c r="H3310" s="5"/>
      <c r="I3310" s="5"/>
      <c r="J3310" s="5"/>
      <c r="K3310" s="5"/>
      <c r="L3310" s="54"/>
      <c r="M3310" s="5"/>
      <c r="N3310" s="53"/>
      <c r="Q3310" s="5"/>
      <c r="R3310" s="5"/>
      <c r="S3310" s="5"/>
      <c r="T3310" s="5"/>
      <c r="U3310" s="5"/>
      <c r="V3310" s="5"/>
    </row>
    <row r="3311" ht="12.75" customHeight="1">
      <c r="A3311" s="5"/>
      <c r="B3311" s="5"/>
      <c r="C3311" s="5"/>
      <c r="D3311" s="5"/>
      <c r="E3311" s="7"/>
      <c r="F3311" s="5"/>
      <c r="G3311" s="5"/>
      <c r="H3311" s="5"/>
      <c r="I3311" s="5"/>
      <c r="J3311" s="5"/>
      <c r="K3311" s="5"/>
      <c r="L3311" s="54"/>
      <c r="M3311" s="5"/>
      <c r="N3311" s="53"/>
      <c r="Q3311" s="5"/>
      <c r="R3311" s="5"/>
      <c r="S3311" s="5"/>
      <c r="T3311" s="5"/>
      <c r="U3311" s="5"/>
      <c r="V3311" s="5"/>
    </row>
    <row r="3312" ht="12.75" customHeight="1">
      <c r="A3312" s="5"/>
      <c r="B3312" s="5"/>
      <c r="C3312" s="5"/>
      <c r="D3312" s="5"/>
      <c r="E3312" s="7"/>
      <c r="F3312" s="5"/>
      <c r="G3312" s="5"/>
      <c r="H3312" s="5"/>
      <c r="I3312" s="5"/>
      <c r="J3312" s="5"/>
      <c r="K3312" s="5"/>
      <c r="L3312" s="54"/>
      <c r="M3312" s="5"/>
      <c r="N3312" s="53"/>
      <c r="Q3312" s="5"/>
      <c r="R3312" s="5"/>
      <c r="S3312" s="5"/>
      <c r="T3312" s="5"/>
      <c r="U3312" s="5"/>
      <c r="V3312" s="5"/>
    </row>
    <row r="3313" ht="12.75" customHeight="1">
      <c r="A3313" s="5"/>
      <c r="B3313" s="5"/>
      <c r="C3313" s="5"/>
      <c r="D3313" s="5"/>
      <c r="E3313" s="7"/>
      <c r="F3313" s="5"/>
      <c r="G3313" s="5"/>
      <c r="H3313" s="5"/>
      <c r="I3313" s="5"/>
      <c r="J3313" s="5"/>
      <c r="K3313" s="5"/>
      <c r="L3313" s="54"/>
      <c r="M3313" s="5"/>
      <c r="N3313" s="53"/>
      <c r="Q3313" s="5"/>
      <c r="R3313" s="5"/>
      <c r="S3313" s="5"/>
      <c r="T3313" s="5"/>
      <c r="U3313" s="5"/>
      <c r="V3313" s="5"/>
    </row>
    <row r="3314" ht="12.75" customHeight="1">
      <c r="A3314" s="5"/>
      <c r="B3314" s="5"/>
      <c r="C3314" s="5"/>
      <c r="D3314" s="5"/>
      <c r="E3314" s="7"/>
      <c r="F3314" s="5"/>
      <c r="G3314" s="5"/>
      <c r="H3314" s="5"/>
      <c r="I3314" s="5"/>
      <c r="J3314" s="5"/>
      <c r="K3314" s="5"/>
      <c r="L3314" s="54"/>
      <c r="M3314" s="5"/>
      <c r="N3314" s="53"/>
      <c r="Q3314" s="5"/>
      <c r="R3314" s="5"/>
      <c r="S3314" s="5"/>
      <c r="T3314" s="5"/>
      <c r="U3314" s="5"/>
      <c r="V3314" s="5"/>
    </row>
    <row r="3315" ht="12.75" customHeight="1">
      <c r="A3315" s="5"/>
      <c r="B3315" s="5"/>
      <c r="C3315" s="5"/>
      <c r="D3315" s="5"/>
      <c r="E3315" s="7"/>
      <c r="F3315" s="5"/>
      <c r="G3315" s="5"/>
      <c r="H3315" s="5"/>
      <c r="I3315" s="5"/>
      <c r="J3315" s="5"/>
      <c r="K3315" s="5"/>
      <c r="L3315" s="54"/>
      <c r="M3315" s="5"/>
      <c r="N3315" s="53"/>
      <c r="Q3315" s="5"/>
      <c r="R3315" s="5"/>
      <c r="S3315" s="5"/>
      <c r="T3315" s="5"/>
      <c r="U3315" s="5"/>
      <c r="V3315" s="5"/>
    </row>
    <row r="3316" ht="12.75" customHeight="1">
      <c r="A3316" s="5"/>
      <c r="B3316" s="5"/>
      <c r="C3316" s="5"/>
      <c r="D3316" s="5"/>
      <c r="E3316" s="7"/>
      <c r="F3316" s="5"/>
      <c r="G3316" s="5"/>
      <c r="H3316" s="5"/>
      <c r="I3316" s="5"/>
      <c r="J3316" s="5"/>
      <c r="K3316" s="5"/>
      <c r="L3316" s="54"/>
      <c r="M3316" s="5"/>
      <c r="N3316" s="53"/>
      <c r="Q3316" s="5"/>
      <c r="R3316" s="5"/>
      <c r="S3316" s="5"/>
      <c r="T3316" s="5"/>
      <c r="U3316" s="5"/>
      <c r="V3316" s="5"/>
    </row>
    <row r="3317" ht="12.75" customHeight="1">
      <c r="A3317" s="5"/>
      <c r="B3317" s="5"/>
      <c r="C3317" s="5"/>
      <c r="D3317" s="5"/>
      <c r="E3317" s="7"/>
      <c r="F3317" s="5"/>
      <c r="G3317" s="5"/>
      <c r="H3317" s="5"/>
      <c r="I3317" s="5"/>
      <c r="J3317" s="5"/>
      <c r="K3317" s="5"/>
      <c r="L3317" s="54"/>
      <c r="M3317" s="5"/>
      <c r="N3317" s="53"/>
      <c r="Q3317" s="5"/>
      <c r="R3317" s="5"/>
      <c r="S3317" s="5"/>
      <c r="T3317" s="5"/>
      <c r="U3317" s="5"/>
      <c r="V3317" s="5"/>
    </row>
    <row r="3318" ht="12.75" customHeight="1">
      <c r="A3318" s="5"/>
      <c r="B3318" s="5"/>
      <c r="C3318" s="5"/>
      <c r="D3318" s="5"/>
      <c r="E3318" s="7"/>
      <c r="F3318" s="5"/>
      <c r="G3318" s="5"/>
      <c r="H3318" s="5"/>
      <c r="I3318" s="5"/>
      <c r="J3318" s="5"/>
      <c r="K3318" s="5"/>
      <c r="L3318" s="54"/>
      <c r="M3318" s="5"/>
      <c r="N3318" s="53"/>
      <c r="Q3318" s="5"/>
      <c r="R3318" s="5"/>
      <c r="S3318" s="5"/>
      <c r="T3318" s="5"/>
      <c r="U3318" s="5"/>
      <c r="V3318" s="5"/>
    </row>
    <row r="3319" ht="12.75" customHeight="1">
      <c r="A3319" s="5"/>
      <c r="B3319" s="5"/>
      <c r="C3319" s="5"/>
      <c r="D3319" s="5"/>
      <c r="E3319" s="7"/>
      <c r="F3319" s="5"/>
      <c r="G3319" s="5"/>
      <c r="H3319" s="5"/>
      <c r="I3319" s="5"/>
      <c r="J3319" s="5"/>
      <c r="K3319" s="5"/>
      <c r="L3319" s="54"/>
      <c r="M3319" s="5"/>
      <c r="N3319" s="53"/>
      <c r="Q3319" s="5"/>
      <c r="R3319" s="5"/>
      <c r="S3319" s="5"/>
      <c r="T3319" s="5"/>
      <c r="U3319" s="5"/>
      <c r="V3319" s="5"/>
    </row>
    <row r="3320" ht="12.75" customHeight="1">
      <c r="A3320" s="5"/>
      <c r="B3320" s="5"/>
      <c r="C3320" s="5"/>
      <c r="D3320" s="5"/>
      <c r="E3320" s="7"/>
      <c r="F3320" s="5"/>
      <c r="G3320" s="5"/>
      <c r="H3320" s="5"/>
      <c r="I3320" s="5"/>
      <c r="J3320" s="5"/>
      <c r="K3320" s="5"/>
      <c r="L3320" s="54"/>
      <c r="M3320" s="5"/>
      <c r="N3320" s="53"/>
      <c r="Q3320" s="5"/>
      <c r="R3320" s="5"/>
      <c r="S3320" s="5"/>
      <c r="T3320" s="5"/>
      <c r="U3320" s="5"/>
      <c r="V3320" s="5"/>
    </row>
    <row r="3321" ht="12.75" customHeight="1">
      <c r="A3321" s="5"/>
      <c r="B3321" s="5"/>
      <c r="C3321" s="5"/>
      <c r="D3321" s="5"/>
      <c r="E3321" s="7"/>
      <c r="F3321" s="5"/>
      <c r="G3321" s="5"/>
      <c r="H3321" s="5"/>
      <c r="I3321" s="5"/>
      <c r="J3321" s="5"/>
      <c r="K3321" s="5"/>
      <c r="L3321" s="54"/>
      <c r="M3321" s="5"/>
      <c r="N3321" s="53"/>
      <c r="Q3321" s="5"/>
      <c r="R3321" s="5"/>
      <c r="S3321" s="5"/>
      <c r="T3321" s="5"/>
      <c r="U3321" s="5"/>
      <c r="V3321" s="5"/>
    </row>
    <row r="3322" ht="12.75" customHeight="1">
      <c r="A3322" s="5"/>
      <c r="B3322" s="5"/>
      <c r="C3322" s="5"/>
      <c r="D3322" s="5"/>
      <c r="E3322" s="7"/>
      <c r="F3322" s="5"/>
      <c r="G3322" s="5"/>
      <c r="H3322" s="5"/>
      <c r="I3322" s="5"/>
      <c r="J3322" s="5"/>
      <c r="K3322" s="5"/>
      <c r="L3322" s="54"/>
      <c r="M3322" s="5"/>
      <c r="N3322" s="53"/>
      <c r="Q3322" s="5"/>
      <c r="R3322" s="5"/>
      <c r="S3322" s="5"/>
      <c r="T3322" s="5"/>
      <c r="U3322" s="5"/>
      <c r="V3322" s="5"/>
    </row>
    <row r="3323" ht="12.75" customHeight="1">
      <c r="A3323" s="5"/>
      <c r="B3323" s="5"/>
      <c r="C3323" s="5"/>
      <c r="D3323" s="5"/>
      <c r="E3323" s="7"/>
      <c r="F3323" s="5"/>
      <c r="G3323" s="5"/>
      <c r="H3323" s="5"/>
      <c r="I3323" s="5"/>
      <c r="J3323" s="5"/>
      <c r="K3323" s="5"/>
      <c r="L3323" s="54"/>
      <c r="M3323" s="5"/>
      <c r="N3323" s="53"/>
      <c r="Q3323" s="5"/>
      <c r="R3323" s="5"/>
      <c r="S3323" s="5"/>
      <c r="T3323" s="5"/>
      <c r="U3323" s="5"/>
      <c r="V3323" s="5"/>
    </row>
    <row r="3324" ht="12.75" customHeight="1">
      <c r="A3324" s="5"/>
      <c r="B3324" s="5"/>
      <c r="C3324" s="5"/>
      <c r="D3324" s="5"/>
      <c r="E3324" s="7"/>
      <c r="F3324" s="5"/>
      <c r="G3324" s="5"/>
      <c r="H3324" s="5"/>
      <c r="I3324" s="5"/>
      <c r="J3324" s="5"/>
      <c r="K3324" s="5"/>
      <c r="L3324" s="54"/>
      <c r="M3324" s="5"/>
      <c r="N3324" s="53"/>
      <c r="Q3324" s="5"/>
      <c r="R3324" s="5"/>
      <c r="S3324" s="5"/>
      <c r="T3324" s="5"/>
      <c r="U3324" s="5"/>
      <c r="V3324" s="5"/>
    </row>
    <row r="3325" ht="12.75" customHeight="1">
      <c r="A3325" s="5"/>
      <c r="B3325" s="5"/>
      <c r="C3325" s="5"/>
      <c r="D3325" s="5"/>
      <c r="E3325" s="7"/>
      <c r="F3325" s="5"/>
      <c r="G3325" s="5"/>
      <c r="H3325" s="5"/>
      <c r="I3325" s="5"/>
      <c r="J3325" s="5"/>
      <c r="K3325" s="5"/>
      <c r="L3325" s="54"/>
      <c r="M3325" s="5"/>
      <c r="N3325" s="53"/>
      <c r="Q3325" s="5"/>
      <c r="R3325" s="5"/>
      <c r="S3325" s="5"/>
      <c r="T3325" s="5"/>
      <c r="U3325" s="5"/>
      <c r="V3325" s="5"/>
    </row>
    <row r="3326" ht="12.75" customHeight="1">
      <c r="A3326" s="5"/>
      <c r="B3326" s="5"/>
      <c r="C3326" s="5"/>
      <c r="D3326" s="5"/>
      <c r="E3326" s="7"/>
      <c r="F3326" s="5"/>
      <c r="G3326" s="5"/>
      <c r="H3326" s="5"/>
      <c r="I3326" s="5"/>
      <c r="J3326" s="5"/>
      <c r="K3326" s="5"/>
      <c r="L3326" s="54"/>
      <c r="M3326" s="5"/>
      <c r="N3326" s="53"/>
      <c r="Q3326" s="5"/>
      <c r="R3326" s="5"/>
      <c r="S3326" s="5"/>
      <c r="T3326" s="5"/>
      <c r="U3326" s="5"/>
      <c r="V3326" s="5"/>
    </row>
    <row r="3327" ht="12.75" customHeight="1">
      <c r="A3327" s="5"/>
      <c r="B3327" s="5"/>
      <c r="C3327" s="5"/>
      <c r="D3327" s="5"/>
      <c r="E3327" s="7"/>
      <c r="F3327" s="5"/>
      <c r="G3327" s="5"/>
      <c r="H3327" s="5"/>
      <c r="I3327" s="5"/>
      <c r="J3327" s="5"/>
      <c r="K3327" s="5"/>
      <c r="L3327" s="54"/>
      <c r="M3327" s="5"/>
      <c r="N3327" s="53"/>
      <c r="Q3327" s="5"/>
      <c r="R3327" s="5"/>
      <c r="S3327" s="5"/>
      <c r="T3327" s="5"/>
      <c r="U3327" s="5"/>
      <c r="V3327" s="5"/>
    </row>
    <row r="3328" ht="12.75" customHeight="1">
      <c r="A3328" s="5"/>
      <c r="B3328" s="5"/>
      <c r="C3328" s="5"/>
      <c r="D3328" s="5"/>
      <c r="E3328" s="7"/>
      <c r="F3328" s="5"/>
      <c r="G3328" s="5"/>
      <c r="H3328" s="5"/>
      <c r="I3328" s="5"/>
      <c r="J3328" s="5"/>
      <c r="K3328" s="5"/>
      <c r="L3328" s="54"/>
      <c r="M3328" s="5"/>
      <c r="N3328" s="53"/>
      <c r="Q3328" s="5"/>
      <c r="R3328" s="5"/>
      <c r="S3328" s="5"/>
      <c r="T3328" s="5"/>
      <c r="U3328" s="5"/>
      <c r="V3328" s="5"/>
    </row>
    <row r="3329" ht="12.75" customHeight="1">
      <c r="A3329" s="5"/>
      <c r="B3329" s="5"/>
      <c r="C3329" s="5"/>
      <c r="D3329" s="5"/>
      <c r="E3329" s="7"/>
      <c r="F3329" s="5"/>
      <c r="G3329" s="5"/>
      <c r="H3329" s="5"/>
      <c r="I3329" s="5"/>
      <c r="J3329" s="5"/>
      <c r="K3329" s="5"/>
      <c r="L3329" s="54"/>
      <c r="M3329" s="5"/>
      <c r="N3329" s="53"/>
      <c r="Q3329" s="5"/>
      <c r="R3329" s="5"/>
      <c r="S3329" s="5"/>
      <c r="T3329" s="5"/>
      <c r="U3329" s="5"/>
      <c r="V3329" s="5"/>
    </row>
    <row r="3330" ht="12.75" customHeight="1">
      <c r="A3330" s="5"/>
      <c r="B3330" s="5"/>
      <c r="C3330" s="5"/>
      <c r="D3330" s="5"/>
      <c r="E3330" s="7"/>
      <c r="F3330" s="5"/>
      <c r="G3330" s="5"/>
      <c r="H3330" s="5"/>
      <c r="I3330" s="5"/>
      <c r="J3330" s="5"/>
      <c r="K3330" s="5"/>
      <c r="L3330" s="54"/>
      <c r="M3330" s="5"/>
      <c r="N3330" s="53"/>
      <c r="Q3330" s="5"/>
      <c r="R3330" s="5"/>
      <c r="S3330" s="5"/>
      <c r="T3330" s="5"/>
      <c r="U3330" s="5"/>
      <c r="V3330" s="5"/>
    </row>
    <row r="3331" ht="12.75" customHeight="1">
      <c r="A3331" s="5"/>
      <c r="B3331" s="5"/>
      <c r="C3331" s="5"/>
      <c r="D3331" s="5"/>
      <c r="E3331" s="7"/>
      <c r="F3331" s="5"/>
      <c r="G3331" s="5"/>
      <c r="H3331" s="5"/>
      <c r="I3331" s="5"/>
      <c r="J3331" s="5"/>
      <c r="K3331" s="5"/>
      <c r="L3331" s="54"/>
      <c r="M3331" s="5"/>
      <c r="N3331" s="53"/>
      <c r="Q3331" s="5"/>
      <c r="R3331" s="5"/>
      <c r="S3331" s="5"/>
      <c r="T3331" s="5"/>
      <c r="U3331" s="5"/>
      <c r="V3331" s="5"/>
    </row>
    <row r="3332" ht="12.75" customHeight="1">
      <c r="A3332" s="5"/>
      <c r="B3332" s="5"/>
      <c r="C3332" s="5"/>
      <c r="D3332" s="5"/>
      <c r="E3332" s="7"/>
      <c r="F3332" s="5"/>
      <c r="G3332" s="5"/>
      <c r="H3332" s="5"/>
      <c r="I3332" s="5"/>
      <c r="J3332" s="5"/>
      <c r="K3332" s="5"/>
      <c r="L3332" s="54"/>
      <c r="M3332" s="5"/>
      <c r="N3332" s="53"/>
      <c r="Q3332" s="5"/>
      <c r="R3332" s="5"/>
      <c r="S3332" s="5"/>
      <c r="T3332" s="5"/>
      <c r="U3332" s="5"/>
      <c r="V3332" s="5"/>
    </row>
    <row r="3333" ht="12.75" customHeight="1">
      <c r="A3333" s="5"/>
      <c r="B3333" s="5"/>
      <c r="C3333" s="5"/>
      <c r="D3333" s="5"/>
      <c r="E3333" s="7"/>
      <c r="F3333" s="5"/>
      <c r="G3333" s="5"/>
      <c r="H3333" s="5"/>
      <c r="I3333" s="5"/>
      <c r="J3333" s="5"/>
      <c r="K3333" s="5"/>
      <c r="L3333" s="54"/>
      <c r="M3333" s="5"/>
      <c r="N3333" s="53"/>
      <c r="Q3333" s="5"/>
      <c r="R3333" s="5"/>
      <c r="S3333" s="5"/>
      <c r="T3333" s="5"/>
      <c r="U3333" s="5"/>
      <c r="V3333" s="5"/>
    </row>
    <row r="3334" ht="12.75" customHeight="1">
      <c r="A3334" s="5"/>
      <c r="B3334" s="5"/>
      <c r="C3334" s="5"/>
      <c r="D3334" s="5"/>
      <c r="E3334" s="7"/>
      <c r="F3334" s="5"/>
      <c r="G3334" s="5"/>
      <c r="H3334" s="5"/>
      <c r="I3334" s="5"/>
      <c r="J3334" s="5"/>
      <c r="K3334" s="5"/>
      <c r="L3334" s="54"/>
      <c r="M3334" s="5"/>
      <c r="N3334" s="53"/>
      <c r="Q3334" s="5"/>
      <c r="R3334" s="5"/>
      <c r="S3334" s="5"/>
      <c r="T3334" s="5"/>
      <c r="U3334" s="5"/>
      <c r="V3334" s="5"/>
    </row>
    <row r="3335" ht="12.75" customHeight="1">
      <c r="A3335" s="5"/>
      <c r="B3335" s="5"/>
      <c r="C3335" s="5"/>
      <c r="D3335" s="5"/>
      <c r="E3335" s="7"/>
      <c r="F3335" s="5"/>
      <c r="G3335" s="5"/>
      <c r="H3335" s="5"/>
      <c r="I3335" s="5"/>
      <c r="J3335" s="5"/>
      <c r="K3335" s="5"/>
      <c r="L3335" s="54"/>
      <c r="M3335" s="5"/>
      <c r="N3335" s="53"/>
      <c r="Q3335" s="5"/>
      <c r="R3335" s="5"/>
      <c r="S3335" s="5"/>
      <c r="T3335" s="5"/>
      <c r="U3335" s="5"/>
      <c r="V3335" s="5"/>
    </row>
    <row r="3336" ht="12.75" customHeight="1">
      <c r="A3336" s="5"/>
      <c r="B3336" s="5"/>
      <c r="C3336" s="5"/>
      <c r="D3336" s="5"/>
      <c r="E3336" s="7"/>
      <c r="F3336" s="5"/>
      <c r="G3336" s="5"/>
      <c r="H3336" s="5"/>
      <c r="I3336" s="5"/>
      <c r="J3336" s="5"/>
      <c r="K3336" s="5"/>
      <c r="L3336" s="54"/>
      <c r="M3336" s="5"/>
      <c r="N3336" s="53"/>
      <c r="Q3336" s="5"/>
      <c r="R3336" s="5"/>
      <c r="S3336" s="5"/>
      <c r="T3336" s="5"/>
      <c r="U3336" s="5"/>
      <c r="V3336" s="5"/>
    </row>
    <row r="3337" ht="12.75" customHeight="1">
      <c r="A3337" s="5"/>
      <c r="B3337" s="5"/>
      <c r="C3337" s="5"/>
      <c r="D3337" s="5"/>
      <c r="E3337" s="7"/>
      <c r="F3337" s="5"/>
      <c r="G3337" s="5"/>
      <c r="H3337" s="5"/>
      <c r="I3337" s="5"/>
      <c r="J3337" s="5"/>
      <c r="K3337" s="5"/>
      <c r="L3337" s="54"/>
      <c r="M3337" s="5"/>
      <c r="N3337" s="53"/>
      <c r="Q3337" s="5"/>
      <c r="R3337" s="5"/>
      <c r="S3337" s="5"/>
      <c r="T3337" s="5"/>
      <c r="U3337" s="5"/>
      <c r="V3337" s="5"/>
    </row>
    <row r="3338" ht="12.75" customHeight="1">
      <c r="A3338" s="5"/>
      <c r="B3338" s="5"/>
      <c r="C3338" s="5"/>
      <c r="D3338" s="5"/>
      <c r="E3338" s="7"/>
      <c r="F3338" s="5"/>
      <c r="G3338" s="5"/>
      <c r="H3338" s="5"/>
      <c r="I3338" s="5"/>
      <c r="J3338" s="5"/>
      <c r="K3338" s="5"/>
      <c r="L3338" s="54"/>
      <c r="M3338" s="5"/>
      <c r="N3338" s="53"/>
      <c r="Q3338" s="5"/>
      <c r="R3338" s="5"/>
      <c r="S3338" s="5"/>
      <c r="T3338" s="5"/>
      <c r="U3338" s="5"/>
      <c r="V3338" s="5"/>
    </row>
    <row r="3339" ht="12.75" customHeight="1">
      <c r="A3339" s="5"/>
      <c r="B3339" s="5"/>
      <c r="C3339" s="5"/>
      <c r="D3339" s="5"/>
      <c r="E3339" s="7"/>
      <c r="F3339" s="5"/>
      <c r="G3339" s="5"/>
      <c r="H3339" s="5"/>
      <c r="I3339" s="5"/>
      <c r="J3339" s="5"/>
      <c r="K3339" s="5"/>
      <c r="L3339" s="54"/>
      <c r="M3339" s="5"/>
      <c r="N3339" s="53"/>
      <c r="Q3339" s="5"/>
      <c r="R3339" s="5"/>
      <c r="S3339" s="5"/>
      <c r="T3339" s="5"/>
      <c r="U3339" s="5"/>
      <c r="V3339" s="5"/>
    </row>
    <row r="3340" ht="12.75" customHeight="1">
      <c r="A3340" s="5"/>
      <c r="B3340" s="5"/>
      <c r="C3340" s="5"/>
      <c r="D3340" s="5"/>
      <c r="E3340" s="7"/>
      <c r="F3340" s="5"/>
      <c r="G3340" s="5"/>
      <c r="H3340" s="5"/>
      <c r="I3340" s="5"/>
      <c r="J3340" s="5"/>
      <c r="K3340" s="5"/>
      <c r="L3340" s="54"/>
      <c r="M3340" s="5"/>
      <c r="N3340" s="53"/>
      <c r="Q3340" s="5"/>
      <c r="R3340" s="5"/>
      <c r="S3340" s="5"/>
      <c r="T3340" s="5"/>
      <c r="U3340" s="5"/>
      <c r="V3340" s="5"/>
    </row>
    <row r="3341" ht="12.75" customHeight="1">
      <c r="A3341" s="5"/>
      <c r="B3341" s="5"/>
      <c r="C3341" s="5"/>
      <c r="D3341" s="5"/>
      <c r="E3341" s="7"/>
      <c r="F3341" s="5"/>
      <c r="G3341" s="5"/>
      <c r="H3341" s="5"/>
      <c r="I3341" s="5"/>
      <c r="J3341" s="5"/>
      <c r="K3341" s="5"/>
      <c r="L3341" s="54"/>
      <c r="M3341" s="5"/>
      <c r="N3341" s="53"/>
      <c r="Q3341" s="5"/>
      <c r="R3341" s="5"/>
      <c r="S3341" s="5"/>
      <c r="T3341" s="5"/>
      <c r="U3341" s="5"/>
      <c r="V3341" s="5"/>
    </row>
    <row r="3342" ht="12.75" customHeight="1">
      <c r="A3342" s="5"/>
      <c r="B3342" s="5"/>
      <c r="C3342" s="5"/>
      <c r="D3342" s="5"/>
      <c r="E3342" s="7"/>
      <c r="F3342" s="5"/>
      <c r="G3342" s="5"/>
      <c r="H3342" s="5"/>
      <c r="I3342" s="5"/>
      <c r="J3342" s="5"/>
      <c r="K3342" s="5"/>
      <c r="L3342" s="54"/>
      <c r="M3342" s="5"/>
      <c r="N3342" s="53"/>
      <c r="Q3342" s="5"/>
      <c r="R3342" s="5"/>
      <c r="S3342" s="5"/>
      <c r="T3342" s="5"/>
      <c r="U3342" s="5"/>
      <c r="V3342" s="5"/>
    </row>
    <row r="3343" ht="12.75" customHeight="1">
      <c r="A3343" s="5"/>
      <c r="B3343" s="5"/>
      <c r="C3343" s="5"/>
      <c r="D3343" s="5"/>
      <c r="E3343" s="7"/>
      <c r="F3343" s="5"/>
      <c r="G3343" s="5"/>
      <c r="H3343" s="5"/>
      <c r="I3343" s="5"/>
      <c r="J3343" s="5"/>
      <c r="K3343" s="5"/>
      <c r="L3343" s="54"/>
      <c r="M3343" s="5"/>
      <c r="N3343" s="53"/>
      <c r="Q3343" s="5"/>
      <c r="R3343" s="5"/>
      <c r="S3343" s="5"/>
      <c r="T3343" s="5"/>
      <c r="U3343" s="5"/>
      <c r="V3343" s="5"/>
    </row>
    <row r="3344" ht="12.75" customHeight="1">
      <c r="A3344" s="5"/>
      <c r="B3344" s="5"/>
      <c r="C3344" s="5"/>
      <c r="D3344" s="5"/>
      <c r="E3344" s="7"/>
      <c r="F3344" s="5"/>
      <c r="G3344" s="5"/>
      <c r="H3344" s="5"/>
      <c r="I3344" s="5"/>
      <c r="J3344" s="5"/>
      <c r="K3344" s="5"/>
      <c r="L3344" s="54"/>
      <c r="M3344" s="5"/>
      <c r="N3344" s="53"/>
      <c r="Q3344" s="5"/>
      <c r="R3344" s="5"/>
      <c r="S3344" s="5"/>
      <c r="T3344" s="5"/>
      <c r="U3344" s="5"/>
      <c r="V3344" s="5"/>
    </row>
    <row r="3345" ht="12.75" customHeight="1">
      <c r="A3345" s="5"/>
      <c r="B3345" s="5"/>
      <c r="C3345" s="5"/>
      <c r="D3345" s="5"/>
      <c r="E3345" s="7"/>
      <c r="F3345" s="5"/>
      <c r="G3345" s="5"/>
      <c r="H3345" s="5"/>
      <c r="I3345" s="5"/>
      <c r="J3345" s="5"/>
      <c r="K3345" s="5"/>
      <c r="L3345" s="54"/>
      <c r="M3345" s="5"/>
      <c r="N3345" s="53"/>
      <c r="Q3345" s="5"/>
      <c r="R3345" s="5"/>
      <c r="S3345" s="5"/>
      <c r="T3345" s="5"/>
      <c r="U3345" s="5"/>
      <c r="V3345" s="5"/>
    </row>
    <row r="3346" ht="12.75" customHeight="1">
      <c r="A3346" s="5"/>
      <c r="B3346" s="5"/>
      <c r="C3346" s="5"/>
      <c r="D3346" s="5"/>
      <c r="E3346" s="7"/>
      <c r="F3346" s="5"/>
      <c r="G3346" s="5"/>
      <c r="H3346" s="5"/>
      <c r="I3346" s="5"/>
      <c r="J3346" s="5"/>
      <c r="K3346" s="5"/>
      <c r="L3346" s="54"/>
      <c r="M3346" s="5"/>
      <c r="N3346" s="53"/>
      <c r="Q3346" s="5"/>
      <c r="R3346" s="5"/>
      <c r="S3346" s="5"/>
      <c r="T3346" s="5"/>
      <c r="U3346" s="5"/>
      <c r="V3346" s="5"/>
    </row>
    <row r="3347" ht="12.75" customHeight="1">
      <c r="A3347" s="5"/>
      <c r="B3347" s="5"/>
      <c r="C3347" s="5"/>
      <c r="D3347" s="5"/>
      <c r="E3347" s="7"/>
      <c r="F3347" s="5"/>
      <c r="G3347" s="5"/>
      <c r="H3347" s="5"/>
      <c r="I3347" s="5"/>
      <c r="J3347" s="5"/>
      <c r="K3347" s="5"/>
      <c r="L3347" s="54"/>
      <c r="M3347" s="5"/>
      <c r="N3347" s="53"/>
      <c r="Q3347" s="5"/>
      <c r="R3347" s="5"/>
      <c r="S3347" s="5"/>
      <c r="T3347" s="5"/>
      <c r="U3347" s="5"/>
      <c r="V3347" s="5"/>
    </row>
    <row r="3348" ht="12.75" customHeight="1">
      <c r="A3348" s="5"/>
      <c r="B3348" s="5"/>
      <c r="C3348" s="5"/>
      <c r="D3348" s="5"/>
      <c r="E3348" s="7"/>
      <c r="F3348" s="5"/>
      <c r="G3348" s="5"/>
      <c r="H3348" s="5"/>
      <c r="I3348" s="5"/>
      <c r="J3348" s="5"/>
      <c r="K3348" s="5"/>
      <c r="L3348" s="54"/>
      <c r="M3348" s="5"/>
      <c r="N3348" s="53"/>
      <c r="Q3348" s="5"/>
      <c r="R3348" s="5"/>
      <c r="S3348" s="5"/>
      <c r="T3348" s="5"/>
      <c r="U3348" s="5"/>
      <c r="V3348" s="5"/>
    </row>
    <row r="3349" ht="12.75" customHeight="1">
      <c r="A3349" s="5"/>
      <c r="B3349" s="5"/>
      <c r="C3349" s="5"/>
      <c r="D3349" s="5"/>
      <c r="E3349" s="7"/>
      <c r="F3349" s="5"/>
      <c r="G3349" s="5"/>
      <c r="H3349" s="5"/>
      <c r="I3349" s="5"/>
      <c r="J3349" s="5"/>
      <c r="K3349" s="5"/>
      <c r="L3349" s="54"/>
      <c r="M3349" s="5"/>
      <c r="N3349" s="53"/>
      <c r="Q3349" s="5"/>
      <c r="R3349" s="5"/>
      <c r="S3349" s="5"/>
      <c r="T3349" s="5"/>
      <c r="U3349" s="5"/>
      <c r="V3349" s="5"/>
    </row>
    <row r="3350" ht="12.75" customHeight="1">
      <c r="A3350" s="5"/>
      <c r="B3350" s="5"/>
      <c r="C3350" s="5"/>
      <c r="D3350" s="5"/>
      <c r="E3350" s="7"/>
      <c r="F3350" s="5"/>
      <c r="G3350" s="5"/>
      <c r="H3350" s="5"/>
      <c r="I3350" s="5"/>
      <c r="J3350" s="5"/>
      <c r="K3350" s="5"/>
      <c r="L3350" s="54"/>
      <c r="M3350" s="5"/>
      <c r="N3350" s="53"/>
      <c r="Q3350" s="5"/>
      <c r="R3350" s="5"/>
      <c r="S3350" s="5"/>
      <c r="T3350" s="5"/>
      <c r="U3350" s="5"/>
      <c r="V3350" s="5"/>
    </row>
    <row r="3351" ht="12.75" customHeight="1">
      <c r="A3351" s="5"/>
      <c r="B3351" s="5"/>
      <c r="C3351" s="5"/>
      <c r="D3351" s="5"/>
      <c r="E3351" s="7"/>
      <c r="F3351" s="5"/>
      <c r="G3351" s="5"/>
      <c r="H3351" s="5"/>
      <c r="I3351" s="5"/>
      <c r="J3351" s="5"/>
      <c r="K3351" s="5"/>
      <c r="L3351" s="54"/>
      <c r="M3351" s="5"/>
      <c r="N3351" s="53"/>
      <c r="Q3351" s="5"/>
      <c r="R3351" s="5"/>
      <c r="S3351" s="5"/>
      <c r="T3351" s="5"/>
      <c r="U3351" s="5"/>
      <c r="V3351" s="5"/>
    </row>
    <row r="3352" ht="12.75" customHeight="1">
      <c r="A3352" s="5"/>
      <c r="B3352" s="5"/>
      <c r="C3352" s="5"/>
      <c r="D3352" s="5"/>
      <c r="E3352" s="7"/>
      <c r="F3352" s="5"/>
      <c r="G3352" s="5"/>
      <c r="H3352" s="5"/>
      <c r="I3352" s="5"/>
      <c r="J3352" s="5"/>
      <c r="K3352" s="5"/>
      <c r="L3352" s="54"/>
      <c r="M3352" s="5"/>
      <c r="N3352" s="53"/>
      <c r="Q3352" s="5"/>
      <c r="R3352" s="5"/>
      <c r="S3352" s="5"/>
      <c r="T3352" s="5"/>
      <c r="U3352" s="5"/>
      <c r="V3352" s="5"/>
    </row>
    <row r="3353" ht="12.75" customHeight="1">
      <c r="A3353" s="5"/>
      <c r="B3353" s="5"/>
      <c r="C3353" s="5"/>
      <c r="D3353" s="5"/>
      <c r="E3353" s="7"/>
      <c r="F3353" s="5"/>
      <c r="G3353" s="5"/>
      <c r="H3353" s="5"/>
      <c r="I3353" s="5"/>
      <c r="J3353" s="5"/>
      <c r="K3353" s="5"/>
      <c r="L3353" s="54"/>
      <c r="M3353" s="5"/>
      <c r="N3353" s="53"/>
      <c r="Q3353" s="5"/>
      <c r="R3353" s="5"/>
      <c r="S3353" s="5"/>
      <c r="T3353" s="5"/>
      <c r="U3353" s="5"/>
      <c r="V3353" s="5"/>
    </row>
    <row r="3354" ht="12.75" customHeight="1">
      <c r="A3354" s="5"/>
      <c r="B3354" s="5"/>
      <c r="C3354" s="5"/>
      <c r="D3354" s="5"/>
      <c r="E3354" s="7"/>
      <c r="F3354" s="5"/>
      <c r="G3354" s="5"/>
      <c r="H3354" s="5"/>
      <c r="I3354" s="5"/>
      <c r="J3354" s="5"/>
      <c r="K3354" s="5"/>
      <c r="L3354" s="54"/>
      <c r="M3354" s="5"/>
      <c r="N3354" s="53"/>
      <c r="Q3354" s="5"/>
      <c r="R3354" s="5"/>
      <c r="S3354" s="5"/>
      <c r="T3354" s="5"/>
      <c r="U3354" s="5"/>
      <c r="V3354" s="5"/>
    </row>
    <row r="3355" ht="12.75" customHeight="1">
      <c r="A3355" s="5"/>
      <c r="B3355" s="5"/>
      <c r="C3355" s="5"/>
      <c r="D3355" s="5"/>
      <c r="E3355" s="7"/>
      <c r="F3355" s="5"/>
      <c r="G3355" s="5"/>
      <c r="H3355" s="5"/>
      <c r="I3355" s="5"/>
      <c r="J3355" s="5"/>
      <c r="K3355" s="5"/>
      <c r="L3355" s="54"/>
      <c r="M3355" s="5"/>
      <c r="N3355" s="53"/>
      <c r="Q3355" s="5"/>
      <c r="R3355" s="5"/>
      <c r="S3355" s="5"/>
      <c r="T3355" s="5"/>
      <c r="U3355" s="5"/>
      <c r="V3355" s="5"/>
    </row>
    <row r="3356" ht="12.75" customHeight="1">
      <c r="A3356" s="5"/>
      <c r="B3356" s="5"/>
      <c r="C3356" s="5"/>
      <c r="D3356" s="5"/>
      <c r="E3356" s="7"/>
      <c r="F3356" s="5"/>
      <c r="G3356" s="5"/>
      <c r="H3356" s="5"/>
      <c r="I3356" s="5"/>
      <c r="J3356" s="5"/>
      <c r="K3356" s="5"/>
      <c r="L3356" s="54"/>
      <c r="M3356" s="5"/>
      <c r="N3356" s="53"/>
      <c r="Q3356" s="5"/>
      <c r="R3356" s="5"/>
      <c r="S3356" s="5"/>
      <c r="T3356" s="5"/>
      <c r="U3356" s="5"/>
      <c r="V3356" s="5"/>
    </row>
    <row r="3357" ht="12.75" customHeight="1">
      <c r="A3357" s="5"/>
      <c r="B3357" s="5"/>
      <c r="C3357" s="5"/>
      <c r="D3357" s="5"/>
      <c r="E3357" s="7"/>
      <c r="F3357" s="5"/>
      <c r="G3357" s="5"/>
      <c r="H3357" s="5"/>
      <c r="I3357" s="5"/>
      <c r="J3357" s="5"/>
      <c r="K3357" s="5"/>
      <c r="L3357" s="54"/>
      <c r="M3357" s="5"/>
      <c r="N3357" s="53"/>
      <c r="Q3357" s="5"/>
      <c r="R3357" s="5"/>
      <c r="S3357" s="5"/>
      <c r="T3357" s="5"/>
      <c r="U3357" s="5"/>
      <c r="V3357" s="5"/>
    </row>
    <row r="3358" ht="12.75" customHeight="1">
      <c r="A3358" s="5"/>
      <c r="B3358" s="5"/>
      <c r="C3358" s="5"/>
      <c r="D3358" s="5"/>
      <c r="E3358" s="7"/>
      <c r="F3358" s="5"/>
      <c r="G3358" s="5"/>
      <c r="H3358" s="5"/>
      <c r="I3358" s="5"/>
      <c r="J3358" s="5"/>
      <c r="K3358" s="5"/>
      <c r="L3358" s="54"/>
      <c r="M3358" s="5"/>
      <c r="N3358" s="53"/>
      <c r="Q3358" s="5"/>
      <c r="R3358" s="5"/>
      <c r="S3358" s="5"/>
      <c r="T3358" s="5"/>
      <c r="U3358" s="5"/>
      <c r="V3358" s="5"/>
    </row>
    <row r="3359" ht="12.75" customHeight="1">
      <c r="A3359" s="5"/>
      <c r="B3359" s="5"/>
      <c r="C3359" s="5"/>
      <c r="D3359" s="5"/>
      <c r="E3359" s="7"/>
      <c r="F3359" s="5"/>
      <c r="G3359" s="5"/>
      <c r="H3359" s="5"/>
      <c r="I3359" s="5"/>
      <c r="J3359" s="5"/>
      <c r="K3359" s="5"/>
      <c r="L3359" s="54"/>
      <c r="M3359" s="5"/>
      <c r="N3359" s="53"/>
      <c r="Q3359" s="5"/>
      <c r="R3359" s="5"/>
      <c r="S3359" s="5"/>
      <c r="T3359" s="5"/>
      <c r="U3359" s="5"/>
      <c r="V3359" s="5"/>
    </row>
    <row r="3360" ht="12.75" customHeight="1">
      <c r="A3360" s="5"/>
      <c r="B3360" s="5"/>
      <c r="C3360" s="5"/>
      <c r="D3360" s="5"/>
      <c r="E3360" s="7"/>
      <c r="F3360" s="5"/>
      <c r="G3360" s="5"/>
      <c r="H3360" s="5"/>
      <c r="I3360" s="5"/>
      <c r="J3360" s="5"/>
      <c r="K3360" s="5"/>
      <c r="L3360" s="54"/>
      <c r="M3360" s="5"/>
      <c r="N3360" s="53"/>
      <c r="Q3360" s="5"/>
      <c r="R3360" s="5"/>
      <c r="S3360" s="5"/>
      <c r="T3360" s="5"/>
      <c r="U3360" s="5"/>
      <c r="V3360" s="5"/>
    </row>
    <row r="3361" ht="12.75" customHeight="1">
      <c r="A3361" s="5"/>
      <c r="B3361" s="5"/>
      <c r="C3361" s="5"/>
      <c r="D3361" s="5"/>
      <c r="E3361" s="7"/>
      <c r="F3361" s="5"/>
      <c r="G3361" s="5"/>
      <c r="H3361" s="5"/>
      <c r="I3361" s="5"/>
      <c r="J3361" s="5"/>
      <c r="K3361" s="5"/>
      <c r="L3361" s="54"/>
      <c r="M3361" s="5"/>
      <c r="N3361" s="53"/>
      <c r="Q3361" s="5"/>
      <c r="R3361" s="5"/>
      <c r="S3361" s="5"/>
      <c r="T3361" s="5"/>
      <c r="U3361" s="5"/>
      <c r="V3361" s="5"/>
    </row>
    <row r="3362" ht="12.75" customHeight="1">
      <c r="A3362" s="5"/>
      <c r="B3362" s="5"/>
      <c r="C3362" s="5"/>
      <c r="D3362" s="5"/>
      <c r="E3362" s="7"/>
      <c r="F3362" s="5"/>
      <c r="G3362" s="5"/>
      <c r="H3362" s="5"/>
      <c r="I3362" s="5"/>
      <c r="J3362" s="5"/>
      <c r="K3362" s="5"/>
      <c r="L3362" s="54"/>
      <c r="M3362" s="5"/>
      <c r="N3362" s="53"/>
      <c r="Q3362" s="5"/>
      <c r="R3362" s="5"/>
      <c r="S3362" s="5"/>
      <c r="T3362" s="5"/>
      <c r="U3362" s="5"/>
      <c r="V3362" s="5"/>
    </row>
    <row r="3363" ht="12.75" customHeight="1">
      <c r="A3363" s="5"/>
      <c r="B3363" s="5"/>
      <c r="C3363" s="5"/>
      <c r="D3363" s="5"/>
      <c r="E3363" s="7"/>
      <c r="F3363" s="5"/>
      <c r="G3363" s="5"/>
      <c r="H3363" s="5"/>
      <c r="I3363" s="5"/>
      <c r="J3363" s="5"/>
      <c r="K3363" s="5"/>
      <c r="L3363" s="54"/>
      <c r="M3363" s="5"/>
      <c r="N3363" s="53"/>
      <c r="Q3363" s="5"/>
      <c r="R3363" s="5"/>
      <c r="S3363" s="5"/>
      <c r="T3363" s="5"/>
      <c r="U3363" s="5"/>
      <c r="V3363" s="5"/>
    </row>
    <row r="3364" ht="12.75" customHeight="1">
      <c r="A3364" s="5"/>
      <c r="B3364" s="5"/>
      <c r="C3364" s="5"/>
      <c r="D3364" s="5"/>
      <c r="E3364" s="7"/>
      <c r="F3364" s="5"/>
      <c r="G3364" s="5"/>
      <c r="H3364" s="5"/>
      <c r="I3364" s="5"/>
      <c r="J3364" s="5"/>
      <c r="K3364" s="5"/>
      <c r="L3364" s="54"/>
      <c r="M3364" s="5"/>
      <c r="N3364" s="53"/>
      <c r="Q3364" s="5"/>
      <c r="R3364" s="5"/>
      <c r="S3364" s="5"/>
      <c r="T3364" s="5"/>
      <c r="U3364" s="5"/>
      <c r="V3364" s="5"/>
    </row>
    <row r="3365" ht="12.75" customHeight="1">
      <c r="A3365" s="5"/>
      <c r="B3365" s="5"/>
      <c r="C3365" s="5"/>
      <c r="D3365" s="5"/>
      <c r="E3365" s="7"/>
      <c r="F3365" s="5"/>
      <c r="G3365" s="5"/>
      <c r="H3365" s="5"/>
      <c r="I3365" s="5"/>
      <c r="J3365" s="5"/>
      <c r="K3365" s="5"/>
      <c r="L3365" s="54"/>
      <c r="M3365" s="5"/>
      <c r="N3365" s="53"/>
      <c r="Q3365" s="5"/>
      <c r="R3365" s="5"/>
      <c r="S3365" s="5"/>
      <c r="T3365" s="5"/>
      <c r="U3365" s="5"/>
      <c r="V3365" s="5"/>
    </row>
    <row r="3366" ht="12.75" customHeight="1">
      <c r="A3366" s="5"/>
      <c r="B3366" s="5"/>
      <c r="C3366" s="5"/>
      <c r="D3366" s="5"/>
      <c r="E3366" s="7"/>
      <c r="F3366" s="5"/>
      <c r="G3366" s="5"/>
      <c r="H3366" s="5"/>
      <c r="I3366" s="5"/>
      <c r="J3366" s="5"/>
      <c r="K3366" s="5"/>
      <c r="L3366" s="54"/>
      <c r="M3366" s="5"/>
      <c r="N3366" s="53"/>
      <c r="Q3366" s="5"/>
      <c r="R3366" s="5"/>
      <c r="S3366" s="5"/>
      <c r="T3366" s="5"/>
      <c r="U3366" s="5"/>
      <c r="V3366" s="5"/>
    </row>
    <row r="3367" ht="12.75" customHeight="1">
      <c r="A3367" s="5"/>
      <c r="B3367" s="5"/>
      <c r="C3367" s="5"/>
      <c r="D3367" s="5"/>
      <c r="E3367" s="7"/>
      <c r="F3367" s="5"/>
      <c r="G3367" s="5"/>
      <c r="H3367" s="5"/>
      <c r="I3367" s="5"/>
      <c r="J3367" s="5"/>
      <c r="K3367" s="5"/>
      <c r="L3367" s="54"/>
      <c r="M3367" s="5"/>
      <c r="N3367" s="53"/>
      <c r="Q3367" s="5"/>
      <c r="R3367" s="5"/>
      <c r="S3367" s="5"/>
      <c r="T3367" s="5"/>
      <c r="U3367" s="5"/>
      <c r="V3367" s="5"/>
    </row>
    <row r="3368" ht="12.75" customHeight="1">
      <c r="A3368" s="5"/>
      <c r="B3368" s="5"/>
      <c r="C3368" s="5"/>
      <c r="D3368" s="5"/>
      <c r="E3368" s="7"/>
      <c r="F3368" s="5"/>
      <c r="G3368" s="5"/>
      <c r="H3368" s="5"/>
      <c r="I3368" s="5"/>
      <c r="J3368" s="5"/>
      <c r="K3368" s="5"/>
      <c r="L3368" s="54"/>
      <c r="M3368" s="5"/>
      <c r="N3368" s="53"/>
      <c r="Q3368" s="5"/>
      <c r="R3368" s="5"/>
      <c r="S3368" s="5"/>
      <c r="T3368" s="5"/>
      <c r="U3368" s="5"/>
      <c r="V3368" s="5"/>
    </row>
    <row r="3369" ht="12.75" customHeight="1">
      <c r="A3369" s="5"/>
      <c r="B3369" s="5"/>
      <c r="C3369" s="5"/>
      <c r="D3369" s="5"/>
      <c r="E3369" s="7"/>
      <c r="F3369" s="5"/>
      <c r="G3369" s="5"/>
      <c r="H3369" s="5"/>
      <c r="I3369" s="5"/>
      <c r="J3369" s="5"/>
      <c r="K3369" s="5"/>
      <c r="L3369" s="54"/>
      <c r="M3369" s="5"/>
      <c r="N3369" s="53"/>
      <c r="Q3369" s="5"/>
      <c r="R3369" s="5"/>
      <c r="S3369" s="5"/>
      <c r="T3369" s="5"/>
      <c r="U3369" s="5"/>
      <c r="V3369" s="5"/>
    </row>
    <row r="3370" ht="12.75" customHeight="1">
      <c r="A3370" s="5"/>
      <c r="B3370" s="5"/>
      <c r="C3370" s="5"/>
      <c r="D3370" s="5"/>
      <c r="E3370" s="7"/>
      <c r="F3370" s="5"/>
      <c r="G3370" s="5"/>
      <c r="H3370" s="5"/>
      <c r="I3370" s="5"/>
      <c r="J3370" s="5"/>
      <c r="K3370" s="5"/>
      <c r="L3370" s="54"/>
      <c r="M3370" s="5"/>
      <c r="N3370" s="53"/>
      <c r="Q3370" s="5"/>
      <c r="R3370" s="5"/>
      <c r="S3370" s="5"/>
      <c r="T3370" s="5"/>
      <c r="U3370" s="5"/>
      <c r="V3370" s="5"/>
    </row>
    <row r="3371" ht="12.75" customHeight="1">
      <c r="A3371" s="5"/>
      <c r="B3371" s="5"/>
      <c r="C3371" s="5"/>
      <c r="D3371" s="5"/>
      <c r="E3371" s="7"/>
      <c r="F3371" s="5"/>
      <c r="G3371" s="5"/>
      <c r="H3371" s="5"/>
      <c r="I3371" s="5"/>
      <c r="J3371" s="5"/>
      <c r="K3371" s="5"/>
      <c r="L3371" s="54"/>
      <c r="M3371" s="5"/>
      <c r="N3371" s="53"/>
      <c r="Q3371" s="5"/>
      <c r="R3371" s="5"/>
      <c r="S3371" s="5"/>
      <c r="T3371" s="5"/>
      <c r="U3371" s="5"/>
      <c r="V3371" s="5"/>
    </row>
    <row r="3372" ht="12.75" customHeight="1">
      <c r="A3372" s="5"/>
      <c r="B3372" s="5"/>
      <c r="C3372" s="5"/>
      <c r="D3372" s="5"/>
      <c r="E3372" s="7"/>
      <c r="F3372" s="5"/>
      <c r="G3372" s="5"/>
      <c r="H3372" s="5"/>
      <c r="I3372" s="5"/>
      <c r="J3372" s="5"/>
      <c r="K3372" s="5"/>
      <c r="L3372" s="54"/>
      <c r="M3372" s="5"/>
      <c r="N3372" s="53"/>
      <c r="Q3372" s="5"/>
      <c r="R3372" s="5"/>
      <c r="S3372" s="5"/>
      <c r="T3372" s="5"/>
      <c r="U3372" s="5"/>
      <c r="V3372" s="5"/>
    </row>
    <row r="3373" ht="12.75" customHeight="1">
      <c r="A3373" s="5"/>
      <c r="B3373" s="5"/>
      <c r="C3373" s="5"/>
      <c r="D3373" s="5"/>
      <c r="E3373" s="7"/>
      <c r="F3373" s="5"/>
      <c r="G3373" s="5"/>
      <c r="H3373" s="5"/>
      <c r="I3373" s="5"/>
      <c r="J3373" s="5"/>
      <c r="K3373" s="5"/>
      <c r="L3373" s="54"/>
      <c r="M3373" s="5"/>
      <c r="N3373" s="53"/>
      <c r="Q3373" s="5"/>
      <c r="R3373" s="5"/>
      <c r="S3373" s="5"/>
      <c r="T3373" s="5"/>
      <c r="U3373" s="5"/>
      <c r="V3373" s="5"/>
    </row>
    <row r="3374" ht="12.75" customHeight="1">
      <c r="A3374" s="5"/>
      <c r="B3374" s="5"/>
      <c r="C3374" s="5"/>
      <c r="D3374" s="5"/>
      <c r="E3374" s="7"/>
      <c r="F3374" s="5"/>
      <c r="G3374" s="5"/>
      <c r="H3374" s="5"/>
      <c r="I3374" s="5"/>
      <c r="J3374" s="5"/>
      <c r="K3374" s="5"/>
      <c r="L3374" s="54"/>
      <c r="M3374" s="5"/>
      <c r="N3374" s="53"/>
      <c r="Q3374" s="5"/>
      <c r="R3374" s="5"/>
      <c r="S3374" s="5"/>
      <c r="T3374" s="5"/>
      <c r="U3374" s="5"/>
      <c r="V3374" s="5"/>
    </row>
    <row r="3375" ht="12.75" customHeight="1">
      <c r="A3375" s="5"/>
      <c r="B3375" s="5"/>
      <c r="C3375" s="5"/>
      <c r="D3375" s="5"/>
      <c r="E3375" s="7"/>
      <c r="F3375" s="5"/>
      <c r="G3375" s="5"/>
      <c r="H3375" s="5"/>
      <c r="I3375" s="5"/>
      <c r="J3375" s="5"/>
      <c r="K3375" s="5"/>
      <c r="L3375" s="54"/>
      <c r="M3375" s="5"/>
      <c r="N3375" s="53"/>
      <c r="Q3375" s="5"/>
      <c r="R3375" s="5"/>
      <c r="S3375" s="5"/>
      <c r="T3375" s="5"/>
      <c r="U3375" s="5"/>
      <c r="V3375" s="5"/>
    </row>
    <row r="3376" ht="12.75" customHeight="1">
      <c r="A3376" s="5"/>
      <c r="B3376" s="5"/>
      <c r="C3376" s="5"/>
      <c r="D3376" s="5"/>
      <c r="E3376" s="7"/>
      <c r="F3376" s="5"/>
      <c r="G3376" s="5"/>
      <c r="H3376" s="5"/>
      <c r="I3376" s="5"/>
      <c r="J3376" s="5"/>
      <c r="K3376" s="5"/>
      <c r="L3376" s="54"/>
      <c r="M3376" s="5"/>
      <c r="N3376" s="53"/>
      <c r="Q3376" s="5"/>
      <c r="R3376" s="5"/>
      <c r="S3376" s="5"/>
      <c r="T3376" s="5"/>
      <c r="U3376" s="5"/>
      <c r="V3376" s="5"/>
    </row>
    <row r="3377" ht="12.75" customHeight="1">
      <c r="A3377" s="5"/>
      <c r="B3377" s="5"/>
      <c r="C3377" s="5"/>
      <c r="D3377" s="5"/>
      <c r="E3377" s="7"/>
      <c r="F3377" s="5"/>
      <c r="G3377" s="5"/>
      <c r="H3377" s="5"/>
      <c r="I3377" s="5"/>
      <c r="J3377" s="5"/>
      <c r="K3377" s="5"/>
      <c r="L3377" s="54"/>
      <c r="M3377" s="5"/>
      <c r="N3377" s="53"/>
      <c r="Q3377" s="5"/>
      <c r="R3377" s="5"/>
      <c r="S3377" s="5"/>
      <c r="T3377" s="5"/>
      <c r="U3377" s="5"/>
      <c r="V3377" s="5"/>
    </row>
    <row r="3378" ht="12.75" customHeight="1">
      <c r="A3378" s="5"/>
      <c r="B3378" s="5"/>
      <c r="C3378" s="5"/>
      <c r="D3378" s="5"/>
      <c r="E3378" s="7"/>
      <c r="F3378" s="5"/>
      <c r="G3378" s="5"/>
      <c r="H3378" s="5"/>
      <c r="I3378" s="5"/>
      <c r="J3378" s="5"/>
      <c r="K3378" s="5"/>
      <c r="L3378" s="54"/>
      <c r="M3378" s="5"/>
      <c r="N3378" s="53"/>
      <c r="Q3378" s="5"/>
      <c r="R3378" s="5"/>
      <c r="S3378" s="5"/>
      <c r="T3378" s="5"/>
      <c r="U3378" s="5"/>
      <c r="V3378" s="5"/>
    </row>
    <row r="3379" ht="12.75" customHeight="1">
      <c r="A3379" s="5"/>
      <c r="B3379" s="5"/>
      <c r="C3379" s="5"/>
      <c r="D3379" s="5"/>
      <c r="E3379" s="7"/>
      <c r="F3379" s="5"/>
      <c r="G3379" s="5"/>
      <c r="H3379" s="5"/>
      <c r="I3379" s="5"/>
      <c r="J3379" s="5"/>
      <c r="K3379" s="5"/>
      <c r="L3379" s="54"/>
      <c r="M3379" s="5"/>
      <c r="N3379" s="53"/>
      <c r="Q3379" s="5"/>
      <c r="R3379" s="5"/>
      <c r="S3379" s="5"/>
      <c r="T3379" s="5"/>
      <c r="U3379" s="5"/>
      <c r="V3379" s="5"/>
    </row>
    <row r="3380" ht="12.75" customHeight="1">
      <c r="A3380" s="5"/>
      <c r="B3380" s="5"/>
      <c r="C3380" s="5"/>
      <c r="D3380" s="5"/>
      <c r="E3380" s="7"/>
      <c r="F3380" s="5"/>
      <c r="G3380" s="5"/>
      <c r="H3380" s="5"/>
      <c r="I3380" s="5"/>
      <c r="J3380" s="5"/>
      <c r="K3380" s="5"/>
      <c r="L3380" s="54"/>
      <c r="M3380" s="5"/>
      <c r="N3380" s="53"/>
      <c r="Q3380" s="5"/>
      <c r="R3380" s="5"/>
      <c r="S3380" s="5"/>
      <c r="T3380" s="5"/>
      <c r="U3380" s="5"/>
      <c r="V3380" s="5"/>
    </row>
    <row r="3381" ht="12.75" customHeight="1">
      <c r="A3381" s="5"/>
      <c r="B3381" s="5"/>
      <c r="C3381" s="5"/>
      <c r="D3381" s="5"/>
      <c r="E3381" s="7"/>
      <c r="F3381" s="5"/>
      <c r="G3381" s="5"/>
      <c r="H3381" s="5"/>
      <c r="I3381" s="5"/>
      <c r="J3381" s="5"/>
      <c r="K3381" s="5"/>
      <c r="L3381" s="54"/>
      <c r="M3381" s="5"/>
      <c r="N3381" s="53"/>
      <c r="Q3381" s="5"/>
      <c r="R3381" s="5"/>
      <c r="S3381" s="5"/>
      <c r="T3381" s="5"/>
      <c r="U3381" s="5"/>
      <c r="V3381" s="5"/>
    </row>
    <row r="3382" ht="12.75" customHeight="1">
      <c r="A3382" s="5"/>
      <c r="B3382" s="5"/>
      <c r="C3382" s="5"/>
      <c r="D3382" s="5"/>
      <c r="E3382" s="7"/>
      <c r="F3382" s="5"/>
      <c r="G3382" s="5"/>
      <c r="H3382" s="5"/>
      <c r="I3382" s="5"/>
      <c r="J3382" s="5"/>
      <c r="K3382" s="5"/>
      <c r="L3382" s="54"/>
      <c r="M3382" s="5"/>
      <c r="N3382" s="53"/>
      <c r="Q3382" s="5"/>
      <c r="R3382" s="5"/>
      <c r="S3382" s="5"/>
      <c r="T3382" s="5"/>
      <c r="U3382" s="5"/>
      <c r="V3382" s="5"/>
    </row>
    <row r="3383" ht="12.75" customHeight="1">
      <c r="A3383" s="5"/>
      <c r="B3383" s="5"/>
      <c r="C3383" s="5"/>
      <c r="D3383" s="5"/>
      <c r="E3383" s="7"/>
      <c r="F3383" s="5"/>
      <c r="G3383" s="5"/>
      <c r="H3383" s="5"/>
      <c r="I3383" s="5"/>
      <c r="J3383" s="5"/>
      <c r="K3383" s="5"/>
      <c r="L3383" s="54"/>
      <c r="M3383" s="5"/>
      <c r="N3383" s="53"/>
      <c r="Q3383" s="5"/>
      <c r="R3383" s="5"/>
      <c r="S3383" s="5"/>
      <c r="T3383" s="5"/>
      <c r="U3383" s="5"/>
      <c r="V3383" s="5"/>
    </row>
    <row r="3384" ht="12.75" customHeight="1">
      <c r="A3384" s="5"/>
      <c r="B3384" s="5"/>
      <c r="C3384" s="5"/>
      <c r="D3384" s="5"/>
      <c r="E3384" s="7"/>
      <c r="F3384" s="5"/>
      <c r="G3384" s="5"/>
      <c r="H3384" s="5"/>
      <c r="I3384" s="5"/>
      <c r="J3384" s="5"/>
      <c r="K3384" s="5"/>
      <c r="L3384" s="54"/>
      <c r="M3384" s="5"/>
      <c r="N3384" s="53"/>
      <c r="Q3384" s="5"/>
      <c r="R3384" s="5"/>
      <c r="S3384" s="5"/>
      <c r="T3384" s="5"/>
      <c r="U3384" s="5"/>
      <c r="V3384" s="5"/>
    </row>
    <row r="3385" ht="12.75" customHeight="1">
      <c r="A3385" s="5"/>
      <c r="B3385" s="5"/>
      <c r="C3385" s="5"/>
      <c r="D3385" s="5"/>
      <c r="E3385" s="7"/>
      <c r="F3385" s="5"/>
      <c r="G3385" s="5"/>
      <c r="H3385" s="5"/>
      <c r="I3385" s="5"/>
      <c r="J3385" s="5"/>
      <c r="K3385" s="5"/>
      <c r="L3385" s="54"/>
      <c r="M3385" s="5"/>
      <c r="N3385" s="53"/>
      <c r="Q3385" s="5"/>
      <c r="R3385" s="5"/>
      <c r="S3385" s="5"/>
      <c r="T3385" s="5"/>
      <c r="U3385" s="5"/>
      <c r="V3385" s="5"/>
    </row>
    <row r="3386" ht="12.75" customHeight="1">
      <c r="A3386" s="5"/>
      <c r="B3386" s="5"/>
      <c r="C3386" s="5"/>
      <c r="D3386" s="5"/>
      <c r="E3386" s="7"/>
      <c r="F3386" s="5"/>
      <c r="G3386" s="5"/>
      <c r="H3386" s="5"/>
      <c r="I3386" s="5"/>
      <c r="J3386" s="5"/>
      <c r="K3386" s="5"/>
      <c r="L3386" s="54"/>
      <c r="M3386" s="5"/>
      <c r="N3386" s="53"/>
      <c r="Q3386" s="5"/>
      <c r="R3386" s="5"/>
      <c r="S3386" s="5"/>
      <c r="T3386" s="5"/>
      <c r="U3386" s="5"/>
      <c r="V3386" s="5"/>
    </row>
    <row r="3387" ht="12.75" customHeight="1">
      <c r="A3387" s="5"/>
      <c r="B3387" s="5"/>
      <c r="C3387" s="5"/>
      <c r="D3387" s="5"/>
      <c r="E3387" s="7"/>
      <c r="F3387" s="5"/>
      <c r="G3387" s="5"/>
      <c r="H3387" s="5"/>
      <c r="I3387" s="5"/>
      <c r="J3387" s="5"/>
      <c r="K3387" s="5"/>
      <c r="L3387" s="54"/>
      <c r="M3387" s="5"/>
      <c r="N3387" s="53"/>
      <c r="Q3387" s="5"/>
      <c r="R3387" s="5"/>
      <c r="S3387" s="5"/>
      <c r="T3387" s="5"/>
      <c r="U3387" s="5"/>
      <c r="V3387" s="5"/>
    </row>
    <row r="3388" ht="12.75" customHeight="1">
      <c r="A3388" s="5"/>
      <c r="B3388" s="5"/>
      <c r="C3388" s="5"/>
      <c r="D3388" s="5"/>
      <c r="E3388" s="7"/>
      <c r="F3388" s="5"/>
      <c r="G3388" s="5"/>
      <c r="H3388" s="5"/>
      <c r="I3388" s="5"/>
      <c r="J3388" s="5"/>
      <c r="K3388" s="5"/>
      <c r="L3388" s="54"/>
      <c r="M3388" s="5"/>
      <c r="N3388" s="53"/>
      <c r="Q3388" s="5"/>
      <c r="R3388" s="5"/>
      <c r="S3388" s="5"/>
      <c r="T3388" s="5"/>
      <c r="U3388" s="5"/>
      <c r="V3388" s="5"/>
    </row>
    <row r="3389" ht="12.75" customHeight="1">
      <c r="A3389" s="5"/>
      <c r="B3389" s="5"/>
      <c r="C3389" s="5"/>
      <c r="D3389" s="5"/>
      <c r="E3389" s="7"/>
      <c r="F3389" s="5"/>
      <c r="G3389" s="5"/>
      <c r="H3389" s="5"/>
      <c r="I3389" s="5"/>
      <c r="J3389" s="5"/>
      <c r="K3389" s="5"/>
      <c r="L3389" s="54"/>
      <c r="M3389" s="5"/>
      <c r="N3389" s="53"/>
      <c r="Q3389" s="5"/>
      <c r="R3389" s="5"/>
      <c r="S3389" s="5"/>
      <c r="T3389" s="5"/>
      <c r="U3389" s="5"/>
      <c r="V3389" s="5"/>
    </row>
    <row r="3390" ht="12.75" customHeight="1">
      <c r="A3390" s="5"/>
      <c r="B3390" s="5"/>
      <c r="C3390" s="5"/>
      <c r="D3390" s="5"/>
      <c r="E3390" s="7"/>
      <c r="F3390" s="5"/>
      <c r="G3390" s="5"/>
      <c r="H3390" s="5"/>
      <c r="I3390" s="5"/>
      <c r="J3390" s="5"/>
      <c r="K3390" s="5"/>
      <c r="L3390" s="54"/>
      <c r="M3390" s="5"/>
      <c r="N3390" s="53"/>
      <c r="Q3390" s="5"/>
      <c r="R3390" s="5"/>
      <c r="S3390" s="5"/>
      <c r="T3390" s="5"/>
      <c r="U3390" s="5"/>
      <c r="V3390" s="5"/>
    </row>
    <row r="3391" ht="12.75" customHeight="1">
      <c r="A3391" s="5"/>
      <c r="B3391" s="5"/>
      <c r="C3391" s="5"/>
      <c r="D3391" s="5"/>
      <c r="E3391" s="7"/>
      <c r="F3391" s="5"/>
      <c r="G3391" s="5"/>
      <c r="H3391" s="5"/>
      <c r="I3391" s="5"/>
      <c r="J3391" s="5"/>
      <c r="K3391" s="5"/>
      <c r="L3391" s="54"/>
      <c r="M3391" s="5"/>
      <c r="N3391" s="53"/>
      <c r="Q3391" s="5"/>
      <c r="R3391" s="5"/>
      <c r="S3391" s="5"/>
      <c r="T3391" s="5"/>
      <c r="U3391" s="5"/>
      <c r="V3391" s="5"/>
    </row>
    <row r="3392" ht="12.75" customHeight="1">
      <c r="A3392" s="5"/>
      <c r="B3392" s="5"/>
      <c r="C3392" s="5"/>
      <c r="D3392" s="5"/>
      <c r="E3392" s="7"/>
      <c r="F3392" s="5"/>
      <c r="G3392" s="5"/>
      <c r="H3392" s="5"/>
      <c r="I3392" s="5"/>
      <c r="J3392" s="5"/>
      <c r="K3392" s="5"/>
      <c r="L3392" s="54"/>
      <c r="M3392" s="5"/>
      <c r="N3392" s="53"/>
      <c r="Q3392" s="5"/>
      <c r="R3392" s="5"/>
      <c r="S3392" s="5"/>
      <c r="T3392" s="5"/>
      <c r="U3392" s="5"/>
      <c r="V3392" s="5"/>
    </row>
    <row r="3393" ht="12.75" customHeight="1">
      <c r="A3393" s="5"/>
      <c r="B3393" s="5"/>
      <c r="C3393" s="5"/>
      <c r="D3393" s="5"/>
      <c r="E3393" s="7"/>
      <c r="F3393" s="5"/>
      <c r="G3393" s="5"/>
      <c r="H3393" s="5"/>
      <c r="I3393" s="5"/>
      <c r="J3393" s="5"/>
      <c r="K3393" s="5"/>
      <c r="L3393" s="54"/>
      <c r="M3393" s="5"/>
      <c r="N3393" s="53"/>
      <c r="Q3393" s="5"/>
      <c r="R3393" s="5"/>
      <c r="S3393" s="5"/>
      <c r="T3393" s="5"/>
      <c r="U3393" s="5"/>
      <c r="V3393" s="5"/>
    </row>
    <row r="3394" ht="12.75" customHeight="1">
      <c r="A3394" s="5"/>
      <c r="B3394" s="5"/>
      <c r="C3394" s="5"/>
      <c r="D3394" s="5"/>
      <c r="E3394" s="7"/>
      <c r="F3394" s="5"/>
      <c r="G3394" s="5"/>
      <c r="H3394" s="5"/>
      <c r="I3394" s="5"/>
      <c r="J3394" s="5"/>
      <c r="K3394" s="5"/>
      <c r="L3394" s="54"/>
      <c r="M3394" s="5"/>
      <c r="N3394" s="53"/>
      <c r="Q3394" s="5"/>
      <c r="R3394" s="5"/>
      <c r="S3394" s="5"/>
      <c r="T3394" s="5"/>
      <c r="U3394" s="5"/>
      <c r="V3394" s="5"/>
    </row>
    <row r="3395" ht="12.75" customHeight="1">
      <c r="A3395" s="5"/>
      <c r="B3395" s="5"/>
      <c r="C3395" s="5"/>
      <c r="D3395" s="5"/>
      <c r="E3395" s="7"/>
      <c r="F3395" s="5"/>
      <c r="G3395" s="5"/>
      <c r="H3395" s="5"/>
      <c r="I3395" s="5"/>
      <c r="J3395" s="5"/>
      <c r="K3395" s="5"/>
      <c r="L3395" s="54"/>
      <c r="M3395" s="5"/>
      <c r="N3395" s="53"/>
      <c r="Q3395" s="5"/>
      <c r="R3395" s="5"/>
      <c r="S3395" s="5"/>
      <c r="T3395" s="5"/>
      <c r="U3395" s="5"/>
      <c r="V3395" s="5"/>
    </row>
    <row r="3396" ht="12.75" customHeight="1">
      <c r="A3396" s="5"/>
      <c r="B3396" s="5"/>
      <c r="C3396" s="5"/>
      <c r="D3396" s="5"/>
      <c r="E3396" s="7"/>
      <c r="F3396" s="5"/>
      <c r="G3396" s="5"/>
      <c r="H3396" s="5"/>
      <c r="I3396" s="5"/>
      <c r="J3396" s="5"/>
      <c r="K3396" s="5"/>
      <c r="L3396" s="54"/>
      <c r="M3396" s="5"/>
      <c r="N3396" s="53"/>
      <c r="Q3396" s="5"/>
      <c r="R3396" s="5"/>
      <c r="S3396" s="5"/>
      <c r="T3396" s="5"/>
      <c r="U3396" s="5"/>
      <c r="V3396" s="5"/>
    </row>
    <row r="3397" ht="12.75" customHeight="1">
      <c r="A3397" s="5"/>
      <c r="B3397" s="5"/>
      <c r="C3397" s="5"/>
      <c r="D3397" s="5"/>
      <c r="E3397" s="7"/>
      <c r="F3397" s="5"/>
      <c r="G3397" s="5"/>
      <c r="H3397" s="5"/>
      <c r="I3397" s="5"/>
      <c r="J3397" s="5"/>
      <c r="K3397" s="5"/>
      <c r="L3397" s="54"/>
      <c r="M3397" s="5"/>
      <c r="N3397" s="53"/>
      <c r="Q3397" s="5"/>
      <c r="R3397" s="5"/>
      <c r="S3397" s="5"/>
      <c r="T3397" s="5"/>
      <c r="U3397" s="5"/>
      <c r="V3397" s="5"/>
    </row>
    <row r="3398" ht="12.75" customHeight="1">
      <c r="A3398" s="5"/>
      <c r="B3398" s="5"/>
      <c r="C3398" s="5"/>
      <c r="D3398" s="5"/>
      <c r="E3398" s="7"/>
      <c r="F3398" s="5"/>
      <c r="G3398" s="5"/>
      <c r="H3398" s="5"/>
      <c r="I3398" s="5"/>
      <c r="J3398" s="5"/>
      <c r="K3398" s="5"/>
      <c r="L3398" s="54"/>
      <c r="M3398" s="5"/>
      <c r="N3398" s="53"/>
      <c r="Q3398" s="5"/>
      <c r="R3398" s="5"/>
      <c r="S3398" s="5"/>
      <c r="T3398" s="5"/>
      <c r="U3398" s="5"/>
      <c r="V3398" s="5"/>
    </row>
    <row r="3399" ht="12.75" customHeight="1">
      <c r="A3399" s="5"/>
      <c r="B3399" s="5"/>
      <c r="C3399" s="5"/>
      <c r="D3399" s="5"/>
      <c r="E3399" s="7"/>
      <c r="F3399" s="5"/>
      <c r="G3399" s="5"/>
      <c r="H3399" s="5"/>
      <c r="I3399" s="5"/>
      <c r="J3399" s="5"/>
      <c r="K3399" s="5"/>
      <c r="L3399" s="54"/>
      <c r="M3399" s="5"/>
      <c r="N3399" s="53"/>
      <c r="Q3399" s="5"/>
      <c r="R3399" s="5"/>
      <c r="S3399" s="5"/>
      <c r="T3399" s="5"/>
      <c r="U3399" s="5"/>
      <c r="V3399" s="5"/>
    </row>
    <row r="3400" ht="12.75" customHeight="1">
      <c r="A3400" s="5"/>
      <c r="B3400" s="5"/>
      <c r="C3400" s="5"/>
      <c r="D3400" s="5"/>
      <c r="E3400" s="7"/>
      <c r="F3400" s="5"/>
      <c r="G3400" s="5"/>
      <c r="H3400" s="5"/>
      <c r="I3400" s="5"/>
      <c r="J3400" s="5"/>
      <c r="K3400" s="5"/>
      <c r="L3400" s="54"/>
      <c r="M3400" s="5"/>
      <c r="N3400" s="53"/>
      <c r="Q3400" s="5"/>
      <c r="R3400" s="5"/>
      <c r="S3400" s="5"/>
      <c r="T3400" s="5"/>
      <c r="U3400" s="5"/>
      <c r="V3400" s="5"/>
    </row>
    <row r="3401" ht="12.75" customHeight="1">
      <c r="A3401" s="5"/>
      <c r="B3401" s="5"/>
      <c r="C3401" s="5"/>
      <c r="D3401" s="5"/>
      <c r="E3401" s="7"/>
      <c r="F3401" s="5"/>
      <c r="G3401" s="5"/>
      <c r="H3401" s="5"/>
      <c r="I3401" s="5"/>
      <c r="J3401" s="5"/>
      <c r="K3401" s="5"/>
      <c r="L3401" s="54"/>
      <c r="M3401" s="5"/>
      <c r="N3401" s="53"/>
      <c r="Q3401" s="5"/>
      <c r="R3401" s="5"/>
      <c r="S3401" s="5"/>
      <c r="T3401" s="5"/>
      <c r="U3401" s="5"/>
      <c r="V3401" s="5"/>
    </row>
    <row r="3402" ht="12.75" customHeight="1">
      <c r="A3402" s="5"/>
      <c r="B3402" s="5"/>
      <c r="C3402" s="5"/>
      <c r="D3402" s="5"/>
      <c r="E3402" s="7"/>
      <c r="F3402" s="5"/>
      <c r="G3402" s="5"/>
      <c r="H3402" s="5"/>
      <c r="I3402" s="5"/>
      <c r="J3402" s="5"/>
      <c r="K3402" s="5"/>
      <c r="L3402" s="54"/>
      <c r="M3402" s="5"/>
      <c r="N3402" s="53"/>
      <c r="Q3402" s="5"/>
      <c r="R3402" s="5"/>
      <c r="S3402" s="5"/>
      <c r="T3402" s="5"/>
      <c r="U3402" s="5"/>
      <c r="V3402" s="5"/>
    </row>
    <row r="3403" ht="12.75" customHeight="1">
      <c r="A3403" s="5"/>
      <c r="B3403" s="5"/>
      <c r="C3403" s="5"/>
      <c r="D3403" s="5"/>
      <c r="E3403" s="7"/>
      <c r="F3403" s="5"/>
      <c r="G3403" s="5"/>
      <c r="H3403" s="5"/>
      <c r="I3403" s="5"/>
      <c r="J3403" s="5"/>
      <c r="K3403" s="5"/>
      <c r="L3403" s="54"/>
      <c r="M3403" s="5"/>
      <c r="N3403" s="53"/>
      <c r="Q3403" s="5"/>
      <c r="R3403" s="5"/>
      <c r="S3403" s="5"/>
      <c r="T3403" s="5"/>
      <c r="U3403" s="5"/>
      <c r="V3403" s="5"/>
    </row>
    <row r="3404" ht="12.75" customHeight="1">
      <c r="A3404" s="5"/>
      <c r="B3404" s="5"/>
      <c r="C3404" s="5"/>
      <c r="D3404" s="5"/>
      <c r="E3404" s="7"/>
      <c r="F3404" s="5"/>
      <c r="G3404" s="5"/>
      <c r="H3404" s="5"/>
      <c r="I3404" s="5"/>
      <c r="J3404" s="5"/>
      <c r="K3404" s="5"/>
      <c r="L3404" s="54"/>
      <c r="M3404" s="5"/>
      <c r="N3404" s="53"/>
      <c r="Q3404" s="5"/>
      <c r="R3404" s="5"/>
      <c r="S3404" s="5"/>
      <c r="T3404" s="5"/>
      <c r="U3404" s="5"/>
      <c r="V3404" s="5"/>
    </row>
    <row r="3405" ht="12.75" customHeight="1">
      <c r="A3405" s="5"/>
      <c r="B3405" s="5"/>
      <c r="C3405" s="5"/>
      <c r="D3405" s="5"/>
      <c r="E3405" s="7"/>
      <c r="F3405" s="5"/>
      <c r="G3405" s="5"/>
      <c r="H3405" s="5"/>
      <c r="I3405" s="5"/>
      <c r="J3405" s="5"/>
      <c r="K3405" s="5"/>
      <c r="L3405" s="54"/>
      <c r="M3405" s="5"/>
      <c r="N3405" s="53"/>
      <c r="Q3405" s="5"/>
      <c r="R3405" s="5"/>
      <c r="S3405" s="5"/>
      <c r="T3405" s="5"/>
      <c r="U3405" s="5"/>
      <c r="V3405" s="5"/>
    </row>
    <row r="3406" ht="12.75" customHeight="1">
      <c r="A3406" s="5"/>
      <c r="B3406" s="5"/>
      <c r="C3406" s="5"/>
      <c r="D3406" s="5"/>
      <c r="E3406" s="7"/>
      <c r="F3406" s="5"/>
      <c r="G3406" s="5"/>
      <c r="H3406" s="5"/>
      <c r="I3406" s="5"/>
      <c r="J3406" s="5"/>
      <c r="K3406" s="5"/>
      <c r="L3406" s="54"/>
      <c r="M3406" s="5"/>
      <c r="N3406" s="53"/>
      <c r="Q3406" s="5"/>
      <c r="R3406" s="5"/>
      <c r="S3406" s="5"/>
      <c r="T3406" s="5"/>
      <c r="U3406" s="5"/>
      <c r="V3406" s="5"/>
    </row>
    <row r="3407" ht="12.75" customHeight="1">
      <c r="A3407" s="5"/>
      <c r="B3407" s="5"/>
      <c r="C3407" s="5"/>
      <c r="D3407" s="5"/>
      <c r="E3407" s="7"/>
      <c r="F3407" s="5"/>
      <c r="G3407" s="5"/>
      <c r="H3407" s="5"/>
      <c r="I3407" s="5"/>
      <c r="J3407" s="5"/>
      <c r="K3407" s="5"/>
      <c r="L3407" s="54"/>
      <c r="M3407" s="5"/>
      <c r="N3407" s="53"/>
      <c r="Q3407" s="5"/>
      <c r="R3407" s="5"/>
      <c r="S3407" s="5"/>
      <c r="T3407" s="5"/>
      <c r="U3407" s="5"/>
      <c r="V3407" s="5"/>
    </row>
    <row r="3408" ht="12.75" customHeight="1">
      <c r="A3408" s="5"/>
      <c r="B3408" s="5"/>
      <c r="C3408" s="5"/>
      <c r="D3408" s="5"/>
      <c r="E3408" s="7"/>
      <c r="F3408" s="5"/>
      <c r="G3408" s="5"/>
      <c r="H3408" s="5"/>
      <c r="I3408" s="5"/>
      <c r="J3408" s="5"/>
      <c r="K3408" s="5"/>
      <c r="L3408" s="54"/>
      <c r="M3408" s="5"/>
      <c r="N3408" s="53"/>
      <c r="Q3408" s="5"/>
      <c r="R3408" s="5"/>
      <c r="S3408" s="5"/>
      <c r="T3408" s="5"/>
      <c r="U3408" s="5"/>
      <c r="V3408" s="5"/>
    </row>
    <row r="3409" ht="12.75" customHeight="1">
      <c r="A3409" s="5"/>
      <c r="B3409" s="5"/>
      <c r="C3409" s="5"/>
      <c r="D3409" s="5"/>
      <c r="E3409" s="7"/>
      <c r="F3409" s="5"/>
      <c r="G3409" s="5"/>
      <c r="H3409" s="5"/>
      <c r="I3409" s="5"/>
      <c r="J3409" s="5"/>
      <c r="K3409" s="5"/>
      <c r="L3409" s="54"/>
      <c r="M3409" s="5"/>
      <c r="N3409" s="53"/>
      <c r="Q3409" s="5"/>
      <c r="R3409" s="5"/>
      <c r="S3409" s="5"/>
      <c r="T3409" s="5"/>
      <c r="U3409" s="5"/>
      <c r="V3409" s="5"/>
    </row>
    <row r="3410" ht="12.75" customHeight="1">
      <c r="A3410" s="5"/>
      <c r="B3410" s="5"/>
      <c r="C3410" s="5"/>
      <c r="D3410" s="5"/>
      <c r="E3410" s="7"/>
      <c r="F3410" s="5"/>
      <c r="G3410" s="5"/>
      <c r="H3410" s="5"/>
      <c r="I3410" s="5"/>
      <c r="J3410" s="5"/>
      <c r="K3410" s="5"/>
      <c r="L3410" s="54"/>
      <c r="M3410" s="5"/>
      <c r="N3410" s="53"/>
      <c r="Q3410" s="5"/>
      <c r="R3410" s="5"/>
      <c r="S3410" s="5"/>
      <c r="T3410" s="5"/>
      <c r="U3410" s="5"/>
      <c r="V3410" s="5"/>
    </row>
    <row r="3411" ht="12.75" customHeight="1">
      <c r="A3411" s="5"/>
      <c r="B3411" s="5"/>
      <c r="C3411" s="5"/>
      <c r="D3411" s="5"/>
      <c r="E3411" s="7"/>
      <c r="F3411" s="5"/>
      <c r="G3411" s="5"/>
      <c r="H3411" s="5"/>
      <c r="I3411" s="5"/>
      <c r="J3411" s="5"/>
      <c r="K3411" s="5"/>
      <c r="L3411" s="54"/>
      <c r="M3411" s="5"/>
      <c r="N3411" s="53"/>
      <c r="Q3411" s="5"/>
      <c r="R3411" s="5"/>
      <c r="S3411" s="5"/>
      <c r="T3411" s="5"/>
      <c r="U3411" s="5"/>
      <c r="V3411" s="5"/>
    </row>
    <row r="3412" ht="12.75" customHeight="1">
      <c r="A3412" s="5"/>
      <c r="B3412" s="5"/>
      <c r="C3412" s="5"/>
      <c r="D3412" s="5"/>
      <c r="E3412" s="7"/>
      <c r="F3412" s="5"/>
      <c r="G3412" s="5"/>
      <c r="H3412" s="5"/>
      <c r="I3412" s="5"/>
      <c r="J3412" s="5"/>
      <c r="K3412" s="5"/>
      <c r="L3412" s="54"/>
      <c r="M3412" s="5"/>
      <c r="N3412" s="53"/>
      <c r="Q3412" s="5"/>
      <c r="R3412" s="5"/>
      <c r="S3412" s="5"/>
      <c r="T3412" s="5"/>
      <c r="U3412" s="5"/>
      <c r="V3412" s="5"/>
    </row>
    <row r="3413" ht="12.75" customHeight="1">
      <c r="A3413" s="5"/>
      <c r="B3413" s="5"/>
      <c r="C3413" s="5"/>
      <c r="D3413" s="5"/>
      <c r="E3413" s="7"/>
      <c r="F3413" s="5"/>
      <c r="G3413" s="5"/>
      <c r="H3413" s="5"/>
      <c r="I3413" s="5"/>
      <c r="J3413" s="5"/>
      <c r="K3413" s="5"/>
      <c r="L3413" s="54"/>
      <c r="M3413" s="5"/>
      <c r="N3413" s="53"/>
      <c r="Q3413" s="5"/>
      <c r="R3413" s="5"/>
      <c r="S3413" s="5"/>
      <c r="T3413" s="5"/>
      <c r="U3413" s="5"/>
      <c r="V3413" s="5"/>
    </row>
    <row r="3414" ht="12.75" customHeight="1">
      <c r="A3414" s="5"/>
      <c r="B3414" s="5"/>
      <c r="C3414" s="5"/>
      <c r="D3414" s="5"/>
      <c r="E3414" s="7"/>
      <c r="F3414" s="5"/>
      <c r="G3414" s="5"/>
      <c r="H3414" s="5"/>
      <c r="I3414" s="5"/>
      <c r="J3414" s="5"/>
      <c r="K3414" s="5"/>
      <c r="L3414" s="54"/>
      <c r="M3414" s="5"/>
      <c r="N3414" s="53"/>
      <c r="Q3414" s="5"/>
      <c r="R3414" s="5"/>
      <c r="S3414" s="5"/>
      <c r="T3414" s="5"/>
      <c r="U3414" s="5"/>
      <c r="V3414" s="5"/>
    </row>
    <row r="3415" ht="12.75" customHeight="1">
      <c r="A3415" s="5"/>
      <c r="B3415" s="5"/>
      <c r="C3415" s="5"/>
      <c r="D3415" s="5"/>
      <c r="E3415" s="7"/>
      <c r="F3415" s="5"/>
      <c r="G3415" s="5"/>
      <c r="H3415" s="5"/>
      <c r="I3415" s="5"/>
      <c r="J3415" s="5"/>
      <c r="K3415" s="5"/>
      <c r="L3415" s="54"/>
      <c r="M3415" s="5"/>
      <c r="N3415" s="53"/>
      <c r="Q3415" s="5"/>
      <c r="R3415" s="5"/>
      <c r="S3415" s="5"/>
      <c r="T3415" s="5"/>
      <c r="U3415" s="5"/>
      <c r="V3415" s="5"/>
    </row>
    <row r="3416" ht="12.75" customHeight="1">
      <c r="A3416" s="5"/>
      <c r="B3416" s="5"/>
      <c r="C3416" s="5"/>
      <c r="D3416" s="5"/>
      <c r="E3416" s="7"/>
      <c r="F3416" s="5"/>
      <c r="G3416" s="5"/>
      <c r="H3416" s="5"/>
      <c r="I3416" s="5"/>
      <c r="J3416" s="5"/>
      <c r="K3416" s="5"/>
      <c r="L3416" s="54"/>
      <c r="M3416" s="5"/>
      <c r="N3416" s="53"/>
      <c r="Q3416" s="5"/>
      <c r="R3416" s="5"/>
      <c r="S3416" s="5"/>
      <c r="T3416" s="5"/>
      <c r="U3416" s="5"/>
      <c r="V3416" s="5"/>
    </row>
    <row r="3417" ht="12.75" customHeight="1">
      <c r="A3417" s="5"/>
      <c r="B3417" s="5"/>
      <c r="C3417" s="5"/>
      <c r="D3417" s="5"/>
      <c r="E3417" s="7"/>
      <c r="F3417" s="5"/>
      <c r="G3417" s="5"/>
      <c r="H3417" s="5"/>
      <c r="I3417" s="5"/>
      <c r="J3417" s="5"/>
      <c r="K3417" s="5"/>
      <c r="L3417" s="54"/>
      <c r="M3417" s="5"/>
      <c r="N3417" s="53"/>
      <c r="Q3417" s="5"/>
      <c r="R3417" s="5"/>
      <c r="S3417" s="5"/>
      <c r="T3417" s="5"/>
      <c r="U3417" s="5"/>
      <c r="V3417" s="5"/>
    </row>
    <row r="3418" ht="12.75" customHeight="1">
      <c r="A3418" s="5"/>
      <c r="B3418" s="5"/>
      <c r="C3418" s="5"/>
      <c r="D3418" s="5"/>
      <c r="E3418" s="7"/>
      <c r="F3418" s="5"/>
      <c r="G3418" s="5"/>
      <c r="H3418" s="5"/>
      <c r="I3418" s="5"/>
      <c r="J3418" s="5"/>
      <c r="K3418" s="5"/>
      <c r="L3418" s="54"/>
      <c r="M3418" s="5"/>
      <c r="N3418" s="53"/>
      <c r="Q3418" s="5"/>
      <c r="R3418" s="5"/>
      <c r="S3418" s="5"/>
      <c r="T3418" s="5"/>
      <c r="U3418" s="5"/>
      <c r="V3418" s="5"/>
    </row>
    <row r="3419" ht="12.75" customHeight="1">
      <c r="A3419" s="5"/>
      <c r="B3419" s="5"/>
      <c r="C3419" s="5"/>
      <c r="D3419" s="5"/>
      <c r="E3419" s="7"/>
      <c r="F3419" s="5"/>
      <c r="G3419" s="5"/>
      <c r="H3419" s="5"/>
      <c r="I3419" s="5"/>
      <c r="J3419" s="5"/>
      <c r="K3419" s="5"/>
      <c r="L3419" s="54"/>
      <c r="M3419" s="5"/>
      <c r="N3419" s="53"/>
      <c r="Q3419" s="5"/>
      <c r="R3419" s="5"/>
      <c r="S3419" s="5"/>
      <c r="T3419" s="5"/>
      <c r="U3419" s="5"/>
      <c r="V3419" s="5"/>
    </row>
    <row r="3420" ht="12.75" customHeight="1">
      <c r="A3420" s="5"/>
      <c r="B3420" s="5"/>
      <c r="C3420" s="5"/>
      <c r="D3420" s="5"/>
      <c r="E3420" s="7"/>
      <c r="F3420" s="5"/>
      <c r="G3420" s="5"/>
      <c r="H3420" s="5"/>
      <c r="I3420" s="5"/>
      <c r="J3420" s="5"/>
      <c r="K3420" s="5"/>
      <c r="L3420" s="54"/>
      <c r="M3420" s="5"/>
      <c r="N3420" s="53"/>
      <c r="Q3420" s="5"/>
      <c r="R3420" s="5"/>
      <c r="S3420" s="5"/>
      <c r="T3420" s="5"/>
      <c r="U3420" s="5"/>
      <c r="V3420" s="5"/>
    </row>
    <row r="3421" ht="12.75" customHeight="1">
      <c r="A3421" s="5"/>
      <c r="B3421" s="5"/>
      <c r="C3421" s="5"/>
      <c r="D3421" s="5"/>
      <c r="E3421" s="7"/>
      <c r="F3421" s="5"/>
      <c r="G3421" s="5"/>
      <c r="H3421" s="5"/>
      <c r="I3421" s="5"/>
      <c r="J3421" s="5"/>
      <c r="K3421" s="5"/>
      <c r="L3421" s="54"/>
      <c r="M3421" s="5"/>
      <c r="N3421" s="53"/>
      <c r="Q3421" s="5"/>
      <c r="R3421" s="5"/>
      <c r="S3421" s="5"/>
      <c r="T3421" s="5"/>
      <c r="U3421" s="5"/>
      <c r="V3421" s="5"/>
    </row>
    <row r="3422" ht="12.75" customHeight="1">
      <c r="A3422" s="5"/>
      <c r="B3422" s="5"/>
      <c r="C3422" s="5"/>
      <c r="D3422" s="5"/>
      <c r="E3422" s="7"/>
      <c r="F3422" s="5"/>
      <c r="G3422" s="5"/>
      <c r="H3422" s="5"/>
      <c r="I3422" s="5"/>
      <c r="J3422" s="5"/>
      <c r="K3422" s="5"/>
      <c r="L3422" s="54"/>
      <c r="M3422" s="5"/>
      <c r="N3422" s="53"/>
      <c r="Q3422" s="5"/>
      <c r="R3422" s="5"/>
      <c r="S3422" s="5"/>
      <c r="T3422" s="5"/>
      <c r="U3422" s="5"/>
      <c r="V3422" s="5"/>
    </row>
    <row r="3423" ht="12.75" customHeight="1">
      <c r="A3423" s="5"/>
      <c r="B3423" s="5"/>
      <c r="C3423" s="5"/>
      <c r="D3423" s="5"/>
      <c r="E3423" s="7"/>
      <c r="F3423" s="5"/>
      <c r="G3423" s="5"/>
      <c r="H3423" s="5"/>
      <c r="I3423" s="5"/>
      <c r="J3423" s="5"/>
      <c r="K3423" s="5"/>
      <c r="L3423" s="54"/>
      <c r="M3423" s="5"/>
      <c r="N3423" s="53"/>
      <c r="Q3423" s="5"/>
      <c r="R3423" s="5"/>
      <c r="S3423" s="5"/>
      <c r="T3423" s="5"/>
      <c r="U3423" s="5"/>
      <c r="V3423" s="5"/>
    </row>
    <row r="3424" ht="12.75" customHeight="1">
      <c r="A3424" s="5"/>
      <c r="B3424" s="5"/>
      <c r="C3424" s="5"/>
      <c r="D3424" s="5"/>
      <c r="E3424" s="7"/>
      <c r="F3424" s="5"/>
      <c r="G3424" s="5"/>
      <c r="H3424" s="5"/>
      <c r="I3424" s="5"/>
      <c r="J3424" s="5"/>
      <c r="K3424" s="5"/>
      <c r="L3424" s="54"/>
      <c r="M3424" s="5"/>
      <c r="N3424" s="53"/>
      <c r="Q3424" s="5"/>
      <c r="R3424" s="5"/>
      <c r="S3424" s="5"/>
      <c r="T3424" s="5"/>
      <c r="U3424" s="5"/>
      <c r="V3424" s="5"/>
    </row>
    <row r="3425" ht="12.75" customHeight="1">
      <c r="A3425" s="5"/>
      <c r="B3425" s="5"/>
      <c r="C3425" s="5"/>
      <c r="D3425" s="5"/>
      <c r="E3425" s="7"/>
      <c r="F3425" s="5"/>
      <c r="G3425" s="5"/>
      <c r="H3425" s="5"/>
      <c r="I3425" s="5"/>
      <c r="J3425" s="5"/>
      <c r="K3425" s="5"/>
      <c r="L3425" s="54"/>
      <c r="M3425" s="5"/>
      <c r="N3425" s="53"/>
      <c r="Q3425" s="5"/>
      <c r="R3425" s="5"/>
      <c r="S3425" s="5"/>
      <c r="T3425" s="5"/>
      <c r="U3425" s="5"/>
      <c r="V3425" s="5"/>
    </row>
    <row r="3426" ht="12.75" customHeight="1">
      <c r="A3426" s="5"/>
      <c r="B3426" s="5"/>
      <c r="C3426" s="5"/>
      <c r="D3426" s="5"/>
      <c r="E3426" s="7"/>
      <c r="F3426" s="5"/>
      <c r="G3426" s="5"/>
      <c r="H3426" s="5"/>
      <c r="I3426" s="5"/>
      <c r="J3426" s="5"/>
      <c r="K3426" s="5"/>
      <c r="L3426" s="54"/>
      <c r="M3426" s="5"/>
      <c r="N3426" s="53"/>
      <c r="Q3426" s="5"/>
      <c r="R3426" s="5"/>
      <c r="S3426" s="5"/>
      <c r="T3426" s="5"/>
      <c r="U3426" s="5"/>
      <c r="V3426" s="5"/>
    </row>
    <row r="3427" ht="12.75" customHeight="1">
      <c r="A3427" s="5"/>
      <c r="B3427" s="5"/>
      <c r="C3427" s="5"/>
      <c r="D3427" s="5"/>
      <c r="E3427" s="7"/>
      <c r="F3427" s="5"/>
      <c r="G3427" s="5"/>
      <c r="H3427" s="5"/>
      <c r="I3427" s="5"/>
      <c r="J3427" s="5"/>
      <c r="K3427" s="5"/>
      <c r="L3427" s="54"/>
      <c r="M3427" s="5"/>
      <c r="N3427" s="53"/>
      <c r="Q3427" s="5"/>
      <c r="R3427" s="5"/>
      <c r="S3427" s="5"/>
      <c r="T3427" s="5"/>
      <c r="U3427" s="5"/>
      <c r="V3427" s="5"/>
    </row>
    <row r="3428" ht="12.75" customHeight="1">
      <c r="A3428" s="5"/>
      <c r="B3428" s="5"/>
      <c r="C3428" s="5"/>
      <c r="D3428" s="5"/>
      <c r="E3428" s="7"/>
      <c r="F3428" s="5"/>
      <c r="G3428" s="5"/>
      <c r="H3428" s="5"/>
      <c r="I3428" s="5"/>
      <c r="J3428" s="5"/>
      <c r="K3428" s="5"/>
      <c r="L3428" s="54"/>
      <c r="M3428" s="5"/>
      <c r="N3428" s="53"/>
      <c r="Q3428" s="5"/>
      <c r="R3428" s="5"/>
      <c r="S3428" s="5"/>
      <c r="T3428" s="5"/>
      <c r="U3428" s="5"/>
      <c r="V3428" s="5"/>
    </row>
    <row r="3429" ht="12.75" customHeight="1">
      <c r="A3429" s="5"/>
      <c r="B3429" s="5"/>
      <c r="C3429" s="5"/>
      <c r="D3429" s="5"/>
      <c r="E3429" s="7"/>
      <c r="F3429" s="5"/>
      <c r="G3429" s="5"/>
      <c r="H3429" s="5"/>
      <c r="I3429" s="5"/>
      <c r="J3429" s="5"/>
      <c r="K3429" s="5"/>
      <c r="L3429" s="54"/>
      <c r="M3429" s="5"/>
      <c r="N3429" s="53"/>
      <c r="Q3429" s="5"/>
      <c r="R3429" s="5"/>
      <c r="S3429" s="5"/>
      <c r="T3429" s="5"/>
      <c r="U3429" s="5"/>
      <c r="V3429" s="5"/>
    </row>
    <row r="3430" ht="12.75" customHeight="1">
      <c r="A3430" s="5"/>
      <c r="B3430" s="5"/>
      <c r="C3430" s="5"/>
      <c r="D3430" s="5"/>
      <c r="E3430" s="7"/>
      <c r="F3430" s="5"/>
      <c r="G3430" s="5"/>
      <c r="H3430" s="5"/>
      <c r="I3430" s="5"/>
      <c r="J3430" s="5"/>
      <c r="K3430" s="5"/>
      <c r="L3430" s="54"/>
      <c r="M3430" s="5"/>
      <c r="N3430" s="53"/>
      <c r="Q3430" s="5"/>
      <c r="R3430" s="5"/>
      <c r="S3430" s="5"/>
      <c r="T3430" s="5"/>
      <c r="U3430" s="5"/>
      <c r="V3430" s="5"/>
    </row>
    <row r="3431" ht="12.75" customHeight="1">
      <c r="A3431" s="5"/>
      <c r="B3431" s="5"/>
      <c r="C3431" s="5"/>
      <c r="D3431" s="5"/>
      <c r="E3431" s="7"/>
      <c r="F3431" s="5"/>
      <c r="G3431" s="5"/>
      <c r="H3431" s="5"/>
      <c r="I3431" s="5"/>
      <c r="J3431" s="5"/>
      <c r="K3431" s="5"/>
      <c r="L3431" s="54"/>
      <c r="M3431" s="5"/>
      <c r="N3431" s="53"/>
      <c r="Q3431" s="5"/>
      <c r="R3431" s="5"/>
      <c r="S3431" s="5"/>
      <c r="T3431" s="5"/>
      <c r="U3431" s="5"/>
      <c r="V3431" s="5"/>
    </row>
    <row r="3432" ht="12.75" customHeight="1">
      <c r="A3432" s="5"/>
      <c r="B3432" s="5"/>
      <c r="C3432" s="5"/>
      <c r="D3432" s="5"/>
      <c r="E3432" s="7"/>
      <c r="F3432" s="5"/>
      <c r="G3432" s="5"/>
      <c r="H3432" s="5"/>
      <c r="I3432" s="5"/>
      <c r="J3432" s="5"/>
      <c r="K3432" s="5"/>
      <c r="L3432" s="54"/>
      <c r="M3432" s="5"/>
      <c r="N3432" s="53"/>
      <c r="Q3432" s="5"/>
      <c r="R3432" s="5"/>
      <c r="S3432" s="5"/>
      <c r="T3432" s="5"/>
      <c r="U3432" s="5"/>
      <c r="V3432" s="5"/>
    </row>
    <row r="3433" ht="12.75" customHeight="1">
      <c r="A3433" s="5"/>
      <c r="B3433" s="5"/>
      <c r="C3433" s="5"/>
      <c r="D3433" s="5"/>
      <c r="E3433" s="7"/>
      <c r="F3433" s="5"/>
      <c r="G3433" s="5"/>
      <c r="H3433" s="5"/>
      <c r="I3433" s="5"/>
      <c r="J3433" s="5"/>
      <c r="K3433" s="5"/>
      <c r="L3433" s="54"/>
      <c r="M3433" s="5"/>
      <c r="N3433" s="53"/>
      <c r="Q3433" s="5"/>
      <c r="R3433" s="5"/>
      <c r="S3433" s="5"/>
      <c r="T3433" s="5"/>
      <c r="U3433" s="5"/>
      <c r="V3433" s="5"/>
    </row>
    <row r="3434" ht="12.75" customHeight="1">
      <c r="A3434" s="5"/>
      <c r="B3434" s="5"/>
      <c r="C3434" s="5"/>
      <c r="D3434" s="5"/>
      <c r="E3434" s="7"/>
      <c r="F3434" s="5"/>
      <c r="G3434" s="5"/>
      <c r="H3434" s="5"/>
      <c r="I3434" s="5"/>
      <c r="J3434" s="5"/>
      <c r="K3434" s="5"/>
      <c r="L3434" s="54"/>
      <c r="M3434" s="5"/>
      <c r="N3434" s="53"/>
      <c r="Q3434" s="5"/>
      <c r="R3434" s="5"/>
      <c r="S3434" s="5"/>
      <c r="T3434" s="5"/>
      <c r="U3434" s="5"/>
      <c r="V3434" s="5"/>
    </row>
    <row r="3435" ht="12.75" customHeight="1">
      <c r="A3435" s="5"/>
      <c r="B3435" s="5"/>
      <c r="C3435" s="5"/>
      <c r="D3435" s="5"/>
      <c r="E3435" s="7"/>
      <c r="F3435" s="5"/>
      <c r="G3435" s="5"/>
      <c r="H3435" s="5"/>
      <c r="I3435" s="5"/>
      <c r="J3435" s="5"/>
      <c r="K3435" s="5"/>
      <c r="L3435" s="54"/>
      <c r="M3435" s="5"/>
      <c r="N3435" s="53"/>
      <c r="Q3435" s="5"/>
      <c r="R3435" s="5"/>
      <c r="S3435" s="5"/>
      <c r="T3435" s="5"/>
      <c r="U3435" s="5"/>
      <c r="V3435" s="5"/>
    </row>
    <row r="3436" ht="12.75" customHeight="1">
      <c r="A3436" s="5"/>
      <c r="B3436" s="5"/>
      <c r="C3436" s="5"/>
      <c r="D3436" s="5"/>
      <c r="E3436" s="7"/>
      <c r="F3436" s="5"/>
      <c r="G3436" s="5"/>
      <c r="H3436" s="5"/>
      <c r="I3436" s="5"/>
      <c r="J3436" s="5"/>
      <c r="K3436" s="5"/>
      <c r="L3436" s="54"/>
      <c r="M3436" s="5"/>
      <c r="N3436" s="53"/>
      <c r="Q3436" s="5"/>
      <c r="R3436" s="5"/>
      <c r="S3436" s="5"/>
      <c r="T3436" s="5"/>
      <c r="U3436" s="5"/>
      <c r="V3436" s="5"/>
    </row>
    <row r="3437" ht="12.75" customHeight="1">
      <c r="A3437" s="5"/>
      <c r="B3437" s="5"/>
      <c r="C3437" s="5"/>
      <c r="D3437" s="5"/>
      <c r="E3437" s="7"/>
      <c r="F3437" s="5"/>
      <c r="G3437" s="5"/>
      <c r="H3437" s="5"/>
      <c r="I3437" s="5"/>
      <c r="J3437" s="5"/>
      <c r="K3437" s="5"/>
      <c r="L3437" s="54"/>
      <c r="M3437" s="5"/>
      <c r="N3437" s="53"/>
      <c r="Q3437" s="5"/>
      <c r="R3437" s="5"/>
      <c r="S3437" s="5"/>
      <c r="T3437" s="5"/>
      <c r="U3437" s="5"/>
      <c r="V3437" s="5"/>
    </row>
    <row r="3438" ht="12.75" customHeight="1">
      <c r="A3438" s="5"/>
      <c r="B3438" s="5"/>
      <c r="C3438" s="5"/>
      <c r="D3438" s="5"/>
      <c r="E3438" s="7"/>
      <c r="F3438" s="5"/>
      <c r="G3438" s="5"/>
      <c r="H3438" s="5"/>
      <c r="I3438" s="5"/>
      <c r="J3438" s="5"/>
      <c r="K3438" s="5"/>
      <c r="L3438" s="54"/>
      <c r="M3438" s="5"/>
      <c r="N3438" s="53"/>
      <c r="Q3438" s="5"/>
      <c r="R3438" s="5"/>
      <c r="S3438" s="5"/>
      <c r="T3438" s="5"/>
      <c r="U3438" s="5"/>
      <c r="V3438" s="5"/>
    </row>
    <row r="3439" ht="12.75" customHeight="1">
      <c r="A3439" s="5"/>
      <c r="B3439" s="5"/>
      <c r="C3439" s="5"/>
      <c r="D3439" s="5"/>
      <c r="E3439" s="7"/>
      <c r="F3439" s="5"/>
      <c r="G3439" s="5"/>
      <c r="H3439" s="5"/>
      <c r="I3439" s="5"/>
      <c r="J3439" s="5"/>
      <c r="K3439" s="5"/>
      <c r="L3439" s="54"/>
      <c r="M3439" s="5"/>
      <c r="N3439" s="53"/>
      <c r="Q3439" s="5"/>
      <c r="R3439" s="5"/>
      <c r="S3439" s="5"/>
      <c r="T3439" s="5"/>
      <c r="U3439" s="5"/>
      <c r="V3439" s="5"/>
    </row>
    <row r="3440" ht="12.75" customHeight="1">
      <c r="A3440" s="5"/>
      <c r="B3440" s="5"/>
      <c r="C3440" s="5"/>
      <c r="D3440" s="5"/>
      <c r="E3440" s="7"/>
      <c r="F3440" s="5"/>
      <c r="G3440" s="5"/>
      <c r="H3440" s="5"/>
      <c r="I3440" s="5"/>
      <c r="J3440" s="5"/>
      <c r="K3440" s="5"/>
      <c r="L3440" s="54"/>
      <c r="M3440" s="5"/>
      <c r="N3440" s="53"/>
      <c r="Q3440" s="5"/>
      <c r="R3440" s="5"/>
      <c r="S3440" s="5"/>
      <c r="T3440" s="5"/>
      <c r="U3440" s="5"/>
      <c r="V3440" s="5"/>
    </row>
    <row r="3441" ht="12.75" customHeight="1">
      <c r="A3441" s="5"/>
      <c r="B3441" s="5"/>
      <c r="C3441" s="5"/>
      <c r="D3441" s="5"/>
      <c r="E3441" s="7"/>
      <c r="F3441" s="5"/>
      <c r="G3441" s="5"/>
      <c r="H3441" s="5"/>
      <c r="I3441" s="5"/>
      <c r="J3441" s="5"/>
      <c r="K3441" s="5"/>
      <c r="L3441" s="54"/>
      <c r="M3441" s="5"/>
      <c r="N3441" s="53"/>
      <c r="Q3441" s="5"/>
      <c r="R3441" s="5"/>
      <c r="S3441" s="5"/>
      <c r="T3441" s="5"/>
      <c r="U3441" s="5"/>
      <c r="V3441" s="5"/>
    </row>
    <row r="3442" ht="12.75" customHeight="1">
      <c r="A3442" s="5"/>
      <c r="B3442" s="5"/>
      <c r="C3442" s="5"/>
      <c r="D3442" s="5"/>
      <c r="E3442" s="7"/>
      <c r="F3442" s="5"/>
      <c r="G3442" s="5"/>
      <c r="H3442" s="5"/>
      <c r="I3442" s="5"/>
      <c r="J3442" s="5"/>
      <c r="K3442" s="5"/>
      <c r="L3442" s="54"/>
      <c r="M3442" s="5"/>
      <c r="N3442" s="53"/>
      <c r="Q3442" s="5"/>
      <c r="R3442" s="5"/>
      <c r="S3442" s="5"/>
      <c r="T3442" s="5"/>
      <c r="U3442" s="5"/>
      <c r="V3442" s="5"/>
    </row>
    <row r="3443" ht="12.75" customHeight="1">
      <c r="A3443" s="5"/>
      <c r="B3443" s="5"/>
      <c r="C3443" s="5"/>
      <c r="D3443" s="5"/>
      <c r="E3443" s="7"/>
      <c r="F3443" s="5"/>
      <c r="G3443" s="5"/>
      <c r="H3443" s="5"/>
      <c r="I3443" s="5"/>
      <c r="J3443" s="5"/>
      <c r="K3443" s="5"/>
      <c r="L3443" s="54"/>
      <c r="M3443" s="5"/>
      <c r="N3443" s="53"/>
      <c r="Q3443" s="5"/>
      <c r="R3443" s="5"/>
      <c r="S3443" s="5"/>
      <c r="T3443" s="5"/>
      <c r="U3443" s="5"/>
      <c r="V3443" s="5"/>
    </row>
    <row r="3444" ht="12.75" customHeight="1">
      <c r="A3444" s="5"/>
      <c r="B3444" s="5"/>
      <c r="C3444" s="5"/>
      <c r="D3444" s="5"/>
      <c r="E3444" s="7"/>
      <c r="F3444" s="5"/>
      <c r="G3444" s="5"/>
      <c r="H3444" s="5"/>
      <c r="I3444" s="5"/>
      <c r="J3444" s="5"/>
      <c r="K3444" s="5"/>
      <c r="L3444" s="54"/>
      <c r="M3444" s="5"/>
      <c r="N3444" s="53"/>
      <c r="Q3444" s="5"/>
      <c r="R3444" s="5"/>
      <c r="S3444" s="5"/>
      <c r="T3444" s="5"/>
      <c r="U3444" s="5"/>
      <c r="V3444" s="5"/>
    </row>
    <row r="3445" ht="12.75" customHeight="1">
      <c r="A3445" s="5"/>
      <c r="B3445" s="5"/>
      <c r="C3445" s="5"/>
      <c r="D3445" s="5"/>
      <c r="E3445" s="7"/>
      <c r="F3445" s="5"/>
      <c r="G3445" s="5"/>
      <c r="H3445" s="5"/>
      <c r="I3445" s="5"/>
      <c r="J3445" s="5"/>
      <c r="K3445" s="5"/>
      <c r="L3445" s="54"/>
      <c r="M3445" s="5"/>
      <c r="N3445" s="53"/>
      <c r="Q3445" s="5"/>
      <c r="R3445" s="5"/>
      <c r="S3445" s="5"/>
      <c r="T3445" s="5"/>
      <c r="U3445" s="5"/>
      <c r="V3445" s="5"/>
    </row>
    <row r="3446" ht="12.75" customHeight="1">
      <c r="A3446" s="5"/>
      <c r="B3446" s="5"/>
      <c r="C3446" s="5"/>
      <c r="D3446" s="5"/>
      <c r="E3446" s="7"/>
      <c r="F3446" s="5"/>
      <c r="G3446" s="5"/>
      <c r="H3446" s="5"/>
      <c r="I3446" s="5"/>
      <c r="J3446" s="5"/>
      <c r="K3446" s="5"/>
      <c r="L3446" s="54"/>
      <c r="M3446" s="5"/>
      <c r="N3446" s="53"/>
      <c r="Q3446" s="5"/>
      <c r="R3446" s="5"/>
      <c r="S3446" s="5"/>
      <c r="T3446" s="5"/>
      <c r="U3446" s="5"/>
      <c r="V3446" s="5"/>
    </row>
    <row r="3447" ht="12.75" customHeight="1">
      <c r="A3447" s="5"/>
      <c r="B3447" s="5"/>
      <c r="C3447" s="5"/>
      <c r="D3447" s="5"/>
      <c r="E3447" s="7"/>
      <c r="F3447" s="5"/>
      <c r="G3447" s="5"/>
      <c r="H3447" s="5"/>
      <c r="I3447" s="5"/>
      <c r="J3447" s="5"/>
      <c r="K3447" s="5"/>
      <c r="L3447" s="54"/>
      <c r="M3447" s="5"/>
      <c r="N3447" s="53"/>
      <c r="Q3447" s="5"/>
      <c r="R3447" s="5"/>
      <c r="S3447" s="5"/>
      <c r="T3447" s="5"/>
      <c r="U3447" s="5"/>
      <c r="V3447" s="5"/>
    </row>
    <row r="3448" ht="12.75" customHeight="1">
      <c r="A3448" s="5"/>
      <c r="B3448" s="5"/>
      <c r="C3448" s="5"/>
      <c r="D3448" s="5"/>
      <c r="E3448" s="7"/>
      <c r="F3448" s="5"/>
      <c r="G3448" s="5"/>
      <c r="H3448" s="5"/>
      <c r="I3448" s="5"/>
      <c r="J3448" s="5"/>
      <c r="K3448" s="5"/>
      <c r="L3448" s="54"/>
      <c r="M3448" s="5"/>
      <c r="N3448" s="53"/>
      <c r="Q3448" s="5"/>
      <c r="R3448" s="5"/>
      <c r="S3448" s="5"/>
      <c r="T3448" s="5"/>
      <c r="U3448" s="5"/>
      <c r="V3448" s="5"/>
    </row>
    <row r="3449" ht="12.75" customHeight="1">
      <c r="A3449" s="5"/>
      <c r="B3449" s="5"/>
      <c r="C3449" s="5"/>
      <c r="D3449" s="5"/>
      <c r="E3449" s="7"/>
      <c r="F3449" s="5"/>
      <c r="G3449" s="5"/>
      <c r="H3449" s="5"/>
      <c r="I3449" s="5"/>
      <c r="J3449" s="5"/>
      <c r="K3449" s="5"/>
      <c r="L3449" s="54"/>
      <c r="M3449" s="5"/>
      <c r="N3449" s="53"/>
      <c r="Q3449" s="5"/>
      <c r="R3449" s="5"/>
      <c r="S3449" s="5"/>
      <c r="T3449" s="5"/>
      <c r="U3449" s="5"/>
      <c r="V3449" s="5"/>
    </row>
    <row r="3450" ht="12.75" customHeight="1">
      <c r="A3450" s="5"/>
      <c r="B3450" s="5"/>
      <c r="C3450" s="5"/>
      <c r="D3450" s="5"/>
      <c r="E3450" s="7"/>
      <c r="F3450" s="5"/>
      <c r="G3450" s="5"/>
      <c r="H3450" s="5"/>
      <c r="I3450" s="5"/>
      <c r="J3450" s="5"/>
      <c r="K3450" s="5"/>
      <c r="L3450" s="54"/>
      <c r="M3450" s="5"/>
      <c r="N3450" s="53"/>
      <c r="Q3450" s="5"/>
      <c r="R3450" s="5"/>
      <c r="S3450" s="5"/>
      <c r="T3450" s="5"/>
      <c r="U3450" s="5"/>
      <c r="V3450" s="5"/>
    </row>
    <row r="3451" ht="12.75" customHeight="1">
      <c r="A3451" s="5"/>
      <c r="B3451" s="5"/>
      <c r="C3451" s="5"/>
      <c r="D3451" s="5"/>
      <c r="E3451" s="7"/>
      <c r="F3451" s="5"/>
      <c r="G3451" s="5"/>
      <c r="H3451" s="5"/>
      <c r="I3451" s="5"/>
      <c r="J3451" s="5"/>
      <c r="K3451" s="5"/>
      <c r="L3451" s="54"/>
      <c r="M3451" s="5"/>
      <c r="N3451" s="53"/>
      <c r="Q3451" s="5"/>
      <c r="R3451" s="5"/>
      <c r="S3451" s="5"/>
      <c r="T3451" s="5"/>
      <c r="U3451" s="5"/>
      <c r="V3451" s="5"/>
    </row>
    <row r="3452" ht="12.75" customHeight="1">
      <c r="A3452" s="5"/>
      <c r="B3452" s="5"/>
      <c r="C3452" s="5"/>
      <c r="D3452" s="5"/>
      <c r="E3452" s="7"/>
      <c r="F3452" s="5"/>
      <c r="G3452" s="5"/>
      <c r="H3452" s="5"/>
      <c r="I3452" s="5"/>
      <c r="J3452" s="5"/>
      <c r="K3452" s="5"/>
      <c r="L3452" s="54"/>
      <c r="M3452" s="5"/>
      <c r="N3452" s="53"/>
      <c r="Q3452" s="5"/>
      <c r="R3452" s="5"/>
      <c r="S3452" s="5"/>
      <c r="T3452" s="5"/>
      <c r="U3452" s="5"/>
      <c r="V3452" s="5"/>
    </row>
    <row r="3453" ht="12.75" customHeight="1">
      <c r="A3453" s="5"/>
      <c r="B3453" s="5"/>
      <c r="C3453" s="5"/>
      <c r="D3453" s="5"/>
      <c r="E3453" s="7"/>
      <c r="F3453" s="5"/>
      <c r="G3453" s="5"/>
      <c r="H3453" s="5"/>
      <c r="I3453" s="5"/>
      <c r="J3453" s="5"/>
      <c r="K3453" s="5"/>
      <c r="L3453" s="54"/>
      <c r="M3453" s="5"/>
      <c r="N3453" s="53"/>
      <c r="Q3453" s="5"/>
      <c r="R3453" s="5"/>
      <c r="S3453" s="5"/>
      <c r="T3453" s="5"/>
      <c r="U3453" s="5"/>
      <c r="V3453" s="5"/>
    </row>
    <row r="3454" ht="12.75" customHeight="1">
      <c r="A3454" s="5"/>
      <c r="B3454" s="5"/>
      <c r="C3454" s="5"/>
      <c r="D3454" s="5"/>
      <c r="E3454" s="7"/>
      <c r="F3454" s="5"/>
      <c r="G3454" s="5"/>
      <c r="H3454" s="5"/>
      <c r="I3454" s="5"/>
      <c r="J3454" s="5"/>
      <c r="K3454" s="5"/>
      <c r="L3454" s="54"/>
      <c r="M3454" s="5"/>
      <c r="N3454" s="53"/>
      <c r="Q3454" s="5"/>
      <c r="R3454" s="5"/>
      <c r="S3454" s="5"/>
      <c r="T3454" s="5"/>
      <c r="U3454" s="5"/>
      <c r="V3454" s="5"/>
    </row>
    <row r="3455" ht="12.75" customHeight="1">
      <c r="A3455" s="5"/>
      <c r="B3455" s="5"/>
      <c r="C3455" s="5"/>
      <c r="D3455" s="5"/>
      <c r="E3455" s="7"/>
      <c r="F3455" s="5"/>
      <c r="G3455" s="5"/>
      <c r="H3455" s="5"/>
      <c r="I3455" s="5"/>
      <c r="J3455" s="5"/>
      <c r="K3455" s="5"/>
      <c r="L3455" s="54"/>
      <c r="M3455" s="5"/>
      <c r="N3455" s="53"/>
      <c r="Q3455" s="5"/>
      <c r="R3455" s="5"/>
      <c r="S3455" s="5"/>
      <c r="T3455" s="5"/>
      <c r="U3455" s="5"/>
      <c r="V3455" s="5"/>
    </row>
    <row r="3456" ht="12.75" customHeight="1">
      <c r="A3456" s="5"/>
      <c r="B3456" s="5"/>
      <c r="C3456" s="5"/>
      <c r="D3456" s="5"/>
      <c r="E3456" s="7"/>
      <c r="F3456" s="5"/>
      <c r="G3456" s="5"/>
      <c r="H3456" s="5"/>
      <c r="I3456" s="5"/>
      <c r="J3456" s="5"/>
      <c r="K3456" s="5"/>
      <c r="L3456" s="54"/>
      <c r="M3456" s="5"/>
      <c r="N3456" s="53"/>
      <c r="Q3456" s="5"/>
      <c r="R3456" s="5"/>
      <c r="S3456" s="5"/>
      <c r="T3456" s="5"/>
      <c r="U3456" s="5"/>
      <c r="V3456" s="5"/>
    </row>
    <row r="3457" ht="12.75" customHeight="1">
      <c r="A3457" s="5"/>
      <c r="B3457" s="5"/>
      <c r="C3457" s="5"/>
      <c r="D3457" s="5"/>
      <c r="E3457" s="7"/>
      <c r="F3457" s="5"/>
      <c r="G3457" s="5"/>
      <c r="H3457" s="5"/>
      <c r="I3457" s="5"/>
      <c r="J3457" s="5"/>
      <c r="K3457" s="5"/>
      <c r="L3457" s="54"/>
      <c r="M3457" s="5"/>
      <c r="N3457" s="53"/>
      <c r="Q3457" s="5"/>
      <c r="R3457" s="5"/>
      <c r="S3457" s="5"/>
      <c r="T3457" s="5"/>
      <c r="U3457" s="5"/>
      <c r="V3457" s="5"/>
    </row>
    <row r="3458" ht="12.75" customHeight="1">
      <c r="A3458" s="5"/>
      <c r="B3458" s="5"/>
      <c r="C3458" s="5"/>
      <c r="D3458" s="5"/>
      <c r="E3458" s="7"/>
      <c r="F3458" s="5"/>
      <c r="G3458" s="5"/>
      <c r="H3458" s="5"/>
      <c r="I3458" s="5"/>
      <c r="J3458" s="5"/>
      <c r="K3458" s="5"/>
      <c r="L3458" s="54"/>
      <c r="M3458" s="5"/>
      <c r="N3458" s="53"/>
      <c r="Q3458" s="5"/>
      <c r="R3458" s="5"/>
      <c r="S3458" s="5"/>
      <c r="T3458" s="5"/>
      <c r="U3458" s="5"/>
      <c r="V3458" s="5"/>
    </row>
    <row r="3459" ht="12.75" customHeight="1">
      <c r="A3459" s="5"/>
      <c r="B3459" s="5"/>
      <c r="C3459" s="5"/>
      <c r="D3459" s="5"/>
      <c r="E3459" s="7"/>
      <c r="F3459" s="5"/>
      <c r="G3459" s="5"/>
      <c r="H3459" s="5"/>
      <c r="I3459" s="5"/>
      <c r="J3459" s="5"/>
      <c r="K3459" s="5"/>
      <c r="L3459" s="54"/>
      <c r="M3459" s="5"/>
      <c r="N3459" s="53"/>
      <c r="Q3459" s="5"/>
      <c r="R3459" s="5"/>
      <c r="S3459" s="5"/>
      <c r="T3459" s="5"/>
      <c r="U3459" s="5"/>
      <c r="V3459" s="5"/>
    </row>
    <row r="3460" ht="12.75" customHeight="1">
      <c r="A3460" s="5"/>
      <c r="B3460" s="5"/>
      <c r="C3460" s="5"/>
      <c r="D3460" s="5"/>
      <c r="E3460" s="7"/>
      <c r="F3460" s="5"/>
      <c r="G3460" s="5"/>
      <c r="H3460" s="5"/>
      <c r="I3460" s="5"/>
      <c r="J3460" s="5"/>
      <c r="K3460" s="5"/>
      <c r="L3460" s="54"/>
      <c r="M3460" s="5"/>
      <c r="N3460" s="53"/>
      <c r="Q3460" s="5"/>
      <c r="R3460" s="5"/>
      <c r="S3460" s="5"/>
      <c r="T3460" s="5"/>
      <c r="U3460" s="5"/>
      <c r="V3460" s="5"/>
    </row>
    <row r="3461" ht="12.75" customHeight="1">
      <c r="A3461" s="5"/>
      <c r="B3461" s="5"/>
      <c r="C3461" s="5"/>
      <c r="D3461" s="5"/>
      <c r="E3461" s="7"/>
      <c r="F3461" s="5"/>
      <c r="G3461" s="5"/>
      <c r="H3461" s="5"/>
      <c r="I3461" s="5"/>
      <c r="J3461" s="5"/>
      <c r="K3461" s="5"/>
      <c r="L3461" s="54"/>
      <c r="M3461" s="5"/>
      <c r="N3461" s="53"/>
      <c r="Q3461" s="5"/>
      <c r="R3461" s="5"/>
      <c r="S3461" s="5"/>
      <c r="T3461" s="5"/>
      <c r="U3461" s="5"/>
      <c r="V3461" s="5"/>
    </row>
    <row r="3462" ht="12.75" customHeight="1">
      <c r="A3462" s="5"/>
      <c r="B3462" s="5"/>
      <c r="C3462" s="5"/>
      <c r="D3462" s="5"/>
      <c r="E3462" s="7"/>
      <c r="F3462" s="5"/>
      <c r="G3462" s="5"/>
      <c r="H3462" s="5"/>
      <c r="I3462" s="5"/>
      <c r="J3462" s="5"/>
      <c r="K3462" s="5"/>
      <c r="L3462" s="54"/>
      <c r="M3462" s="5"/>
      <c r="N3462" s="53"/>
      <c r="Q3462" s="5"/>
      <c r="R3462" s="5"/>
      <c r="S3462" s="5"/>
      <c r="T3462" s="5"/>
      <c r="U3462" s="5"/>
      <c r="V3462" s="5"/>
    </row>
    <row r="3463" ht="12.75" customHeight="1">
      <c r="A3463" s="5"/>
      <c r="B3463" s="5"/>
      <c r="C3463" s="5"/>
      <c r="D3463" s="5"/>
      <c r="E3463" s="7"/>
      <c r="F3463" s="5"/>
      <c r="G3463" s="5"/>
      <c r="H3463" s="5"/>
      <c r="I3463" s="5"/>
      <c r="J3463" s="5"/>
      <c r="K3463" s="5"/>
      <c r="L3463" s="54"/>
      <c r="M3463" s="5"/>
      <c r="N3463" s="53"/>
      <c r="Q3463" s="5"/>
      <c r="R3463" s="5"/>
      <c r="S3463" s="5"/>
      <c r="T3463" s="5"/>
      <c r="U3463" s="5"/>
      <c r="V3463" s="5"/>
    </row>
    <row r="3464" ht="12.75" customHeight="1">
      <c r="A3464" s="5"/>
      <c r="B3464" s="5"/>
      <c r="C3464" s="5"/>
      <c r="D3464" s="5"/>
      <c r="E3464" s="7"/>
      <c r="F3464" s="5"/>
      <c r="G3464" s="5"/>
      <c r="H3464" s="5"/>
      <c r="I3464" s="5"/>
      <c r="J3464" s="5"/>
      <c r="K3464" s="5"/>
      <c r="L3464" s="54"/>
      <c r="M3464" s="5"/>
      <c r="N3464" s="53"/>
      <c r="Q3464" s="5"/>
      <c r="R3464" s="5"/>
      <c r="S3464" s="5"/>
      <c r="T3464" s="5"/>
      <c r="U3464" s="5"/>
      <c r="V3464" s="5"/>
    </row>
    <row r="3465" ht="12.75" customHeight="1">
      <c r="A3465" s="5"/>
      <c r="B3465" s="5"/>
      <c r="C3465" s="5"/>
      <c r="D3465" s="5"/>
      <c r="E3465" s="7"/>
      <c r="F3465" s="5"/>
      <c r="G3465" s="5"/>
      <c r="H3465" s="5"/>
      <c r="I3465" s="5"/>
      <c r="J3465" s="5"/>
      <c r="K3465" s="5"/>
      <c r="L3465" s="54"/>
      <c r="M3465" s="5"/>
      <c r="N3465" s="53"/>
      <c r="Q3465" s="5"/>
      <c r="R3465" s="5"/>
      <c r="S3465" s="5"/>
      <c r="T3465" s="5"/>
      <c r="U3465" s="5"/>
      <c r="V3465" s="5"/>
    </row>
    <row r="3466" ht="12.75" customHeight="1">
      <c r="A3466" s="5"/>
      <c r="B3466" s="5"/>
      <c r="C3466" s="5"/>
      <c r="D3466" s="5"/>
      <c r="E3466" s="7"/>
      <c r="F3466" s="5"/>
      <c r="G3466" s="5"/>
      <c r="H3466" s="5"/>
      <c r="I3466" s="5"/>
      <c r="J3466" s="5"/>
      <c r="K3466" s="5"/>
      <c r="L3466" s="54"/>
      <c r="M3466" s="5"/>
      <c r="N3466" s="53"/>
      <c r="Q3466" s="5"/>
      <c r="R3466" s="5"/>
      <c r="S3466" s="5"/>
      <c r="T3466" s="5"/>
      <c r="U3466" s="5"/>
      <c r="V3466" s="5"/>
    </row>
    <row r="3467" ht="12.75" customHeight="1">
      <c r="A3467" s="5"/>
      <c r="B3467" s="5"/>
      <c r="C3467" s="5"/>
      <c r="D3467" s="5"/>
      <c r="E3467" s="7"/>
      <c r="F3467" s="5"/>
      <c r="G3467" s="5"/>
      <c r="H3467" s="5"/>
      <c r="I3467" s="5"/>
      <c r="J3467" s="5"/>
      <c r="K3467" s="5"/>
      <c r="L3467" s="54"/>
      <c r="M3467" s="5"/>
      <c r="N3467" s="53"/>
      <c r="Q3467" s="5"/>
      <c r="R3467" s="5"/>
      <c r="S3467" s="5"/>
      <c r="T3467" s="5"/>
      <c r="U3467" s="5"/>
      <c r="V3467" s="5"/>
    </row>
    <row r="3468" ht="12.75" customHeight="1">
      <c r="A3468" s="5"/>
      <c r="B3468" s="5"/>
      <c r="C3468" s="5"/>
      <c r="D3468" s="5"/>
      <c r="E3468" s="7"/>
      <c r="F3468" s="5"/>
      <c r="G3468" s="5"/>
      <c r="H3468" s="5"/>
      <c r="I3468" s="5"/>
      <c r="J3468" s="5"/>
      <c r="K3468" s="5"/>
      <c r="L3468" s="54"/>
      <c r="M3468" s="5"/>
      <c r="N3468" s="53"/>
      <c r="Q3468" s="5"/>
      <c r="R3468" s="5"/>
      <c r="S3468" s="5"/>
      <c r="T3468" s="5"/>
      <c r="U3468" s="5"/>
      <c r="V3468" s="5"/>
    </row>
    <row r="3469" ht="12.75" customHeight="1">
      <c r="A3469" s="5"/>
      <c r="B3469" s="5"/>
      <c r="C3469" s="5"/>
      <c r="D3469" s="5"/>
      <c r="E3469" s="7"/>
      <c r="F3469" s="5"/>
      <c r="G3469" s="5"/>
      <c r="H3469" s="5"/>
      <c r="I3469" s="5"/>
      <c r="J3469" s="5"/>
      <c r="K3469" s="5"/>
      <c r="L3469" s="54"/>
      <c r="M3469" s="5"/>
      <c r="N3469" s="53"/>
      <c r="Q3469" s="5"/>
      <c r="R3469" s="5"/>
      <c r="S3469" s="5"/>
      <c r="T3469" s="5"/>
      <c r="U3469" s="5"/>
      <c r="V3469" s="5"/>
    </row>
    <row r="3470" ht="12.75" customHeight="1">
      <c r="A3470" s="5"/>
      <c r="B3470" s="5"/>
      <c r="C3470" s="5"/>
      <c r="D3470" s="5"/>
      <c r="E3470" s="7"/>
      <c r="F3470" s="5"/>
      <c r="G3470" s="5"/>
      <c r="H3470" s="5"/>
      <c r="I3470" s="5"/>
      <c r="J3470" s="5"/>
      <c r="K3470" s="5"/>
      <c r="L3470" s="54"/>
      <c r="M3470" s="5"/>
      <c r="N3470" s="53"/>
      <c r="Q3470" s="5"/>
      <c r="R3470" s="5"/>
      <c r="S3470" s="5"/>
      <c r="T3470" s="5"/>
      <c r="U3470" s="5"/>
      <c r="V3470" s="5"/>
    </row>
    <row r="3471" ht="12.75" customHeight="1">
      <c r="A3471" s="5"/>
      <c r="B3471" s="5"/>
      <c r="C3471" s="5"/>
      <c r="D3471" s="5"/>
      <c r="E3471" s="7"/>
      <c r="F3471" s="5"/>
      <c r="G3471" s="5"/>
      <c r="H3471" s="5"/>
      <c r="I3471" s="5"/>
      <c r="J3471" s="5"/>
      <c r="K3471" s="5"/>
      <c r="L3471" s="54"/>
      <c r="M3471" s="5"/>
      <c r="N3471" s="53"/>
      <c r="Q3471" s="5"/>
      <c r="R3471" s="5"/>
      <c r="S3471" s="5"/>
      <c r="T3471" s="5"/>
      <c r="U3471" s="5"/>
      <c r="V3471" s="5"/>
    </row>
    <row r="3472" ht="12.75" customHeight="1">
      <c r="A3472" s="5"/>
      <c r="B3472" s="5"/>
      <c r="C3472" s="5"/>
      <c r="D3472" s="5"/>
      <c r="E3472" s="7"/>
      <c r="F3472" s="5"/>
      <c r="G3472" s="5"/>
      <c r="H3472" s="5"/>
      <c r="I3472" s="5"/>
      <c r="J3472" s="5"/>
      <c r="K3472" s="5"/>
      <c r="L3472" s="54"/>
      <c r="M3472" s="5"/>
      <c r="N3472" s="53"/>
      <c r="Q3472" s="5"/>
      <c r="R3472" s="5"/>
      <c r="S3472" s="5"/>
      <c r="T3472" s="5"/>
      <c r="U3472" s="5"/>
      <c r="V3472" s="5"/>
    </row>
    <row r="3473" ht="12.75" customHeight="1">
      <c r="A3473" s="5"/>
      <c r="B3473" s="5"/>
      <c r="C3473" s="5"/>
      <c r="D3473" s="5"/>
      <c r="E3473" s="7"/>
      <c r="F3473" s="5"/>
      <c r="G3473" s="5"/>
      <c r="H3473" s="5"/>
      <c r="I3473" s="5"/>
      <c r="J3473" s="5"/>
      <c r="K3473" s="5"/>
      <c r="L3473" s="54"/>
      <c r="M3473" s="5"/>
      <c r="N3473" s="53"/>
      <c r="Q3473" s="5"/>
      <c r="R3473" s="5"/>
      <c r="S3473" s="5"/>
      <c r="T3473" s="5"/>
      <c r="U3473" s="5"/>
      <c r="V3473" s="5"/>
    </row>
    <row r="3474" ht="12.75" customHeight="1">
      <c r="A3474" s="5"/>
      <c r="B3474" s="5"/>
      <c r="C3474" s="5"/>
      <c r="D3474" s="5"/>
      <c r="E3474" s="7"/>
      <c r="F3474" s="5"/>
      <c r="G3474" s="5"/>
      <c r="H3474" s="5"/>
      <c r="I3474" s="5"/>
      <c r="J3474" s="5"/>
      <c r="K3474" s="5"/>
      <c r="L3474" s="54"/>
      <c r="M3474" s="5"/>
      <c r="N3474" s="53"/>
      <c r="Q3474" s="5"/>
      <c r="R3474" s="5"/>
      <c r="S3474" s="5"/>
      <c r="T3474" s="5"/>
      <c r="U3474" s="5"/>
      <c r="V3474" s="5"/>
    </row>
    <row r="3475" ht="12.75" customHeight="1">
      <c r="A3475" s="5"/>
      <c r="B3475" s="5"/>
      <c r="C3475" s="5"/>
      <c r="D3475" s="5"/>
      <c r="E3475" s="7"/>
      <c r="F3475" s="5"/>
      <c r="G3475" s="5"/>
      <c r="H3475" s="5"/>
      <c r="I3475" s="5"/>
      <c r="J3475" s="5"/>
      <c r="K3475" s="5"/>
      <c r="L3475" s="54"/>
      <c r="M3475" s="5"/>
      <c r="N3475" s="53"/>
      <c r="Q3475" s="5"/>
      <c r="R3475" s="5"/>
      <c r="S3475" s="5"/>
      <c r="T3475" s="5"/>
      <c r="U3475" s="5"/>
      <c r="V3475" s="5"/>
    </row>
    <row r="3476" ht="12.75" customHeight="1">
      <c r="A3476" s="5"/>
      <c r="B3476" s="5"/>
      <c r="C3476" s="5"/>
      <c r="D3476" s="5"/>
      <c r="E3476" s="7"/>
      <c r="F3476" s="5"/>
      <c r="G3476" s="5"/>
      <c r="H3476" s="5"/>
      <c r="I3476" s="5"/>
      <c r="J3476" s="5"/>
      <c r="K3476" s="5"/>
      <c r="L3476" s="54"/>
      <c r="M3476" s="5"/>
      <c r="N3476" s="53"/>
      <c r="Q3476" s="5"/>
      <c r="R3476" s="5"/>
      <c r="S3476" s="5"/>
      <c r="T3476" s="5"/>
      <c r="U3476" s="5"/>
      <c r="V3476" s="5"/>
    </row>
    <row r="3477" ht="12.75" customHeight="1">
      <c r="A3477" s="5"/>
      <c r="B3477" s="5"/>
      <c r="C3477" s="5"/>
      <c r="D3477" s="5"/>
      <c r="E3477" s="7"/>
      <c r="F3477" s="5"/>
      <c r="G3477" s="5"/>
      <c r="H3477" s="5"/>
      <c r="I3477" s="5"/>
      <c r="J3477" s="5"/>
      <c r="K3477" s="5"/>
      <c r="L3477" s="54"/>
      <c r="M3477" s="5"/>
      <c r="N3477" s="53"/>
      <c r="Q3477" s="5"/>
      <c r="R3477" s="5"/>
      <c r="S3477" s="5"/>
      <c r="T3477" s="5"/>
      <c r="U3477" s="5"/>
      <c r="V3477" s="5"/>
    </row>
    <row r="3478" ht="12.75" customHeight="1">
      <c r="A3478" s="5"/>
      <c r="B3478" s="5"/>
      <c r="C3478" s="5"/>
      <c r="D3478" s="5"/>
      <c r="E3478" s="7"/>
      <c r="F3478" s="5"/>
      <c r="G3478" s="5"/>
      <c r="H3478" s="5"/>
      <c r="I3478" s="5"/>
      <c r="J3478" s="5"/>
      <c r="K3478" s="5"/>
      <c r="L3478" s="54"/>
      <c r="M3478" s="5"/>
      <c r="N3478" s="53"/>
      <c r="Q3478" s="5"/>
      <c r="R3478" s="5"/>
      <c r="S3478" s="5"/>
      <c r="T3478" s="5"/>
      <c r="U3478" s="5"/>
      <c r="V3478" s="5"/>
    </row>
    <row r="3479" ht="12.75" customHeight="1">
      <c r="A3479" s="5"/>
      <c r="B3479" s="5"/>
      <c r="C3479" s="5"/>
      <c r="D3479" s="5"/>
      <c r="E3479" s="7"/>
      <c r="F3479" s="5"/>
      <c r="G3479" s="5"/>
      <c r="H3479" s="5"/>
      <c r="I3479" s="5"/>
      <c r="J3479" s="5"/>
      <c r="K3479" s="5"/>
      <c r="L3479" s="54"/>
      <c r="M3479" s="5"/>
      <c r="N3479" s="53"/>
      <c r="Q3479" s="5"/>
      <c r="R3479" s="5"/>
      <c r="S3479" s="5"/>
      <c r="T3479" s="5"/>
      <c r="U3479" s="5"/>
      <c r="V3479" s="5"/>
    </row>
    <row r="3480" ht="12.75" customHeight="1">
      <c r="A3480" s="5"/>
      <c r="B3480" s="5"/>
      <c r="C3480" s="5"/>
      <c r="D3480" s="5"/>
      <c r="E3480" s="7"/>
      <c r="F3480" s="5"/>
      <c r="G3480" s="5"/>
      <c r="H3480" s="5"/>
      <c r="I3480" s="5"/>
      <c r="J3480" s="5"/>
      <c r="K3480" s="5"/>
      <c r="L3480" s="54"/>
      <c r="M3480" s="5"/>
      <c r="N3480" s="53"/>
      <c r="Q3480" s="5"/>
      <c r="R3480" s="5"/>
      <c r="S3480" s="5"/>
      <c r="T3480" s="5"/>
      <c r="U3480" s="5"/>
      <c r="V3480" s="5"/>
    </row>
    <row r="3481" ht="12.75" customHeight="1">
      <c r="A3481" s="5"/>
      <c r="B3481" s="5"/>
      <c r="C3481" s="5"/>
      <c r="D3481" s="5"/>
      <c r="E3481" s="7"/>
      <c r="F3481" s="5"/>
      <c r="G3481" s="5"/>
      <c r="H3481" s="5"/>
      <c r="I3481" s="5"/>
      <c r="J3481" s="5"/>
      <c r="K3481" s="5"/>
      <c r="L3481" s="54"/>
      <c r="M3481" s="5"/>
      <c r="N3481" s="53"/>
      <c r="Q3481" s="5"/>
      <c r="R3481" s="5"/>
      <c r="S3481" s="5"/>
      <c r="T3481" s="5"/>
      <c r="U3481" s="5"/>
      <c r="V3481" s="5"/>
    </row>
    <row r="3482" ht="12.75" customHeight="1">
      <c r="A3482" s="5"/>
      <c r="B3482" s="5"/>
      <c r="C3482" s="5"/>
      <c r="D3482" s="5"/>
      <c r="E3482" s="7"/>
      <c r="F3482" s="5"/>
      <c r="G3482" s="5"/>
      <c r="H3482" s="5"/>
      <c r="I3482" s="5"/>
      <c r="J3482" s="5"/>
      <c r="K3482" s="5"/>
      <c r="L3482" s="54"/>
      <c r="M3482" s="5"/>
      <c r="N3482" s="53"/>
      <c r="Q3482" s="5"/>
      <c r="R3482" s="5"/>
      <c r="S3482" s="5"/>
      <c r="T3482" s="5"/>
      <c r="U3482" s="5"/>
      <c r="V3482" s="5"/>
    </row>
    <row r="3483" ht="12.75" customHeight="1">
      <c r="A3483" s="5"/>
      <c r="B3483" s="5"/>
      <c r="C3483" s="5"/>
      <c r="D3483" s="5"/>
      <c r="E3483" s="7"/>
      <c r="F3483" s="5"/>
      <c r="G3483" s="5"/>
      <c r="H3483" s="5"/>
      <c r="I3483" s="5"/>
      <c r="J3483" s="5"/>
      <c r="K3483" s="5"/>
      <c r="L3483" s="54"/>
      <c r="M3483" s="5"/>
      <c r="N3483" s="53"/>
      <c r="Q3483" s="5"/>
      <c r="R3483" s="5"/>
      <c r="S3483" s="5"/>
      <c r="T3483" s="5"/>
      <c r="U3483" s="5"/>
      <c r="V3483" s="5"/>
    </row>
    <row r="3484" ht="12.75" customHeight="1">
      <c r="A3484" s="5"/>
      <c r="B3484" s="5"/>
      <c r="C3484" s="5"/>
      <c r="D3484" s="5"/>
      <c r="E3484" s="7"/>
      <c r="F3484" s="5"/>
      <c r="G3484" s="5"/>
      <c r="H3484" s="5"/>
      <c r="I3484" s="5"/>
      <c r="J3484" s="5"/>
      <c r="K3484" s="5"/>
      <c r="L3484" s="54"/>
      <c r="M3484" s="5"/>
      <c r="N3484" s="53"/>
      <c r="Q3484" s="5"/>
      <c r="R3484" s="5"/>
      <c r="S3484" s="5"/>
      <c r="T3484" s="5"/>
      <c r="U3484" s="5"/>
      <c r="V3484" s="5"/>
    </row>
    <row r="3485" ht="12.75" customHeight="1">
      <c r="A3485" s="5"/>
      <c r="B3485" s="5"/>
      <c r="C3485" s="5"/>
      <c r="D3485" s="5"/>
      <c r="E3485" s="7"/>
      <c r="F3485" s="5"/>
      <c r="G3485" s="5"/>
      <c r="H3485" s="5"/>
      <c r="I3485" s="5"/>
      <c r="J3485" s="5"/>
      <c r="K3485" s="5"/>
      <c r="L3485" s="54"/>
      <c r="M3485" s="5"/>
      <c r="N3485" s="53"/>
      <c r="Q3485" s="5"/>
      <c r="R3485" s="5"/>
      <c r="S3485" s="5"/>
      <c r="T3485" s="5"/>
      <c r="U3485" s="5"/>
      <c r="V3485" s="5"/>
    </row>
    <row r="3486" ht="12.75" customHeight="1">
      <c r="A3486" s="5"/>
      <c r="B3486" s="5"/>
      <c r="C3486" s="5"/>
      <c r="D3486" s="5"/>
      <c r="E3486" s="7"/>
      <c r="F3486" s="5"/>
      <c r="G3486" s="5"/>
      <c r="H3486" s="5"/>
      <c r="I3486" s="5"/>
      <c r="J3486" s="5"/>
      <c r="K3486" s="5"/>
      <c r="L3486" s="54"/>
      <c r="M3486" s="5"/>
      <c r="N3486" s="53"/>
      <c r="Q3486" s="5"/>
      <c r="R3486" s="5"/>
      <c r="S3486" s="5"/>
      <c r="T3486" s="5"/>
      <c r="U3486" s="5"/>
      <c r="V3486" s="5"/>
    </row>
    <row r="3487" ht="12.75" customHeight="1">
      <c r="A3487" s="5"/>
      <c r="B3487" s="5"/>
      <c r="C3487" s="5"/>
      <c r="D3487" s="5"/>
      <c r="E3487" s="7"/>
      <c r="F3487" s="5"/>
      <c r="G3487" s="5"/>
      <c r="H3487" s="5"/>
      <c r="I3487" s="5"/>
      <c r="J3487" s="5"/>
      <c r="K3487" s="5"/>
      <c r="L3487" s="54"/>
      <c r="M3487" s="5"/>
      <c r="N3487" s="53"/>
      <c r="Q3487" s="5"/>
      <c r="R3487" s="5"/>
      <c r="S3487" s="5"/>
      <c r="T3487" s="5"/>
      <c r="U3487" s="5"/>
      <c r="V3487" s="5"/>
    </row>
    <row r="3488" ht="12.75" customHeight="1">
      <c r="A3488" s="5"/>
      <c r="B3488" s="5"/>
      <c r="C3488" s="5"/>
      <c r="D3488" s="5"/>
      <c r="E3488" s="7"/>
      <c r="F3488" s="5"/>
      <c r="G3488" s="5"/>
      <c r="H3488" s="5"/>
      <c r="I3488" s="5"/>
      <c r="J3488" s="5"/>
      <c r="K3488" s="5"/>
      <c r="L3488" s="54"/>
      <c r="M3488" s="5"/>
      <c r="N3488" s="53"/>
      <c r="Q3488" s="5"/>
      <c r="R3488" s="5"/>
      <c r="S3488" s="5"/>
      <c r="T3488" s="5"/>
      <c r="U3488" s="5"/>
      <c r="V3488" s="5"/>
    </row>
    <row r="3489" ht="12.75" customHeight="1">
      <c r="A3489" s="5"/>
      <c r="B3489" s="5"/>
      <c r="C3489" s="5"/>
      <c r="D3489" s="5"/>
      <c r="E3489" s="7"/>
      <c r="F3489" s="5"/>
      <c r="G3489" s="5"/>
      <c r="H3489" s="5"/>
      <c r="I3489" s="5"/>
      <c r="J3489" s="5"/>
      <c r="K3489" s="5"/>
      <c r="L3489" s="54"/>
      <c r="M3489" s="5"/>
      <c r="N3489" s="53"/>
      <c r="Q3489" s="5"/>
      <c r="R3489" s="5"/>
      <c r="S3489" s="5"/>
      <c r="T3489" s="5"/>
      <c r="U3489" s="5"/>
      <c r="V3489" s="5"/>
    </row>
    <row r="3490" ht="12.75" customHeight="1">
      <c r="A3490" s="5"/>
      <c r="B3490" s="5"/>
      <c r="C3490" s="5"/>
      <c r="D3490" s="5"/>
      <c r="E3490" s="7"/>
      <c r="F3490" s="5"/>
      <c r="G3490" s="5"/>
      <c r="H3490" s="5"/>
      <c r="I3490" s="5"/>
      <c r="J3490" s="5"/>
      <c r="K3490" s="5"/>
      <c r="L3490" s="54"/>
      <c r="M3490" s="5"/>
      <c r="N3490" s="53"/>
      <c r="Q3490" s="5"/>
      <c r="R3490" s="5"/>
      <c r="S3490" s="5"/>
      <c r="T3490" s="5"/>
      <c r="U3490" s="5"/>
      <c r="V3490" s="5"/>
    </row>
    <row r="3491" ht="12.75" customHeight="1">
      <c r="A3491" s="5"/>
      <c r="B3491" s="5"/>
      <c r="C3491" s="5"/>
      <c r="D3491" s="5"/>
      <c r="E3491" s="7"/>
      <c r="F3491" s="5"/>
      <c r="G3491" s="5"/>
      <c r="H3491" s="5"/>
      <c r="I3491" s="5"/>
      <c r="J3491" s="5"/>
      <c r="K3491" s="5"/>
      <c r="L3491" s="54"/>
      <c r="M3491" s="5"/>
      <c r="N3491" s="53"/>
      <c r="Q3491" s="5"/>
      <c r="R3491" s="5"/>
      <c r="S3491" s="5"/>
      <c r="T3491" s="5"/>
      <c r="U3491" s="5"/>
      <c r="V3491" s="5"/>
    </row>
    <row r="3492" ht="12.75" customHeight="1">
      <c r="A3492" s="5"/>
      <c r="B3492" s="5"/>
      <c r="C3492" s="5"/>
      <c r="D3492" s="5"/>
      <c r="E3492" s="7"/>
      <c r="F3492" s="5"/>
      <c r="G3492" s="5"/>
      <c r="H3492" s="5"/>
      <c r="I3492" s="5"/>
      <c r="J3492" s="5"/>
      <c r="K3492" s="5"/>
      <c r="L3492" s="54"/>
      <c r="M3492" s="5"/>
      <c r="N3492" s="53"/>
      <c r="Q3492" s="5"/>
      <c r="R3492" s="5"/>
      <c r="S3492" s="5"/>
      <c r="T3492" s="5"/>
      <c r="U3492" s="5"/>
      <c r="V3492" s="5"/>
    </row>
    <row r="3493" ht="12.75" customHeight="1">
      <c r="A3493" s="5"/>
      <c r="B3493" s="5"/>
      <c r="C3493" s="5"/>
      <c r="D3493" s="5"/>
      <c r="E3493" s="7"/>
      <c r="F3493" s="5"/>
      <c r="G3493" s="5"/>
      <c r="H3493" s="5"/>
      <c r="I3493" s="5"/>
      <c r="J3493" s="5"/>
      <c r="K3493" s="5"/>
      <c r="L3493" s="54"/>
      <c r="M3493" s="5"/>
      <c r="N3493" s="53"/>
      <c r="Q3493" s="5"/>
      <c r="R3493" s="5"/>
      <c r="S3493" s="5"/>
      <c r="T3493" s="5"/>
      <c r="U3493" s="5"/>
      <c r="V3493" s="5"/>
    </row>
    <row r="3494" ht="12.75" customHeight="1">
      <c r="A3494" s="5"/>
      <c r="B3494" s="5"/>
      <c r="C3494" s="5"/>
      <c r="D3494" s="5"/>
      <c r="E3494" s="7"/>
      <c r="F3494" s="5"/>
      <c r="G3494" s="5"/>
      <c r="H3494" s="5"/>
      <c r="I3494" s="5"/>
      <c r="J3494" s="5"/>
      <c r="K3494" s="5"/>
      <c r="L3494" s="54"/>
      <c r="M3494" s="5"/>
      <c r="N3494" s="53"/>
      <c r="Q3494" s="5"/>
      <c r="R3494" s="5"/>
      <c r="S3494" s="5"/>
      <c r="T3494" s="5"/>
      <c r="U3494" s="5"/>
      <c r="V3494" s="5"/>
    </row>
    <row r="3495" ht="12.75" customHeight="1">
      <c r="A3495" s="5"/>
      <c r="B3495" s="5"/>
      <c r="C3495" s="5"/>
      <c r="D3495" s="5"/>
      <c r="E3495" s="7"/>
      <c r="F3495" s="5"/>
      <c r="G3495" s="5"/>
      <c r="H3495" s="5"/>
      <c r="I3495" s="5"/>
      <c r="J3495" s="5"/>
      <c r="K3495" s="5"/>
      <c r="L3495" s="54"/>
      <c r="M3495" s="5"/>
      <c r="N3495" s="53"/>
      <c r="Q3495" s="5"/>
      <c r="R3495" s="5"/>
      <c r="S3495" s="5"/>
      <c r="T3495" s="5"/>
      <c r="U3495" s="5"/>
      <c r="V3495" s="5"/>
    </row>
    <row r="3496" ht="12.75" customHeight="1">
      <c r="A3496" s="5"/>
      <c r="B3496" s="5"/>
      <c r="C3496" s="5"/>
      <c r="D3496" s="5"/>
      <c r="E3496" s="7"/>
      <c r="F3496" s="5"/>
      <c r="G3496" s="5"/>
      <c r="H3496" s="5"/>
      <c r="I3496" s="5"/>
      <c r="J3496" s="5"/>
      <c r="K3496" s="5"/>
      <c r="L3496" s="54"/>
      <c r="M3496" s="5"/>
      <c r="N3496" s="53"/>
      <c r="Q3496" s="5"/>
      <c r="R3496" s="5"/>
      <c r="S3496" s="5"/>
      <c r="T3496" s="5"/>
      <c r="U3496" s="5"/>
      <c r="V3496" s="5"/>
    </row>
    <row r="3497" ht="12.75" customHeight="1">
      <c r="A3497" s="5"/>
      <c r="B3497" s="5"/>
      <c r="C3497" s="5"/>
      <c r="D3497" s="5"/>
      <c r="E3497" s="7"/>
      <c r="F3497" s="5"/>
      <c r="G3497" s="5"/>
      <c r="H3497" s="5"/>
      <c r="I3497" s="5"/>
      <c r="J3497" s="5"/>
      <c r="K3497" s="5"/>
      <c r="L3497" s="54"/>
      <c r="M3497" s="5"/>
      <c r="N3497" s="53"/>
      <c r="Q3497" s="5"/>
      <c r="R3497" s="5"/>
      <c r="S3497" s="5"/>
      <c r="T3497" s="5"/>
      <c r="U3497" s="5"/>
      <c r="V3497" s="5"/>
    </row>
    <row r="3498" ht="12.75" customHeight="1">
      <c r="A3498" s="5"/>
      <c r="B3498" s="5"/>
      <c r="C3498" s="5"/>
      <c r="D3498" s="5"/>
      <c r="E3498" s="7"/>
      <c r="F3498" s="5"/>
      <c r="G3498" s="5"/>
      <c r="H3498" s="5"/>
      <c r="I3498" s="5"/>
      <c r="J3498" s="5"/>
      <c r="K3498" s="5"/>
      <c r="L3498" s="54"/>
      <c r="M3498" s="5"/>
      <c r="N3498" s="53"/>
      <c r="Q3498" s="5"/>
      <c r="R3498" s="5"/>
      <c r="S3498" s="5"/>
      <c r="T3498" s="5"/>
      <c r="U3498" s="5"/>
      <c r="V3498" s="5"/>
    </row>
    <row r="3499" ht="12.75" customHeight="1">
      <c r="A3499" s="5"/>
      <c r="B3499" s="5"/>
      <c r="C3499" s="5"/>
      <c r="D3499" s="5"/>
      <c r="E3499" s="7"/>
      <c r="F3499" s="5"/>
      <c r="G3499" s="5"/>
      <c r="H3499" s="5"/>
      <c r="I3499" s="5"/>
      <c r="J3499" s="5"/>
      <c r="K3499" s="5"/>
      <c r="L3499" s="54"/>
      <c r="M3499" s="5"/>
      <c r="N3499" s="53"/>
      <c r="Q3499" s="5"/>
      <c r="R3499" s="5"/>
      <c r="S3499" s="5"/>
      <c r="T3499" s="5"/>
      <c r="U3499" s="5"/>
      <c r="V3499" s="5"/>
    </row>
    <row r="3500" ht="12.75" customHeight="1">
      <c r="A3500" s="5"/>
      <c r="B3500" s="5"/>
      <c r="C3500" s="5"/>
      <c r="D3500" s="5"/>
      <c r="E3500" s="7"/>
      <c r="F3500" s="5"/>
      <c r="G3500" s="5"/>
      <c r="H3500" s="5"/>
      <c r="I3500" s="5"/>
      <c r="J3500" s="5"/>
      <c r="K3500" s="5"/>
      <c r="L3500" s="54"/>
      <c r="M3500" s="5"/>
      <c r="N3500" s="53"/>
      <c r="Q3500" s="5"/>
      <c r="R3500" s="5"/>
      <c r="S3500" s="5"/>
      <c r="T3500" s="5"/>
      <c r="U3500" s="5"/>
      <c r="V3500" s="5"/>
    </row>
    <row r="3501" ht="12.75" customHeight="1">
      <c r="A3501" s="5"/>
      <c r="B3501" s="5"/>
      <c r="C3501" s="5"/>
      <c r="D3501" s="5"/>
      <c r="E3501" s="7"/>
      <c r="F3501" s="5"/>
      <c r="G3501" s="5"/>
      <c r="H3501" s="5"/>
      <c r="I3501" s="5"/>
      <c r="J3501" s="5"/>
      <c r="K3501" s="5"/>
      <c r="L3501" s="54"/>
      <c r="M3501" s="5"/>
      <c r="N3501" s="53"/>
      <c r="Q3501" s="5"/>
      <c r="R3501" s="5"/>
      <c r="S3501" s="5"/>
      <c r="T3501" s="5"/>
      <c r="U3501" s="5"/>
      <c r="V3501" s="5"/>
    </row>
    <row r="3502" ht="12.75" customHeight="1">
      <c r="A3502" s="5"/>
      <c r="B3502" s="5"/>
      <c r="C3502" s="5"/>
      <c r="D3502" s="5"/>
      <c r="E3502" s="7"/>
      <c r="F3502" s="5"/>
      <c r="G3502" s="5"/>
      <c r="H3502" s="5"/>
      <c r="I3502" s="5"/>
      <c r="J3502" s="5"/>
      <c r="K3502" s="5"/>
      <c r="L3502" s="54"/>
      <c r="M3502" s="5"/>
      <c r="N3502" s="53"/>
      <c r="Q3502" s="5"/>
      <c r="R3502" s="5"/>
      <c r="S3502" s="5"/>
      <c r="T3502" s="5"/>
      <c r="U3502" s="5"/>
      <c r="V3502" s="5"/>
    </row>
    <row r="3503" ht="12.75" customHeight="1">
      <c r="A3503" s="5"/>
      <c r="B3503" s="5"/>
      <c r="C3503" s="5"/>
      <c r="D3503" s="5"/>
      <c r="E3503" s="7"/>
      <c r="F3503" s="5"/>
      <c r="G3503" s="5"/>
      <c r="H3503" s="5"/>
      <c r="I3503" s="5"/>
      <c r="J3503" s="5"/>
      <c r="K3503" s="5"/>
      <c r="L3503" s="54"/>
      <c r="M3503" s="5"/>
      <c r="N3503" s="53"/>
      <c r="Q3503" s="5"/>
      <c r="R3503" s="5"/>
      <c r="S3503" s="5"/>
      <c r="T3503" s="5"/>
      <c r="U3503" s="5"/>
      <c r="V3503" s="5"/>
    </row>
    <row r="3504" ht="12.75" customHeight="1">
      <c r="A3504" s="5"/>
      <c r="B3504" s="5"/>
      <c r="C3504" s="5"/>
      <c r="D3504" s="5"/>
      <c r="E3504" s="7"/>
      <c r="F3504" s="5"/>
      <c r="G3504" s="5"/>
      <c r="H3504" s="5"/>
      <c r="I3504" s="5"/>
      <c r="J3504" s="5"/>
      <c r="K3504" s="5"/>
      <c r="L3504" s="54"/>
      <c r="M3504" s="5"/>
      <c r="N3504" s="53"/>
      <c r="Q3504" s="5"/>
      <c r="R3504" s="5"/>
      <c r="S3504" s="5"/>
      <c r="T3504" s="5"/>
      <c r="U3504" s="5"/>
      <c r="V3504" s="5"/>
    </row>
    <row r="3505" ht="12.75" customHeight="1">
      <c r="A3505" s="5"/>
      <c r="B3505" s="5"/>
      <c r="C3505" s="5"/>
      <c r="D3505" s="5"/>
      <c r="E3505" s="7"/>
      <c r="F3505" s="5"/>
      <c r="G3505" s="5"/>
      <c r="H3505" s="5"/>
      <c r="I3505" s="5"/>
      <c r="J3505" s="5"/>
      <c r="K3505" s="5"/>
      <c r="L3505" s="54"/>
      <c r="M3505" s="5"/>
      <c r="N3505" s="53"/>
      <c r="Q3505" s="5"/>
      <c r="R3505" s="5"/>
      <c r="S3505" s="5"/>
      <c r="T3505" s="5"/>
      <c r="U3505" s="5"/>
      <c r="V3505" s="5"/>
    </row>
    <row r="3506" ht="12.75" customHeight="1">
      <c r="A3506" s="5"/>
      <c r="B3506" s="5"/>
      <c r="C3506" s="5"/>
      <c r="D3506" s="5"/>
      <c r="E3506" s="7"/>
      <c r="F3506" s="5"/>
      <c r="G3506" s="5"/>
      <c r="H3506" s="5"/>
      <c r="I3506" s="5"/>
      <c r="J3506" s="5"/>
      <c r="K3506" s="5"/>
      <c r="L3506" s="54"/>
      <c r="M3506" s="5"/>
      <c r="N3506" s="53"/>
      <c r="Q3506" s="5"/>
      <c r="R3506" s="5"/>
      <c r="S3506" s="5"/>
      <c r="T3506" s="5"/>
      <c r="U3506" s="5"/>
      <c r="V3506" s="5"/>
    </row>
    <row r="3507" ht="12.75" customHeight="1">
      <c r="A3507" s="5"/>
      <c r="B3507" s="5"/>
      <c r="C3507" s="5"/>
      <c r="D3507" s="5"/>
      <c r="E3507" s="7"/>
      <c r="F3507" s="5"/>
      <c r="G3507" s="5"/>
      <c r="H3507" s="5"/>
      <c r="I3507" s="5"/>
      <c r="J3507" s="5"/>
      <c r="K3507" s="5"/>
      <c r="L3507" s="54"/>
      <c r="M3507" s="5"/>
      <c r="N3507" s="53"/>
      <c r="Q3507" s="5"/>
      <c r="R3507" s="5"/>
      <c r="S3507" s="5"/>
      <c r="T3507" s="5"/>
      <c r="U3507" s="5"/>
      <c r="V3507" s="5"/>
    </row>
    <row r="3508" ht="12.75" customHeight="1">
      <c r="A3508" s="5"/>
      <c r="B3508" s="5"/>
      <c r="C3508" s="5"/>
      <c r="D3508" s="5"/>
      <c r="E3508" s="7"/>
      <c r="F3508" s="5"/>
      <c r="G3508" s="5"/>
      <c r="H3508" s="5"/>
      <c r="I3508" s="5"/>
      <c r="J3508" s="5"/>
      <c r="K3508" s="5"/>
      <c r="L3508" s="54"/>
      <c r="M3508" s="5"/>
      <c r="N3508" s="53"/>
      <c r="Q3508" s="5"/>
      <c r="R3508" s="5"/>
      <c r="S3508" s="5"/>
      <c r="T3508" s="5"/>
      <c r="U3508" s="5"/>
      <c r="V3508" s="5"/>
    </row>
    <row r="3509" ht="12.75" customHeight="1">
      <c r="A3509" s="5"/>
      <c r="B3509" s="5"/>
      <c r="C3509" s="5"/>
      <c r="D3509" s="5"/>
      <c r="E3509" s="7"/>
      <c r="F3509" s="5"/>
      <c r="G3509" s="5"/>
      <c r="H3509" s="5"/>
      <c r="I3509" s="5"/>
      <c r="J3509" s="5"/>
      <c r="K3509" s="5"/>
      <c r="L3509" s="54"/>
      <c r="M3509" s="5"/>
      <c r="N3509" s="53"/>
      <c r="Q3509" s="5"/>
      <c r="R3509" s="5"/>
      <c r="S3509" s="5"/>
      <c r="T3509" s="5"/>
      <c r="U3509" s="5"/>
      <c r="V3509" s="5"/>
    </row>
    <row r="3510" ht="12.75" customHeight="1">
      <c r="A3510" s="5"/>
      <c r="B3510" s="5"/>
      <c r="C3510" s="5"/>
      <c r="D3510" s="5"/>
      <c r="E3510" s="7"/>
      <c r="F3510" s="5"/>
      <c r="G3510" s="5"/>
      <c r="H3510" s="5"/>
      <c r="I3510" s="5"/>
      <c r="J3510" s="5"/>
      <c r="K3510" s="5"/>
      <c r="L3510" s="54"/>
      <c r="M3510" s="5"/>
      <c r="N3510" s="53"/>
      <c r="Q3510" s="5"/>
      <c r="R3510" s="5"/>
      <c r="S3510" s="5"/>
      <c r="T3510" s="5"/>
      <c r="U3510" s="5"/>
      <c r="V3510" s="5"/>
    </row>
    <row r="3511" ht="12.75" customHeight="1">
      <c r="A3511" s="5"/>
      <c r="B3511" s="5"/>
      <c r="C3511" s="5"/>
      <c r="D3511" s="5"/>
      <c r="E3511" s="7"/>
      <c r="F3511" s="5"/>
      <c r="G3511" s="5"/>
      <c r="H3511" s="5"/>
      <c r="I3511" s="5"/>
      <c r="J3511" s="5"/>
      <c r="K3511" s="5"/>
      <c r="L3511" s="54"/>
      <c r="M3511" s="5"/>
      <c r="N3511" s="53"/>
      <c r="Q3511" s="5"/>
      <c r="R3511" s="5"/>
      <c r="S3511" s="5"/>
      <c r="T3511" s="5"/>
      <c r="U3511" s="5"/>
      <c r="V3511" s="5"/>
    </row>
    <row r="3512" ht="12.75" customHeight="1">
      <c r="A3512" s="5"/>
      <c r="B3512" s="5"/>
      <c r="C3512" s="5"/>
      <c r="D3512" s="5"/>
      <c r="E3512" s="7"/>
      <c r="F3512" s="5"/>
      <c r="G3512" s="5"/>
      <c r="H3512" s="5"/>
      <c r="I3512" s="5"/>
      <c r="J3512" s="5"/>
      <c r="K3512" s="5"/>
      <c r="L3512" s="54"/>
      <c r="M3512" s="5"/>
      <c r="N3512" s="53"/>
      <c r="Q3512" s="5"/>
      <c r="R3512" s="5"/>
      <c r="S3512" s="5"/>
      <c r="T3512" s="5"/>
      <c r="U3512" s="5"/>
      <c r="V3512" s="5"/>
    </row>
    <row r="3513" ht="12.75" customHeight="1">
      <c r="A3513" s="5"/>
      <c r="B3513" s="5"/>
      <c r="C3513" s="5"/>
      <c r="D3513" s="5"/>
      <c r="E3513" s="7"/>
      <c r="F3513" s="5"/>
      <c r="G3513" s="5"/>
      <c r="H3513" s="5"/>
      <c r="I3513" s="5"/>
      <c r="J3513" s="5"/>
      <c r="K3513" s="5"/>
      <c r="L3513" s="54"/>
      <c r="M3513" s="5"/>
      <c r="N3513" s="53"/>
      <c r="Q3513" s="5"/>
      <c r="R3513" s="5"/>
      <c r="S3513" s="5"/>
      <c r="T3513" s="5"/>
      <c r="U3513" s="5"/>
      <c r="V3513" s="5"/>
    </row>
    <row r="3514" ht="12.75" customHeight="1">
      <c r="A3514" s="5"/>
      <c r="B3514" s="5"/>
      <c r="C3514" s="5"/>
      <c r="D3514" s="5"/>
      <c r="E3514" s="7"/>
      <c r="F3514" s="5"/>
      <c r="G3514" s="5"/>
      <c r="H3514" s="5"/>
      <c r="I3514" s="5"/>
      <c r="J3514" s="5"/>
      <c r="K3514" s="5"/>
      <c r="L3514" s="54"/>
      <c r="M3514" s="5"/>
      <c r="N3514" s="53"/>
      <c r="Q3514" s="5"/>
      <c r="R3514" s="5"/>
      <c r="S3514" s="5"/>
      <c r="T3514" s="5"/>
      <c r="U3514" s="5"/>
      <c r="V3514" s="5"/>
    </row>
    <row r="3515" ht="12.75" customHeight="1">
      <c r="A3515" s="5"/>
      <c r="B3515" s="5"/>
      <c r="C3515" s="5"/>
      <c r="D3515" s="5"/>
      <c r="E3515" s="7"/>
      <c r="F3515" s="5"/>
      <c r="G3515" s="5"/>
      <c r="H3515" s="5"/>
      <c r="I3515" s="5"/>
      <c r="J3515" s="5"/>
      <c r="K3515" s="5"/>
      <c r="L3515" s="54"/>
      <c r="M3515" s="5"/>
      <c r="N3515" s="53"/>
      <c r="Q3515" s="5"/>
      <c r="R3515" s="5"/>
      <c r="S3515" s="5"/>
      <c r="T3515" s="5"/>
      <c r="U3515" s="5"/>
      <c r="V3515" s="5"/>
    </row>
    <row r="3516" ht="12.75" customHeight="1">
      <c r="A3516" s="5"/>
      <c r="B3516" s="5"/>
      <c r="C3516" s="5"/>
      <c r="D3516" s="5"/>
      <c r="E3516" s="7"/>
      <c r="F3516" s="5"/>
      <c r="G3516" s="5"/>
      <c r="H3516" s="5"/>
      <c r="I3516" s="5"/>
      <c r="J3516" s="5"/>
      <c r="K3516" s="5"/>
      <c r="L3516" s="54"/>
      <c r="M3516" s="5"/>
      <c r="N3516" s="53"/>
      <c r="Q3516" s="5"/>
      <c r="R3516" s="5"/>
      <c r="S3516" s="5"/>
      <c r="T3516" s="5"/>
      <c r="U3516" s="5"/>
      <c r="V3516" s="5"/>
    </row>
    <row r="3517" ht="12.75" customHeight="1">
      <c r="A3517" s="5"/>
      <c r="B3517" s="5"/>
      <c r="C3517" s="5"/>
      <c r="D3517" s="5"/>
      <c r="E3517" s="7"/>
      <c r="F3517" s="5"/>
      <c r="G3517" s="5"/>
      <c r="H3517" s="5"/>
      <c r="I3517" s="5"/>
      <c r="J3517" s="5"/>
      <c r="K3517" s="5"/>
      <c r="L3517" s="54"/>
      <c r="M3517" s="5"/>
      <c r="N3517" s="53"/>
      <c r="Q3517" s="5"/>
      <c r="R3517" s="5"/>
      <c r="S3517" s="5"/>
      <c r="T3517" s="5"/>
      <c r="U3517" s="5"/>
      <c r="V3517" s="5"/>
    </row>
    <row r="3518" ht="12.75" customHeight="1">
      <c r="A3518" s="5"/>
      <c r="B3518" s="5"/>
      <c r="C3518" s="5"/>
      <c r="D3518" s="5"/>
      <c r="E3518" s="7"/>
      <c r="F3518" s="5"/>
      <c r="G3518" s="5"/>
      <c r="H3518" s="5"/>
      <c r="I3518" s="5"/>
      <c r="J3518" s="5"/>
      <c r="K3518" s="5"/>
      <c r="L3518" s="54"/>
      <c r="M3518" s="5"/>
      <c r="N3518" s="53"/>
      <c r="Q3518" s="5"/>
      <c r="R3518" s="5"/>
      <c r="S3518" s="5"/>
      <c r="T3518" s="5"/>
      <c r="U3518" s="5"/>
      <c r="V3518" s="5"/>
    </row>
    <row r="3519" ht="12.75" customHeight="1">
      <c r="A3519" s="5"/>
      <c r="B3519" s="5"/>
      <c r="C3519" s="5"/>
      <c r="D3519" s="5"/>
      <c r="E3519" s="7"/>
      <c r="F3519" s="5"/>
      <c r="G3519" s="5"/>
      <c r="H3519" s="5"/>
      <c r="I3519" s="5"/>
      <c r="J3519" s="5"/>
      <c r="K3519" s="5"/>
      <c r="L3519" s="54"/>
      <c r="M3519" s="5"/>
      <c r="N3519" s="53"/>
      <c r="Q3519" s="5"/>
      <c r="R3519" s="5"/>
      <c r="S3519" s="5"/>
      <c r="T3519" s="5"/>
      <c r="U3519" s="5"/>
      <c r="V3519" s="5"/>
    </row>
    <row r="3520" ht="12.75" customHeight="1">
      <c r="A3520" s="5"/>
      <c r="B3520" s="5"/>
      <c r="C3520" s="5"/>
      <c r="D3520" s="5"/>
      <c r="E3520" s="7"/>
      <c r="F3520" s="5"/>
      <c r="G3520" s="5"/>
      <c r="H3520" s="5"/>
      <c r="I3520" s="5"/>
      <c r="J3520" s="5"/>
      <c r="K3520" s="5"/>
      <c r="L3520" s="54"/>
      <c r="M3520" s="5"/>
      <c r="N3520" s="53"/>
      <c r="Q3520" s="5"/>
      <c r="R3520" s="5"/>
      <c r="S3520" s="5"/>
      <c r="T3520" s="5"/>
      <c r="U3520" s="5"/>
      <c r="V3520" s="5"/>
    </row>
    <row r="3521" ht="12.75" customHeight="1">
      <c r="A3521" s="5"/>
      <c r="B3521" s="5"/>
      <c r="C3521" s="5"/>
      <c r="D3521" s="5"/>
      <c r="E3521" s="7"/>
      <c r="F3521" s="5"/>
      <c r="G3521" s="5"/>
      <c r="H3521" s="5"/>
      <c r="I3521" s="5"/>
      <c r="J3521" s="5"/>
      <c r="K3521" s="5"/>
      <c r="L3521" s="54"/>
      <c r="M3521" s="5"/>
      <c r="N3521" s="53"/>
      <c r="Q3521" s="5"/>
      <c r="R3521" s="5"/>
      <c r="S3521" s="5"/>
      <c r="T3521" s="5"/>
      <c r="U3521" s="5"/>
      <c r="V3521" s="5"/>
    </row>
    <row r="3522" ht="12.75" customHeight="1">
      <c r="A3522" s="5"/>
      <c r="B3522" s="5"/>
      <c r="C3522" s="5"/>
      <c r="D3522" s="5"/>
      <c r="E3522" s="7"/>
      <c r="F3522" s="5"/>
      <c r="G3522" s="5"/>
      <c r="H3522" s="5"/>
      <c r="I3522" s="5"/>
      <c r="J3522" s="5"/>
      <c r="K3522" s="5"/>
      <c r="L3522" s="54"/>
      <c r="M3522" s="5"/>
      <c r="N3522" s="53"/>
      <c r="Q3522" s="5"/>
      <c r="R3522" s="5"/>
      <c r="S3522" s="5"/>
      <c r="T3522" s="5"/>
      <c r="U3522" s="5"/>
      <c r="V3522" s="5"/>
    </row>
    <row r="3523" ht="12.75" customHeight="1">
      <c r="A3523" s="5"/>
      <c r="B3523" s="5"/>
      <c r="C3523" s="5"/>
      <c r="D3523" s="5"/>
      <c r="E3523" s="7"/>
      <c r="F3523" s="5"/>
      <c r="G3523" s="5"/>
      <c r="H3523" s="5"/>
      <c r="I3523" s="5"/>
      <c r="J3523" s="5"/>
      <c r="K3523" s="5"/>
      <c r="L3523" s="54"/>
      <c r="M3523" s="5"/>
      <c r="N3523" s="53"/>
      <c r="Q3523" s="5"/>
      <c r="R3523" s="5"/>
      <c r="S3523" s="5"/>
      <c r="T3523" s="5"/>
      <c r="U3523" s="5"/>
      <c r="V3523" s="5"/>
    </row>
    <row r="3524" ht="12.75" customHeight="1">
      <c r="A3524" s="5"/>
      <c r="B3524" s="5"/>
      <c r="C3524" s="5"/>
      <c r="D3524" s="5"/>
      <c r="E3524" s="7"/>
      <c r="F3524" s="5"/>
      <c r="G3524" s="5"/>
      <c r="H3524" s="5"/>
      <c r="I3524" s="5"/>
      <c r="J3524" s="5"/>
      <c r="K3524" s="5"/>
      <c r="L3524" s="54"/>
      <c r="M3524" s="5"/>
      <c r="N3524" s="53"/>
      <c r="Q3524" s="5"/>
      <c r="R3524" s="5"/>
      <c r="S3524" s="5"/>
      <c r="T3524" s="5"/>
      <c r="U3524" s="5"/>
      <c r="V3524" s="5"/>
    </row>
    <row r="3525" ht="12.75" customHeight="1">
      <c r="A3525" s="5"/>
      <c r="B3525" s="5"/>
      <c r="C3525" s="5"/>
      <c r="D3525" s="5"/>
      <c r="E3525" s="7"/>
      <c r="F3525" s="5"/>
      <c r="G3525" s="5"/>
      <c r="H3525" s="5"/>
      <c r="I3525" s="5"/>
      <c r="J3525" s="5"/>
      <c r="K3525" s="5"/>
      <c r="L3525" s="54"/>
      <c r="M3525" s="5"/>
      <c r="N3525" s="53"/>
      <c r="Q3525" s="5"/>
      <c r="R3525" s="5"/>
      <c r="S3525" s="5"/>
      <c r="T3525" s="5"/>
      <c r="U3525" s="5"/>
      <c r="V3525" s="5"/>
    </row>
    <row r="3526" ht="12.75" customHeight="1">
      <c r="A3526" s="5"/>
      <c r="B3526" s="5"/>
      <c r="C3526" s="5"/>
      <c r="D3526" s="5"/>
      <c r="E3526" s="7"/>
      <c r="F3526" s="5"/>
      <c r="G3526" s="5"/>
      <c r="H3526" s="5"/>
      <c r="I3526" s="5"/>
      <c r="J3526" s="5"/>
      <c r="K3526" s="5"/>
      <c r="L3526" s="54"/>
      <c r="M3526" s="5"/>
      <c r="N3526" s="53"/>
      <c r="Q3526" s="5"/>
      <c r="R3526" s="5"/>
      <c r="S3526" s="5"/>
      <c r="T3526" s="5"/>
      <c r="U3526" s="5"/>
      <c r="V3526" s="5"/>
    </row>
    <row r="3527" ht="12.75" customHeight="1">
      <c r="A3527" s="5"/>
      <c r="B3527" s="5"/>
      <c r="C3527" s="5"/>
      <c r="D3527" s="5"/>
      <c r="E3527" s="7"/>
      <c r="F3527" s="5"/>
      <c r="G3527" s="5"/>
      <c r="H3527" s="5"/>
      <c r="I3527" s="5"/>
      <c r="J3527" s="5"/>
      <c r="K3527" s="5"/>
      <c r="L3527" s="54"/>
      <c r="M3527" s="5"/>
      <c r="N3527" s="53"/>
      <c r="Q3527" s="5"/>
      <c r="R3527" s="5"/>
      <c r="S3527" s="5"/>
      <c r="T3527" s="5"/>
      <c r="U3527" s="5"/>
      <c r="V3527" s="5"/>
    </row>
    <row r="3528" ht="12.75" customHeight="1">
      <c r="A3528" s="5"/>
      <c r="B3528" s="5"/>
      <c r="C3528" s="5"/>
      <c r="D3528" s="5"/>
      <c r="E3528" s="7"/>
      <c r="F3528" s="5"/>
      <c r="G3528" s="5"/>
      <c r="H3528" s="5"/>
      <c r="I3528" s="5"/>
      <c r="J3528" s="5"/>
      <c r="K3528" s="5"/>
      <c r="L3528" s="54"/>
      <c r="M3528" s="5"/>
      <c r="N3528" s="53"/>
      <c r="Q3528" s="5"/>
      <c r="R3528" s="5"/>
      <c r="S3528" s="5"/>
      <c r="T3528" s="5"/>
      <c r="U3528" s="5"/>
      <c r="V3528" s="5"/>
    </row>
    <row r="3529" ht="12.75" customHeight="1">
      <c r="A3529" s="5"/>
      <c r="B3529" s="5"/>
      <c r="C3529" s="5"/>
      <c r="D3529" s="5"/>
      <c r="E3529" s="7"/>
      <c r="F3529" s="5"/>
      <c r="G3529" s="5"/>
      <c r="H3529" s="5"/>
      <c r="I3529" s="5"/>
      <c r="J3529" s="5"/>
      <c r="K3529" s="5"/>
      <c r="L3529" s="54"/>
      <c r="M3529" s="5"/>
      <c r="N3529" s="53"/>
      <c r="Q3529" s="5"/>
      <c r="R3529" s="5"/>
      <c r="S3529" s="5"/>
      <c r="T3529" s="5"/>
      <c r="U3529" s="5"/>
      <c r="V3529" s="5"/>
    </row>
    <row r="3530" ht="12.75" customHeight="1">
      <c r="A3530" s="5"/>
      <c r="B3530" s="5"/>
      <c r="C3530" s="5"/>
      <c r="D3530" s="5"/>
      <c r="E3530" s="7"/>
      <c r="F3530" s="5"/>
      <c r="G3530" s="5"/>
      <c r="H3530" s="5"/>
      <c r="I3530" s="5"/>
      <c r="J3530" s="5"/>
      <c r="K3530" s="5"/>
      <c r="L3530" s="54"/>
      <c r="M3530" s="5"/>
      <c r="N3530" s="53"/>
      <c r="Q3530" s="5"/>
      <c r="R3530" s="5"/>
      <c r="S3530" s="5"/>
      <c r="T3530" s="5"/>
      <c r="U3530" s="5"/>
      <c r="V3530" s="5"/>
    </row>
    <row r="3531" ht="12.75" customHeight="1">
      <c r="A3531" s="5"/>
      <c r="B3531" s="5"/>
      <c r="C3531" s="5"/>
      <c r="D3531" s="5"/>
      <c r="E3531" s="7"/>
      <c r="F3531" s="5"/>
      <c r="G3531" s="5"/>
      <c r="H3531" s="5"/>
      <c r="I3531" s="5"/>
      <c r="J3531" s="5"/>
      <c r="K3531" s="5"/>
      <c r="L3531" s="54"/>
      <c r="M3531" s="5"/>
      <c r="N3531" s="53"/>
      <c r="Q3531" s="5"/>
      <c r="R3531" s="5"/>
      <c r="S3531" s="5"/>
      <c r="T3531" s="5"/>
      <c r="U3531" s="5"/>
      <c r="V3531" s="5"/>
    </row>
    <row r="3532" ht="12.75" customHeight="1">
      <c r="A3532" s="5"/>
      <c r="B3532" s="5"/>
      <c r="C3532" s="5"/>
      <c r="D3532" s="5"/>
      <c r="E3532" s="7"/>
      <c r="F3532" s="5"/>
      <c r="G3532" s="5"/>
      <c r="H3532" s="5"/>
      <c r="I3532" s="5"/>
      <c r="J3532" s="5"/>
      <c r="K3532" s="5"/>
      <c r="L3532" s="54"/>
      <c r="M3532" s="5"/>
      <c r="N3532" s="53"/>
      <c r="Q3532" s="5"/>
      <c r="R3532" s="5"/>
      <c r="S3532" s="5"/>
      <c r="T3532" s="5"/>
      <c r="U3532" s="5"/>
      <c r="V3532" s="5"/>
    </row>
    <row r="3533" ht="12.75" customHeight="1">
      <c r="A3533" s="5"/>
      <c r="B3533" s="5"/>
      <c r="C3533" s="5"/>
      <c r="D3533" s="5"/>
      <c r="E3533" s="7"/>
      <c r="F3533" s="5"/>
      <c r="G3533" s="5"/>
      <c r="H3533" s="5"/>
      <c r="I3533" s="5"/>
      <c r="J3533" s="5"/>
      <c r="K3533" s="5"/>
      <c r="L3533" s="54"/>
      <c r="M3533" s="5"/>
      <c r="N3533" s="53"/>
      <c r="Q3533" s="5"/>
      <c r="R3533" s="5"/>
      <c r="S3533" s="5"/>
      <c r="T3533" s="5"/>
      <c r="U3533" s="5"/>
      <c r="V3533" s="5"/>
    </row>
    <row r="3534" ht="12.75" customHeight="1">
      <c r="A3534" s="5"/>
      <c r="B3534" s="5"/>
      <c r="C3534" s="5"/>
      <c r="D3534" s="5"/>
      <c r="E3534" s="7"/>
      <c r="F3534" s="5"/>
      <c r="G3534" s="5"/>
      <c r="H3534" s="5"/>
      <c r="I3534" s="5"/>
      <c r="J3534" s="5"/>
      <c r="K3534" s="5"/>
      <c r="L3534" s="54"/>
      <c r="M3534" s="5"/>
      <c r="N3534" s="53"/>
      <c r="Q3534" s="5"/>
      <c r="R3534" s="5"/>
      <c r="S3534" s="5"/>
      <c r="T3534" s="5"/>
      <c r="U3534" s="5"/>
      <c r="V3534" s="5"/>
    </row>
    <row r="3535" ht="12.75" customHeight="1">
      <c r="A3535" s="5"/>
      <c r="B3535" s="5"/>
      <c r="C3535" s="5"/>
      <c r="D3535" s="5"/>
      <c r="E3535" s="7"/>
      <c r="F3535" s="5"/>
      <c r="G3535" s="5"/>
      <c r="H3535" s="5"/>
      <c r="I3535" s="5"/>
      <c r="J3535" s="5"/>
      <c r="K3535" s="5"/>
      <c r="L3535" s="54"/>
      <c r="M3535" s="5"/>
      <c r="N3535" s="53"/>
      <c r="Q3535" s="5"/>
      <c r="R3535" s="5"/>
      <c r="S3535" s="5"/>
      <c r="T3535" s="5"/>
      <c r="U3535" s="5"/>
      <c r="V3535" s="5"/>
    </row>
    <row r="3536" ht="12.75" customHeight="1">
      <c r="A3536" s="5"/>
      <c r="B3536" s="5"/>
      <c r="C3536" s="5"/>
      <c r="D3536" s="5"/>
      <c r="E3536" s="7"/>
      <c r="F3536" s="5"/>
      <c r="G3536" s="5"/>
      <c r="H3536" s="5"/>
      <c r="I3536" s="5"/>
      <c r="J3536" s="5"/>
      <c r="K3536" s="5"/>
      <c r="L3536" s="54"/>
      <c r="M3536" s="5"/>
      <c r="N3536" s="53"/>
      <c r="Q3536" s="5"/>
      <c r="R3536" s="5"/>
      <c r="S3536" s="5"/>
      <c r="T3536" s="5"/>
      <c r="U3536" s="5"/>
      <c r="V3536" s="5"/>
    </row>
    <row r="3537" ht="12.75" customHeight="1">
      <c r="A3537" s="5"/>
      <c r="B3537" s="5"/>
      <c r="C3537" s="5"/>
      <c r="D3537" s="5"/>
      <c r="E3537" s="7"/>
      <c r="F3537" s="5"/>
      <c r="G3537" s="5"/>
      <c r="H3537" s="5"/>
      <c r="I3537" s="5"/>
      <c r="J3537" s="5"/>
      <c r="K3537" s="5"/>
      <c r="L3537" s="54"/>
      <c r="M3537" s="5"/>
      <c r="N3537" s="53"/>
      <c r="Q3537" s="5"/>
      <c r="R3537" s="5"/>
      <c r="S3537" s="5"/>
      <c r="T3537" s="5"/>
      <c r="U3537" s="5"/>
      <c r="V3537" s="5"/>
    </row>
    <row r="3538" ht="12.75" customHeight="1">
      <c r="A3538" s="5"/>
      <c r="B3538" s="5"/>
      <c r="C3538" s="5"/>
      <c r="D3538" s="5"/>
      <c r="E3538" s="7"/>
      <c r="F3538" s="5"/>
      <c r="G3538" s="5"/>
      <c r="H3538" s="5"/>
      <c r="I3538" s="5"/>
      <c r="J3538" s="5"/>
      <c r="K3538" s="5"/>
      <c r="L3538" s="54"/>
      <c r="M3538" s="5"/>
      <c r="N3538" s="53"/>
      <c r="Q3538" s="5"/>
      <c r="R3538" s="5"/>
      <c r="S3538" s="5"/>
      <c r="T3538" s="5"/>
      <c r="U3538" s="5"/>
      <c r="V3538" s="5"/>
    </row>
    <row r="3539" ht="12.75" customHeight="1">
      <c r="A3539" s="5"/>
      <c r="B3539" s="5"/>
      <c r="C3539" s="5"/>
      <c r="D3539" s="5"/>
      <c r="E3539" s="7"/>
      <c r="F3539" s="5"/>
      <c r="G3539" s="5"/>
      <c r="H3539" s="5"/>
      <c r="I3539" s="5"/>
      <c r="J3539" s="5"/>
      <c r="K3539" s="5"/>
      <c r="L3539" s="54"/>
      <c r="M3539" s="5"/>
      <c r="N3539" s="53"/>
      <c r="Q3539" s="5"/>
      <c r="R3539" s="5"/>
      <c r="S3539" s="5"/>
      <c r="T3539" s="5"/>
      <c r="U3539" s="5"/>
      <c r="V3539" s="5"/>
    </row>
    <row r="3540" ht="12.75" customHeight="1">
      <c r="A3540" s="5"/>
      <c r="B3540" s="5"/>
      <c r="C3540" s="5"/>
      <c r="D3540" s="5"/>
      <c r="E3540" s="7"/>
      <c r="F3540" s="5"/>
      <c r="G3540" s="5"/>
      <c r="H3540" s="5"/>
      <c r="I3540" s="5"/>
      <c r="J3540" s="5"/>
      <c r="K3540" s="5"/>
      <c r="L3540" s="54"/>
      <c r="M3540" s="5"/>
      <c r="N3540" s="53"/>
      <c r="Q3540" s="5"/>
      <c r="R3540" s="5"/>
      <c r="S3540" s="5"/>
      <c r="T3540" s="5"/>
      <c r="U3540" s="5"/>
      <c r="V3540" s="5"/>
    </row>
    <row r="3541" ht="12.75" customHeight="1">
      <c r="A3541" s="5"/>
      <c r="B3541" s="5"/>
      <c r="C3541" s="5"/>
      <c r="D3541" s="5"/>
      <c r="E3541" s="7"/>
      <c r="F3541" s="5"/>
      <c r="G3541" s="5"/>
      <c r="H3541" s="5"/>
      <c r="I3541" s="5"/>
      <c r="J3541" s="5"/>
      <c r="K3541" s="5"/>
      <c r="L3541" s="54"/>
      <c r="M3541" s="5"/>
      <c r="N3541" s="53"/>
      <c r="Q3541" s="5"/>
      <c r="R3541" s="5"/>
      <c r="S3541" s="5"/>
      <c r="T3541" s="5"/>
      <c r="U3541" s="5"/>
      <c r="V3541" s="5"/>
    </row>
    <row r="3542" ht="12.75" customHeight="1">
      <c r="A3542" s="5"/>
      <c r="B3542" s="5"/>
      <c r="C3542" s="5"/>
      <c r="D3542" s="5"/>
      <c r="E3542" s="7"/>
      <c r="F3542" s="5"/>
      <c r="G3542" s="5"/>
      <c r="H3542" s="5"/>
      <c r="I3542" s="5"/>
      <c r="J3542" s="5"/>
      <c r="K3542" s="5"/>
      <c r="L3542" s="54"/>
      <c r="M3542" s="5"/>
      <c r="N3542" s="53"/>
      <c r="Q3542" s="5"/>
      <c r="R3542" s="5"/>
      <c r="S3542" s="5"/>
      <c r="T3542" s="5"/>
      <c r="U3542" s="5"/>
      <c r="V3542" s="5"/>
    </row>
    <row r="3543" ht="12.75" customHeight="1">
      <c r="A3543" s="5"/>
      <c r="B3543" s="5"/>
      <c r="C3543" s="5"/>
      <c r="D3543" s="5"/>
      <c r="E3543" s="7"/>
      <c r="F3543" s="5"/>
      <c r="G3543" s="5"/>
      <c r="H3543" s="5"/>
      <c r="I3543" s="5"/>
      <c r="J3543" s="5"/>
      <c r="K3543" s="5"/>
      <c r="L3543" s="54"/>
      <c r="M3543" s="5"/>
      <c r="N3543" s="53"/>
      <c r="Q3543" s="5"/>
      <c r="R3543" s="5"/>
      <c r="S3543" s="5"/>
      <c r="T3543" s="5"/>
      <c r="U3543" s="5"/>
      <c r="V3543" s="5"/>
    </row>
    <row r="3544" ht="12.75" customHeight="1">
      <c r="A3544" s="5"/>
      <c r="B3544" s="5"/>
      <c r="C3544" s="5"/>
      <c r="D3544" s="5"/>
      <c r="E3544" s="7"/>
      <c r="F3544" s="5"/>
      <c r="G3544" s="5"/>
      <c r="H3544" s="5"/>
      <c r="I3544" s="5"/>
      <c r="J3544" s="5"/>
      <c r="K3544" s="5"/>
      <c r="L3544" s="54"/>
      <c r="M3544" s="5"/>
      <c r="N3544" s="53"/>
      <c r="Q3544" s="5"/>
      <c r="R3544" s="5"/>
      <c r="S3544" s="5"/>
      <c r="T3544" s="5"/>
      <c r="U3544" s="5"/>
      <c r="V3544" s="5"/>
    </row>
    <row r="3545" ht="12.75" customHeight="1">
      <c r="A3545" s="5"/>
      <c r="B3545" s="5"/>
      <c r="C3545" s="5"/>
      <c r="D3545" s="5"/>
      <c r="E3545" s="7"/>
      <c r="F3545" s="5"/>
      <c r="G3545" s="5"/>
      <c r="H3545" s="5"/>
      <c r="I3545" s="5"/>
      <c r="J3545" s="5"/>
      <c r="K3545" s="5"/>
      <c r="L3545" s="54"/>
      <c r="M3545" s="5"/>
      <c r="N3545" s="53"/>
      <c r="Q3545" s="5"/>
      <c r="R3545" s="5"/>
      <c r="S3545" s="5"/>
      <c r="T3545" s="5"/>
      <c r="U3545" s="5"/>
      <c r="V3545" s="5"/>
    </row>
    <row r="3546" ht="12.75" customHeight="1">
      <c r="A3546" s="5"/>
      <c r="B3546" s="5"/>
      <c r="C3546" s="5"/>
      <c r="D3546" s="5"/>
      <c r="E3546" s="7"/>
      <c r="F3546" s="5"/>
      <c r="G3546" s="5"/>
      <c r="H3546" s="5"/>
      <c r="I3546" s="5"/>
      <c r="J3546" s="5"/>
      <c r="K3546" s="5"/>
      <c r="L3546" s="54"/>
      <c r="M3546" s="5"/>
      <c r="N3546" s="53"/>
      <c r="Q3546" s="5"/>
      <c r="R3546" s="5"/>
      <c r="S3546" s="5"/>
      <c r="T3546" s="5"/>
      <c r="U3546" s="5"/>
      <c r="V3546" s="5"/>
    </row>
    <row r="3547" ht="12.75" customHeight="1">
      <c r="A3547" s="5"/>
      <c r="B3547" s="5"/>
      <c r="C3547" s="5"/>
      <c r="D3547" s="5"/>
      <c r="E3547" s="7"/>
      <c r="F3547" s="5"/>
      <c r="G3547" s="5"/>
      <c r="H3547" s="5"/>
      <c r="I3547" s="5"/>
      <c r="J3547" s="5"/>
      <c r="K3547" s="5"/>
      <c r="L3547" s="54"/>
      <c r="M3547" s="5"/>
      <c r="N3547" s="53"/>
      <c r="Q3547" s="5"/>
      <c r="R3547" s="5"/>
      <c r="S3547" s="5"/>
      <c r="T3547" s="5"/>
      <c r="U3547" s="5"/>
      <c r="V3547" s="5"/>
    </row>
    <row r="3548" ht="12.75" customHeight="1">
      <c r="A3548" s="5"/>
      <c r="B3548" s="5"/>
      <c r="C3548" s="5"/>
      <c r="D3548" s="5"/>
      <c r="E3548" s="7"/>
      <c r="F3548" s="5"/>
      <c r="G3548" s="5"/>
      <c r="H3548" s="5"/>
      <c r="I3548" s="5"/>
      <c r="J3548" s="5"/>
      <c r="K3548" s="5"/>
      <c r="L3548" s="54"/>
      <c r="M3548" s="5"/>
      <c r="N3548" s="53"/>
      <c r="Q3548" s="5"/>
      <c r="R3548" s="5"/>
      <c r="S3548" s="5"/>
      <c r="T3548" s="5"/>
      <c r="U3548" s="5"/>
      <c r="V3548" s="5"/>
    </row>
    <row r="3549" ht="12.75" customHeight="1">
      <c r="A3549" s="5"/>
      <c r="B3549" s="5"/>
      <c r="C3549" s="5"/>
      <c r="D3549" s="5"/>
      <c r="E3549" s="7"/>
      <c r="F3549" s="5"/>
      <c r="G3549" s="5"/>
      <c r="H3549" s="5"/>
      <c r="I3549" s="5"/>
      <c r="J3549" s="5"/>
      <c r="K3549" s="5"/>
      <c r="L3549" s="54"/>
      <c r="M3549" s="5"/>
      <c r="N3549" s="53"/>
      <c r="Q3549" s="5"/>
      <c r="R3549" s="5"/>
      <c r="S3549" s="5"/>
      <c r="T3549" s="5"/>
      <c r="U3549" s="5"/>
      <c r="V3549" s="5"/>
    </row>
    <row r="3550" ht="12.75" customHeight="1">
      <c r="A3550" s="5"/>
      <c r="B3550" s="5"/>
      <c r="C3550" s="5"/>
      <c r="D3550" s="5"/>
      <c r="E3550" s="7"/>
      <c r="F3550" s="5"/>
      <c r="G3550" s="5"/>
      <c r="H3550" s="5"/>
      <c r="I3550" s="5"/>
      <c r="J3550" s="5"/>
      <c r="K3550" s="5"/>
      <c r="L3550" s="54"/>
      <c r="M3550" s="5"/>
      <c r="N3550" s="53"/>
      <c r="Q3550" s="5"/>
      <c r="R3550" s="5"/>
      <c r="S3550" s="5"/>
      <c r="T3550" s="5"/>
      <c r="U3550" s="5"/>
      <c r="V3550" s="5"/>
    </row>
    <row r="3551" ht="12.75" customHeight="1">
      <c r="A3551" s="5"/>
      <c r="B3551" s="5"/>
      <c r="C3551" s="5"/>
      <c r="D3551" s="5"/>
      <c r="E3551" s="7"/>
      <c r="F3551" s="5"/>
      <c r="G3551" s="5"/>
      <c r="H3551" s="5"/>
      <c r="I3551" s="5"/>
      <c r="J3551" s="5"/>
      <c r="K3551" s="5"/>
      <c r="L3551" s="54"/>
      <c r="M3551" s="5"/>
      <c r="N3551" s="53"/>
      <c r="Q3551" s="5"/>
      <c r="R3551" s="5"/>
      <c r="S3551" s="5"/>
      <c r="T3551" s="5"/>
      <c r="U3551" s="5"/>
      <c r="V3551" s="5"/>
    </row>
    <row r="3552" ht="12.75" customHeight="1">
      <c r="A3552" s="5"/>
      <c r="B3552" s="5"/>
      <c r="C3552" s="5"/>
      <c r="D3552" s="5"/>
      <c r="E3552" s="7"/>
      <c r="F3552" s="5"/>
      <c r="G3552" s="5"/>
      <c r="H3552" s="5"/>
      <c r="I3552" s="5"/>
      <c r="J3552" s="5"/>
      <c r="K3552" s="5"/>
      <c r="L3552" s="54"/>
      <c r="M3552" s="5"/>
      <c r="N3552" s="53"/>
      <c r="Q3552" s="5"/>
      <c r="R3552" s="5"/>
      <c r="S3552" s="5"/>
      <c r="T3552" s="5"/>
      <c r="U3552" s="5"/>
      <c r="V3552" s="5"/>
    </row>
    <row r="3553" ht="12.75" customHeight="1">
      <c r="A3553" s="5"/>
      <c r="B3553" s="5"/>
      <c r="C3553" s="5"/>
      <c r="D3553" s="5"/>
      <c r="E3553" s="7"/>
      <c r="F3553" s="5"/>
      <c r="G3553" s="5"/>
      <c r="H3553" s="5"/>
      <c r="I3553" s="5"/>
      <c r="J3553" s="5"/>
      <c r="K3553" s="5"/>
      <c r="L3553" s="54"/>
      <c r="M3553" s="5"/>
      <c r="N3553" s="53"/>
      <c r="Q3553" s="5"/>
      <c r="R3553" s="5"/>
      <c r="S3553" s="5"/>
      <c r="T3553" s="5"/>
      <c r="U3553" s="5"/>
      <c r="V3553" s="5"/>
    </row>
    <row r="3554" ht="12.75" customHeight="1">
      <c r="A3554" s="5"/>
      <c r="B3554" s="5"/>
      <c r="C3554" s="5"/>
      <c r="D3554" s="5"/>
      <c r="E3554" s="7"/>
      <c r="F3554" s="5"/>
      <c r="G3554" s="5"/>
      <c r="H3554" s="5"/>
      <c r="I3554" s="5"/>
      <c r="J3554" s="5"/>
      <c r="K3554" s="5"/>
      <c r="L3554" s="54"/>
      <c r="M3554" s="5"/>
      <c r="N3554" s="53"/>
      <c r="Q3554" s="5"/>
      <c r="R3554" s="5"/>
      <c r="S3554" s="5"/>
      <c r="T3554" s="5"/>
      <c r="U3554" s="5"/>
      <c r="V3554" s="5"/>
    </row>
    <row r="3555" ht="12.75" customHeight="1">
      <c r="A3555" s="5"/>
      <c r="B3555" s="5"/>
      <c r="C3555" s="5"/>
      <c r="D3555" s="5"/>
      <c r="E3555" s="7"/>
      <c r="F3555" s="5"/>
      <c r="G3555" s="5"/>
      <c r="H3555" s="5"/>
      <c r="I3555" s="5"/>
      <c r="J3555" s="5"/>
      <c r="K3555" s="5"/>
      <c r="L3555" s="54"/>
      <c r="M3555" s="5"/>
      <c r="N3555" s="53"/>
      <c r="Q3555" s="5"/>
      <c r="R3555" s="5"/>
      <c r="S3555" s="5"/>
      <c r="T3555" s="5"/>
      <c r="U3555" s="5"/>
      <c r="V3555" s="5"/>
    </row>
    <row r="3556" ht="12.75" customHeight="1">
      <c r="A3556" s="5"/>
      <c r="B3556" s="5"/>
      <c r="C3556" s="5"/>
      <c r="D3556" s="5"/>
      <c r="E3556" s="7"/>
      <c r="F3556" s="5"/>
      <c r="G3556" s="5"/>
      <c r="H3556" s="5"/>
      <c r="I3556" s="5"/>
      <c r="J3556" s="5"/>
      <c r="K3556" s="5"/>
      <c r="L3556" s="54"/>
      <c r="M3556" s="5"/>
      <c r="N3556" s="53"/>
      <c r="Q3556" s="5"/>
      <c r="R3556" s="5"/>
      <c r="S3556" s="5"/>
      <c r="T3556" s="5"/>
      <c r="U3556" s="5"/>
      <c r="V3556" s="5"/>
    </row>
    <row r="3557" ht="12.75" customHeight="1">
      <c r="A3557" s="5"/>
      <c r="B3557" s="5"/>
      <c r="C3557" s="5"/>
      <c r="D3557" s="5"/>
      <c r="E3557" s="7"/>
      <c r="F3557" s="5"/>
      <c r="G3557" s="5"/>
      <c r="H3557" s="5"/>
      <c r="I3557" s="5"/>
      <c r="J3557" s="5"/>
      <c r="K3557" s="5"/>
      <c r="L3557" s="54"/>
      <c r="M3557" s="5"/>
      <c r="N3557" s="53"/>
      <c r="Q3557" s="5"/>
      <c r="R3557" s="5"/>
      <c r="S3557" s="5"/>
      <c r="T3557" s="5"/>
      <c r="U3557" s="5"/>
      <c r="V3557" s="5"/>
    </row>
    <row r="3558" ht="12.75" customHeight="1">
      <c r="A3558" s="5"/>
      <c r="B3558" s="5"/>
      <c r="C3558" s="5"/>
      <c r="D3558" s="5"/>
      <c r="E3558" s="7"/>
      <c r="F3558" s="5"/>
      <c r="G3558" s="5"/>
      <c r="H3558" s="5"/>
      <c r="I3558" s="5"/>
      <c r="J3558" s="5"/>
      <c r="K3558" s="5"/>
      <c r="L3558" s="54"/>
      <c r="M3558" s="5"/>
      <c r="N3558" s="53"/>
      <c r="Q3558" s="5"/>
      <c r="R3558" s="5"/>
      <c r="S3558" s="5"/>
      <c r="T3558" s="5"/>
      <c r="U3558" s="5"/>
      <c r="V3558" s="5"/>
    </row>
    <row r="3559" ht="12.75" customHeight="1">
      <c r="A3559" s="5"/>
      <c r="B3559" s="5"/>
      <c r="C3559" s="5"/>
      <c r="D3559" s="5"/>
      <c r="E3559" s="7"/>
      <c r="F3559" s="5"/>
      <c r="G3559" s="5"/>
      <c r="H3559" s="5"/>
      <c r="I3559" s="5"/>
      <c r="J3559" s="5"/>
      <c r="K3559" s="5"/>
      <c r="L3559" s="54"/>
      <c r="M3559" s="5"/>
      <c r="N3559" s="53"/>
      <c r="Q3559" s="5"/>
      <c r="R3559" s="5"/>
      <c r="S3559" s="5"/>
      <c r="T3559" s="5"/>
      <c r="U3559" s="5"/>
      <c r="V3559" s="5"/>
    </row>
    <row r="3560" ht="12.75" customHeight="1">
      <c r="A3560" s="5"/>
      <c r="B3560" s="5"/>
      <c r="C3560" s="5"/>
      <c r="D3560" s="5"/>
      <c r="E3560" s="7"/>
      <c r="F3560" s="5"/>
      <c r="G3560" s="5"/>
      <c r="H3560" s="5"/>
      <c r="I3560" s="5"/>
      <c r="J3560" s="5"/>
      <c r="K3560" s="5"/>
      <c r="L3560" s="54"/>
      <c r="M3560" s="5"/>
      <c r="N3560" s="53"/>
      <c r="Q3560" s="5"/>
      <c r="R3560" s="5"/>
      <c r="S3560" s="5"/>
      <c r="T3560" s="5"/>
      <c r="U3560" s="5"/>
      <c r="V3560" s="5"/>
    </row>
    <row r="3561" ht="12.75" customHeight="1">
      <c r="A3561" s="5"/>
      <c r="B3561" s="5"/>
      <c r="C3561" s="5"/>
      <c r="D3561" s="5"/>
      <c r="E3561" s="7"/>
      <c r="F3561" s="5"/>
      <c r="G3561" s="5"/>
      <c r="H3561" s="5"/>
      <c r="I3561" s="5"/>
      <c r="J3561" s="5"/>
      <c r="K3561" s="5"/>
      <c r="L3561" s="54"/>
      <c r="M3561" s="5"/>
      <c r="N3561" s="53"/>
      <c r="Q3561" s="5"/>
      <c r="R3561" s="5"/>
      <c r="S3561" s="5"/>
      <c r="T3561" s="5"/>
      <c r="U3561" s="5"/>
      <c r="V3561" s="5"/>
    </row>
    <row r="3562" ht="12.75" customHeight="1">
      <c r="A3562" s="5"/>
      <c r="B3562" s="5"/>
      <c r="C3562" s="5"/>
      <c r="D3562" s="5"/>
      <c r="E3562" s="7"/>
      <c r="F3562" s="5"/>
      <c r="G3562" s="5"/>
      <c r="H3562" s="5"/>
      <c r="I3562" s="5"/>
      <c r="J3562" s="5"/>
      <c r="K3562" s="5"/>
      <c r="L3562" s="54"/>
      <c r="M3562" s="5"/>
      <c r="N3562" s="53"/>
      <c r="Q3562" s="5"/>
      <c r="R3562" s="5"/>
      <c r="S3562" s="5"/>
      <c r="T3562" s="5"/>
      <c r="U3562" s="5"/>
      <c r="V3562" s="5"/>
    </row>
    <row r="3563" ht="12.75" customHeight="1">
      <c r="A3563" s="5"/>
      <c r="B3563" s="5"/>
      <c r="C3563" s="5"/>
      <c r="D3563" s="5"/>
      <c r="E3563" s="7"/>
      <c r="F3563" s="5"/>
      <c r="G3563" s="5"/>
      <c r="H3563" s="5"/>
      <c r="I3563" s="5"/>
      <c r="J3563" s="5"/>
      <c r="K3563" s="5"/>
      <c r="L3563" s="54"/>
      <c r="M3563" s="5"/>
      <c r="N3563" s="53"/>
      <c r="Q3563" s="5"/>
      <c r="R3563" s="5"/>
      <c r="S3563" s="5"/>
      <c r="T3563" s="5"/>
      <c r="U3563" s="5"/>
      <c r="V3563" s="5"/>
    </row>
    <row r="3564" ht="12.75" customHeight="1">
      <c r="A3564" s="5"/>
      <c r="B3564" s="5"/>
      <c r="C3564" s="5"/>
      <c r="D3564" s="5"/>
      <c r="E3564" s="7"/>
      <c r="F3564" s="5"/>
      <c r="G3564" s="5"/>
      <c r="H3564" s="5"/>
      <c r="I3564" s="5"/>
      <c r="J3564" s="5"/>
      <c r="K3564" s="5"/>
      <c r="L3564" s="54"/>
      <c r="M3564" s="5"/>
      <c r="N3564" s="53"/>
      <c r="Q3564" s="5"/>
      <c r="R3564" s="5"/>
      <c r="S3564" s="5"/>
      <c r="T3564" s="5"/>
      <c r="U3564" s="5"/>
      <c r="V3564" s="5"/>
    </row>
    <row r="3565" ht="12.75" customHeight="1">
      <c r="A3565" s="5"/>
      <c r="B3565" s="5"/>
      <c r="C3565" s="5"/>
      <c r="D3565" s="5"/>
      <c r="E3565" s="7"/>
      <c r="F3565" s="5"/>
      <c r="G3565" s="5"/>
      <c r="H3565" s="5"/>
      <c r="I3565" s="5"/>
      <c r="J3565" s="5"/>
      <c r="K3565" s="5"/>
      <c r="L3565" s="54"/>
      <c r="M3565" s="5"/>
      <c r="N3565" s="53"/>
      <c r="Q3565" s="5"/>
      <c r="R3565" s="5"/>
      <c r="S3565" s="5"/>
      <c r="T3565" s="5"/>
      <c r="U3565" s="5"/>
      <c r="V3565" s="5"/>
    </row>
    <row r="3566" ht="12.75" customHeight="1">
      <c r="A3566" s="5"/>
      <c r="B3566" s="5"/>
      <c r="C3566" s="5"/>
      <c r="D3566" s="5"/>
      <c r="E3566" s="7"/>
      <c r="F3566" s="5"/>
      <c r="G3566" s="5"/>
      <c r="H3566" s="5"/>
      <c r="I3566" s="5"/>
      <c r="J3566" s="5"/>
      <c r="K3566" s="5"/>
      <c r="L3566" s="54"/>
      <c r="M3566" s="5"/>
      <c r="N3566" s="53"/>
      <c r="Q3566" s="5"/>
      <c r="R3566" s="5"/>
      <c r="S3566" s="5"/>
      <c r="T3566" s="5"/>
      <c r="U3566" s="5"/>
      <c r="V3566" s="5"/>
    </row>
    <row r="3567" ht="12.75" customHeight="1">
      <c r="A3567" s="5"/>
      <c r="B3567" s="5"/>
      <c r="C3567" s="5"/>
      <c r="D3567" s="5"/>
      <c r="E3567" s="7"/>
      <c r="F3567" s="5"/>
      <c r="G3567" s="5"/>
      <c r="H3567" s="5"/>
      <c r="I3567" s="5"/>
      <c r="J3567" s="5"/>
      <c r="K3567" s="5"/>
      <c r="L3567" s="54"/>
      <c r="M3567" s="5"/>
      <c r="N3567" s="53"/>
      <c r="Q3567" s="5"/>
      <c r="R3567" s="5"/>
      <c r="S3567" s="5"/>
      <c r="T3567" s="5"/>
      <c r="U3567" s="5"/>
      <c r="V3567" s="5"/>
    </row>
    <row r="3568" ht="12.75" customHeight="1">
      <c r="A3568" s="5"/>
      <c r="B3568" s="5"/>
      <c r="C3568" s="5"/>
      <c r="D3568" s="5"/>
      <c r="E3568" s="7"/>
      <c r="F3568" s="5"/>
      <c r="G3568" s="5"/>
      <c r="H3568" s="5"/>
      <c r="I3568" s="5"/>
      <c r="J3568" s="5"/>
      <c r="K3568" s="5"/>
      <c r="L3568" s="54"/>
      <c r="M3568" s="5"/>
      <c r="N3568" s="53"/>
      <c r="Q3568" s="5"/>
      <c r="R3568" s="5"/>
      <c r="S3568" s="5"/>
      <c r="T3568" s="5"/>
      <c r="U3568" s="5"/>
      <c r="V3568" s="5"/>
    </row>
    <row r="3569" ht="12.75" customHeight="1">
      <c r="A3569" s="5"/>
      <c r="B3569" s="5"/>
      <c r="C3569" s="5"/>
      <c r="D3569" s="5"/>
      <c r="E3569" s="7"/>
      <c r="F3569" s="5"/>
      <c r="G3569" s="5"/>
      <c r="H3569" s="5"/>
      <c r="I3569" s="5"/>
      <c r="J3569" s="5"/>
      <c r="K3569" s="5"/>
      <c r="L3569" s="54"/>
      <c r="M3569" s="5"/>
      <c r="N3569" s="53"/>
      <c r="Q3569" s="5"/>
      <c r="R3569" s="5"/>
      <c r="S3569" s="5"/>
      <c r="T3569" s="5"/>
      <c r="U3569" s="5"/>
      <c r="V3569" s="5"/>
    </row>
    <row r="3570" ht="12.75" customHeight="1">
      <c r="A3570" s="5"/>
      <c r="B3570" s="5"/>
      <c r="C3570" s="5"/>
      <c r="D3570" s="5"/>
      <c r="E3570" s="7"/>
      <c r="F3570" s="5"/>
      <c r="G3570" s="5"/>
      <c r="H3570" s="5"/>
      <c r="I3570" s="5"/>
      <c r="J3570" s="5"/>
      <c r="K3570" s="5"/>
      <c r="L3570" s="54"/>
      <c r="M3570" s="5"/>
      <c r="N3570" s="53"/>
      <c r="Q3570" s="5"/>
      <c r="R3570" s="5"/>
      <c r="S3570" s="5"/>
      <c r="T3570" s="5"/>
      <c r="U3570" s="5"/>
      <c r="V3570" s="5"/>
    </row>
    <row r="3571" ht="12.75" customHeight="1">
      <c r="A3571" s="5"/>
      <c r="B3571" s="5"/>
      <c r="C3571" s="5"/>
      <c r="D3571" s="5"/>
      <c r="E3571" s="7"/>
      <c r="F3571" s="5"/>
      <c r="G3571" s="5"/>
      <c r="H3571" s="5"/>
      <c r="I3571" s="5"/>
      <c r="J3571" s="5"/>
      <c r="K3571" s="5"/>
      <c r="L3571" s="54"/>
      <c r="M3571" s="5"/>
      <c r="N3571" s="53"/>
      <c r="Q3571" s="5"/>
      <c r="R3571" s="5"/>
      <c r="S3571" s="5"/>
      <c r="T3571" s="5"/>
      <c r="U3571" s="5"/>
      <c r="V3571" s="5"/>
    </row>
    <row r="3572" ht="12.75" customHeight="1">
      <c r="A3572" s="5"/>
      <c r="B3572" s="5"/>
      <c r="C3572" s="5"/>
      <c r="D3572" s="5"/>
      <c r="E3572" s="7"/>
      <c r="F3572" s="5"/>
      <c r="G3572" s="5"/>
      <c r="H3572" s="5"/>
      <c r="I3572" s="5"/>
      <c r="J3572" s="5"/>
      <c r="K3572" s="5"/>
      <c r="L3572" s="54"/>
      <c r="M3572" s="5"/>
      <c r="N3572" s="53"/>
      <c r="Q3572" s="5"/>
      <c r="R3572" s="5"/>
      <c r="S3572" s="5"/>
      <c r="T3572" s="5"/>
      <c r="U3572" s="5"/>
      <c r="V3572" s="5"/>
    </row>
    <row r="3573" ht="12.75" customHeight="1">
      <c r="A3573" s="5"/>
      <c r="B3573" s="5"/>
      <c r="C3573" s="5"/>
      <c r="D3573" s="5"/>
      <c r="E3573" s="7"/>
      <c r="F3573" s="5"/>
      <c r="G3573" s="5"/>
      <c r="H3573" s="5"/>
      <c r="I3573" s="5"/>
      <c r="J3573" s="5"/>
      <c r="K3573" s="5"/>
      <c r="L3573" s="54"/>
      <c r="M3573" s="5"/>
      <c r="N3573" s="53"/>
      <c r="Q3573" s="5"/>
      <c r="R3573" s="5"/>
      <c r="S3573" s="5"/>
      <c r="T3573" s="5"/>
      <c r="U3573" s="5"/>
      <c r="V3573" s="5"/>
    </row>
    <row r="3574" ht="12.75" customHeight="1">
      <c r="A3574" s="5"/>
      <c r="B3574" s="5"/>
      <c r="C3574" s="5"/>
      <c r="D3574" s="5"/>
      <c r="E3574" s="7"/>
      <c r="F3574" s="5"/>
      <c r="G3574" s="5"/>
      <c r="H3574" s="5"/>
      <c r="I3574" s="5"/>
      <c r="J3574" s="5"/>
      <c r="K3574" s="5"/>
      <c r="L3574" s="54"/>
      <c r="M3574" s="5"/>
      <c r="N3574" s="53"/>
      <c r="Q3574" s="5"/>
      <c r="R3574" s="5"/>
      <c r="S3574" s="5"/>
      <c r="T3574" s="5"/>
      <c r="U3574" s="5"/>
      <c r="V3574" s="5"/>
    </row>
    <row r="3575" ht="12.75" customHeight="1">
      <c r="A3575" s="5"/>
      <c r="B3575" s="5"/>
      <c r="C3575" s="5"/>
      <c r="D3575" s="5"/>
      <c r="E3575" s="7"/>
      <c r="F3575" s="5"/>
      <c r="G3575" s="5"/>
      <c r="H3575" s="5"/>
      <c r="I3575" s="5"/>
      <c r="J3575" s="5"/>
      <c r="K3575" s="5"/>
      <c r="L3575" s="54"/>
      <c r="M3575" s="5"/>
      <c r="N3575" s="53"/>
      <c r="Q3575" s="5"/>
      <c r="R3575" s="5"/>
      <c r="S3575" s="5"/>
      <c r="T3575" s="5"/>
      <c r="U3575" s="5"/>
      <c r="V3575" s="5"/>
    </row>
    <row r="3576" ht="12.75" customHeight="1">
      <c r="A3576" s="5"/>
      <c r="B3576" s="5"/>
      <c r="C3576" s="5"/>
      <c r="D3576" s="5"/>
      <c r="E3576" s="7"/>
      <c r="F3576" s="5"/>
      <c r="G3576" s="5"/>
      <c r="H3576" s="5"/>
      <c r="I3576" s="5"/>
      <c r="J3576" s="5"/>
      <c r="K3576" s="5"/>
      <c r="L3576" s="54"/>
      <c r="M3576" s="5"/>
      <c r="N3576" s="53"/>
      <c r="Q3576" s="5"/>
      <c r="R3576" s="5"/>
      <c r="S3576" s="5"/>
      <c r="T3576" s="5"/>
      <c r="U3576" s="5"/>
      <c r="V3576" s="5"/>
    </row>
    <row r="3577" ht="12.75" customHeight="1">
      <c r="A3577" s="5"/>
      <c r="B3577" s="5"/>
      <c r="C3577" s="5"/>
      <c r="D3577" s="5"/>
      <c r="E3577" s="7"/>
      <c r="F3577" s="5"/>
      <c r="G3577" s="5"/>
      <c r="H3577" s="5"/>
      <c r="I3577" s="5"/>
      <c r="J3577" s="5"/>
      <c r="K3577" s="5"/>
      <c r="L3577" s="54"/>
      <c r="M3577" s="5"/>
      <c r="N3577" s="53"/>
      <c r="Q3577" s="5"/>
      <c r="R3577" s="5"/>
      <c r="S3577" s="5"/>
      <c r="T3577" s="5"/>
      <c r="U3577" s="5"/>
      <c r="V3577" s="5"/>
    </row>
    <row r="3578" ht="12.75" customHeight="1">
      <c r="A3578" s="5"/>
      <c r="B3578" s="5"/>
      <c r="C3578" s="5"/>
      <c r="D3578" s="5"/>
      <c r="E3578" s="7"/>
      <c r="F3578" s="5"/>
      <c r="G3578" s="5"/>
      <c r="H3578" s="5"/>
      <c r="I3578" s="5"/>
      <c r="J3578" s="5"/>
      <c r="K3578" s="5"/>
      <c r="L3578" s="54"/>
      <c r="M3578" s="5"/>
      <c r="N3578" s="53"/>
      <c r="Q3578" s="5"/>
      <c r="R3578" s="5"/>
      <c r="S3578" s="5"/>
      <c r="T3578" s="5"/>
      <c r="U3578" s="5"/>
      <c r="V3578" s="5"/>
    </row>
    <row r="3579" ht="12.75" customHeight="1">
      <c r="A3579" s="5"/>
      <c r="B3579" s="5"/>
      <c r="C3579" s="5"/>
      <c r="D3579" s="5"/>
      <c r="E3579" s="7"/>
      <c r="F3579" s="5"/>
      <c r="G3579" s="5"/>
      <c r="H3579" s="5"/>
      <c r="I3579" s="5"/>
      <c r="J3579" s="5"/>
      <c r="K3579" s="5"/>
      <c r="L3579" s="54"/>
      <c r="M3579" s="5"/>
      <c r="N3579" s="53"/>
      <c r="Q3579" s="5"/>
      <c r="R3579" s="5"/>
      <c r="S3579" s="5"/>
      <c r="T3579" s="5"/>
      <c r="U3579" s="5"/>
      <c r="V3579" s="5"/>
    </row>
    <row r="3580" ht="12.75" customHeight="1">
      <c r="A3580" s="5"/>
      <c r="B3580" s="5"/>
      <c r="C3580" s="5"/>
      <c r="D3580" s="5"/>
      <c r="E3580" s="7"/>
      <c r="F3580" s="5"/>
      <c r="G3580" s="5"/>
      <c r="H3580" s="5"/>
      <c r="I3580" s="5"/>
      <c r="J3580" s="5"/>
      <c r="K3580" s="5"/>
      <c r="L3580" s="54"/>
      <c r="M3580" s="5"/>
      <c r="N3580" s="53"/>
      <c r="Q3580" s="5"/>
      <c r="R3580" s="5"/>
      <c r="S3580" s="5"/>
      <c r="T3580" s="5"/>
      <c r="U3580" s="5"/>
      <c r="V3580" s="5"/>
    </row>
    <row r="3581" ht="12.75" customHeight="1">
      <c r="A3581" s="5"/>
      <c r="B3581" s="5"/>
      <c r="C3581" s="5"/>
      <c r="D3581" s="5"/>
      <c r="E3581" s="7"/>
      <c r="F3581" s="5"/>
      <c r="G3581" s="5"/>
      <c r="H3581" s="5"/>
      <c r="I3581" s="5"/>
      <c r="J3581" s="5"/>
      <c r="K3581" s="5"/>
      <c r="L3581" s="54"/>
      <c r="M3581" s="5"/>
      <c r="N3581" s="53"/>
      <c r="Q3581" s="5"/>
      <c r="R3581" s="5"/>
      <c r="S3581" s="5"/>
      <c r="T3581" s="5"/>
      <c r="U3581" s="5"/>
      <c r="V3581" s="5"/>
    </row>
    <row r="3582" ht="12.75" customHeight="1">
      <c r="A3582" s="5"/>
      <c r="B3582" s="5"/>
      <c r="C3582" s="5"/>
      <c r="D3582" s="5"/>
      <c r="E3582" s="7"/>
      <c r="F3582" s="5"/>
      <c r="G3582" s="5"/>
      <c r="H3582" s="5"/>
      <c r="I3582" s="5"/>
      <c r="J3582" s="5"/>
      <c r="K3582" s="5"/>
      <c r="L3582" s="54"/>
      <c r="M3582" s="5"/>
      <c r="N3582" s="53"/>
      <c r="Q3582" s="5"/>
      <c r="R3582" s="5"/>
      <c r="S3582" s="5"/>
      <c r="T3582" s="5"/>
      <c r="U3582" s="5"/>
      <c r="V3582" s="5"/>
    </row>
    <row r="3583" ht="12.75" customHeight="1">
      <c r="A3583" s="5"/>
      <c r="B3583" s="5"/>
      <c r="C3583" s="5"/>
      <c r="D3583" s="5"/>
      <c r="E3583" s="7"/>
      <c r="F3583" s="5"/>
      <c r="G3583" s="5"/>
      <c r="H3583" s="5"/>
      <c r="I3583" s="5"/>
      <c r="J3583" s="5"/>
      <c r="K3583" s="5"/>
      <c r="L3583" s="54"/>
      <c r="M3583" s="5"/>
      <c r="N3583" s="53"/>
      <c r="Q3583" s="5"/>
      <c r="R3583" s="5"/>
      <c r="S3583" s="5"/>
      <c r="T3583" s="5"/>
      <c r="U3583" s="5"/>
      <c r="V3583" s="5"/>
    </row>
    <row r="3584" ht="12.75" customHeight="1">
      <c r="A3584" s="5"/>
      <c r="B3584" s="5"/>
      <c r="C3584" s="5"/>
      <c r="D3584" s="5"/>
      <c r="E3584" s="7"/>
      <c r="F3584" s="5"/>
      <c r="G3584" s="5"/>
      <c r="H3584" s="5"/>
      <c r="I3584" s="5"/>
      <c r="J3584" s="5"/>
      <c r="K3584" s="5"/>
      <c r="L3584" s="54"/>
      <c r="M3584" s="5"/>
      <c r="N3584" s="53"/>
      <c r="Q3584" s="5"/>
      <c r="R3584" s="5"/>
      <c r="S3584" s="5"/>
      <c r="T3584" s="5"/>
      <c r="U3584" s="5"/>
      <c r="V3584" s="5"/>
    </row>
    <row r="3585" ht="12.75" customHeight="1">
      <c r="A3585" s="5"/>
      <c r="B3585" s="5"/>
      <c r="C3585" s="5"/>
      <c r="D3585" s="5"/>
      <c r="E3585" s="7"/>
      <c r="F3585" s="5"/>
      <c r="G3585" s="5"/>
      <c r="H3585" s="5"/>
      <c r="I3585" s="5"/>
      <c r="J3585" s="5"/>
      <c r="K3585" s="5"/>
      <c r="L3585" s="54"/>
      <c r="M3585" s="5"/>
      <c r="N3585" s="53"/>
      <c r="Q3585" s="5"/>
      <c r="R3585" s="5"/>
      <c r="S3585" s="5"/>
      <c r="T3585" s="5"/>
      <c r="U3585" s="5"/>
      <c r="V3585" s="5"/>
    </row>
    <row r="3586" ht="12.75" customHeight="1">
      <c r="A3586" s="5"/>
      <c r="B3586" s="5"/>
      <c r="C3586" s="5"/>
      <c r="D3586" s="5"/>
      <c r="E3586" s="7"/>
      <c r="F3586" s="5"/>
      <c r="G3586" s="5"/>
      <c r="H3586" s="5"/>
      <c r="I3586" s="5"/>
      <c r="J3586" s="5"/>
      <c r="K3586" s="5"/>
      <c r="L3586" s="54"/>
      <c r="M3586" s="5"/>
      <c r="N3586" s="53"/>
      <c r="Q3586" s="5"/>
      <c r="R3586" s="5"/>
      <c r="S3586" s="5"/>
      <c r="T3586" s="5"/>
      <c r="U3586" s="5"/>
      <c r="V3586" s="5"/>
    </row>
    <row r="3587" ht="12.75" customHeight="1">
      <c r="A3587" s="5"/>
      <c r="B3587" s="5"/>
      <c r="C3587" s="5"/>
      <c r="D3587" s="5"/>
      <c r="E3587" s="7"/>
      <c r="F3587" s="5"/>
      <c r="G3587" s="5"/>
      <c r="H3587" s="5"/>
      <c r="I3587" s="5"/>
      <c r="J3587" s="5"/>
      <c r="K3587" s="5"/>
      <c r="L3587" s="54"/>
      <c r="M3587" s="5"/>
      <c r="N3587" s="53"/>
      <c r="Q3587" s="5"/>
      <c r="R3587" s="5"/>
      <c r="S3587" s="5"/>
      <c r="T3587" s="5"/>
      <c r="U3587" s="5"/>
      <c r="V3587" s="5"/>
    </row>
    <row r="3588" ht="12.75" customHeight="1">
      <c r="A3588" s="5"/>
      <c r="B3588" s="5"/>
      <c r="C3588" s="5"/>
      <c r="D3588" s="5"/>
      <c r="E3588" s="7"/>
      <c r="F3588" s="5"/>
      <c r="G3588" s="5"/>
      <c r="H3588" s="5"/>
      <c r="I3588" s="5"/>
      <c r="J3588" s="5"/>
      <c r="K3588" s="5"/>
      <c r="L3588" s="54"/>
      <c r="M3588" s="5"/>
      <c r="N3588" s="53"/>
      <c r="Q3588" s="5"/>
      <c r="R3588" s="5"/>
      <c r="S3588" s="5"/>
      <c r="T3588" s="5"/>
      <c r="U3588" s="5"/>
      <c r="V3588" s="5"/>
    </row>
    <row r="3589" ht="12.75" customHeight="1">
      <c r="A3589" s="5"/>
      <c r="B3589" s="5"/>
      <c r="C3589" s="5"/>
      <c r="D3589" s="5"/>
      <c r="E3589" s="7"/>
      <c r="F3589" s="5"/>
      <c r="G3589" s="5"/>
      <c r="H3589" s="5"/>
      <c r="I3589" s="5"/>
      <c r="J3589" s="5"/>
      <c r="K3589" s="5"/>
      <c r="L3589" s="54"/>
      <c r="M3589" s="5"/>
      <c r="N3589" s="53"/>
      <c r="Q3589" s="5"/>
      <c r="R3589" s="5"/>
      <c r="S3589" s="5"/>
      <c r="T3589" s="5"/>
      <c r="U3589" s="5"/>
      <c r="V3589" s="5"/>
    </row>
    <row r="3590" ht="12.75" customHeight="1">
      <c r="A3590" s="5"/>
      <c r="B3590" s="5"/>
      <c r="C3590" s="5"/>
      <c r="D3590" s="5"/>
      <c r="E3590" s="7"/>
      <c r="F3590" s="5"/>
      <c r="G3590" s="5"/>
      <c r="H3590" s="5"/>
      <c r="I3590" s="5"/>
      <c r="J3590" s="5"/>
      <c r="K3590" s="5"/>
      <c r="L3590" s="54"/>
      <c r="M3590" s="5"/>
      <c r="N3590" s="53"/>
      <c r="Q3590" s="5"/>
      <c r="R3590" s="5"/>
      <c r="S3590" s="5"/>
      <c r="T3590" s="5"/>
      <c r="U3590" s="5"/>
      <c r="V3590" s="5"/>
    </row>
    <row r="3591" ht="12.75" customHeight="1">
      <c r="A3591" s="5"/>
      <c r="B3591" s="5"/>
      <c r="C3591" s="5"/>
      <c r="D3591" s="5"/>
      <c r="E3591" s="7"/>
      <c r="F3591" s="5"/>
      <c r="G3591" s="5"/>
      <c r="H3591" s="5"/>
      <c r="I3591" s="5"/>
      <c r="J3591" s="5"/>
      <c r="K3591" s="5"/>
      <c r="L3591" s="54"/>
      <c r="M3591" s="5"/>
      <c r="N3591" s="53"/>
      <c r="Q3591" s="5"/>
      <c r="R3591" s="5"/>
      <c r="S3591" s="5"/>
      <c r="T3591" s="5"/>
      <c r="U3591" s="5"/>
      <c r="V3591" s="5"/>
    </row>
    <row r="3592" ht="12.75" customHeight="1">
      <c r="A3592" s="5"/>
      <c r="B3592" s="5"/>
      <c r="C3592" s="5"/>
      <c r="D3592" s="5"/>
      <c r="E3592" s="7"/>
      <c r="F3592" s="5"/>
      <c r="G3592" s="5"/>
      <c r="H3592" s="5"/>
      <c r="I3592" s="5"/>
      <c r="J3592" s="5"/>
      <c r="K3592" s="5"/>
      <c r="L3592" s="54"/>
      <c r="M3592" s="5"/>
      <c r="N3592" s="53"/>
      <c r="Q3592" s="5"/>
      <c r="R3592" s="5"/>
      <c r="S3592" s="5"/>
      <c r="T3592" s="5"/>
      <c r="U3592" s="5"/>
      <c r="V3592" s="5"/>
    </row>
    <row r="3593" ht="12.75" customHeight="1">
      <c r="A3593" s="5"/>
      <c r="B3593" s="5"/>
      <c r="C3593" s="5"/>
      <c r="D3593" s="5"/>
      <c r="E3593" s="7"/>
      <c r="F3593" s="5"/>
      <c r="G3593" s="5"/>
      <c r="H3593" s="5"/>
      <c r="I3593" s="5"/>
      <c r="J3593" s="5"/>
      <c r="K3593" s="5"/>
      <c r="L3593" s="54"/>
      <c r="M3593" s="5"/>
      <c r="N3593" s="53"/>
      <c r="Q3593" s="5"/>
      <c r="R3593" s="5"/>
      <c r="S3593" s="5"/>
      <c r="T3593" s="5"/>
      <c r="U3593" s="5"/>
      <c r="V3593" s="5"/>
    </row>
    <row r="3594" ht="12.75" customHeight="1">
      <c r="A3594" s="5"/>
      <c r="B3594" s="5"/>
      <c r="C3594" s="5"/>
      <c r="D3594" s="5"/>
      <c r="E3594" s="7"/>
      <c r="F3594" s="5"/>
      <c r="G3594" s="5"/>
      <c r="H3594" s="5"/>
      <c r="I3594" s="5"/>
      <c r="J3594" s="5"/>
      <c r="K3594" s="5"/>
      <c r="L3594" s="54"/>
      <c r="M3594" s="5"/>
      <c r="N3594" s="53"/>
      <c r="Q3594" s="5"/>
      <c r="R3594" s="5"/>
      <c r="S3594" s="5"/>
      <c r="T3594" s="5"/>
      <c r="U3594" s="5"/>
      <c r="V3594" s="5"/>
    </row>
    <row r="3595" ht="12.75" customHeight="1">
      <c r="A3595" s="5"/>
      <c r="B3595" s="5"/>
      <c r="C3595" s="5"/>
      <c r="D3595" s="5"/>
      <c r="E3595" s="7"/>
      <c r="F3595" s="5"/>
      <c r="G3595" s="5"/>
      <c r="H3595" s="5"/>
      <c r="I3595" s="5"/>
      <c r="J3595" s="5"/>
      <c r="K3595" s="5"/>
      <c r="L3595" s="54"/>
      <c r="M3595" s="5"/>
      <c r="N3595" s="53"/>
      <c r="Q3595" s="5"/>
      <c r="R3595" s="5"/>
      <c r="S3595" s="5"/>
      <c r="T3595" s="5"/>
      <c r="U3595" s="5"/>
      <c r="V3595" s="5"/>
    </row>
    <row r="3596" ht="12.75" customHeight="1">
      <c r="A3596" s="5"/>
      <c r="B3596" s="5"/>
      <c r="C3596" s="5"/>
      <c r="D3596" s="5"/>
      <c r="E3596" s="7"/>
      <c r="F3596" s="5"/>
      <c r="G3596" s="5"/>
      <c r="H3596" s="5"/>
      <c r="I3596" s="5"/>
      <c r="J3596" s="5"/>
      <c r="K3596" s="5"/>
      <c r="L3596" s="54"/>
      <c r="M3596" s="5"/>
      <c r="N3596" s="53"/>
      <c r="Q3596" s="5"/>
      <c r="R3596" s="5"/>
      <c r="S3596" s="5"/>
      <c r="T3596" s="5"/>
      <c r="U3596" s="5"/>
      <c r="V3596" s="5"/>
    </row>
    <row r="3597" ht="12.75" customHeight="1">
      <c r="A3597" s="5"/>
      <c r="B3597" s="5"/>
      <c r="C3597" s="5"/>
      <c r="D3597" s="5"/>
      <c r="E3597" s="7"/>
      <c r="F3597" s="5"/>
      <c r="G3597" s="5"/>
      <c r="H3597" s="5"/>
      <c r="I3597" s="5"/>
      <c r="J3597" s="5"/>
      <c r="K3597" s="5"/>
      <c r="L3597" s="54"/>
      <c r="M3597" s="5"/>
      <c r="N3597" s="53"/>
      <c r="Q3597" s="5"/>
      <c r="R3597" s="5"/>
      <c r="S3597" s="5"/>
      <c r="T3597" s="5"/>
      <c r="U3597" s="5"/>
      <c r="V3597" s="5"/>
    </row>
    <row r="3598" ht="12.75" customHeight="1">
      <c r="A3598" s="5"/>
      <c r="B3598" s="5"/>
      <c r="C3598" s="5"/>
      <c r="D3598" s="5"/>
      <c r="E3598" s="7"/>
      <c r="F3598" s="5"/>
      <c r="G3598" s="5"/>
      <c r="H3598" s="5"/>
      <c r="I3598" s="5"/>
      <c r="J3598" s="5"/>
      <c r="K3598" s="5"/>
      <c r="L3598" s="54"/>
      <c r="M3598" s="5"/>
      <c r="N3598" s="53"/>
      <c r="Q3598" s="5"/>
      <c r="R3598" s="5"/>
      <c r="S3598" s="5"/>
      <c r="T3598" s="5"/>
      <c r="U3598" s="5"/>
      <c r="V3598" s="5"/>
    </row>
    <row r="3599" ht="12.75" customHeight="1">
      <c r="A3599" s="5"/>
      <c r="B3599" s="5"/>
      <c r="C3599" s="5"/>
      <c r="D3599" s="5"/>
      <c r="E3599" s="7"/>
      <c r="F3599" s="5"/>
      <c r="G3599" s="5"/>
      <c r="H3599" s="5"/>
      <c r="I3599" s="5"/>
      <c r="J3599" s="5"/>
      <c r="K3599" s="5"/>
      <c r="L3599" s="54"/>
      <c r="M3599" s="5"/>
      <c r="N3599" s="53"/>
      <c r="Q3599" s="5"/>
      <c r="R3599" s="5"/>
      <c r="S3599" s="5"/>
      <c r="T3599" s="5"/>
      <c r="U3599" s="5"/>
      <c r="V3599" s="5"/>
    </row>
    <row r="3600" ht="12.75" customHeight="1">
      <c r="A3600" s="5"/>
      <c r="B3600" s="5"/>
      <c r="C3600" s="5"/>
      <c r="D3600" s="5"/>
      <c r="E3600" s="7"/>
      <c r="F3600" s="5"/>
      <c r="G3600" s="5"/>
      <c r="H3600" s="5"/>
      <c r="I3600" s="5"/>
      <c r="J3600" s="5"/>
      <c r="K3600" s="5"/>
      <c r="L3600" s="54"/>
      <c r="M3600" s="5"/>
      <c r="N3600" s="53"/>
      <c r="Q3600" s="5"/>
      <c r="R3600" s="5"/>
      <c r="S3600" s="5"/>
      <c r="T3600" s="5"/>
      <c r="U3600" s="5"/>
      <c r="V3600" s="5"/>
    </row>
    <row r="3601" ht="12.75" customHeight="1">
      <c r="A3601" s="5"/>
      <c r="B3601" s="5"/>
      <c r="C3601" s="5"/>
      <c r="D3601" s="5"/>
      <c r="E3601" s="7"/>
      <c r="F3601" s="5"/>
      <c r="G3601" s="5"/>
      <c r="H3601" s="5"/>
      <c r="I3601" s="5"/>
      <c r="J3601" s="5"/>
      <c r="K3601" s="5"/>
      <c r="L3601" s="54"/>
      <c r="M3601" s="5"/>
      <c r="N3601" s="53"/>
      <c r="Q3601" s="5"/>
      <c r="R3601" s="5"/>
      <c r="S3601" s="5"/>
      <c r="T3601" s="5"/>
      <c r="U3601" s="5"/>
      <c r="V3601" s="5"/>
    </row>
    <row r="3602" ht="12.75" customHeight="1">
      <c r="A3602" s="5"/>
      <c r="B3602" s="5"/>
      <c r="C3602" s="5"/>
      <c r="D3602" s="5"/>
      <c r="E3602" s="7"/>
      <c r="F3602" s="5"/>
      <c r="G3602" s="5"/>
      <c r="H3602" s="5"/>
      <c r="I3602" s="5"/>
      <c r="J3602" s="5"/>
      <c r="K3602" s="5"/>
      <c r="L3602" s="54"/>
      <c r="M3602" s="5"/>
      <c r="N3602" s="53"/>
      <c r="Q3602" s="5"/>
      <c r="R3602" s="5"/>
      <c r="S3602" s="5"/>
      <c r="T3602" s="5"/>
      <c r="U3602" s="5"/>
      <c r="V3602" s="5"/>
    </row>
    <row r="3603" ht="12.75" customHeight="1">
      <c r="A3603" s="5"/>
      <c r="B3603" s="5"/>
      <c r="C3603" s="5"/>
      <c r="D3603" s="5"/>
      <c r="E3603" s="7"/>
      <c r="F3603" s="5"/>
      <c r="G3603" s="5"/>
      <c r="H3603" s="5"/>
      <c r="I3603" s="5"/>
      <c r="J3603" s="5"/>
      <c r="K3603" s="5"/>
      <c r="L3603" s="54"/>
      <c r="M3603" s="5"/>
      <c r="N3603" s="53"/>
      <c r="Q3603" s="5"/>
      <c r="R3603" s="5"/>
      <c r="S3603" s="5"/>
      <c r="T3603" s="5"/>
      <c r="U3603" s="5"/>
      <c r="V3603" s="5"/>
    </row>
    <row r="3604" ht="12.75" customHeight="1">
      <c r="A3604" s="5"/>
      <c r="B3604" s="5"/>
      <c r="C3604" s="5"/>
      <c r="D3604" s="5"/>
      <c r="E3604" s="7"/>
      <c r="F3604" s="5"/>
      <c r="G3604" s="5"/>
      <c r="H3604" s="5"/>
      <c r="I3604" s="5"/>
      <c r="J3604" s="5"/>
      <c r="K3604" s="5"/>
      <c r="L3604" s="54"/>
      <c r="M3604" s="5"/>
      <c r="N3604" s="53"/>
      <c r="Q3604" s="5"/>
      <c r="R3604" s="5"/>
      <c r="S3604" s="5"/>
      <c r="T3604" s="5"/>
      <c r="U3604" s="5"/>
      <c r="V3604" s="5"/>
    </row>
    <row r="3605" ht="12.75" customHeight="1">
      <c r="A3605" s="5"/>
      <c r="B3605" s="5"/>
      <c r="C3605" s="5"/>
      <c r="D3605" s="5"/>
      <c r="E3605" s="7"/>
      <c r="F3605" s="5"/>
      <c r="G3605" s="5"/>
      <c r="H3605" s="5"/>
      <c r="I3605" s="5"/>
      <c r="J3605" s="5"/>
      <c r="K3605" s="5"/>
      <c r="L3605" s="54"/>
      <c r="M3605" s="5"/>
      <c r="N3605" s="53"/>
      <c r="Q3605" s="5"/>
      <c r="R3605" s="5"/>
      <c r="S3605" s="5"/>
      <c r="T3605" s="5"/>
      <c r="U3605" s="5"/>
      <c r="V3605" s="5"/>
    </row>
    <row r="3606" ht="12.75" customHeight="1">
      <c r="A3606" s="5"/>
      <c r="B3606" s="5"/>
      <c r="C3606" s="5"/>
      <c r="D3606" s="5"/>
      <c r="E3606" s="7"/>
      <c r="F3606" s="5"/>
      <c r="G3606" s="5"/>
      <c r="H3606" s="5"/>
      <c r="I3606" s="5"/>
      <c r="J3606" s="5"/>
      <c r="K3606" s="5"/>
      <c r="L3606" s="54"/>
      <c r="M3606" s="5"/>
      <c r="N3606" s="53"/>
      <c r="Q3606" s="5"/>
      <c r="R3606" s="5"/>
      <c r="S3606" s="5"/>
      <c r="T3606" s="5"/>
      <c r="U3606" s="5"/>
      <c r="V3606" s="5"/>
    </row>
    <row r="3607" ht="12.75" customHeight="1">
      <c r="A3607" s="5"/>
      <c r="B3607" s="5"/>
      <c r="C3607" s="5"/>
      <c r="D3607" s="5"/>
      <c r="E3607" s="7"/>
      <c r="F3607" s="5"/>
      <c r="G3607" s="5"/>
      <c r="H3607" s="5"/>
      <c r="I3607" s="5"/>
      <c r="J3607" s="5"/>
      <c r="K3607" s="5"/>
      <c r="L3607" s="54"/>
      <c r="M3607" s="5"/>
      <c r="N3607" s="53"/>
      <c r="Q3607" s="5"/>
      <c r="R3607" s="5"/>
      <c r="S3607" s="5"/>
      <c r="T3607" s="5"/>
      <c r="U3607" s="5"/>
      <c r="V3607" s="5"/>
    </row>
    <row r="3608" ht="12.75" customHeight="1">
      <c r="A3608" s="5"/>
      <c r="B3608" s="5"/>
      <c r="C3608" s="5"/>
      <c r="D3608" s="5"/>
      <c r="E3608" s="7"/>
      <c r="F3608" s="5"/>
      <c r="G3608" s="5"/>
      <c r="H3608" s="5"/>
      <c r="I3608" s="5"/>
      <c r="J3608" s="5"/>
      <c r="K3608" s="5"/>
      <c r="L3608" s="54"/>
      <c r="M3608" s="5"/>
      <c r="N3608" s="53"/>
      <c r="Q3608" s="5"/>
      <c r="R3608" s="5"/>
      <c r="S3608" s="5"/>
      <c r="T3608" s="5"/>
      <c r="U3608" s="5"/>
      <c r="V3608" s="5"/>
    </row>
    <row r="3609" ht="12.75" customHeight="1">
      <c r="A3609" s="5"/>
      <c r="B3609" s="5"/>
      <c r="C3609" s="5"/>
      <c r="D3609" s="5"/>
      <c r="E3609" s="7"/>
      <c r="F3609" s="5"/>
      <c r="G3609" s="5"/>
      <c r="H3609" s="5"/>
      <c r="I3609" s="5"/>
      <c r="J3609" s="5"/>
      <c r="K3609" s="5"/>
      <c r="L3609" s="54"/>
      <c r="M3609" s="5"/>
      <c r="N3609" s="53"/>
      <c r="Q3609" s="5"/>
      <c r="R3609" s="5"/>
      <c r="S3609" s="5"/>
      <c r="T3609" s="5"/>
      <c r="U3609" s="5"/>
      <c r="V3609" s="5"/>
    </row>
    <row r="3610" ht="12.75" customHeight="1">
      <c r="A3610" s="5"/>
      <c r="B3610" s="5"/>
      <c r="C3610" s="5"/>
      <c r="D3610" s="5"/>
      <c r="E3610" s="7"/>
      <c r="F3610" s="5"/>
      <c r="G3610" s="5"/>
      <c r="H3610" s="5"/>
      <c r="I3610" s="5"/>
      <c r="J3610" s="5"/>
      <c r="K3610" s="5"/>
      <c r="L3610" s="54"/>
      <c r="M3610" s="5"/>
      <c r="N3610" s="53"/>
      <c r="Q3610" s="5"/>
      <c r="R3610" s="5"/>
      <c r="S3610" s="5"/>
      <c r="T3610" s="5"/>
      <c r="U3610" s="5"/>
      <c r="V3610" s="5"/>
    </row>
    <row r="3611" ht="12.75" customHeight="1">
      <c r="A3611" s="5"/>
      <c r="B3611" s="5"/>
      <c r="C3611" s="5"/>
      <c r="D3611" s="5"/>
      <c r="E3611" s="7"/>
      <c r="F3611" s="5"/>
      <c r="G3611" s="5"/>
      <c r="H3611" s="5"/>
      <c r="I3611" s="5"/>
      <c r="J3611" s="5"/>
      <c r="K3611" s="5"/>
      <c r="L3611" s="54"/>
      <c r="M3611" s="5"/>
      <c r="N3611" s="53"/>
      <c r="Q3611" s="5"/>
      <c r="R3611" s="5"/>
      <c r="S3611" s="5"/>
      <c r="T3611" s="5"/>
      <c r="U3611" s="5"/>
      <c r="V3611" s="5"/>
    </row>
    <row r="3612" ht="12.75" customHeight="1">
      <c r="A3612" s="5"/>
      <c r="B3612" s="5"/>
      <c r="C3612" s="5"/>
      <c r="D3612" s="5"/>
      <c r="E3612" s="7"/>
      <c r="F3612" s="5"/>
      <c r="G3612" s="5"/>
      <c r="H3612" s="5"/>
      <c r="I3612" s="5"/>
      <c r="J3612" s="5"/>
      <c r="K3612" s="5"/>
      <c r="L3612" s="54"/>
      <c r="M3612" s="5"/>
      <c r="N3612" s="53"/>
      <c r="Q3612" s="5"/>
      <c r="R3612" s="5"/>
      <c r="S3612" s="5"/>
      <c r="T3612" s="5"/>
      <c r="U3612" s="5"/>
      <c r="V3612" s="5"/>
    </row>
    <row r="3613" ht="12.75" customHeight="1">
      <c r="A3613" s="5"/>
      <c r="B3613" s="5"/>
      <c r="C3613" s="5"/>
      <c r="D3613" s="5"/>
      <c r="E3613" s="7"/>
      <c r="F3613" s="5"/>
      <c r="G3613" s="5"/>
      <c r="H3613" s="5"/>
      <c r="I3613" s="5"/>
      <c r="J3613" s="5"/>
      <c r="K3613" s="5"/>
      <c r="L3613" s="54"/>
      <c r="M3613" s="5"/>
      <c r="N3613" s="53"/>
      <c r="Q3613" s="5"/>
      <c r="R3613" s="5"/>
      <c r="S3613" s="5"/>
      <c r="T3613" s="5"/>
      <c r="U3613" s="5"/>
      <c r="V3613" s="5"/>
    </row>
    <row r="3614" ht="12.75" customHeight="1">
      <c r="A3614" s="5"/>
      <c r="B3614" s="5"/>
      <c r="C3614" s="5"/>
      <c r="D3614" s="5"/>
      <c r="E3614" s="7"/>
      <c r="F3614" s="5"/>
      <c r="G3614" s="5"/>
      <c r="H3614" s="5"/>
      <c r="I3614" s="5"/>
      <c r="J3614" s="5"/>
      <c r="K3614" s="5"/>
      <c r="L3614" s="54"/>
      <c r="M3614" s="5"/>
      <c r="N3614" s="53"/>
      <c r="Q3614" s="5"/>
      <c r="R3614" s="5"/>
      <c r="S3614" s="5"/>
      <c r="T3614" s="5"/>
      <c r="U3614" s="5"/>
      <c r="V3614" s="5"/>
    </row>
    <row r="3615" ht="12.75" customHeight="1">
      <c r="A3615" s="5"/>
      <c r="B3615" s="5"/>
      <c r="C3615" s="5"/>
      <c r="D3615" s="5"/>
      <c r="E3615" s="7"/>
      <c r="F3615" s="5"/>
      <c r="G3615" s="5"/>
      <c r="H3615" s="5"/>
      <c r="I3615" s="5"/>
      <c r="J3615" s="5"/>
      <c r="K3615" s="5"/>
      <c r="L3615" s="54"/>
      <c r="M3615" s="5"/>
      <c r="N3615" s="53"/>
      <c r="Q3615" s="5"/>
      <c r="R3615" s="5"/>
      <c r="S3615" s="5"/>
      <c r="T3615" s="5"/>
      <c r="U3615" s="5"/>
      <c r="V3615" s="5"/>
    </row>
    <row r="3616" ht="12.75" customHeight="1">
      <c r="A3616" s="5"/>
      <c r="B3616" s="5"/>
      <c r="C3616" s="5"/>
      <c r="D3616" s="5"/>
      <c r="E3616" s="7"/>
      <c r="F3616" s="5"/>
      <c r="G3616" s="5"/>
      <c r="H3616" s="5"/>
      <c r="I3616" s="5"/>
      <c r="J3616" s="5"/>
      <c r="K3616" s="5"/>
      <c r="L3616" s="54"/>
      <c r="M3616" s="5"/>
      <c r="N3616" s="53"/>
      <c r="Q3616" s="5"/>
      <c r="R3616" s="5"/>
      <c r="S3616" s="5"/>
      <c r="T3616" s="5"/>
      <c r="U3616" s="5"/>
      <c r="V3616" s="5"/>
    </row>
    <row r="3617" ht="12.75" customHeight="1">
      <c r="A3617" s="5"/>
      <c r="B3617" s="5"/>
      <c r="C3617" s="5"/>
      <c r="D3617" s="5"/>
      <c r="E3617" s="7"/>
      <c r="F3617" s="5"/>
      <c r="G3617" s="5"/>
      <c r="H3617" s="5"/>
      <c r="I3617" s="5"/>
      <c r="J3617" s="5"/>
      <c r="K3617" s="5"/>
      <c r="L3617" s="54"/>
      <c r="M3617" s="5"/>
      <c r="N3617" s="53"/>
      <c r="Q3617" s="5"/>
      <c r="R3617" s="5"/>
      <c r="S3617" s="5"/>
      <c r="T3617" s="5"/>
      <c r="U3617" s="5"/>
      <c r="V3617" s="5"/>
    </row>
    <row r="3618" ht="12.75" customHeight="1">
      <c r="A3618" s="5"/>
      <c r="B3618" s="5"/>
      <c r="C3618" s="5"/>
      <c r="D3618" s="5"/>
      <c r="E3618" s="7"/>
      <c r="F3618" s="5"/>
      <c r="G3618" s="5"/>
      <c r="H3618" s="5"/>
      <c r="I3618" s="5"/>
      <c r="J3618" s="5"/>
      <c r="K3618" s="5"/>
      <c r="L3618" s="54"/>
      <c r="M3618" s="5"/>
      <c r="N3618" s="53"/>
      <c r="Q3618" s="5"/>
      <c r="R3618" s="5"/>
      <c r="S3618" s="5"/>
      <c r="T3618" s="5"/>
      <c r="U3618" s="5"/>
      <c r="V3618" s="5"/>
    </row>
    <row r="3619" ht="12.75" customHeight="1">
      <c r="A3619" s="5"/>
      <c r="B3619" s="5"/>
      <c r="C3619" s="5"/>
      <c r="D3619" s="5"/>
      <c r="E3619" s="7"/>
      <c r="F3619" s="5"/>
      <c r="G3619" s="5"/>
      <c r="H3619" s="5"/>
      <c r="I3619" s="5"/>
      <c r="J3619" s="5"/>
      <c r="K3619" s="5"/>
      <c r="L3619" s="54"/>
      <c r="M3619" s="5"/>
      <c r="N3619" s="53"/>
      <c r="Q3619" s="5"/>
      <c r="R3619" s="5"/>
      <c r="S3619" s="5"/>
      <c r="T3619" s="5"/>
      <c r="U3619" s="5"/>
      <c r="V3619" s="5"/>
    </row>
    <row r="3620" ht="12.75" customHeight="1">
      <c r="A3620" s="5"/>
      <c r="B3620" s="5"/>
      <c r="C3620" s="5"/>
      <c r="D3620" s="5"/>
      <c r="E3620" s="7"/>
      <c r="F3620" s="5"/>
      <c r="G3620" s="5"/>
      <c r="H3620" s="5"/>
      <c r="I3620" s="5"/>
      <c r="J3620" s="5"/>
      <c r="K3620" s="5"/>
      <c r="L3620" s="54"/>
      <c r="M3620" s="5"/>
      <c r="N3620" s="53"/>
      <c r="Q3620" s="5"/>
      <c r="R3620" s="5"/>
      <c r="S3620" s="5"/>
      <c r="T3620" s="5"/>
      <c r="U3620" s="5"/>
      <c r="V3620" s="5"/>
    </row>
    <row r="3621" ht="12.75" customHeight="1">
      <c r="A3621" s="5"/>
      <c r="B3621" s="5"/>
      <c r="C3621" s="5"/>
      <c r="D3621" s="5"/>
      <c r="E3621" s="7"/>
      <c r="F3621" s="5"/>
      <c r="G3621" s="5"/>
      <c r="H3621" s="5"/>
      <c r="I3621" s="5"/>
      <c r="J3621" s="5"/>
      <c r="K3621" s="5"/>
      <c r="L3621" s="54"/>
      <c r="M3621" s="5"/>
      <c r="N3621" s="53"/>
      <c r="Q3621" s="5"/>
      <c r="R3621" s="5"/>
      <c r="S3621" s="5"/>
      <c r="T3621" s="5"/>
      <c r="U3621" s="5"/>
      <c r="V3621" s="5"/>
    </row>
    <row r="3622" ht="12.75" customHeight="1">
      <c r="A3622" s="5"/>
      <c r="B3622" s="5"/>
      <c r="C3622" s="5"/>
      <c r="D3622" s="5"/>
      <c r="E3622" s="7"/>
      <c r="F3622" s="5"/>
      <c r="G3622" s="5"/>
      <c r="H3622" s="5"/>
      <c r="I3622" s="5"/>
      <c r="J3622" s="5"/>
      <c r="K3622" s="5"/>
      <c r="L3622" s="54"/>
      <c r="M3622" s="5"/>
      <c r="N3622" s="53"/>
      <c r="Q3622" s="5"/>
      <c r="R3622" s="5"/>
      <c r="S3622" s="5"/>
      <c r="T3622" s="5"/>
      <c r="U3622" s="5"/>
      <c r="V3622" s="5"/>
    </row>
    <row r="3623" ht="12.75" customHeight="1">
      <c r="A3623" s="5"/>
      <c r="B3623" s="5"/>
      <c r="C3623" s="5"/>
      <c r="D3623" s="5"/>
      <c r="E3623" s="7"/>
      <c r="F3623" s="5"/>
      <c r="G3623" s="5"/>
      <c r="H3623" s="5"/>
      <c r="I3623" s="5"/>
      <c r="J3623" s="5"/>
      <c r="K3623" s="5"/>
      <c r="L3623" s="54"/>
      <c r="M3623" s="5"/>
      <c r="N3623" s="53"/>
      <c r="Q3623" s="5"/>
      <c r="R3623" s="5"/>
      <c r="S3623" s="5"/>
      <c r="T3623" s="5"/>
      <c r="U3623" s="5"/>
      <c r="V3623" s="5"/>
    </row>
    <row r="3624" ht="12.75" customHeight="1">
      <c r="A3624" s="5"/>
      <c r="B3624" s="5"/>
      <c r="C3624" s="5"/>
      <c r="D3624" s="5"/>
      <c r="E3624" s="7"/>
      <c r="F3624" s="5"/>
      <c r="G3624" s="5"/>
      <c r="H3624" s="5"/>
      <c r="I3624" s="5"/>
      <c r="J3624" s="5"/>
      <c r="K3624" s="5"/>
      <c r="L3624" s="54"/>
      <c r="M3624" s="5"/>
      <c r="N3624" s="53"/>
      <c r="Q3624" s="5"/>
      <c r="R3624" s="5"/>
      <c r="S3624" s="5"/>
      <c r="T3624" s="5"/>
      <c r="U3624" s="5"/>
      <c r="V3624" s="5"/>
    </row>
    <row r="3625" ht="12.75" customHeight="1">
      <c r="A3625" s="5"/>
      <c r="B3625" s="5"/>
      <c r="C3625" s="5"/>
      <c r="D3625" s="5"/>
      <c r="E3625" s="7"/>
      <c r="F3625" s="5"/>
      <c r="G3625" s="5"/>
      <c r="H3625" s="5"/>
      <c r="I3625" s="5"/>
      <c r="J3625" s="5"/>
      <c r="K3625" s="5"/>
      <c r="L3625" s="54"/>
      <c r="M3625" s="5"/>
      <c r="N3625" s="53"/>
      <c r="Q3625" s="5"/>
      <c r="R3625" s="5"/>
      <c r="S3625" s="5"/>
      <c r="T3625" s="5"/>
      <c r="U3625" s="5"/>
      <c r="V3625" s="5"/>
    </row>
    <row r="3626" ht="12.75" customHeight="1">
      <c r="A3626" s="5"/>
      <c r="B3626" s="5"/>
      <c r="C3626" s="5"/>
      <c r="D3626" s="5"/>
      <c r="E3626" s="7"/>
      <c r="F3626" s="5"/>
      <c r="G3626" s="5"/>
      <c r="H3626" s="5"/>
      <c r="I3626" s="5"/>
      <c r="J3626" s="5"/>
      <c r="K3626" s="5"/>
      <c r="L3626" s="54"/>
      <c r="M3626" s="5"/>
      <c r="N3626" s="53"/>
      <c r="Q3626" s="5"/>
      <c r="R3626" s="5"/>
      <c r="S3626" s="5"/>
      <c r="T3626" s="5"/>
      <c r="U3626" s="5"/>
      <c r="V3626" s="5"/>
    </row>
    <row r="3627" ht="12.75" customHeight="1">
      <c r="A3627" s="5"/>
      <c r="B3627" s="5"/>
      <c r="C3627" s="5"/>
      <c r="D3627" s="5"/>
      <c r="E3627" s="7"/>
      <c r="F3627" s="5"/>
      <c r="G3627" s="5"/>
      <c r="H3627" s="5"/>
      <c r="I3627" s="5"/>
      <c r="J3627" s="5"/>
      <c r="K3627" s="5"/>
      <c r="L3627" s="54"/>
      <c r="M3627" s="5"/>
      <c r="N3627" s="53"/>
      <c r="Q3627" s="5"/>
      <c r="R3627" s="5"/>
      <c r="S3627" s="5"/>
      <c r="T3627" s="5"/>
      <c r="U3627" s="5"/>
      <c r="V3627" s="5"/>
    </row>
    <row r="3628" ht="12.75" customHeight="1">
      <c r="A3628" s="5"/>
      <c r="B3628" s="5"/>
      <c r="C3628" s="5"/>
      <c r="D3628" s="5"/>
      <c r="E3628" s="7"/>
      <c r="F3628" s="5"/>
      <c r="G3628" s="5"/>
      <c r="H3628" s="5"/>
      <c r="I3628" s="5"/>
      <c r="J3628" s="5"/>
      <c r="K3628" s="5"/>
      <c r="L3628" s="54"/>
      <c r="M3628" s="5"/>
      <c r="N3628" s="53"/>
      <c r="Q3628" s="5"/>
      <c r="R3628" s="5"/>
      <c r="S3628" s="5"/>
      <c r="T3628" s="5"/>
      <c r="U3628" s="5"/>
      <c r="V3628" s="5"/>
    </row>
    <row r="3629" ht="12.75" customHeight="1">
      <c r="A3629" s="5"/>
      <c r="B3629" s="5"/>
      <c r="C3629" s="5"/>
      <c r="D3629" s="5"/>
      <c r="E3629" s="7"/>
      <c r="F3629" s="5"/>
      <c r="G3629" s="5"/>
      <c r="H3629" s="5"/>
      <c r="I3629" s="5"/>
      <c r="J3629" s="5"/>
      <c r="K3629" s="5"/>
      <c r="L3629" s="54"/>
      <c r="M3629" s="5"/>
      <c r="N3629" s="53"/>
      <c r="Q3629" s="5"/>
      <c r="R3629" s="5"/>
      <c r="S3629" s="5"/>
      <c r="T3629" s="5"/>
      <c r="U3629" s="5"/>
      <c r="V3629" s="5"/>
    </row>
    <row r="3630" ht="12.75" customHeight="1">
      <c r="A3630" s="5"/>
      <c r="B3630" s="5"/>
      <c r="C3630" s="5"/>
      <c r="D3630" s="5"/>
      <c r="E3630" s="7"/>
      <c r="F3630" s="5"/>
      <c r="G3630" s="5"/>
      <c r="H3630" s="5"/>
      <c r="I3630" s="5"/>
      <c r="J3630" s="5"/>
      <c r="K3630" s="5"/>
      <c r="L3630" s="54"/>
      <c r="M3630" s="5"/>
      <c r="N3630" s="53"/>
      <c r="Q3630" s="5"/>
      <c r="R3630" s="5"/>
      <c r="S3630" s="5"/>
      <c r="T3630" s="5"/>
      <c r="U3630" s="5"/>
      <c r="V3630" s="5"/>
    </row>
    <row r="3631" ht="12.75" customHeight="1">
      <c r="A3631" s="5"/>
      <c r="B3631" s="5"/>
      <c r="C3631" s="5"/>
      <c r="D3631" s="5"/>
      <c r="E3631" s="7"/>
      <c r="F3631" s="5"/>
      <c r="G3631" s="5"/>
      <c r="H3631" s="5"/>
      <c r="I3631" s="5"/>
      <c r="J3631" s="5"/>
      <c r="K3631" s="5"/>
      <c r="L3631" s="54"/>
      <c r="M3631" s="5"/>
      <c r="N3631" s="53"/>
      <c r="Q3631" s="5"/>
      <c r="R3631" s="5"/>
      <c r="S3631" s="5"/>
      <c r="T3631" s="5"/>
      <c r="U3631" s="5"/>
      <c r="V3631" s="5"/>
    </row>
    <row r="3632" ht="12.75" customHeight="1">
      <c r="A3632" s="5"/>
      <c r="B3632" s="5"/>
      <c r="C3632" s="5"/>
      <c r="D3632" s="5"/>
      <c r="E3632" s="7"/>
      <c r="F3632" s="5"/>
      <c r="G3632" s="5"/>
      <c r="H3632" s="5"/>
      <c r="I3632" s="5"/>
      <c r="J3632" s="5"/>
      <c r="K3632" s="5"/>
      <c r="L3632" s="54"/>
      <c r="M3632" s="5"/>
      <c r="N3632" s="53"/>
      <c r="Q3632" s="5"/>
      <c r="R3632" s="5"/>
      <c r="S3632" s="5"/>
      <c r="T3632" s="5"/>
      <c r="U3632" s="5"/>
      <c r="V3632" s="5"/>
    </row>
    <row r="3633" ht="12.75" customHeight="1">
      <c r="A3633" s="5"/>
      <c r="B3633" s="5"/>
      <c r="C3633" s="5"/>
      <c r="D3633" s="5"/>
      <c r="E3633" s="7"/>
      <c r="F3633" s="5"/>
      <c r="G3633" s="5"/>
      <c r="H3633" s="5"/>
      <c r="I3633" s="5"/>
      <c r="J3633" s="5"/>
      <c r="K3633" s="5"/>
      <c r="L3633" s="54"/>
      <c r="M3633" s="5"/>
      <c r="N3633" s="53"/>
      <c r="Q3633" s="5"/>
      <c r="R3633" s="5"/>
      <c r="S3633" s="5"/>
      <c r="T3633" s="5"/>
      <c r="U3633" s="5"/>
      <c r="V3633" s="5"/>
    </row>
    <row r="3634" ht="12.75" customHeight="1">
      <c r="A3634" s="5"/>
      <c r="B3634" s="5"/>
      <c r="C3634" s="5"/>
      <c r="D3634" s="5"/>
      <c r="E3634" s="7"/>
      <c r="F3634" s="5"/>
      <c r="G3634" s="5"/>
      <c r="H3634" s="5"/>
      <c r="I3634" s="5"/>
      <c r="J3634" s="5"/>
      <c r="K3634" s="5"/>
      <c r="L3634" s="54"/>
      <c r="M3634" s="5"/>
      <c r="N3634" s="53"/>
      <c r="Q3634" s="5"/>
      <c r="R3634" s="5"/>
      <c r="S3634" s="5"/>
      <c r="T3634" s="5"/>
      <c r="U3634" s="5"/>
      <c r="V3634" s="5"/>
    </row>
    <row r="3635" ht="12.75" customHeight="1">
      <c r="A3635" s="5"/>
      <c r="B3635" s="5"/>
      <c r="C3635" s="5"/>
      <c r="D3635" s="5"/>
      <c r="E3635" s="7"/>
      <c r="F3635" s="5"/>
      <c r="G3635" s="5"/>
      <c r="H3635" s="5"/>
      <c r="I3635" s="5"/>
      <c r="J3635" s="5"/>
      <c r="K3635" s="5"/>
      <c r="L3635" s="54"/>
      <c r="M3635" s="5"/>
      <c r="N3635" s="53"/>
      <c r="Q3635" s="5"/>
      <c r="R3635" s="5"/>
      <c r="S3635" s="5"/>
      <c r="T3635" s="5"/>
      <c r="U3635" s="5"/>
      <c r="V3635" s="5"/>
    </row>
    <row r="3636" ht="12.75" customHeight="1">
      <c r="A3636" s="5"/>
      <c r="B3636" s="5"/>
      <c r="C3636" s="5"/>
      <c r="D3636" s="5"/>
      <c r="E3636" s="7"/>
      <c r="F3636" s="5"/>
      <c r="G3636" s="5"/>
      <c r="H3636" s="5"/>
      <c r="I3636" s="5"/>
      <c r="J3636" s="5"/>
      <c r="K3636" s="5"/>
      <c r="L3636" s="54"/>
      <c r="M3636" s="5"/>
      <c r="N3636" s="53"/>
      <c r="Q3636" s="5"/>
      <c r="R3636" s="5"/>
      <c r="S3636" s="5"/>
      <c r="T3636" s="5"/>
      <c r="U3636" s="5"/>
      <c r="V3636" s="5"/>
    </row>
    <row r="3637" ht="12.75" customHeight="1">
      <c r="A3637" s="5"/>
      <c r="B3637" s="5"/>
      <c r="C3637" s="5"/>
      <c r="D3637" s="5"/>
      <c r="E3637" s="7"/>
      <c r="F3637" s="5"/>
      <c r="G3637" s="5"/>
      <c r="H3637" s="5"/>
      <c r="I3637" s="5"/>
      <c r="J3637" s="5"/>
      <c r="K3637" s="5"/>
      <c r="L3637" s="54"/>
      <c r="M3637" s="5"/>
      <c r="N3637" s="53"/>
      <c r="Q3637" s="5"/>
      <c r="R3637" s="5"/>
      <c r="S3637" s="5"/>
      <c r="T3637" s="5"/>
      <c r="U3637" s="5"/>
      <c r="V3637" s="5"/>
    </row>
    <row r="3638" ht="12.75" customHeight="1">
      <c r="A3638" s="5"/>
      <c r="B3638" s="5"/>
      <c r="C3638" s="5"/>
      <c r="D3638" s="5"/>
      <c r="E3638" s="7"/>
      <c r="F3638" s="5"/>
      <c r="G3638" s="5"/>
      <c r="H3638" s="5"/>
      <c r="I3638" s="5"/>
      <c r="J3638" s="5"/>
      <c r="K3638" s="5"/>
      <c r="L3638" s="54"/>
      <c r="M3638" s="5"/>
      <c r="N3638" s="53"/>
      <c r="Q3638" s="5"/>
      <c r="R3638" s="5"/>
      <c r="S3638" s="5"/>
      <c r="T3638" s="5"/>
      <c r="U3638" s="5"/>
      <c r="V3638" s="5"/>
    </row>
    <row r="3639" ht="12.75" customHeight="1">
      <c r="A3639" s="5"/>
      <c r="B3639" s="5"/>
      <c r="C3639" s="5"/>
      <c r="D3639" s="5"/>
      <c r="E3639" s="7"/>
      <c r="F3639" s="5"/>
      <c r="G3639" s="5"/>
      <c r="H3639" s="5"/>
      <c r="I3639" s="5"/>
      <c r="J3639" s="5"/>
      <c r="K3639" s="5"/>
      <c r="L3639" s="54"/>
      <c r="M3639" s="5"/>
      <c r="N3639" s="53"/>
      <c r="Q3639" s="5"/>
      <c r="R3639" s="5"/>
      <c r="S3639" s="5"/>
      <c r="T3639" s="5"/>
      <c r="U3639" s="5"/>
      <c r="V3639" s="5"/>
    </row>
    <row r="3640" ht="12.75" customHeight="1">
      <c r="A3640" s="5"/>
      <c r="B3640" s="5"/>
      <c r="C3640" s="5"/>
      <c r="D3640" s="5"/>
      <c r="E3640" s="7"/>
      <c r="F3640" s="5"/>
      <c r="G3640" s="5"/>
      <c r="H3640" s="5"/>
      <c r="I3640" s="5"/>
      <c r="J3640" s="5"/>
      <c r="K3640" s="5"/>
      <c r="L3640" s="54"/>
      <c r="M3640" s="5"/>
      <c r="N3640" s="53"/>
      <c r="Q3640" s="5"/>
      <c r="R3640" s="5"/>
      <c r="S3640" s="5"/>
      <c r="T3640" s="5"/>
      <c r="U3640" s="5"/>
      <c r="V3640" s="5"/>
    </row>
    <row r="3641" ht="12.75" customHeight="1">
      <c r="A3641" s="5"/>
      <c r="B3641" s="5"/>
      <c r="C3641" s="5"/>
      <c r="D3641" s="5"/>
      <c r="E3641" s="7"/>
      <c r="F3641" s="5"/>
      <c r="G3641" s="5"/>
      <c r="H3641" s="5"/>
      <c r="I3641" s="5"/>
      <c r="J3641" s="5"/>
      <c r="K3641" s="5"/>
      <c r="L3641" s="54"/>
      <c r="M3641" s="5"/>
      <c r="N3641" s="53"/>
      <c r="Q3641" s="5"/>
      <c r="R3641" s="5"/>
      <c r="S3641" s="5"/>
      <c r="T3641" s="5"/>
      <c r="U3641" s="5"/>
      <c r="V3641" s="5"/>
    </row>
    <row r="3642" ht="12.75" customHeight="1">
      <c r="A3642" s="5"/>
      <c r="B3642" s="5"/>
      <c r="C3642" s="5"/>
      <c r="D3642" s="5"/>
      <c r="E3642" s="7"/>
      <c r="F3642" s="5"/>
      <c r="G3642" s="5"/>
      <c r="H3642" s="5"/>
      <c r="I3642" s="5"/>
      <c r="J3642" s="5"/>
      <c r="K3642" s="5"/>
      <c r="L3642" s="54"/>
      <c r="M3642" s="5"/>
      <c r="N3642" s="53"/>
      <c r="Q3642" s="5"/>
      <c r="R3642" s="5"/>
      <c r="S3642" s="5"/>
      <c r="T3642" s="5"/>
      <c r="U3642" s="5"/>
      <c r="V3642" s="5"/>
    </row>
    <row r="3643" ht="12.75" customHeight="1">
      <c r="A3643" s="5"/>
      <c r="B3643" s="5"/>
      <c r="C3643" s="5"/>
      <c r="D3643" s="5"/>
      <c r="E3643" s="7"/>
      <c r="F3643" s="5"/>
      <c r="G3643" s="5"/>
      <c r="H3643" s="5"/>
      <c r="I3643" s="5"/>
      <c r="J3643" s="5"/>
      <c r="K3643" s="5"/>
      <c r="L3643" s="54"/>
      <c r="M3643" s="5"/>
      <c r="N3643" s="53"/>
      <c r="Q3643" s="5"/>
      <c r="R3643" s="5"/>
      <c r="S3643" s="5"/>
      <c r="T3643" s="5"/>
      <c r="U3643" s="5"/>
      <c r="V3643" s="5"/>
    </row>
    <row r="3644" ht="12.75" customHeight="1">
      <c r="A3644" s="5"/>
      <c r="B3644" s="5"/>
      <c r="C3644" s="5"/>
      <c r="D3644" s="5"/>
      <c r="E3644" s="7"/>
      <c r="F3644" s="5"/>
      <c r="G3644" s="5"/>
      <c r="H3644" s="5"/>
      <c r="I3644" s="5"/>
      <c r="J3644" s="5"/>
      <c r="K3644" s="5"/>
      <c r="L3644" s="54"/>
      <c r="M3644" s="5"/>
      <c r="N3644" s="53"/>
      <c r="Q3644" s="5"/>
      <c r="R3644" s="5"/>
      <c r="S3644" s="5"/>
      <c r="T3644" s="5"/>
      <c r="U3644" s="5"/>
      <c r="V3644" s="5"/>
    </row>
    <row r="3645" ht="12.75" customHeight="1">
      <c r="A3645" s="5"/>
      <c r="B3645" s="5"/>
      <c r="C3645" s="5"/>
      <c r="D3645" s="5"/>
      <c r="E3645" s="7"/>
      <c r="F3645" s="5"/>
      <c r="G3645" s="5"/>
      <c r="H3645" s="5"/>
      <c r="I3645" s="5"/>
      <c r="J3645" s="5"/>
      <c r="K3645" s="5"/>
      <c r="L3645" s="54"/>
      <c r="M3645" s="5"/>
      <c r="N3645" s="53"/>
      <c r="Q3645" s="5"/>
      <c r="R3645" s="5"/>
      <c r="S3645" s="5"/>
      <c r="T3645" s="5"/>
      <c r="U3645" s="5"/>
      <c r="V3645" s="5"/>
    </row>
    <row r="3646" ht="12.75" customHeight="1">
      <c r="A3646" s="5"/>
      <c r="B3646" s="5"/>
      <c r="C3646" s="5"/>
      <c r="D3646" s="5"/>
      <c r="E3646" s="7"/>
      <c r="F3646" s="5"/>
      <c r="G3646" s="5"/>
      <c r="H3646" s="5"/>
      <c r="I3646" s="5"/>
      <c r="J3646" s="5"/>
      <c r="K3646" s="5"/>
      <c r="L3646" s="54"/>
      <c r="M3646" s="5"/>
      <c r="N3646" s="53"/>
      <c r="Q3646" s="5"/>
      <c r="R3646" s="5"/>
      <c r="S3646" s="5"/>
      <c r="T3646" s="5"/>
      <c r="U3646" s="5"/>
      <c r="V3646" s="5"/>
    </row>
    <row r="3647" ht="12.75" customHeight="1">
      <c r="A3647" s="5"/>
      <c r="B3647" s="5"/>
      <c r="C3647" s="5"/>
      <c r="D3647" s="5"/>
      <c r="E3647" s="7"/>
      <c r="F3647" s="5"/>
      <c r="G3647" s="5"/>
      <c r="H3647" s="5"/>
      <c r="I3647" s="5"/>
      <c r="J3647" s="5"/>
      <c r="K3647" s="5"/>
      <c r="L3647" s="54"/>
      <c r="M3647" s="5"/>
      <c r="N3647" s="53"/>
      <c r="Q3647" s="5"/>
      <c r="R3647" s="5"/>
      <c r="S3647" s="5"/>
      <c r="T3647" s="5"/>
      <c r="U3647" s="5"/>
      <c r="V3647" s="5"/>
    </row>
    <row r="3648" ht="12.75" customHeight="1">
      <c r="A3648" s="5"/>
      <c r="B3648" s="5"/>
      <c r="C3648" s="5"/>
      <c r="D3648" s="5"/>
      <c r="E3648" s="7"/>
      <c r="F3648" s="5"/>
      <c r="G3648" s="5"/>
      <c r="H3648" s="5"/>
      <c r="I3648" s="5"/>
      <c r="J3648" s="5"/>
      <c r="K3648" s="5"/>
      <c r="L3648" s="54"/>
      <c r="M3648" s="5"/>
      <c r="N3648" s="53"/>
      <c r="Q3648" s="5"/>
      <c r="R3648" s="5"/>
      <c r="S3648" s="5"/>
      <c r="T3648" s="5"/>
      <c r="U3648" s="5"/>
      <c r="V3648" s="5"/>
    </row>
    <row r="3649" ht="12.75" customHeight="1">
      <c r="A3649" s="5"/>
      <c r="B3649" s="5"/>
      <c r="C3649" s="5"/>
      <c r="D3649" s="5"/>
      <c r="E3649" s="7"/>
      <c r="F3649" s="5"/>
      <c r="G3649" s="5"/>
      <c r="H3649" s="5"/>
      <c r="I3649" s="5"/>
      <c r="J3649" s="5"/>
      <c r="K3649" s="5"/>
      <c r="L3649" s="54"/>
      <c r="M3649" s="5"/>
      <c r="N3649" s="53"/>
      <c r="Q3649" s="5"/>
      <c r="R3649" s="5"/>
      <c r="S3649" s="5"/>
      <c r="T3649" s="5"/>
      <c r="U3649" s="5"/>
      <c r="V3649" s="5"/>
    </row>
    <row r="3650" ht="12.75" customHeight="1">
      <c r="A3650" s="5"/>
      <c r="B3650" s="5"/>
      <c r="C3650" s="5"/>
      <c r="D3650" s="5"/>
      <c r="E3650" s="7"/>
      <c r="F3650" s="5"/>
      <c r="G3650" s="5"/>
      <c r="H3650" s="5"/>
      <c r="I3650" s="5"/>
      <c r="J3650" s="5"/>
      <c r="K3650" s="5"/>
      <c r="L3650" s="54"/>
      <c r="M3650" s="5"/>
      <c r="N3650" s="53"/>
      <c r="Q3650" s="5"/>
      <c r="R3650" s="5"/>
      <c r="S3650" s="5"/>
      <c r="T3650" s="5"/>
      <c r="U3650" s="5"/>
      <c r="V3650" s="5"/>
    </row>
    <row r="3651" ht="12.75" customHeight="1">
      <c r="A3651" s="5"/>
      <c r="B3651" s="5"/>
      <c r="C3651" s="5"/>
      <c r="D3651" s="5"/>
      <c r="E3651" s="7"/>
      <c r="F3651" s="5"/>
      <c r="G3651" s="5"/>
      <c r="H3651" s="5"/>
      <c r="I3651" s="5"/>
      <c r="J3651" s="5"/>
      <c r="K3651" s="5"/>
      <c r="L3651" s="54"/>
      <c r="M3651" s="5"/>
      <c r="N3651" s="53"/>
      <c r="Q3651" s="5"/>
      <c r="R3651" s="5"/>
      <c r="S3651" s="5"/>
      <c r="T3651" s="5"/>
      <c r="U3651" s="5"/>
      <c r="V3651" s="5"/>
    </row>
    <row r="3652" ht="12.75" customHeight="1">
      <c r="A3652" s="5"/>
      <c r="B3652" s="5"/>
      <c r="C3652" s="5"/>
      <c r="D3652" s="5"/>
      <c r="E3652" s="7"/>
      <c r="F3652" s="5"/>
      <c r="G3652" s="5"/>
      <c r="H3652" s="5"/>
      <c r="I3652" s="5"/>
      <c r="J3652" s="5"/>
      <c r="K3652" s="5"/>
      <c r="L3652" s="54"/>
      <c r="M3652" s="5"/>
      <c r="N3652" s="53"/>
      <c r="Q3652" s="5"/>
      <c r="R3652" s="5"/>
      <c r="S3652" s="5"/>
      <c r="T3652" s="5"/>
      <c r="U3652" s="5"/>
      <c r="V3652" s="5"/>
    </row>
    <row r="3653" ht="12.75" customHeight="1">
      <c r="A3653" s="5"/>
      <c r="B3653" s="5"/>
      <c r="C3653" s="5"/>
      <c r="D3653" s="5"/>
      <c r="E3653" s="7"/>
      <c r="F3653" s="5"/>
      <c r="G3653" s="5"/>
      <c r="H3653" s="5"/>
      <c r="I3653" s="5"/>
      <c r="J3653" s="5"/>
      <c r="K3653" s="5"/>
      <c r="L3653" s="54"/>
      <c r="M3653" s="5"/>
      <c r="N3653" s="53"/>
      <c r="Q3653" s="5"/>
      <c r="R3653" s="5"/>
      <c r="S3653" s="5"/>
      <c r="T3653" s="5"/>
      <c r="U3653" s="5"/>
      <c r="V3653" s="5"/>
    </row>
    <row r="3654" ht="12.75" customHeight="1">
      <c r="A3654" s="5"/>
      <c r="B3654" s="5"/>
      <c r="C3654" s="5"/>
      <c r="D3654" s="5"/>
      <c r="E3654" s="7"/>
      <c r="F3654" s="5"/>
      <c r="G3654" s="5"/>
      <c r="H3654" s="5"/>
      <c r="I3654" s="5"/>
      <c r="J3654" s="5"/>
      <c r="K3654" s="5"/>
      <c r="L3654" s="54"/>
      <c r="M3654" s="5"/>
      <c r="N3654" s="53"/>
      <c r="Q3654" s="5"/>
      <c r="R3654" s="5"/>
      <c r="S3654" s="5"/>
      <c r="T3654" s="5"/>
      <c r="U3654" s="5"/>
      <c r="V3654" s="5"/>
    </row>
    <row r="3655" ht="12.75" customHeight="1">
      <c r="A3655" s="5"/>
      <c r="B3655" s="5"/>
      <c r="C3655" s="5"/>
      <c r="D3655" s="5"/>
      <c r="E3655" s="7"/>
      <c r="F3655" s="5"/>
      <c r="G3655" s="5"/>
      <c r="H3655" s="5"/>
      <c r="I3655" s="5"/>
      <c r="J3655" s="5"/>
      <c r="K3655" s="5"/>
      <c r="L3655" s="54"/>
      <c r="M3655" s="5"/>
      <c r="N3655" s="53"/>
      <c r="Q3655" s="5"/>
      <c r="R3655" s="5"/>
      <c r="S3655" s="5"/>
      <c r="T3655" s="5"/>
      <c r="U3655" s="5"/>
      <c r="V3655" s="5"/>
    </row>
    <row r="3656" ht="12.75" customHeight="1">
      <c r="A3656" s="5"/>
      <c r="B3656" s="5"/>
      <c r="C3656" s="5"/>
      <c r="D3656" s="5"/>
      <c r="E3656" s="7"/>
      <c r="F3656" s="5"/>
      <c r="G3656" s="5"/>
      <c r="H3656" s="5"/>
      <c r="I3656" s="5"/>
      <c r="J3656" s="5"/>
      <c r="K3656" s="5"/>
      <c r="L3656" s="54"/>
      <c r="M3656" s="5"/>
      <c r="N3656" s="53"/>
      <c r="Q3656" s="5"/>
      <c r="R3656" s="5"/>
      <c r="S3656" s="5"/>
      <c r="T3656" s="5"/>
      <c r="U3656" s="5"/>
      <c r="V3656" s="5"/>
    </row>
    <row r="3657" ht="12.75" customHeight="1">
      <c r="A3657" s="5"/>
      <c r="B3657" s="5"/>
      <c r="C3657" s="5"/>
      <c r="D3657" s="5"/>
      <c r="E3657" s="7"/>
      <c r="F3657" s="5"/>
      <c r="G3657" s="5"/>
      <c r="H3657" s="5"/>
      <c r="I3657" s="5"/>
      <c r="J3657" s="5"/>
      <c r="K3657" s="5"/>
      <c r="L3657" s="54"/>
      <c r="M3657" s="5"/>
      <c r="N3657" s="53"/>
      <c r="Q3657" s="5"/>
      <c r="R3657" s="5"/>
      <c r="S3657" s="5"/>
      <c r="T3657" s="5"/>
      <c r="U3657" s="5"/>
      <c r="V3657" s="5"/>
    </row>
    <row r="3658" ht="12.75" customHeight="1">
      <c r="A3658" s="5"/>
      <c r="B3658" s="5"/>
      <c r="C3658" s="5"/>
      <c r="D3658" s="5"/>
      <c r="E3658" s="7"/>
      <c r="F3658" s="5"/>
      <c r="G3658" s="5"/>
      <c r="H3658" s="5"/>
      <c r="I3658" s="5"/>
      <c r="J3658" s="5"/>
      <c r="K3658" s="5"/>
      <c r="L3658" s="54"/>
      <c r="M3658" s="5"/>
      <c r="N3658" s="53"/>
      <c r="Q3658" s="5"/>
      <c r="R3658" s="5"/>
      <c r="S3658" s="5"/>
      <c r="T3658" s="5"/>
      <c r="U3658" s="5"/>
      <c r="V3658" s="5"/>
    </row>
    <row r="3659" ht="12.75" customHeight="1">
      <c r="A3659" s="5"/>
      <c r="B3659" s="5"/>
      <c r="C3659" s="5"/>
      <c r="D3659" s="5"/>
      <c r="E3659" s="7"/>
      <c r="F3659" s="5"/>
      <c r="G3659" s="5"/>
      <c r="H3659" s="5"/>
      <c r="I3659" s="5"/>
      <c r="J3659" s="5"/>
      <c r="K3659" s="5"/>
      <c r="L3659" s="54"/>
      <c r="M3659" s="5"/>
      <c r="N3659" s="53"/>
      <c r="Q3659" s="5"/>
      <c r="R3659" s="5"/>
      <c r="S3659" s="5"/>
      <c r="T3659" s="5"/>
      <c r="U3659" s="5"/>
      <c r="V3659" s="5"/>
    </row>
    <row r="3660" ht="12.75" customHeight="1">
      <c r="A3660" s="5"/>
      <c r="B3660" s="5"/>
      <c r="C3660" s="5"/>
      <c r="D3660" s="5"/>
      <c r="E3660" s="7"/>
      <c r="F3660" s="5"/>
      <c r="G3660" s="5"/>
      <c r="H3660" s="5"/>
      <c r="I3660" s="5"/>
      <c r="J3660" s="5"/>
      <c r="K3660" s="5"/>
      <c r="L3660" s="54"/>
      <c r="M3660" s="5"/>
      <c r="N3660" s="53"/>
      <c r="Q3660" s="5"/>
      <c r="R3660" s="5"/>
      <c r="S3660" s="5"/>
      <c r="T3660" s="5"/>
      <c r="U3660" s="5"/>
      <c r="V3660" s="5"/>
    </row>
    <row r="3661" ht="12.75" customHeight="1">
      <c r="A3661" s="5"/>
      <c r="B3661" s="5"/>
      <c r="C3661" s="5"/>
      <c r="D3661" s="5"/>
      <c r="E3661" s="7"/>
      <c r="F3661" s="5"/>
      <c r="G3661" s="5"/>
      <c r="H3661" s="5"/>
      <c r="I3661" s="5"/>
      <c r="J3661" s="5"/>
      <c r="K3661" s="5"/>
      <c r="L3661" s="54"/>
      <c r="M3661" s="5"/>
      <c r="N3661" s="53"/>
      <c r="Q3661" s="5"/>
      <c r="R3661" s="5"/>
      <c r="S3661" s="5"/>
      <c r="T3661" s="5"/>
      <c r="U3661" s="5"/>
      <c r="V3661" s="5"/>
    </row>
    <row r="3662" ht="12.75" customHeight="1">
      <c r="A3662" s="5"/>
      <c r="B3662" s="5"/>
      <c r="C3662" s="5"/>
      <c r="D3662" s="5"/>
      <c r="E3662" s="7"/>
      <c r="F3662" s="5"/>
      <c r="G3662" s="5"/>
      <c r="H3662" s="5"/>
      <c r="I3662" s="5"/>
      <c r="J3662" s="5"/>
      <c r="K3662" s="5"/>
      <c r="L3662" s="54"/>
      <c r="M3662" s="5"/>
      <c r="N3662" s="53"/>
      <c r="Q3662" s="5"/>
      <c r="R3662" s="5"/>
      <c r="S3662" s="5"/>
      <c r="T3662" s="5"/>
      <c r="U3662" s="5"/>
      <c r="V3662" s="5"/>
    </row>
    <row r="3663" ht="12.75" customHeight="1">
      <c r="A3663" s="5"/>
      <c r="B3663" s="5"/>
      <c r="C3663" s="5"/>
      <c r="D3663" s="5"/>
      <c r="E3663" s="7"/>
      <c r="F3663" s="5"/>
      <c r="G3663" s="5"/>
      <c r="H3663" s="5"/>
      <c r="I3663" s="5"/>
      <c r="J3663" s="5"/>
      <c r="K3663" s="5"/>
      <c r="L3663" s="54"/>
      <c r="M3663" s="5"/>
      <c r="N3663" s="53"/>
      <c r="Q3663" s="5"/>
      <c r="R3663" s="5"/>
      <c r="S3663" s="5"/>
      <c r="T3663" s="5"/>
      <c r="U3663" s="5"/>
      <c r="V3663" s="5"/>
    </row>
    <row r="3664" ht="12.75" customHeight="1">
      <c r="A3664" s="5"/>
      <c r="B3664" s="5"/>
      <c r="C3664" s="5"/>
      <c r="D3664" s="5"/>
      <c r="E3664" s="7"/>
      <c r="F3664" s="5"/>
      <c r="G3664" s="5"/>
      <c r="H3664" s="5"/>
      <c r="I3664" s="5"/>
      <c r="J3664" s="5"/>
      <c r="K3664" s="5"/>
      <c r="L3664" s="54"/>
      <c r="M3664" s="5"/>
      <c r="N3664" s="53"/>
      <c r="Q3664" s="5"/>
      <c r="R3664" s="5"/>
      <c r="S3664" s="5"/>
      <c r="T3664" s="5"/>
      <c r="U3664" s="5"/>
      <c r="V3664" s="5"/>
    </row>
    <row r="3665" ht="12.75" customHeight="1">
      <c r="A3665" s="5"/>
      <c r="B3665" s="5"/>
      <c r="C3665" s="5"/>
      <c r="D3665" s="5"/>
      <c r="E3665" s="7"/>
      <c r="F3665" s="5"/>
      <c r="G3665" s="5"/>
      <c r="H3665" s="5"/>
      <c r="I3665" s="5"/>
      <c r="J3665" s="5"/>
      <c r="K3665" s="5"/>
      <c r="L3665" s="54"/>
      <c r="M3665" s="5"/>
      <c r="N3665" s="53"/>
      <c r="Q3665" s="5"/>
      <c r="R3665" s="5"/>
      <c r="S3665" s="5"/>
      <c r="T3665" s="5"/>
      <c r="U3665" s="5"/>
      <c r="V3665" s="5"/>
    </row>
    <row r="3666" ht="12.75" customHeight="1">
      <c r="A3666" s="5"/>
      <c r="B3666" s="5"/>
      <c r="C3666" s="5"/>
      <c r="D3666" s="5"/>
      <c r="E3666" s="7"/>
      <c r="F3666" s="5"/>
      <c r="G3666" s="5"/>
      <c r="H3666" s="5"/>
      <c r="I3666" s="5"/>
      <c r="J3666" s="5"/>
      <c r="K3666" s="5"/>
      <c r="L3666" s="54"/>
      <c r="M3666" s="5"/>
      <c r="N3666" s="53"/>
      <c r="Q3666" s="5"/>
      <c r="R3666" s="5"/>
      <c r="S3666" s="5"/>
      <c r="T3666" s="5"/>
      <c r="U3666" s="5"/>
      <c r="V3666" s="5"/>
    </row>
    <row r="3667" ht="12.75" customHeight="1">
      <c r="A3667" s="5"/>
      <c r="B3667" s="5"/>
      <c r="C3667" s="5"/>
      <c r="D3667" s="5"/>
      <c r="E3667" s="7"/>
      <c r="F3667" s="5"/>
      <c r="G3667" s="5"/>
      <c r="H3667" s="5"/>
      <c r="I3667" s="5"/>
      <c r="J3667" s="5"/>
      <c r="K3667" s="5"/>
      <c r="L3667" s="54"/>
      <c r="M3667" s="5"/>
      <c r="N3667" s="53"/>
      <c r="Q3667" s="5"/>
      <c r="R3667" s="5"/>
      <c r="S3667" s="5"/>
      <c r="T3667" s="5"/>
      <c r="U3667" s="5"/>
      <c r="V3667" s="5"/>
    </row>
    <row r="3668" ht="12.75" customHeight="1">
      <c r="A3668" s="5"/>
      <c r="B3668" s="5"/>
      <c r="C3668" s="5"/>
      <c r="D3668" s="5"/>
      <c r="E3668" s="7"/>
      <c r="F3668" s="5"/>
      <c r="G3668" s="5"/>
      <c r="H3668" s="5"/>
      <c r="I3668" s="5"/>
      <c r="J3668" s="5"/>
      <c r="K3668" s="5"/>
      <c r="L3668" s="54"/>
      <c r="M3668" s="5"/>
      <c r="N3668" s="53"/>
      <c r="Q3668" s="5"/>
      <c r="R3668" s="5"/>
      <c r="S3668" s="5"/>
      <c r="T3668" s="5"/>
      <c r="U3668" s="5"/>
      <c r="V3668" s="5"/>
    </row>
    <row r="3669" ht="12.75" customHeight="1">
      <c r="A3669" s="5"/>
      <c r="B3669" s="5"/>
      <c r="C3669" s="5"/>
      <c r="D3669" s="5"/>
      <c r="E3669" s="7"/>
      <c r="F3669" s="5"/>
      <c r="G3669" s="5"/>
      <c r="H3669" s="5"/>
      <c r="I3669" s="5"/>
      <c r="J3669" s="5"/>
      <c r="K3669" s="5"/>
      <c r="L3669" s="54"/>
      <c r="M3669" s="5"/>
      <c r="N3669" s="53"/>
      <c r="Q3669" s="5"/>
      <c r="R3669" s="5"/>
      <c r="S3669" s="5"/>
      <c r="T3669" s="5"/>
      <c r="U3669" s="5"/>
      <c r="V3669" s="5"/>
    </row>
    <row r="3670" ht="12.75" customHeight="1">
      <c r="A3670" s="5"/>
      <c r="B3670" s="5"/>
      <c r="C3670" s="5"/>
      <c r="D3670" s="5"/>
      <c r="E3670" s="7"/>
      <c r="F3670" s="5"/>
      <c r="G3670" s="5"/>
      <c r="H3670" s="5"/>
      <c r="I3670" s="5"/>
      <c r="J3670" s="5"/>
      <c r="K3670" s="5"/>
      <c r="L3670" s="54"/>
      <c r="M3670" s="5"/>
      <c r="N3670" s="53"/>
      <c r="Q3670" s="5"/>
      <c r="R3670" s="5"/>
      <c r="S3670" s="5"/>
      <c r="T3670" s="5"/>
      <c r="U3670" s="5"/>
      <c r="V3670" s="5"/>
    </row>
    <row r="3671" ht="12.75" customHeight="1">
      <c r="A3671" s="5"/>
      <c r="B3671" s="5"/>
      <c r="C3671" s="5"/>
      <c r="D3671" s="5"/>
      <c r="E3671" s="7"/>
      <c r="F3671" s="5"/>
      <c r="G3671" s="5"/>
      <c r="H3671" s="5"/>
      <c r="I3671" s="5"/>
      <c r="J3671" s="5"/>
      <c r="K3671" s="5"/>
      <c r="L3671" s="54"/>
      <c r="M3671" s="5"/>
      <c r="N3671" s="53"/>
      <c r="Q3671" s="5"/>
      <c r="R3671" s="5"/>
      <c r="S3671" s="5"/>
      <c r="T3671" s="5"/>
      <c r="U3671" s="5"/>
      <c r="V3671" s="5"/>
    </row>
    <row r="3672" ht="12.75" customHeight="1">
      <c r="A3672" s="5"/>
      <c r="B3672" s="5"/>
      <c r="C3672" s="5"/>
      <c r="D3672" s="5"/>
      <c r="E3672" s="7"/>
      <c r="F3672" s="5"/>
      <c r="G3672" s="5"/>
      <c r="H3672" s="5"/>
      <c r="I3672" s="5"/>
      <c r="J3672" s="5"/>
      <c r="K3672" s="5"/>
      <c r="L3672" s="54"/>
      <c r="M3672" s="5"/>
      <c r="N3672" s="53"/>
      <c r="Q3672" s="5"/>
      <c r="R3672" s="5"/>
      <c r="S3672" s="5"/>
      <c r="T3672" s="5"/>
      <c r="U3672" s="5"/>
      <c r="V3672" s="5"/>
    </row>
    <row r="3673" ht="12.75" customHeight="1">
      <c r="A3673" s="5"/>
      <c r="B3673" s="5"/>
      <c r="C3673" s="5"/>
      <c r="D3673" s="5"/>
      <c r="E3673" s="7"/>
      <c r="F3673" s="5"/>
      <c r="G3673" s="5"/>
      <c r="H3673" s="5"/>
      <c r="I3673" s="5"/>
      <c r="J3673" s="5"/>
      <c r="K3673" s="5"/>
      <c r="L3673" s="54"/>
      <c r="M3673" s="5"/>
      <c r="N3673" s="53"/>
      <c r="Q3673" s="5"/>
      <c r="R3673" s="5"/>
      <c r="S3673" s="5"/>
      <c r="T3673" s="5"/>
      <c r="U3673" s="5"/>
      <c r="V3673" s="5"/>
    </row>
    <row r="3674" ht="12.75" customHeight="1">
      <c r="A3674" s="5"/>
      <c r="B3674" s="5"/>
      <c r="C3674" s="5"/>
      <c r="D3674" s="5"/>
      <c r="E3674" s="7"/>
      <c r="F3674" s="5"/>
      <c r="G3674" s="5"/>
      <c r="H3674" s="5"/>
      <c r="I3674" s="5"/>
      <c r="J3674" s="5"/>
      <c r="K3674" s="5"/>
      <c r="L3674" s="54"/>
      <c r="M3674" s="5"/>
      <c r="N3674" s="53"/>
      <c r="Q3674" s="5"/>
      <c r="R3674" s="5"/>
      <c r="S3674" s="5"/>
      <c r="T3674" s="5"/>
      <c r="U3674" s="5"/>
      <c r="V3674" s="5"/>
    </row>
    <row r="3675" ht="12.75" customHeight="1">
      <c r="A3675" s="5"/>
      <c r="B3675" s="5"/>
      <c r="C3675" s="5"/>
      <c r="D3675" s="5"/>
      <c r="E3675" s="7"/>
      <c r="F3675" s="5"/>
      <c r="G3675" s="5"/>
      <c r="H3675" s="5"/>
      <c r="I3675" s="5"/>
      <c r="J3675" s="5"/>
      <c r="K3675" s="5"/>
      <c r="L3675" s="54"/>
      <c r="M3675" s="5"/>
      <c r="N3675" s="53"/>
      <c r="Q3675" s="5"/>
      <c r="R3675" s="5"/>
      <c r="S3675" s="5"/>
      <c r="T3675" s="5"/>
      <c r="U3675" s="5"/>
      <c r="V3675" s="5"/>
    </row>
    <row r="3676" ht="12.75" customHeight="1">
      <c r="A3676" s="5"/>
      <c r="B3676" s="5"/>
      <c r="C3676" s="5"/>
      <c r="D3676" s="5"/>
      <c r="E3676" s="7"/>
      <c r="F3676" s="5"/>
      <c r="G3676" s="5"/>
      <c r="H3676" s="5"/>
      <c r="I3676" s="5"/>
      <c r="J3676" s="5"/>
      <c r="K3676" s="5"/>
      <c r="L3676" s="54"/>
      <c r="M3676" s="5"/>
      <c r="N3676" s="53"/>
      <c r="Q3676" s="5"/>
      <c r="R3676" s="5"/>
      <c r="S3676" s="5"/>
      <c r="T3676" s="5"/>
      <c r="U3676" s="5"/>
      <c r="V3676" s="5"/>
    </row>
    <row r="3677" ht="12.75" customHeight="1">
      <c r="A3677" s="5"/>
      <c r="B3677" s="5"/>
      <c r="C3677" s="5"/>
      <c r="D3677" s="5"/>
      <c r="E3677" s="7"/>
      <c r="F3677" s="5"/>
      <c r="G3677" s="5"/>
      <c r="H3677" s="5"/>
      <c r="I3677" s="5"/>
      <c r="J3677" s="5"/>
      <c r="K3677" s="5"/>
      <c r="L3677" s="54"/>
      <c r="M3677" s="5"/>
      <c r="N3677" s="53"/>
      <c r="Q3677" s="5"/>
      <c r="R3677" s="5"/>
      <c r="S3677" s="5"/>
      <c r="T3677" s="5"/>
      <c r="U3677" s="5"/>
      <c r="V3677" s="5"/>
    </row>
    <row r="3678" ht="12.75" customHeight="1">
      <c r="A3678" s="5"/>
      <c r="B3678" s="5"/>
      <c r="C3678" s="5"/>
      <c r="D3678" s="5"/>
      <c r="E3678" s="7"/>
      <c r="F3678" s="5"/>
      <c r="G3678" s="5"/>
      <c r="H3678" s="5"/>
      <c r="I3678" s="5"/>
      <c r="J3678" s="5"/>
      <c r="K3678" s="5"/>
      <c r="L3678" s="54"/>
      <c r="M3678" s="5"/>
      <c r="N3678" s="53"/>
      <c r="Q3678" s="5"/>
      <c r="R3678" s="5"/>
      <c r="S3678" s="5"/>
      <c r="T3678" s="5"/>
      <c r="U3678" s="5"/>
      <c r="V3678" s="5"/>
    </row>
    <row r="3679" ht="12.75" customHeight="1">
      <c r="A3679" s="5"/>
      <c r="B3679" s="5"/>
      <c r="C3679" s="5"/>
      <c r="D3679" s="5"/>
      <c r="E3679" s="7"/>
      <c r="F3679" s="5"/>
      <c r="G3679" s="5"/>
      <c r="H3679" s="5"/>
      <c r="I3679" s="5"/>
      <c r="J3679" s="5"/>
      <c r="K3679" s="5"/>
      <c r="L3679" s="54"/>
      <c r="M3679" s="5"/>
      <c r="N3679" s="53"/>
      <c r="Q3679" s="5"/>
      <c r="R3679" s="5"/>
      <c r="S3679" s="5"/>
      <c r="T3679" s="5"/>
      <c r="U3679" s="5"/>
      <c r="V3679" s="5"/>
    </row>
    <row r="3680" ht="12.75" customHeight="1">
      <c r="A3680" s="5"/>
      <c r="B3680" s="5"/>
      <c r="C3680" s="5"/>
      <c r="D3680" s="5"/>
      <c r="E3680" s="7"/>
      <c r="F3680" s="5"/>
      <c r="G3680" s="5"/>
      <c r="H3680" s="5"/>
      <c r="I3680" s="5"/>
      <c r="J3680" s="5"/>
      <c r="K3680" s="5"/>
      <c r="L3680" s="54"/>
      <c r="M3680" s="5"/>
      <c r="N3680" s="53"/>
      <c r="Q3680" s="5"/>
      <c r="R3680" s="5"/>
      <c r="S3680" s="5"/>
      <c r="T3680" s="5"/>
      <c r="U3680" s="5"/>
      <c r="V3680" s="5"/>
    </row>
    <row r="3681" ht="12.75" customHeight="1">
      <c r="A3681" s="5"/>
      <c r="B3681" s="5"/>
      <c r="C3681" s="5"/>
      <c r="D3681" s="5"/>
      <c r="E3681" s="7"/>
      <c r="F3681" s="5"/>
      <c r="G3681" s="5"/>
      <c r="H3681" s="5"/>
      <c r="I3681" s="5"/>
      <c r="J3681" s="5"/>
      <c r="K3681" s="5"/>
      <c r="L3681" s="54"/>
      <c r="M3681" s="5"/>
      <c r="N3681" s="53"/>
      <c r="Q3681" s="5"/>
      <c r="R3681" s="5"/>
      <c r="S3681" s="5"/>
      <c r="T3681" s="5"/>
      <c r="U3681" s="5"/>
      <c r="V3681" s="5"/>
    </row>
    <row r="3682" ht="12.75" customHeight="1">
      <c r="A3682" s="5"/>
      <c r="B3682" s="5"/>
      <c r="C3682" s="5"/>
      <c r="D3682" s="5"/>
      <c r="E3682" s="7"/>
      <c r="F3682" s="5"/>
      <c r="G3682" s="5"/>
      <c r="H3682" s="5"/>
      <c r="I3682" s="5"/>
      <c r="J3682" s="5"/>
      <c r="K3682" s="5"/>
      <c r="L3682" s="54"/>
      <c r="M3682" s="5"/>
      <c r="N3682" s="53"/>
      <c r="Q3682" s="5"/>
      <c r="R3682" s="5"/>
      <c r="S3682" s="5"/>
      <c r="T3682" s="5"/>
      <c r="U3682" s="5"/>
      <c r="V3682" s="5"/>
    </row>
    <row r="3683" ht="12.75" customHeight="1">
      <c r="A3683" s="5"/>
      <c r="B3683" s="5"/>
      <c r="C3683" s="5"/>
      <c r="D3683" s="5"/>
      <c r="E3683" s="7"/>
      <c r="F3683" s="5"/>
      <c r="G3683" s="5"/>
      <c r="H3683" s="5"/>
      <c r="I3683" s="5"/>
      <c r="J3683" s="5"/>
      <c r="K3683" s="5"/>
      <c r="L3683" s="54"/>
      <c r="M3683" s="5"/>
      <c r="N3683" s="53"/>
      <c r="Q3683" s="5"/>
      <c r="R3683" s="5"/>
      <c r="S3683" s="5"/>
      <c r="T3683" s="5"/>
      <c r="U3683" s="5"/>
      <c r="V3683" s="5"/>
    </row>
    <row r="3684" ht="12.75" customHeight="1">
      <c r="A3684" s="5"/>
      <c r="B3684" s="5"/>
      <c r="C3684" s="5"/>
      <c r="D3684" s="5"/>
      <c r="E3684" s="7"/>
      <c r="F3684" s="5"/>
      <c r="G3684" s="5"/>
      <c r="H3684" s="5"/>
      <c r="I3684" s="5"/>
      <c r="J3684" s="5"/>
      <c r="K3684" s="5"/>
      <c r="L3684" s="54"/>
      <c r="M3684" s="5"/>
      <c r="N3684" s="53"/>
      <c r="Q3684" s="5"/>
      <c r="R3684" s="5"/>
      <c r="S3684" s="5"/>
      <c r="T3684" s="5"/>
      <c r="U3684" s="5"/>
      <c r="V3684" s="5"/>
    </row>
    <row r="3685" ht="12.75" customHeight="1">
      <c r="A3685" s="5"/>
      <c r="B3685" s="5"/>
      <c r="C3685" s="5"/>
      <c r="D3685" s="5"/>
      <c r="E3685" s="7"/>
      <c r="F3685" s="5"/>
      <c r="G3685" s="5"/>
      <c r="H3685" s="5"/>
      <c r="I3685" s="5"/>
      <c r="J3685" s="5"/>
      <c r="K3685" s="5"/>
      <c r="L3685" s="54"/>
      <c r="M3685" s="5"/>
      <c r="N3685" s="53"/>
      <c r="Q3685" s="5"/>
      <c r="R3685" s="5"/>
      <c r="S3685" s="5"/>
      <c r="T3685" s="5"/>
      <c r="U3685" s="5"/>
      <c r="V3685" s="5"/>
    </row>
    <row r="3686" ht="12.75" customHeight="1">
      <c r="A3686" s="5"/>
      <c r="B3686" s="5"/>
      <c r="C3686" s="5"/>
      <c r="D3686" s="5"/>
      <c r="E3686" s="7"/>
      <c r="F3686" s="5"/>
      <c r="G3686" s="5"/>
      <c r="H3686" s="5"/>
      <c r="I3686" s="5"/>
      <c r="J3686" s="5"/>
      <c r="K3686" s="5"/>
      <c r="L3686" s="54"/>
      <c r="M3686" s="5"/>
      <c r="N3686" s="53"/>
      <c r="Q3686" s="5"/>
      <c r="R3686" s="5"/>
      <c r="S3686" s="5"/>
      <c r="T3686" s="5"/>
      <c r="U3686" s="5"/>
      <c r="V3686" s="5"/>
    </row>
    <row r="3687" ht="12.75" customHeight="1">
      <c r="A3687" s="5"/>
      <c r="B3687" s="5"/>
      <c r="C3687" s="5"/>
      <c r="D3687" s="5"/>
      <c r="E3687" s="7"/>
      <c r="F3687" s="5"/>
      <c r="G3687" s="5"/>
      <c r="H3687" s="5"/>
      <c r="I3687" s="5"/>
      <c r="J3687" s="5"/>
      <c r="K3687" s="5"/>
      <c r="L3687" s="54"/>
      <c r="M3687" s="5"/>
      <c r="N3687" s="53"/>
      <c r="Q3687" s="5"/>
      <c r="R3687" s="5"/>
      <c r="S3687" s="5"/>
      <c r="T3687" s="5"/>
      <c r="U3687" s="5"/>
      <c r="V3687" s="5"/>
    </row>
    <row r="3688" ht="12.75" customHeight="1">
      <c r="A3688" s="5"/>
      <c r="B3688" s="5"/>
      <c r="C3688" s="5"/>
      <c r="D3688" s="5"/>
      <c r="E3688" s="7"/>
      <c r="F3688" s="5"/>
      <c r="G3688" s="5"/>
      <c r="H3688" s="5"/>
      <c r="I3688" s="5"/>
      <c r="J3688" s="5"/>
      <c r="K3688" s="5"/>
      <c r="L3688" s="54"/>
      <c r="M3688" s="5"/>
      <c r="N3688" s="53"/>
      <c r="Q3688" s="5"/>
      <c r="R3688" s="5"/>
      <c r="S3688" s="5"/>
      <c r="T3688" s="5"/>
      <c r="U3688" s="5"/>
      <c r="V3688" s="5"/>
    </row>
    <row r="3689" ht="12.75" customHeight="1">
      <c r="A3689" s="5"/>
      <c r="B3689" s="5"/>
      <c r="C3689" s="5"/>
      <c r="D3689" s="5"/>
      <c r="E3689" s="7"/>
      <c r="F3689" s="5"/>
      <c r="G3689" s="5"/>
      <c r="H3689" s="5"/>
      <c r="I3689" s="5"/>
      <c r="J3689" s="5"/>
      <c r="K3689" s="5"/>
      <c r="L3689" s="54"/>
      <c r="M3689" s="5"/>
      <c r="N3689" s="53"/>
      <c r="Q3689" s="5"/>
      <c r="R3689" s="5"/>
      <c r="S3689" s="5"/>
      <c r="T3689" s="5"/>
      <c r="U3689" s="5"/>
      <c r="V3689" s="5"/>
    </row>
    <row r="3690" ht="12.75" customHeight="1">
      <c r="A3690" s="5"/>
      <c r="B3690" s="5"/>
      <c r="C3690" s="5"/>
      <c r="D3690" s="5"/>
      <c r="E3690" s="7"/>
      <c r="F3690" s="5"/>
      <c r="G3690" s="5"/>
      <c r="H3690" s="5"/>
      <c r="I3690" s="5"/>
      <c r="J3690" s="5"/>
      <c r="K3690" s="5"/>
      <c r="L3690" s="54"/>
      <c r="M3690" s="5"/>
      <c r="N3690" s="53"/>
      <c r="Q3690" s="5"/>
      <c r="R3690" s="5"/>
      <c r="S3690" s="5"/>
      <c r="T3690" s="5"/>
      <c r="U3690" s="5"/>
      <c r="V3690" s="5"/>
    </row>
    <row r="3691" ht="12.75" customHeight="1">
      <c r="A3691" s="5"/>
      <c r="B3691" s="5"/>
      <c r="C3691" s="5"/>
      <c r="D3691" s="5"/>
      <c r="E3691" s="7"/>
      <c r="F3691" s="5"/>
      <c r="G3691" s="5"/>
      <c r="H3691" s="5"/>
      <c r="I3691" s="5"/>
      <c r="J3691" s="5"/>
      <c r="K3691" s="5"/>
      <c r="L3691" s="54"/>
      <c r="M3691" s="5"/>
      <c r="N3691" s="53"/>
      <c r="Q3691" s="5"/>
      <c r="R3691" s="5"/>
      <c r="S3691" s="5"/>
      <c r="T3691" s="5"/>
      <c r="U3691" s="5"/>
      <c r="V3691" s="5"/>
    </row>
    <row r="3692" ht="12.75" customHeight="1">
      <c r="A3692" s="5"/>
      <c r="B3692" s="5"/>
      <c r="C3692" s="5"/>
      <c r="D3692" s="5"/>
      <c r="E3692" s="7"/>
      <c r="F3692" s="5"/>
      <c r="G3692" s="5"/>
      <c r="H3692" s="5"/>
      <c r="I3692" s="5"/>
      <c r="J3692" s="5"/>
      <c r="K3692" s="5"/>
      <c r="L3692" s="54"/>
      <c r="M3692" s="5"/>
      <c r="N3692" s="53"/>
      <c r="Q3692" s="5"/>
      <c r="R3692" s="5"/>
      <c r="S3692" s="5"/>
      <c r="T3692" s="5"/>
      <c r="U3692" s="5"/>
      <c r="V3692" s="5"/>
    </row>
    <row r="3693" ht="12.75" customHeight="1">
      <c r="A3693" s="5"/>
      <c r="B3693" s="5"/>
      <c r="C3693" s="5"/>
      <c r="D3693" s="5"/>
      <c r="E3693" s="7"/>
      <c r="F3693" s="5"/>
      <c r="G3693" s="5"/>
      <c r="H3693" s="5"/>
      <c r="I3693" s="5"/>
      <c r="J3693" s="5"/>
      <c r="K3693" s="5"/>
      <c r="L3693" s="54"/>
      <c r="M3693" s="5"/>
      <c r="N3693" s="53"/>
      <c r="Q3693" s="5"/>
      <c r="R3693" s="5"/>
      <c r="S3693" s="5"/>
      <c r="T3693" s="5"/>
      <c r="U3693" s="5"/>
      <c r="V3693" s="5"/>
    </row>
    <row r="3694" ht="12.75" customHeight="1">
      <c r="A3694" s="5"/>
      <c r="B3694" s="5"/>
      <c r="C3694" s="5"/>
      <c r="D3694" s="5"/>
      <c r="E3694" s="7"/>
      <c r="F3694" s="5"/>
      <c r="G3694" s="5"/>
      <c r="H3694" s="5"/>
      <c r="I3694" s="5"/>
      <c r="J3694" s="5"/>
      <c r="K3694" s="5"/>
      <c r="L3694" s="54"/>
      <c r="M3694" s="5"/>
      <c r="N3694" s="53"/>
      <c r="Q3694" s="5"/>
      <c r="R3694" s="5"/>
      <c r="S3694" s="5"/>
      <c r="T3694" s="5"/>
      <c r="U3694" s="5"/>
      <c r="V3694" s="5"/>
    </row>
    <row r="3695" ht="12.75" customHeight="1">
      <c r="A3695" s="5"/>
      <c r="B3695" s="5"/>
      <c r="C3695" s="5"/>
      <c r="D3695" s="5"/>
      <c r="E3695" s="7"/>
      <c r="F3695" s="5"/>
      <c r="G3695" s="5"/>
      <c r="H3695" s="5"/>
      <c r="I3695" s="5"/>
      <c r="J3695" s="5"/>
      <c r="K3695" s="5"/>
      <c r="L3695" s="54"/>
      <c r="M3695" s="5"/>
      <c r="N3695" s="53"/>
      <c r="Q3695" s="5"/>
      <c r="R3695" s="5"/>
      <c r="S3695" s="5"/>
      <c r="T3695" s="5"/>
      <c r="U3695" s="5"/>
      <c r="V3695" s="5"/>
    </row>
    <row r="3696" ht="12.75" customHeight="1">
      <c r="A3696" s="5"/>
      <c r="B3696" s="5"/>
      <c r="C3696" s="5"/>
      <c r="D3696" s="5"/>
      <c r="E3696" s="7"/>
      <c r="F3696" s="5"/>
      <c r="G3696" s="5"/>
      <c r="H3696" s="5"/>
      <c r="I3696" s="5"/>
      <c r="J3696" s="5"/>
      <c r="K3696" s="5"/>
      <c r="L3696" s="54"/>
      <c r="M3696" s="5"/>
      <c r="N3696" s="53"/>
      <c r="Q3696" s="5"/>
      <c r="R3696" s="5"/>
      <c r="S3696" s="5"/>
      <c r="T3696" s="5"/>
      <c r="U3696" s="5"/>
      <c r="V3696" s="5"/>
    </row>
    <row r="3697" ht="12.75" customHeight="1">
      <c r="A3697" s="5"/>
      <c r="B3697" s="5"/>
      <c r="C3697" s="5"/>
      <c r="D3697" s="5"/>
      <c r="E3697" s="7"/>
      <c r="F3697" s="5"/>
      <c r="G3697" s="5"/>
      <c r="H3697" s="5"/>
      <c r="I3697" s="5"/>
      <c r="J3697" s="5"/>
      <c r="K3697" s="5"/>
      <c r="L3697" s="54"/>
      <c r="M3697" s="5"/>
      <c r="N3697" s="53"/>
      <c r="Q3697" s="5"/>
      <c r="R3697" s="5"/>
      <c r="S3697" s="5"/>
      <c r="T3697" s="5"/>
      <c r="U3697" s="5"/>
      <c r="V3697" s="5"/>
    </row>
    <row r="3698" ht="12.75" customHeight="1">
      <c r="A3698" s="5"/>
      <c r="B3698" s="5"/>
      <c r="C3698" s="5"/>
      <c r="D3698" s="5"/>
      <c r="E3698" s="7"/>
      <c r="F3698" s="5"/>
      <c r="G3698" s="5"/>
      <c r="H3698" s="5"/>
      <c r="I3698" s="5"/>
      <c r="J3698" s="5"/>
      <c r="K3698" s="5"/>
      <c r="L3698" s="54"/>
      <c r="M3698" s="5"/>
      <c r="N3698" s="53"/>
      <c r="Q3698" s="5"/>
      <c r="R3698" s="5"/>
      <c r="S3698" s="5"/>
      <c r="T3698" s="5"/>
      <c r="U3698" s="5"/>
      <c r="V3698" s="5"/>
    </row>
    <row r="3699" ht="12.75" customHeight="1">
      <c r="A3699" s="5"/>
      <c r="B3699" s="5"/>
      <c r="C3699" s="5"/>
      <c r="D3699" s="5"/>
      <c r="E3699" s="7"/>
      <c r="F3699" s="5"/>
      <c r="G3699" s="5"/>
      <c r="H3699" s="5"/>
      <c r="I3699" s="5"/>
      <c r="J3699" s="5"/>
      <c r="K3699" s="5"/>
      <c r="L3699" s="54"/>
      <c r="M3699" s="5"/>
      <c r="N3699" s="53"/>
      <c r="Q3699" s="5"/>
      <c r="R3699" s="5"/>
      <c r="S3699" s="5"/>
      <c r="T3699" s="5"/>
      <c r="U3699" s="5"/>
      <c r="V3699" s="5"/>
    </row>
    <row r="3700" ht="12.75" customHeight="1">
      <c r="A3700" s="5"/>
      <c r="B3700" s="5"/>
      <c r="C3700" s="5"/>
      <c r="D3700" s="5"/>
      <c r="E3700" s="7"/>
      <c r="F3700" s="5"/>
      <c r="G3700" s="5"/>
      <c r="H3700" s="5"/>
      <c r="I3700" s="5"/>
      <c r="J3700" s="5"/>
      <c r="K3700" s="5"/>
      <c r="L3700" s="54"/>
      <c r="M3700" s="5"/>
      <c r="N3700" s="53"/>
      <c r="Q3700" s="5"/>
      <c r="R3700" s="5"/>
      <c r="S3700" s="5"/>
      <c r="T3700" s="5"/>
      <c r="U3700" s="5"/>
      <c r="V3700" s="5"/>
    </row>
    <row r="3701" ht="12.75" customHeight="1">
      <c r="A3701" s="5"/>
      <c r="B3701" s="5"/>
      <c r="C3701" s="5"/>
      <c r="D3701" s="5"/>
      <c r="E3701" s="7"/>
      <c r="F3701" s="5"/>
      <c r="G3701" s="5"/>
      <c r="H3701" s="5"/>
      <c r="I3701" s="5"/>
      <c r="J3701" s="5"/>
      <c r="K3701" s="5"/>
      <c r="L3701" s="54"/>
      <c r="M3701" s="5"/>
      <c r="N3701" s="53"/>
      <c r="Q3701" s="5"/>
      <c r="R3701" s="5"/>
      <c r="S3701" s="5"/>
      <c r="T3701" s="5"/>
      <c r="U3701" s="5"/>
      <c r="V3701" s="5"/>
    </row>
    <row r="3702" ht="12.75" customHeight="1">
      <c r="A3702" s="5"/>
      <c r="B3702" s="5"/>
      <c r="C3702" s="5"/>
      <c r="D3702" s="5"/>
      <c r="E3702" s="7"/>
      <c r="F3702" s="5"/>
      <c r="G3702" s="5"/>
      <c r="H3702" s="5"/>
      <c r="I3702" s="5"/>
      <c r="J3702" s="5"/>
      <c r="K3702" s="5"/>
      <c r="L3702" s="54"/>
      <c r="M3702" s="5"/>
      <c r="N3702" s="53"/>
      <c r="Q3702" s="5"/>
      <c r="R3702" s="5"/>
      <c r="S3702" s="5"/>
      <c r="T3702" s="5"/>
      <c r="U3702" s="5"/>
      <c r="V3702" s="5"/>
    </row>
    <row r="3703" ht="12.75" customHeight="1">
      <c r="A3703" s="5"/>
      <c r="B3703" s="5"/>
      <c r="C3703" s="5"/>
      <c r="D3703" s="5"/>
      <c r="E3703" s="7"/>
      <c r="F3703" s="5"/>
      <c r="G3703" s="5"/>
      <c r="H3703" s="5"/>
      <c r="I3703" s="5"/>
      <c r="J3703" s="5"/>
      <c r="K3703" s="5"/>
      <c r="L3703" s="54"/>
      <c r="M3703" s="5"/>
      <c r="N3703" s="53"/>
      <c r="Q3703" s="5"/>
      <c r="R3703" s="5"/>
      <c r="S3703" s="5"/>
      <c r="T3703" s="5"/>
      <c r="U3703" s="5"/>
      <c r="V3703" s="5"/>
    </row>
    <row r="3704" ht="12.75" customHeight="1">
      <c r="A3704" s="5"/>
      <c r="B3704" s="5"/>
      <c r="C3704" s="5"/>
      <c r="D3704" s="5"/>
      <c r="E3704" s="7"/>
      <c r="F3704" s="5"/>
      <c r="G3704" s="5"/>
      <c r="H3704" s="5"/>
      <c r="I3704" s="5"/>
      <c r="J3704" s="5"/>
      <c r="K3704" s="5"/>
      <c r="L3704" s="54"/>
      <c r="M3704" s="5"/>
      <c r="N3704" s="53"/>
      <c r="Q3704" s="5"/>
      <c r="R3704" s="5"/>
      <c r="S3704" s="5"/>
      <c r="T3704" s="5"/>
      <c r="U3704" s="5"/>
      <c r="V3704" s="5"/>
    </row>
    <row r="3705" ht="12.75" customHeight="1">
      <c r="A3705" s="5"/>
      <c r="B3705" s="5"/>
      <c r="C3705" s="5"/>
      <c r="D3705" s="5"/>
      <c r="E3705" s="7"/>
      <c r="F3705" s="5"/>
      <c r="G3705" s="5"/>
      <c r="H3705" s="5"/>
      <c r="I3705" s="5"/>
      <c r="J3705" s="5"/>
      <c r="K3705" s="5"/>
      <c r="L3705" s="54"/>
      <c r="M3705" s="5"/>
      <c r="N3705" s="53"/>
      <c r="Q3705" s="5"/>
      <c r="R3705" s="5"/>
      <c r="S3705" s="5"/>
      <c r="T3705" s="5"/>
      <c r="U3705" s="5"/>
      <c r="V3705" s="5"/>
    </row>
    <row r="3706" ht="12.75" customHeight="1">
      <c r="A3706" s="5"/>
      <c r="B3706" s="5"/>
      <c r="C3706" s="5"/>
      <c r="D3706" s="5"/>
      <c r="E3706" s="7"/>
      <c r="F3706" s="5"/>
      <c r="G3706" s="5"/>
      <c r="H3706" s="5"/>
      <c r="I3706" s="5"/>
      <c r="J3706" s="5"/>
      <c r="K3706" s="5"/>
      <c r="L3706" s="54"/>
      <c r="M3706" s="5"/>
      <c r="N3706" s="53"/>
      <c r="Q3706" s="5"/>
      <c r="R3706" s="5"/>
      <c r="S3706" s="5"/>
      <c r="T3706" s="5"/>
      <c r="U3706" s="5"/>
      <c r="V3706" s="5"/>
    </row>
    <row r="3707" ht="12.75" customHeight="1">
      <c r="A3707" s="5"/>
      <c r="B3707" s="5"/>
      <c r="C3707" s="5"/>
      <c r="D3707" s="5"/>
      <c r="E3707" s="7"/>
      <c r="F3707" s="5"/>
      <c r="G3707" s="5"/>
      <c r="H3707" s="5"/>
      <c r="I3707" s="5"/>
      <c r="J3707" s="5"/>
      <c r="K3707" s="5"/>
      <c r="L3707" s="54"/>
      <c r="M3707" s="5"/>
      <c r="N3707" s="53"/>
      <c r="Q3707" s="5"/>
      <c r="R3707" s="5"/>
      <c r="S3707" s="5"/>
      <c r="T3707" s="5"/>
      <c r="U3707" s="5"/>
      <c r="V3707" s="5"/>
    </row>
    <row r="3708" ht="12.75" customHeight="1">
      <c r="A3708" s="5"/>
      <c r="B3708" s="5"/>
      <c r="C3708" s="5"/>
      <c r="D3708" s="5"/>
      <c r="E3708" s="7"/>
      <c r="F3708" s="5"/>
      <c r="G3708" s="5"/>
      <c r="H3708" s="5"/>
      <c r="I3708" s="5"/>
      <c r="J3708" s="5"/>
      <c r="K3708" s="5"/>
      <c r="L3708" s="54"/>
      <c r="M3708" s="5"/>
      <c r="N3708" s="53"/>
      <c r="Q3708" s="5"/>
      <c r="R3708" s="5"/>
      <c r="S3708" s="5"/>
      <c r="T3708" s="5"/>
      <c r="U3708" s="5"/>
      <c r="V3708" s="5"/>
    </row>
    <row r="3709" ht="12.75" customHeight="1">
      <c r="A3709" s="5"/>
      <c r="B3709" s="5"/>
      <c r="C3709" s="5"/>
      <c r="D3709" s="5"/>
      <c r="E3709" s="7"/>
      <c r="F3709" s="5"/>
      <c r="G3709" s="5"/>
      <c r="H3709" s="5"/>
      <c r="I3709" s="5"/>
      <c r="J3709" s="5"/>
      <c r="K3709" s="5"/>
      <c r="L3709" s="54"/>
      <c r="M3709" s="5"/>
      <c r="N3709" s="53"/>
      <c r="Q3709" s="5"/>
      <c r="R3709" s="5"/>
      <c r="S3709" s="5"/>
      <c r="T3709" s="5"/>
      <c r="U3709" s="5"/>
      <c r="V3709" s="5"/>
    </row>
    <row r="3710" ht="12.75" customHeight="1">
      <c r="A3710" s="5"/>
      <c r="B3710" s="5"/>
      <c r="C3710" s="5"/>
      <c r="D3710" s="5"/>
      <c r="E3710" s="7"/>
      <c r="F3710" s="5"/>
      <c r="G3710" s="5"/>
      <c r="H3710" s="5"/>
      <c r="I3710" s="5"/>
      <c r="J3710" s="5"/>
      <c r="K3710" s="5"/>
      <c r="L3710" s="54"/>
      <c r="M3710" s="5"/>
      <c r="N3710" s="53"/>
      <c r="Q3710" s="5"/>
      <c r="R3710" s="5"/>
      <c r="S3710" s="5"/>
      <c r="T3710" s="5"/>
      <c r="U3710" s="5"/>
      <c r="V3710" s="5"/>
    </row>
    <row r="3711" ht="12.75" customHeight="1">
      <c r="A3711" s="5"/>
      <c r="B3711" s="5"/>
      <c r="C3711" s="5"/>
      <c r="D3711" s="5"/>
      <c r="E3711" s="7"/>
      <c r="F3711" s="5"/>
      <c r="G3711" s="5"/>
      <c r="H3711" s="5"/>
      <c r="I3711" s="5"/>
      <c r="J3711" s="5"/>
      <c r="K3711" s="5"/>
      <c r="L3711" s="54"/>
      <c r="M3711" s="5"/>
      <c r="N3711" s="53"/>
      <c r="Q3711" s="5"/>
      <c r="R3711" s="5"/>
      <c r="S3711" s="5"/>
      <c r="T3711" s="5"/>
      <c r="U3711" s="5"/>
      <c r="V3711" s="5"/>
    </row>
    <row r="3712" ht="12.75" customHeight="1">
      <c r="A3712" s="5"/>
      <c r="B3712" s="5"/>
      <c r="C3712" s="5"/>
      <c r="D3712" s="5"/>
      <c r="E3712" s="7"/>
      <c r="F3712" s="5"/>
      <c r="G3712" s="5"/>
      <c r="H3712" s="5"/>
      <c r="I3712" s="5"/>
      <c r="J3712" s="5"/>
      <c r="K3712" s="5"/>
      <c r="L3712" s="54"/>
      <c r="M3712" s="5"/>
      <c r="N3712" s="53"/>
      <c r="Q3712" s="5"/>
      <c r="R3712" s="5"/>
      <c r="S3712" s="5"/>
      <c r="T3712" s="5"/>
      <c r="U3712" s="5"/>
      <c r="V3712" s="5"/>
    </row>
    <row r="3713" ht="12.75" customHeight="1">
      <c r="A3713" s="5"/>
      <c r="B3713" s="5"/>
      <c r="C3713" s="5"/>
      <c r="D3713" s="5"/>
      <c r="E3713" s="7"/>
      <c r="F3713" s="5"/>
      <c r="G3713" s="5"/>
      <c r="H3713" s="5"/>
      <c r="I3713" s="5"/>
      <c r="J3713" s="5"/>
      <c r="K3713" s="5"/>
      <c r="L3713" s="54"/>
      <c r="M3713" s="5"/>
      <c r="N3713" s="53"/>
      <c r="Q3713" s="5"/>
      <c r="R3713" s="5"/>
      <c r="S3713" s="5"/>
      <c r="T3713" s="5"/>
      <c r="U3713" s="5"/>
      <c r="V3713" s="5"/>
    </row>
    <row r="3714" ht="12.75" customHeight="1">
      <c r="A3714" s="5"/>
      <c r="B3714" s="5"/>
      <c r="C3714" s="5"/>
      <c r="D3714" s="5"/>
      <c r="E3714" s="7"/>
      <c r="F3714" s="5"/>
      <c r="G3714" s="5"/>
      <c r="H3714" s="5"/>
      <c r="I3714" s="5"/>
      <c r="J3714" s="5"/>
      <c r="K3714" s="5"/>
      <c r="L3714" s="54"/>
      <c r="M3714" s="5"/>
      <c r="N3714" s="53"/>
      <c r="Q3714" s="5"/>
      <c r="R3714" s="5"/>
      <c r="S3714" s="5"/>
      <c r="T3714" s="5"/>
      <c r="U3714" s="5"/>
      <c r="V3714" s="5"/>
    </row>
    <row r="3715" ht="12.75" customHeight="1">
      <c r="A3715" s="5"/>
      <c r="B3715" s="5"/>
      <c r="C3715" s="5"/>
      <c r="D3715" s="5"/>
      <c r="E3715" s="7"/>
      <c r="F3715" s="5"/>
      <c r="G3715" s="5"/>
      <c r="H3715" s="5"/>
      <c r="I3715" s="5"/>
      <c r="J3715" s="5"/>
      <c r="K3715" s="5"/>
      <c r="L3715" s="54"/>
      <c r="M3715" s="5"/>
      <c r="N3715" s="53"/>
      <c r="Q3715" s="5"/>
      <c r="R3715" s="5"/>
      <c r="S3715" s="5"/>
      <c r="T3715" s="5"/>
      <c r="U3715" s="5"/>
      <c r="V3715" s="5"/>
    </row>
    <row r="3716" ht="12.75" customHeight="1">
      <c r="A3716" s="5"/>
      <c r="B3716" s="5"/>
      <c r="C3716" s="5"/>
      <c r="D3716" s="5"/>
      <c r="E3716" s="7"/>
      <c r="F3716" s="5"/>
      <c r="G3716" s="5"/>
      <c r="H3716" s="5"/>
      <c r="I3716" s="5"/>
      <c r="J3716" s="5"/>
      <c r="K3716" s="5"/>
      <c r="L3716" s="54"/>
      <c r="M3716" s="5"/>
      <c r="N3716" s="53"/>
      <c r="Q3716" s="5"/>
      <c r="R3716" s="5"/>
      <c r="S3716" s="5"/>
      <c r="T3716" s="5"/>
      <c r="U3716" s="5"/>
      <c r="V3716" s="5"/>
    </row>
    <row r="3717" ht="12.75" customHeight="1">
      <c r="A3717" s="5"/>
      <c r="B3717" s="5"/>
      <c r="C3717" s="5"/>
      <c r="D3717" s="5"/>
      <c r="E3717" s="7"/>
      <c r="F3717" s="5"/>
      <c r="G3717" s="5"/>
      <c r="H3717" s="5"/>
      <c r="I3717" s="5"/>
      <c r="J3717" s="5"/>
      <c r="K3717" s="5"/>
      <c r="L3717" s="54"/>
      <c r="M3717" s="5"/>
      <c r="N3717" s="53"/>
      <c r="Q3717" s="5"/>
      <c r="R3717" s="5"/>
      <c r="S3717" s="5"/>
      <c r="T3717" s="5"/>
      <c r="U3717" s="5"/>
      <c r="V3717" s="5"/>
    </row>
    <row r="3718" ht="12.75" customHeight="1">
      <c r="A3718" s="5"/>
      <c r="B3718" s="5"/>
      <c r="C3718" s="5"/>
      <c r="D3718" s="5"/>
      <c r="E3718" s="7"/>
      <c r="F3718" s="5"/>
      <c r="G3718" s="5"/>
      <c r="H3718" s="5"/>
      <c r="I3718" s="5"/>
      <c r="J3718" s="5"/>
      <c r="K3718" s="5"/>
      <c r="L3718" s="54"/>
      <c r="M3718" s="5"/>
      <c r="N3718" s="53"/>
      <c r="Q3718" s="5"/>
      <c r="R3718" s="5"/>
      <c r="S3718" s="5"/>
      <c r="T3718" s="5"/>
      <c r="U3718" s="5"/>
      <c r="V3718" s="5"/>
    </row>
    <row r="3719" ht="12.75" customHeight="1">
      <c r="A3719" s="5"/>
      <c r="B3719" s="5"/>
      <c r="C3719" s="5"/>
      <c r="D3719" s="5"/>
      <c r="E3719" s="7"/>
      <c r="F3719" s="5"/>
      <c r="G3719" s="5"/>
      <c r="H3719" s="5"/>
      <c r="I3719" s="5"/>
      <c r="J3719" s="5"/>
      <c r="K3719" s="5"/>
      <c r="L3719" s="54"/>
      <c r="M3719" s="5"/>
      <c r="N3719" s="53"/>
      <c r="Q3719" s="5"/>
      <c r="R3719" s="5"/>
      <c r="S3719" s="5"/>
      <c r="T3719" s="5"/>
      <c r="U3719" s="5"/>
      <c r="V3719" s="5"/>
    </row>
    <row r="3720" ht="12.75" customHeight="1">
      <c r="A3720" s="5"/>
      <c r="B3720" s="5"/>
      <c r="C3720" s="5"/>
      <c r="D3720" s="5"/>
      <c r="E3720" s="7"/>
      <c r="F3720" s="5"/>
      <c r="G3720" s="5"/>
      <c r="H3720" s="5"/>
      <c r="I3720" s="5"/>
      <c r="J3720" s="5"/>
      <c r="K3720" s="5"/>
      <c r="L3720" s="54"/>
      <c r="M3720" s="5"/>
      <c r="N3720" s="53"/>
      <c r="Q3720" s="5"/>
      <c r="R3720" s="5"/>
      <c r="S3720" s="5"/>
      <c r="T3720" s="5"/>
      <c r="U3720" s="5"/>
      <c r="V3720" s="5"/>
    </row>
    <row r="3721" ht="12.75" customHeight="1">
      <c r="A3721" s="5"/>
      <c r="B3721" s="5"/>
      <c r="C3721" s="5"/>
      <c r="D3721" s="5"/>
      <c r="E3721" s="7"/>
      <c r="F3721" s="5"/>
      <c r="G3721" s="5"/>
      <c r="H3721" s="5"/>
      <c r="I3721" s="5"/>
      <c r="J3721" s="5"/>
      <c r="K3721" s="5"/>
      <c r="L3721" s="54"/>
      <c r="M3721" s="5"/>
      <c r="N3721" s="53"/>
      <c r="Q3721" s="5"/>
      <c r="R3721" s="5"/>
      <c r="S3721" s="5"/>
      <c r="T3721" s="5"/>
      <c r="U3721" s="5"/>
      <c r="V3721" s="5"/>
    </row>
    <row r="3722" ht="12.75" customHeight="1">
      <c r="A3722" s="5"/>
      <c r="B3722" s="5"/>
      <c r="C3722" s="5"/>
      <c r="D3722" s="5"/>
      <c r="E3722" s="7"/>
      <c r="F3722" s="5"/>
      <c r="G3722" s="5"/>
      <c r="H3722" s="5"/>
      <c r="I3722" s="5"/>
      <c r="J3722" s="5"/>
      <c r="K3722" s="5"/>
      <c r="L3722" s="54"/>
      <c r="M3722" s="5"/>
      <c r="N3722" s="53"/>
      <c r="Q3722" s="5"/>
      <c r="R3722" s="5"/>
      <c r="S3722" s="5"/>
      <c r="T3722" s="5"/>
      <c r="U3722" s="5"/>
      <c r="V3722" s="5"/>
    </row>
    <row r="3723" ht="12.75" customHeight="1">
      <c r="A3723" s="5"/>
      <c r="B3723" s="5"/>
      <c r="C3723" s="5"/>
      <c r="D3723" s="5"/>
      <c r="E3723" s="7"/>
      <c r="F3723" s="5"/>
      <c r="G3723" s="5"/>
      <c r="H3723" s="5"/>
      <c r="I3723" s="5"/>
      <c r="J3723" s="5"/>
      <c r="K3723" s="5"/>
      <c r="L3723" s="54"/>
      <c r="M3723" s="5"/>
      <c r="N3723" s="53"/>
      <c r="Q3723" s="5"/>
      <c r="R3723" s="5"/>
      <c r="S3723" s="5"/>
      <c r="T3723" s="5"/>
      <c r="U3723" s="5"/>
      <c r="V3723" s="5"/>
    </row>
    <row r="3724" ht="12.75" customHeight="1">
      <c r="A3724" s="5"/>
      <c r="B3724" s="5"/>
      <c r="C3724" s="5"/>
      <c r="D3724" s="5"/>
      <c r="E3724" s="7"/>
      <c r="F3724" s="5"/>
      <c r="G3724" s="5"/>
      <c r="H3724" s="5"/>
      <c r="I3724" s="5"/>
      <c r="J3724" s="5"/>
      <c r="K3724" s="5"/>
      <c r="L3724" s="54"/>
      <c r="M3724" s="5"/>
      <c r="N3724" s="53"/>
      <c r="Q3724" s="5"/>
      <c r="R3724" s="5"/>
      <c r="S3724" s="5"/>
      <c r="T3724" s="5"/>
      <c r="U3724" s="5"/>
      <c r="V3724" s="5"/>
    </row>
    <row r="3725" ht="12.75" customHeight="1">
      <c r="A3725" s="5"/>
      <c r="B3725" s="5"/>
      <c r="C3725" s="5"/>
      <c r="D3725" s="5"/>
      <c r="E3725" s="7"/>
      <c r="F3725" s="5"/>
      <c r="G3725" s="5"/>
      <c r="H3725" s="5"/>
      <c r="I3725" s="5"/>
      <c r="J3725" s="5"/>
      <c r="K3725" s="5"/>
      <c r="L3725" s="54"/>
      <c r="M3725" s="5"/>
      <c r="N3725" s="53"/>
      <c r="Q3725" s="5"/>
      <c r="R3725" s="5"/>
      <c r="S3725" s="5"/>
      <c r="T3725" s="5"/>
      <c r="U3725" s="5"/>
      <c r="V3725" s="5"/>
    </row>
    <row r="3726" ht="12.75" customHeight="1">
      <c r="A3726" s="5"/>
      <c r="B3726" s="5"/>
      <c r="C3726" s="5"/>
      <c r="D3726" s="5"/>
      <c r="E3726" s="7"/>
      <c r="F3726" s="5"/>
      <c r="G3726" s="5"/>
      <c r="H3726" s="5"/>
      <c r="I3726" s="5"/>
      <c r="J3726" s="5"/>
      <c r="K3726" s="5"/>
      <c r="L3726" s="54"/>
      <c r="M3726" s="5"/>
      <c r="N3726" s="53"/>
      <c r="Q3726" s="5"/>
      <c r="R3726" s="5"/>
      <c r="S3726" s="5"/>
      <c r="T3726" s="5"/>
      <c r="U3726" s="5"/>
      <c r="V3726" s="5"/>
    </row>
    <row r="3727" ht="12.75" customHeight="1">
      <c r="A3727" s="5"/>
      <c r="B3727" s="5"/>
      <c r="C3727" s="5"/>
      <c r="D3727" s="5"/>
      <c r="E3727" s="7"/>
      <c r="F3727" s="5"/>
      <c r="G3727" s="5"/>
      <c r="H3727" s="5"/>
      <c r="I3727" s="5"/>
      <c r="J3727" s="5"/>
      <c r="K3727" s="5"/>
      <c r="L3727" s="54"/>
      <c r="M3727" s="5"/>
      <c r="N3727" s="53"/>
      <c r="Q3727" s="5"/>
      <c r="R3727" s="5"/>
      <c r="S3727" s="5"/>
      <c r="T3727" s="5"/>
      <c r="U3727" s="5"/>
      <c r="V3727" s="5"/>
    </row>
    <row r="3728" ht="12.75" customHeight="1">
      <c r="A3728" s="5"/>
      <c r="B3728" s="5"/>
      <c r="C3728" s="5"/>
      <c r="D3728" s="5"/>
      <c r="E3728" s="7"/>
      <c r="F3728" s="5"/>
      <c r="G3728" s="5"/>
      <c r="H3728" s="5"/>
      <c r="I3728" s="5"/>
      <c r="J3728" s="5"/>
      <c r="K3728" s="5"/>
      <c r="L3728" s="54"/>
      <c r="M3728" s="5"/>
      <c r="N3728" s="53"/>
      <c r="Q3728" s="5"/>
      <c r="R3728" s="5"/>
      <c r="S3728" s="5"/>
      <c r="T3728" s="5"/>
      <c r="U3728" s="5"/>
      <c r="V3728" s="5"/>
    </row>
    <row r="3729" ht="12.75" customHeight="1">
      <c r="A3729" s="5"/>
      <c r="B3729" s="5"/>
      <c r="C3729" s="5"/>
      <c r="D3729" s="5"/>
      <c r="E3729" s="7"/>
      <c r="F3729" s="5"/>
      <c r="G3729" s="5"/>
      <c r="H3729" s="5"/>
      <c r="I3729" s="5"/>
      <c r="J3729" s="5"/>
      <c r="K3729" s="5"/>
      <c r="L3729" s="54"/>
      <c r="M3729" s="5"/>
      <c r="N3729" s="53"/>
      <c r="Q3729" s="5"/>
      <c r="R3729" s="5"/>
      <c r="S3729" s="5"/>
      <c r="T3729" s="5"/>
      <c r="U3729" s="5"/>
      <c r="V3729" s="5"/>
    </row>
    <row r="3730" ht="12.75" customHeight="1">
      <c r="A3730" s="5"/>
      <c r="B3730" s="5"/>
      <c r="C3730" s="5"/>
      <c r="D3730" s="5"/>
      <c r="E3730" s="7"/>
      <c r="F3730" s="5"/>
      <c r="G3730" s="5"/>
      <c r="H3730" s="5"/>
      <c r="I3730" s="5"/>
      <c r="J3730" s="5"/>
      <c r="K3730" s="5"/>
      <c r="L3730" s="54"/>
      <c r="M3730" s="5"/>
      <c r="N3730" s="53"/>
      <c r="Q3730" s="5"/>
      <c r="R3730" s="5"/>
      <c r="S3730" s="5"/>
      <c r="T3730" s="5"/>
      <c r="U3730" s="5"/>
      <c r="V3730" s="5"/>
    </row>
    <row r="3731" ht="12.75" customHeight="1">
      <c r="A3731" s="5"/>
      <c r="B3731" s="5"/>
      <c r="C3731" s="5"/>
      <c r="D3731" s="5"/>
      <c r="E3731" s="7"/>
      <c r="F3731" s="5"/>
      <c r="G3731" s="5"/>
      <c r="H3731" s="5"/>
      <c r="I3731" s="5"/>
      <c r="J3731" s="5"/>
      <c r="K3731" s="5"/>
      <c r="L3731" s="54"/>
      <c r="M3731" s="5"/>
      <c r="N3731" s="53"/>
      <c r="Q3731" s="5"/>
      <c r="R3731" s="5"/>
      <c r="S3731" s="5"/>
      <c r="T3731" s="5"/>
      <c r="U3731" s="5"/>
      <c r="V3731" s="5"/>
    </row>
    <row r="3732" ht="12.75" customHeight="1">
      <c r="A3732" s="5"/>
      <c r="B3732" s="5"/>
      <c r="C3732" s="5"/>
      <c r="D3732" s="5"/>
      <c r="E3732" s="7"/>
      <c r="F3732" s="5"/>
      <c r="G3732" s="5"/>
      <c r="H3732" s="5"/>
      <c r="I3732" s="5"/>
      <c r="J3732" s="5"/>
      <c r="K3732" s="5"/>
      <c r="L3732" s="54"/>
      <c r="M3732" s="5"/>
      <c r="N3732" s="53"/>
      <c r="Q3732" s="5"/>
      <c r="R3732" s="5"/>
      <c r="S3732" s="5"/>
      <c r="T3732" s="5"/>
      <c r="U3732" s="5"/>
      <c r="V3732" s="5"/>
    </row>
    <row r="3733" ht="12.75" customHeight="1">
      <c r="A3733" s="5"/>
      <c r="B3733" s="5"/>
      <c r="C3733" s="5"/>
      <c r="D3733" s="5"/>
      <c r="E3733" s="7"/>
      <c r="F3733" s="5"/>
      <c r="G3733" s="5"/>
      <c r="H3733" s="5"/>
      <c r="I3733" s="5"/>
      <c r="J3733" s="5"/>
      <c r="K3733" s="5"/>
      <c r="L3733" s="54"/>
      <c r="M3733" s="5"/>
      <c r="N3733" s="53"/>
      <c r="Q3733" s="5"/>
      <c r="R3733" s="5"/>
      <c r="S3733" s="5"/>
      <c r="T3733" s="5"/>
      <c r="U3733" s="5"/>
      <c r="V3733" s="5"/>
    </row>
    <row r="3734" ht="12.75" customHeight="1">
      <c r="A3734" s="5"/>
      <c r="B3734" s="5"/>
      <c r="C3734" s="5"/>
      <c r="D3734" s="5"/>
      <c r="E3734" s="7"/>
      <c r="F3734" s="5"/>
      <c r="G3734" s="5"/>
      <c r="H3734" s="5"/>
      <c r="I3734" s="5"/>
      <c r="J3734" s="5"/>
      <c r="K3734" s="5"/>
      <c r="L3734" s="54"/>
      <c r="M3734" s="5"/>
      <c r="N3734" s="53"/>
      <c r="Q3734" s="5"/>
      <c r="R3734" s="5"/>
      <c r="S3734" s="5"/>
      <c r="T3734" s="5"/>
      <c r="U3734" s="5"/>
      <c r="V3734" s="5"/>
    </row>
    <row r="3735" ht="12.75" customHeight="1">
      <c r="A3735" s="5"/>
      <c r="B3735" s="5"/>
      <c r="C3735" s="5"/>
      <c r="D3735" s="5"/>
      <c r="E3735" s="7"/>
      <c r="F3735" s="5"/>
      <c r="G3735" s="5"/>
      <c r="H3735" s="5"/>
      <c r="I3735" s="5"/>
      <c r="J3735" s="5"/>
      <c r="K3735" s="5"/>
      <c r="L3735" s="54"/>
      <c r="M3735" s="5"/>
      <c r="N3735" s="53"/>
      <c r="Q3735" s="5"/>
      <c r="R3735" s="5"/>
      <c r="S3735" s="5"/>
      <c r="T3735" s="5"/>
      <c r="U3735" s="5"/>
      <c r="V3735" s="5"/>
    </row>
    <row r="3736" ht="12.75" customHeight="1">
      <c r="A3736" s="5"/>
      <c r="B3736" s="5"/>
      <c r="C3736" s="5"/>
      <c r="D3736" s="5"/>
      <c r="E3736" s="7"/>
      <c r="F3736" s="5"/>
      <c r="G3736" s="5"/>
      <c r="H3736" s="5"/>
      <c r="I3736" s="5"/>
      <c r="J3736" s="5"/>
      <c r="K3736" s="5"/>
      <c r="L3736" s="54"/>
      <c r="M3736" s="5"/>
      <c r="N3736" s="53"/>
      <c r="Q3736" s="5"/>
      <c r="R3736" s="5"/>
      <c r="S3736" s="5"/>
      <c r="T3736" s="5"/>
      <c r="U3736" s="5"/>
      <c r="V3736" s="5"/>
    </row>
    <row r="3737" ht="12.75" customHeight="1">
      <c r="A3737" s="5"/>
      <c r="B3737" s="5"/>
      <c r="C3737" s="5"/>
      <c r="D3737" s="5"/>
      <c r="E3737" s="7"/>
      <c r="F3737" s="5"/>
      <c r="G3737" s="5"/>
      <c r="H3737" s="5"/>
      <c r="I3737" s="5"/>
      <c r="J3737" s="5"/>
      <c r="K3737" s="5"/>
      <c r="L3737" s="54"/>
      <c r="M3737" s="5"/>
      <c r="N3737" s="53"/>
      <c r="Q3737" s="5"/>
      <c r="R3737" s="5"/>
      <c r="S3737" s="5"/>
      <c r="T3737" s="5"/>
      <c r="U3737" s="5"/>
      <c r="V3737" s="5"/>
    </row>
    <row r="3738" ht="12.75" customHeight="1">
      <c r="A3738" s="5"/>
      <c r="B3738" s="5"/>
      <c r="C3738" s="5"/>
      <c r="D3738" s="5"/>
      <c r="E3738" s="7"/>
      <c r="F3738" s="5"/>
      <c r="G3738" s="5"/>
      <c r="H3738" s="5"/>
      <c r="I3738" s="5"/>
      <c r="J3738" s="5"/>
      <c r="K3738" s="5"/>
      <c r="L3738" s="54"/>
      <c r="M3738" s="5"/>
      <c r="N3738" s="53"/>
      <c r="Q3738" s="5"/>
      <c r="R3738" s="5"/>
      <c r="S3738" s="5"/>
      <c r="T3738" s="5"/>
      <c r="U3738" s="5"/>
      <c r="V3738" s="5"/>
    </row>
    <row r="3739" ht="12.75" customHeight="1">
      <c r="A3739" s="5"/>
      <c r="B3739" s="5"/>
      <c r="C3739" s="5"/>
      <c r="D3739" s="5"/>
      <c r="E3739" s="7"/>
      <c r="F3739" s="5"/>
      <c r="G3739" s="5"/>
      <c r="H3739" s="5"/>
      <c r="I3739" s="5"/>
      <c r="J3739" s="5"/>
      <c r="K3739" s="5"/>
      <c r="L3739" s="54"/>
      <c r="M3739" s="5"/>
      <c r="N3739" s="53"/>
      <c r="Q3739" s="5"/>
      <c r="R3739" s="5"/>
      <c r="S3739" s="5"/>
      <c r="T3739" s="5"/>
      <c r="U3739" s="5"/>
      <c r="V3739" s="5"/>
    </row>
    <row r="3740" ht="12.75" customHeight="1">
      <c r="A3740" s="5"/>
      <c r="B3740" s="5"/>
      <c r="C3740" s="5"/>
      <c r="D3740" s="5"/>
      <c r="E3740" s="7"/>
      <c r="F3740" s="5"/>
      <c r="G3740" s="5"/>
      <c r="H3740" s="5"/>
      <c r="I3740" s="5"/>
      <c r="J3740" s="5"/>
      <c r="K3740" s="5"/>
      <c r="L3740" s="54"/>
      <c r="M3740" s="5"/>
      <c r="N3740" s="53"/>
      <c r="Q3740" s="5"/>
      <c r="R3740" s="5"/>
      <c r="S3740" s="5"/>
      <c r="T3740" s="5"/>
      <c r="U3740" s="5"/>
      <c r="V3740" s="5"/>
    </row>
    <row r="3741" ht="12.75" customHeight="1">
      <c r="A3741" s="5"/>
      <c r="B3741" s="5"/>
      <c r="C3741" s="5"/>
      <c r="D3741" s="5"/>
      <c r="E3741" s="7"/>
      <c r="F3741" s="5"/>
      <c r="G3741" s="5"/>
      <c r="H3741" s="5"/>
      <c r="I3741" s="5"/>
      <c r="J3741" s="5"/>
      <c r="K3741" s="5"/>
      <c r="L3741" s="54"/>
      <c r="M3741" s="5"/>
      <c r="N3741" s="53"/>
      <c r="Q3741" s="5"/>
      <c r="R3741" s="5"/>
      <c r="S3741" s="5"/>
      <c r="T3741" s="5"/>
      <c r="U3741" s="5"/>
      <c r="V3741" s="5"/>
    </row>
    <row r="3742" ht="12.75" customHeight="1">
      <c r="A3742" s="5"/>
      <c r="B3742" s="5"/>
      <c r="C3742" s="5"/>
      <c r="D3742" s="5"/>
      <c r="E3742" s="7"/>
      <c r="F3742" s="5"/>
      <c r="G3742" s="5"/>
      <c r="H3742" s="5"/>
      <c r="I3742" s="5"/>
      <c r="J3742" s="5"/>
      <c r="K3742" s="5"/>
      <c r="L3742" s="54"/>
      <c r="M3742" s="5"/>
      <c r="N3742" s="53"/>
      <c r="Q3742" s="5"/>
      <c r="R3742" s="5"/>
      <c r="S3742" s="5"/>
      <c r="T3742" s="5"/>
      <c r="U3742" s="5"/>
      <c r="V3742" s="5"/>
    </row>
    <row r="3743" ht="12.75" customHeight="1">
      <c r="A3743" s="5"/>
      <c r="B3743" s="5"/>
      <c r="C3743" s="5"/>
      <c r="D3743" s="5"/>
      <c r="E3743" s="7"/>
      <c r="F3743" s="5"/>
      <c r="G3743" s="5"/>
      <c r="H3743" s="5"/>
      <c r="I3743" s="5"/>
      <c r="J3743" s="5"/>
      <c r="K3743" s="5"/>
      <c r="L3743" s="54"/>
      <c r="M3743" s="5"/>
      <c r="N3743" s="53"/>
      <c r="Q3743" s="5"/>
      <c r="R3743" s="5"/>
      <c r="S3743" s="5"/>
      <c r="T3743" s="5"/>
      <c r="U3743" s="5"/>
      <c r="V3743" s="5"/>
    </row>
    <row r="3744" ht="12.75" customHeight="1">
      <c r="A3744" s="5"/>
      <c r="B3744" s="5"/>
      <c r="C3744" s="5"/>
      <c r="D3744" s="5"/>
      <c r="E3744" s="7"/>
      <c r="F3744" s="5"/>
      <c r="G3744" s="5"/>
      <c r="H3744" s="5"/>
      <c r="I3744" s="5"/>
      <c r="J3744" s="5"/>
      <c r="K3744" s="5"/>
      <c r="L3744" s="54"/>
      <c r="M3744" s="5"/>
      <c r="N3744" s="53"/>
      <c r="Q3744" s="5"/>
      <c r="R3744" s="5"/>
      <c r="S3744" s="5"/>
      <c r="T3744" s="5"/>
      <c r="U3744" s="5"/>
      <c r="V3744" s="5"/>
    </row>
    <row r="3745" ht="12.75" customHeight="1">
      <c r="A3745" s="5"/>
      <c r="B3745" s="5"/>
      <c r="C3745" s="5"/>
      <c r="D3745" s="5"/>
      <c r="E3745" s="7"/>
      <c r="F3745" s="5"/>
      <c r="G3745" s="5"/>
      <c r="H3745" s="5"/>
      <c r="I3745" s="5"/>
      <c r="J3745" s="5"/>
      <c r="K3745" s="5"/>
      <c r="L3745" s="54"/>
      <c r="M3745" s="5"/>
      <c r="N3745" s="53"/>
      <c r="Q3745" s="5"/>
      <c r="R3745" s="5"/>
      <c r="S3745" s="5"/>
      <c r="T3745" s="5"/>
      <c r="U3745" s="5"/>
      <c r="V3745" s="5"/>
    </row>
    <row r="3746" ht="12.75" customHeight="1">
      <c r="A3746" s="5"/>
      <c r="B3746" s="5"/>
      <c r="C3746" s="5"/>
      <c r="D3746" s="5"/>
      <c r="E3746" s="7"/>
      <c r="F3746" s="5"/>
      <c r="G3746" s="5"/>
      <c r="H3746" s="5"/>
      <c r="I3746" s="5"/>
      <c r="J3746" s="5"/>
      <c r="K3746" s="5"/>
      <c r="L3746" s="54"/>
      <c r="M3746" s="5"/>
      <c r="N3746" s="53"/>
      <c r="Q3746" s="5"/>
      <c r="R3746" s="5"/>
      <c r="S3746" s="5"/>
      <c r="T3746" s="5"/>
      <c r="U3746" s="5"/>
      <c r="V3746" s="5"/>
    </row>
    <row r="3747" ht="12.75" customHeight="1">
      <c r="A3747" s="5"/>
      <c r="B3747" s="5"/>
      <c r="C3747" s="5"/>
      <c r="D3747" s="5"/>
      <c r="E3747" s="7"/>
      <c r="F3747" s="5"/>
      <c r="G3747" s="5"/>
      <c r="H3747" s="5"/>
      <c r="I3747" s="5"/>
      <c r="J3747" s="5"/>
      <c r="K3747" s="5"/>
      <c r="L3747" s="54"/>
      <c r="M3747" s="5"/>
      <c r="N3747" s="53"/>
      <c r="Q3747" s="5"/>
      <c r="R3747" s="5"/>
      <c r="S3747" s="5"/>
      <c r="T3747" s="5"/>
      <c r="U3747" s="5"/>
      <c r="V3747" s="5"/>
    </row>
    <row r="3748" ht="12.75" customHeight="1">
      <c r="A3748" s="5"/>
      <c r="B3748" s="5"/>
      <c r="C3748" s="5"/>
      <c r="D3748" s="5"/>
      <c r="E3748" s="7"/>
      <c r="F3748" s="5"/>
      <c r="G3748" s="5"/>
      <c r="H3748" s="5"/>
      <c r="I3748" s="5"/>
      <c r="J3748" s="5"/>
      <c r="K3748" s="5"/>
      <c r="L3748" s="54"/>
      <c r="M3748" s="5"/>
      <c r="N3748" s="53"/>
      <c r="Q3748" s="5"/>
      <c r="R3748" s="5"/>
      <c r="S3748" s="5"/>
      <c r="T3748" s="5"/>
      <c r="U3748" s="5"/>
      <c r="V3748" s="5"/>
    </row>
    <row r="3749" ht="12.75" customHeight="1">
      <c r="A3749" s="5"/>
      <c r="B3749" s="5"/>
      <c r="C3749" s="5"/>
      <c r="D3749" s="5"/>
      <c r="E3749" s="7"/>
      <c r="F3749" s="5"/>
      <c r="G3749" s="5"/>
      <c r="H3749" s="5"/>
      <c r="I3749" s="5"/>
      <c r="J3749" s="5"/>
      <c r="K3749" s="5"/>
      <c r="L3749" s="54"/>
      <c r="M3749" s="5"/>
      <c r="N3749" s="53"/>
      <c r="Q3749" s="5"/>
      <c r="R3749" s="5"/>
      <c r="S3749" s="5"/>
      <c r="T3749" s="5"/>
      <c r="U3749" s="5"/>
      <c r="V3749" s="5"/>
    </row>
    <row r="3750" ht="12.75" customHeight="1">
      <c r="A3750" s="5"/>
      <c r="B3750" s="5"/>
      <c r="C3750" s="5"/>
      <c r="D3750" s="5"/>
      <c r="E3750" s="7"/>
      <c r="F3750" s="5"/>
      <c r="G3750" s="5"/>
      <c r="H3750" s="5"/>
      <c r="I3750" s="5"/>
      <c r="J3750" s="5"/>
      <c r="K3750" s="5"/>
      <c r="L3750" s="54"/>
      <c r="M3750" s="5"/>
      <c r="N3750" s="53"/>
      <c r="Q3750" s="5"/>
      <c r="R3750" s="5"/>
      <c r="S3750" s="5"/>
      <c r="T3750" s="5"/>
      <c r="U3750" s="5"/>
      <c r="V3750" s="5"/>
    </row>
    <row r="3751" ht="12.75" customHeight="1">
      <c r="A3751" s="5"/>
      <c r="B3751" s="5"/>
      <c r="C3751" s="5"/>
      <c r="D3751" s="5"/>
      <c r="E3751" s="7"/>
      <c r="F3751" s="5"/>
      <c r="G3751" s="5"/>
      <c r="H3751" s="5"/>
      <c r="I3751" s="5"/>
      <c r="J3751" s="5"/>
      <c r="K3751" s="5"/>
      <c r="L3751" s="54"/>
      <c r="M3751" s="5"/>
      <c r="N3751" s="53"/>
      <c r="Q3751" s="5"/>
      <c r="R3751" s="5"/>
      <c r="S3751" s="5"/>
      <c r="T3751" s="5"/>
      <c r="U3751" s="5"/>
      <c r="V3751" s="5"/>
    </row>
    <row r="3752" ht="12.75" customHeight="1">
      <c r="A3752" s="5"/>
      <c r="B3752" s="5"/>
      <c r="C3752" s="5"/>
      <c r="D3752" s="5"/>
      <c r="E3752" s="7"/>
      <c r="F3752" s="5"/>
      <c r="G3752" s="5"/>
      <c r="H3752" s="5"/>
      <c r="I3752" s="5"/>
      <c r="J3752" s="5"/>
      <c r="K3752" s="5"/>
      <c r="L3752" s="54"/>
      <c r="M3752" s="5"/>
      <c r="N3752" s="53"/>
      <c r="Q3752" s="5"/>
      <c r="R3752" s="5"/>
      <c r="S3752" s="5"/>
      <c r="T3752" s="5"/>
      <c r="U3752" s="5"/>
      <c r="V3752" s="5"/>
    </row>
    <row r="3753" ht="12.75" customHeight="1">
      <c r="A3753" s="5"/>
      <c r="B3753" s="5"/>
      <c r="C3753" s="5"/>
      <c r="D3753" s="5"/>
      <c r="E3753" s="7"/>
      <c r="F3753" s="5"/>
      <c r="G3753" s="5"/>
      <c r="H3753" s="5"/>
      <c r="I3753" s="5"/>
      <c r="J3753" s="5"/>
      <c r="K3753" s="5"/>
      <c r="L3753" s="54"/>
      <c r="M3753" s="5"/>
      <c r="N3753" s="53"/>
      <c r="Q3753" s="5"/>
      <c r="R3753" s="5"/>
      <c r="S3753" s="5"/>
      <c r="T3753" s="5"/>
      <c r="U3753" s="5"/>
      <c r="V3753" s="5"/>
    </row>
    <row r="3754" ht="12.75" customHeight="1">
      <c r="A3754" s="5"/>
      <c r="B3754" s="5"/>
      <c r="C3754" s="5"/>
      <c r="D3754" s="5"/>
      <c r="E3754" s="7"/>
      <c r="F3754" s="5"/>
      <c r="G3754" s="5"/>
      <c r="H3754" s="5"/>
      <c r="I3754" s="5"/>
      <c r="J3754" s="5"/>
      <c r="K3754" s="5"/>
      <c r="L3754" s="54"/>
      <c r="M3754" s="5"/>
      <c r="N3754" s="53"/>
      <c r="Q3754" s="5"/>
      <c r="R3754" s="5"/>
      <c r="S3754" s="5"/>
      <c r="T3754" s="5"/>
      <c r="U3754" s="5"/>
      <c r="V3754" s="5"/>
    </row>
    <row r="3755" ht="12.75" customHeight="1">
      <c r="A3755" s="5"/>
      <c r="B3755" s="5"/>
      <c r="C3755" s="5"/>
      <c r="D3755" s="5"/>
      <c r="E3755" s="7"/>
      <c r="F3755" s="5"/>
      <c r="G3755" s="5"/>
      <c r="H3755" s="5"/>
      <c r="I3755" s="5"/>
      <c r="J3755" s="5"/>
      <c r="K3755" s="5"/>
      <c r="L3755" s="54"/>
      <c r="M3755" s="5"/>
      <c r="N3755" s="53"/>
      <c r="Q3755" s="5"/>
      <c r="R3755" s="5"/>
      <c r="S3755" s="5"/>
      <c r="T3755" s="5"/>
      <c r="U3755" s="5"/>
      <c r="V3755" s="5"/>
    </row>
    <row r="3756" ht="12.75" customHeight="1">
      <c r="A3756" s="5"/>
      <c r="B3756" s="5"/>
      <c r="C3756" s="5"/>
      <c r="D3756" s="5"/>
      <c r="E3756" s="7"/>
      <c r="F3756" s="5"/>
      <c r="G3756" s="5"/>
      <c r="H3756" s="5"/>
      <c r="I3756" s="5"/>
      <c r="J3756" s="5"/>
      <c r="K3756" s="5"/>
      <c r="L3756" s="54"/>
      <c r="M3756" s="5"/>
      <c r="N3756" s="53"/>
      <c r="Q3756" s="5"/>
      <c r="R3756" s="5"/>
      <c r="S3756" s="5"/>
      <c r="T3756" s="5"/>
      <c r="U3756" s="5"/>
      <c r="V3756" s="5"/>
    </row>
    <row r="3757" ht="12.75" customHeight="1">
      <c r="A3757" s="5"/>
      <c r="B3757" s="5"/>
      <c r="C3757" s="5"/>
      <c r="D3757" s="5"/>
      <c r="E3757" s="7"/>
      <c r="F3757" s="5"/>
      <c r="G3757" s="5"/>
      <c r="H3757" s="5"/>
      <c r="I3757" s="5"/>
      <c r="J3757" s="5"/>
      <c r="K3757" s="5"/>
      <c r="L3757" s="54"/>
      <c r="M3757" s="5"/>
      <c r="N3757" s="53"/>
      <c r="Q3757" s="5"/>
      <c r="R3757" s="5"/>
      <c r="S3757" s="5"/>
      <c r="T3757" s="5"/>
      <c r="U3757" s="5"/>
      <c r="V3757" s="5"/>
    </row>
    <row r="3758" ht="12.75" customHeight="1">
      <c r="A3758" s="5"/>
      <c r="B3758" s="5"/>
      <c r="C3758" s="5"/>
      <c r="D3758" s="5"/>
      <c r="E3758" s="7"/>
      <c r="F3758" s="5"/>
      <c r="G3758" s="5"/>
      <c r="H3758" s="5"/>
      <c r="I3758" s="5"/>
      <c r="J3758" s="5"/>
      <c r="K3758" s="5"/>
      <c r="L3758" s="54"/>
      <c r="M3758" s="5"/>
      <c r="N3758" s="53"/>
      <c r="Q3758" s="5"/>
      <c r="R3758" s="5"/>
      <c r="S3758" s="5"/>
      <c r="T3758" s="5"/>
      <c r="U3758" s="5"/>
      <c r="V3758" s="5"/>
    </row>
    <row r="3759" ht="12.75" customHeight="1">
      <c r="A3759" s="5"/>
      <c r="B3759" s="5"/>
      <c r="C3759" s="5"/>
      <c r="D3759" s="5"/>
      <c r="E3759" s="7"/>
      <c r="F3759" s="5"/>
      <c r="G3759" s="5"/>
      <c r="H3759" s="5"/>
      <c r="I3759" s="5"/>
      <c r="J3759" s="5"/>
      <c r="K3759" s="5"/>
      <c r="L3759" s="54"/>
      <c r="M3759" s="5"/>
      <c r="N3759" s="53"/>
      <c r="Q3759" s="5"/>
      <c r="R3759" s="5"/>
      <c r="S3759" s="5"/>
      <c r="T3759" s="5"/>
      <c r="U3759" s="5"/>
      <c r="V3759" s="5"/>
    </row>
    <row r="3760" ht="12.75" customHeight="1">
      <c r="A3760" s="5"/>
      <c r="B3760" s="5"/>
      <c r="C3760" s="5"/>
      <c r="D3760" s="5"/>
      <c r="E3760" s="7"/>
      <c r="F3760" s="5"/>
      <c r="G3760" s="5"/>
      <c r="H3760" s="5"/>
      <c r="I3760" s="5"/>
      <c r="J3760" s="5"/>
      <c r="K3760" s="5"/>
      <c r="L3760" s="54"/>
      <c r="M3760" s="5"/>
      <c r="N3760" s="53"/>
      <c r="Q3760" s="5"/>
      <c r="R3760" s="5"/>
      <c r="S3760" s="5"/>
      <c r="T3760" s="5"/>
      <c r="U3760" s="5"/>
      <c r="V3760" s="5"/>
    </row>
    <row r="3761" ht="12.75" customHeight="1">
      <c r="A3761" s="5"/>
      <c r="B3761" s="5"/>
      <c r="C3761" s="5"/>
      <c r="D3761" s="5"/>
      <c r="E3761" s="7"/>
      <c r="F3761" s="5"/>
      <c r="G3761" s="5"/>
      <c r="H3761" s="5"/>
      <c r="I3761" s="5"/>
      <c r="J3761" s="5"/>
      <c r="K3761" s="5"/>
      <c r="L3761" s="54"/>
      <c r="M3761" s="5"/>
      <c r="N3761" s="53"/>
      <c r="Q3761" s="5"/>
      <c r="R3761" s="5"/>
      <c r="S3761" s="5"/>
      <c r="T3761" s="5"/>
      <c r="U3761" s="5"/>
      <c r="V3761" s="5"/>
    </row>
    <row r="3762" ht="12.75" customHeight="1">
      <c r="A3762" s="5"/>
      <c r="B3762" s="5"/>
      <c r="C3762" s="5"/>
      <c r="D3762" s="5"/>
      <c r="E3762" s="7"/>
      <c r="F3762" s="5"/>
      <c r="G3762" s="5"/>
      <c r="H3762" s="5"/>
      <c r="I3762" s="5"/>
      <c r="J3762" s="5"/>
      <c r="K3762" s="5"/>
      <c r="L3762" s="54"/>
      <c r="M3762" s="5"/>
      <c r="N3762" s="53"/>
      <c r="Q3762" s="5"/>
      <c r="R3762" s="5"/>
      <c r="S3762" s="5"/>
      <c r="T3762" s="5"/>
      <c r="U3762" s="5"/>
      <c r="V3762" s="5"/>
    </row>
    <row r="3763" ht="12.75" customHeight="1">
      <c r="A3763" s="5"/>
      <c r="B3763" s="5"/>
      <c r="C3763" s="5"/>
      <c r="D3763" s="5"/>
      <c r="E3763" s="7"/>
      <c r="F3763" s="5"/>
      <c r="G3763" s="5"/>
      <c r="H3763" s="5"/>
      <c r="I3763" s="5"/>
      <c r="J3763" s="5"/>
      <c r="K3763" s="5"/>
      <c r="L3763" s="54"/>
      <c r="M3763" s="5"/>
      <c r="N3763" s="53"/>
      <c r="Q3763" s="5"/>
      <c r="R3763" s="5"/>
      <c r="S3763" s="5"/>
      <c r="T3763" s="5"/>
      <c r="U3763" s="5"/>
      <c r="V3763" s="5"/>
    </row>
    <row r="3764" ht="12.75" customHeight="1">
      <c r="A3764" s="5"/>
      <c r="B3764" s="5"/>
      <c r="C3764" s="5"/>
      <c r="D3764" s="5"/>
      <c r="E3764" s="7"/>
      <c r="F3764" s="5"/>
      <c r="G3764" s="5"/>
      <c r="H3764" s="5"/>
      <c r="I3764" s="5"/>
      <c r="J3764" s="5"/>
      <c r="K3764" s="5"/>
      <c r="L3764" s="54"/>
      <c r="M3764" s="5"/>
      <c r="N3764" s="53"/>
      <c r="Q3764" s="5"/>
      <c r="R3764" s="5"/>
      <c r="S3764" s="5"/>
      <c r="T3764" s="5"/>
      <c r="U3764" s="5"/>
      <c r="V3764" s="5"/>
    </row>
    <row r="3765" ht="12.75" customHeight="1">
      <c r="A3765" s="5"/>
      <c r="B3765" s="5"/>
      <c r="C3765" s="5"/>
      <c r="D3765" s="5"/>
      <c r="E3765" s="7"/>
      <c r="F3765" s="5"/>
      <c r="G3765" s="5"/>
      <c r="H3765" s="5"/>
      <c r="I3765" s="5"/>
      <c r="J3765" s="5"/>
      <c r="K3765" s="5"/>
      <c r="L3765" s="54"/>
      <c r="M3765" s="5"/>
      <c r="N3765" s="53"/>
      <c r="Q3765" s="5"/>
      <c r="R3765" s="5"/>
      <c r="S3765" s="5"/>
      <c r="T3765" s="5"/>
      <c r="U3765" s="5"/>
      <c r="V3765" s="5"/>
    </row>
    <row r="3766" ht="12.75" customHeight="1">
      <c r="A3766" s="5"/>
      <c r="B3766" s="5"/>
      <c r="C3766" s="5"/>
      <c r="D3766" s="5"/>
      <c r="E3766" s="7"/>
      <c r="F3766" s="5"/>
      <c r="G3766" s="5"/>
      <c r="H3766" s="5"/>
      <c r="I3766" s="5"/>
      <c r="J3766" s="5"/>
      <c r="K3766" s="5"/>
      <c r="L3766" s="54"/>
      <c r="M3766" s="5"/>
      <c r="N3766" s="53"/>
      <c r="Q3766" s="5"/>
      <c r="R3766" s="5"/>
      <c r="S3766" s="5"/>
      <c r="T3766" s="5"/>
      <c r="U3766" s="5"/>
      <c r="V3766" s="5"/>
    </row>
    <row r="3767" ht="12.75" customHeight="1">
      <c r="A3767" s="5"/>
      <c r="B3767" s="5"/>
      <c r="C3767" s="5"/>
      <c r="D3767" s="5"/>
      <c r="E3767" s="7"/>
      <c r="F3767" s="5"/>
      <c r="G3767" s="5"/>
      <c r="H3767" s="5"/>
      <c r="I3767" s="5"/>
      <c r="J3767" s="5"/>
      <c r="K3767" s="5"/>
      <c r="L3767" s="54"/>
      <c r="M3767" s="5"/>
      <c r="N3767" s="53"/>
      <c r="Q3767" s="5"/>
      <c r="R3767" s="5"/>
      <c r="S3767" s="5"/>
      <c r="T3767" s="5"/>
      <c r="U3767" s="5"/>
      <c r="V3767" s="5"/>
    </row>
    <row r="3768" ht="12.75" customHeight="1">
      <c r="A3768" s="5"/>
      <c r="B3768" s="5"/>
      <c r="C3768" s="5"/>
      <c r="D3768" s="5"/>
      <c r="E3768" s="7"/>
      <c r="F3768" s="5"/>
      <c r="G3768" s="5"/>
      <c r="H3768" s="5"/>
      <c r="I3768" s="5"/>
      <c r="J3768" s="5"/>
      <c r="K3768" s="5"/>
      <c r="L3768" s="54"/>
      <c r="M3768" s="5"/>
      <c r="N3768" s="53"/>
      <c r="Q3768" s="5"/>
      <c r="R3768" s="5"/>
      <c r="S3768" s="5"/>
      <c r="T3768" s="5"/>
      <c r="U3768" s="5"/>
      <c r="V3768" s="5"/>
    </row>
    <row r="3769" ht="12.75" customHeight="1">
      <c r="A3769" s="5"/>
      <c r="B3769" s="5"/>
      <c r="C3769" s="5"/>
      <c r="D3769" s="5"/>
      <c r="E3769" s="7"/>
      <c r="F3769" s="5"/>
      <c r="G3769" s="5"/>
      <c r="H3769" s="5"/>
      <c r="I3769" s="5"/>
      <c r="J3769" s="5"/>
      <c r="K3769" s="5"/>
      <c r="L3769" s="54"/>
      <c r="M3769" s="5"/>
      <c r="N3769" s="53"/>
      <c r="Q3769" s="5"/>
      <c r="R3769" s="5"/>
      <c r="S3769" s="5"/>
      <c r="T3769" s="5"/>
      <c r="U3769" s="5"/>
      <c r="V3769" s="5"/>
    </row>
    <row r="3770" ht="12.75" customHeight="1">
      <c r="A3770" s="5"/>
      <c r="B3770" s="5"/>
      <c r="C3770" s="5"/>
      <c r="D3770" s="5"/>
      <c r="E3770" s="7"/>
      <c r="F3770" s="5"/>
      <c r="G3770" s="5"/>
      <c r="H3770" s="5"/>
      <c r="I3770" s="5"/>
      <c r="J3770" s="5"/>
      <c r="K3770" s="5"/>
      <c r="L3770" s="54"/>
      <c r="M3770" s="5"/>
      <c r="N3770" s="53"/>
      <c r="Q3770" s="5"/>
      <c r="R3770" s="5"/>
      <c r="S3770" s="5"/>
      <c r="T3770" s="5"/>
      <c r="U3770" s="5"/>
      <c r="V3770" s="5"/>
    </row>
    <row r="3771" ht="12.75" customHeight="1">
      <c r="A3771" s="5"/>
      <c r="B3771" s="5"/>
      <c r="C3771" s="5"/>
      <c r="D3771" s="5"/>
      <c r="E3771" s="7"/>
      <c r="F3771" s="5"/>
      <c r="G3771" s="5"/>
      <c r="H3771" s="5"/>
      <c r="I3771" s="5"/>
      <c r="J3771" s="5"/>
      <c r="K3771" s="5"/>
      <c r="L3771" s="54"/>
      <c r="M3771" s="5"/>
      <c r="N3771" s="53"/>
      <c r="Q3771" s="5"/>
      <c r="R3771" s="5"/>
      <c r="S3771" s="5"/>
      <c r="T3771" s="5"/>
      <c r="U3771" s="5"/>
      <c r="V3771" s="5"/>
    </row>
    <row r="3772" ht="12.75" customHeight="1">
      <c r="A3772" s="5"/>
      <c r="B3772" s="5"/>
      <c r="C3772" s="5"/>
      <c r="D3772" s="5"/>
      <c r="E3772" s="7"/>
      <c r="F3772" s="5"/>
      <c r="G3772" s="5"/>
      <c r="H3772" s="5"/>
      <c r="I3772" s="5"/>
      <c r="J3772" s="5"/>
      <c r="K3772" s="5"/>
      <c r="L3772" s="54"/>
      <c r="M3772" s="5"/>
      <c r="N3772" s="53"/>
      <c r="Q3772" s="5"/>
      <c r="R3772" s="5"/>
      <c r="S3772" s="5"/>
      <c r="T3772" s="5"/>
      <c r="U3772" s="5"/>
      <c r="V3772" s="5"/>
    </row>
    <row r="3773" ht="12.75" customHeight="1">
      <c r="A3773" s="5"/>
      <c r="B3773" s="5"/>
      <c r="C3773" s="5"/>
      <c r="D3773" s="5"/>
      <c r="E3773" s="7"/>
      <c r="F3773" s="5"/>
      <c r="G3773" s="5"/>
      <c r="H3773" s="5"/>
      <c r="I3773" s="5"/>
      <c r="J3773" s="5"/>
      <c r="K3773" s="5"/>
      <c r="L3773" s="54"/>
      <c r="M3773" s="5"/>
      <c r="N3773" s="53"/>
      <c r="Q3773" s="5"/>
      <c r="R3773" s="5"/>
      <c r="S3773" s="5"/>
      <c r="T3773" s="5"/>
      <c r="U3773" s="5"/>
      <c r="V3773" s="5"/>
    </row>
    <row r="3774" ht="12.75" customHeight="1">
      <c r="A3774" s="5"/>
      <c r="B3774" s="5"/>
      <c r="C3774" s="5"/>
      <c r="D3774" s="5"/>
      <c r="E3774" s="7"/>
      <c r="F3774" s="5"/>
      <c r="G3774" s="5"/>
      <c r="H3774" s="5"/>
      <c r="I3774" s="5"/>
      <c r="J3774" s="5"/>
      <c r="K3774" s="5"/>
      <c r="L3774" s="54"/>
      <c r="M3774" s="5"/>
      <c r="N3774" s="53"/>
      <c r="Q3774" s="5"/>
      <c r="R3774" s="5"/>
      <c r="S3774" s="5"/>
      <c r="T3774" s="5"/>
      <c r="U3774" s="5"/>
      <c r="V3774" s="5"/>
    </row>
    <row r="3775" ht="12.75" customHeight="1">
      <c r="A3775" s="5"/>
      <c r="B3775" s="5"/>
      <c r="C3775" s="5"/>
      <c r="D3775" s="5"/>
      <c r="E3775" s="7"/>
      <c r="F3775" s="5"/>
      <c r="G3775" s="5"/>
      <c r="H3775" s="5"/>
      <c r="I3775" s="5"/>
      <c r="J3775" s="5"/>
      <c r="K3775" s="5"/>
      <c r="L3775" s="54"/>
      <c r="M3775" s="5"/>
      <c r="N3775" s="53"/>
      <c r="Q3775" s="5"/>
      <c r="R3775" s="5"/>
      <c r="S3775" s="5"/>
      <c r="T3775" s="5"/>
      <c r="U3775" s="5"/>
      <c r="V3775" s="5"/>
    </row>
    <row r="3776" ht="12.75" customHeight="1">
      <c r="A3776" s="5"/>
      <c r="B3776" s="5"/>
      <c r="C3776" s="5"/>
      <c r="D3776" s="5"/>
      <c r="E3776" s="7"/>
      <c r="F3776" s="5"/>
      <c r="G3776" s="5"/>
      <c r="H3776" s="5"/>
      <c r="I3776" s="5"/>
      <c r="J3776" s="5"/>
      <c r="K3776" s="5"/>
      <c r="L3776" s="54"/>
      <c r="M3776" s="5"/>
      <c r="N3776" s="53"/>
      <c r="Q3776" s="5"/>
      <c r="R3776" s="5"/>
      <c r="S3776" s="5"/>
      <c r="T3776" s="5"/>
      <c r="U3776" s="5"/>
      <c r="V3776" s="5"/>
    </row>
    <row r="3777" ht="12.75" customHeight="1">
      <c r="A3777" s="5"/>
      <c r="B3777" s="5"/>
      <c r="C3777" s="5"/>
      <c r="D3777" s="5"/>
      <c r="E3777" s="7"/>
      <c r="F3777" s="5"/>
      <c r="G3777" s="5"/>
      <c r="H3777" s="5"/>
      <c r="I3777" s="5"/>
      <c r="J3777" s="5"/>
      <c r="K3777" s="5"/>
      <c r="L3777" s="54"/>
      <c r="M3777" s="5"/>
      <c r="N3777" s="53"/>
      <c r="Q3777" s="5"/>
      <c r="R3777" s="5"/>
      <c r="S3777" s="5"/>
      <c r="T3777" s="5"/>
      <c r="U3777" s="5"/>
      <c r="V3777" s="5"/>
    </row>
    <row r="3778" ht="12.75" customHeight="1">
      <c r="A3778" s="5"/>
      <c r="B3778" s="5"/>
      <c r="C3778" s="5"/>
      <c r="D3778" s="5"/>
      <c r="E3778" s="7"/>
      <c r="F3778" s="5"/>
      <c r="G3778" s="5"/>
      <c r="H3778" s="5"/>
      <c r="I3778" s="5"/>
      <c r="J3778" s="5"/>
      <c r="K3778" s="5"/>
      <c r="L3778" s="54"/>
      <c r="M3778" s="5"/>
      <c r="N3778" s="53"/>
      <c r="Q3778" s="5"/>
      <c r="R3778" s="5"/>
      <c r="S3778" s="5"/>
      <c r="T3778" s="5"/>
      <c r="U3778" s="5"/>
      <c r="V3778" s="5"/>
    </row>
    <row r="3779" ht="12.75" customHeight="1">
      <c r="A3779" s="5"/>
      <c r="B3779" s="5"/>
      <c r="C3779" s="5"/>
      <c r="D3779" s="5"/>
      <c r="E3779" s="7"/>
      <c r="F3779" s="5"/>
      <c r="G3779" s="5"/>
      <c r="H3779" s="5"/>
      <c r="I3779" s="5"/>
      <c r="J3779" s="5"/>
      <c r="K3779" s="5"/>
      <c r="L3779" s="54"/>
      <c r="M3779" s="5"/>
      <c r="N3779" s="53"/>
      <c r="Q3779" s="5"/>
      <c r="R3779" s="5"/>
      <c r="S3779" s="5"/>
      <c r="T3779" s="5"/>
      <c r="U3779" s="5"/>
      <c r="V3779" s="5"/>
    </row>
    <row r="3780" ht="12.75" customHeight="1">
      <c r="A3780" s="5"/>
      <c r="B3780" s="5"/>
      <c r="C3780" s="5"/>
      <c r="D3780" s="5"/>
      <c r="E3780" s="7"/>
      <c r="F3780" s="5"/>
      <c r="G3780" s="5"/>
      <c r="H3780" s="5"/>
      <c r="I3780" s="5"/>
      <c r="J3780" s="5"/>
      <c r="K3780" s="5"/>
      <c r="L3780" s="54"/>
      <c r="M3780" s="5"/>
      <c r="N3780" s="53"/>
      <c r="Q3780" s="5"/>
      <c r="R3780" s="5"/>
      <c r="S3780" s="5"/>
      <c r="T3780" s="5"/>
      <c r="U3780" s="5"/>
      <c r="V3780" s="5"/>
    </row>
    <row r="3781" ht="12.75" customHeight="1">
      <c r="A3781" s="5"/>
      <c r="B3781" s="5"/>
      <c r="C3781" s="5"/>
      <c r="D3781" s="5"/>
      <c r="E3781" s="7"/>
      <c r="F3781" s="5"/>
      <c r="G3781" s="5"/>
      <c r="H3781" s="5"/>
      <c r="I3781" s="5"/>
      <c r="J3781" s="5"/>
      <c r="K3781" s="5"/>
      <c r="L3781" s="54"/>
      <c r="M3781" s="5"/>
      <c r="N3781" s="53"/>
      <c r="Q3781" s="5"/>
      <c r="R3781" s="5"/>
      <c r="S3781" s="5"/>
      <c r="T3781" s="5"/>
      <c r="U3781" s="5"/>
      <c r="V3781" s="5"/>
    </row>
    <row r="3782" ht="12.75" customHeight="1">
      <c r="A3782" s="5"/>
      <c r="B3782" s="5"/>
      <c r="C3782" s="5"/>
      <c r="D3782" s="5"/>
      <c r="E3782" s="7"/>
      <c r="F3782" s="5"/>
      <c r="G3782" s="5"/>
      <c r="H3782" s="5"/>
      <c r="I3782" s="5"/>
      <c r="J3782" s="5"/>
      <c r="K3782" s="5"/>
      <c r="L3782" s="54"/>
      <c r="M3782" s="5"/>
      <c r="N3782" s="53"/>
      <c r="Q3782" s="5"/>
      <c r="R3782" s="5"/>
      <c r="S3782" s="5"/>
      <c r="T3782" s="5"/>
      <c r="U3782" s="5"/>
      <c r="V3782" s="5"/>
    </row>
    <row r="3783" ht="12.75" customHeight="1">
      <c r="A3783" s="5"/>
      <c r="B3783" s="5"/>
      <c r="C3783" s="5"/>
      <c r="D3783" s="5"/>
      <c r="E3783" s="7"/>
      <c r="F3783" s="5"/>
      <c r="G3783" s="5"/>
      <c r="H3783" s="5"/>
      <c r="I3783" s="5"/>
      <c r="J3783" s="5"/>
      <c r="K3783" s="5"/>
      <c r="L3783" s="54"/>
      <c r="M3783" s="5"/>
      <c r="N3783" s="53"/>
      <c r="Q3783" s="5"/>
      <c r="R3783" s="5"/>
      <c r="S3783" s="5"/>
      <c r="T3783" s="5"/>
      <c r="U3783" s="5"/>
      <c r="V3783" s="5"/>
    </row>
    <row r="3784" ht="12.75" customHeight="1">
      <c r="A3784" s="5"/>
      <c r="B3784" s="5"/>
      <c r="C3784" s="5"/>
      <c r="D3784" s="5"/>
      <c r="E3784" s="7"/>
      <c r="F3784" s="5"/>
      <c r="G3784" s="5"/>
      <c r="H3784" s="5"/>
      <c r="I3784" s="5"/>
      <c r="J3784" s="5"/>
      <c r="K3784" s="5"/>
      <c r="L3784" s="54"/>
      <c r="M3784" s="5"/>
      <c r="N3784" s="53"/>
      <c r="Q3784" s="5"/>
      <c r="R3784" s="5"/>
      <c r="S3784" s="5"/>
      <c r="T3784" s="5"/>
      <c r="U3784" s="5"/>
      <c r="V3784" s="5"/>
    </row>
    <row r="3785" ht="12.75" customHeight="1">
      <c r="A3785" s="5"/>
      <c r="B3785" s="5"/>
      <c r="C3785" s="5"/>
      <c r="D3785" s="5"/>
      <c r="E3785" s="7"/>
      <c r="F3785" s="5"/>
      <c r="G3785" s="5"/>
      <c r="H3785" s="5"/>
      <c r="I3785" s="5"/>
      <c r="J3785" s="5"/>
      <c r="K3785" s="5"/>
      <c r="L3785" s="54"/>
      <c r="M3785" s="5"/>
      <c r="N3785" s="53"/>
      <c r="Q3785" s="5"/>
      <c r="R3785" s="5"/>
      <c r="S3785" s="5"/>
      <c r="T3785" s="5"/>
      <c r="U3785" s="5"/>
      <c r="V3785" s="5"/>
    </row>
    <row r="3786" ht="12.75" customHeight="1">
      <c r="A3786" s="5"/>
      <c r="B3786" s="5"/>
      <c r="C3786" s="5"/>
      <c r="D3786" s="5"/>
      <c r="E3786" s="7"/>
      <c r="F3786" s="5"/>
      <c r="G3786" s="5"/>
      <c r="H3786" s="5"/>
      <c r="I3786" s="5"/>
      <c r="J3786" s="5"/>
      <c r="K3786" s="5"/>
      <c r="L3786" s="54"/>
      <c r="M3786" s="5"/>
      <c r="N3786" s="53"/>
      <c r="Q3786" s="5"/>
      <c r="R3786" s="5"/>
      <c r="S3786" s="5"/>
      <c r="T3786" s="5"/>
      <c r="U3786" s="5"/>
      <c r="V3786" s="5"/>
    </row>
    <row r="3787" ht="12.75" customHeight="1">
      <c r="A3787" s="5"/>
      <c r="B3787" s="5"/>
      <c r="C3787" s="5"/>
      <c r="D3787" s="5"/>
      <c r="E3787" s="7"/>
      <c r="F3787" s="5"/>
      <c r="G3787" s="5"/>
      <c r="H3787" s="5"/>
      <c r="I3787" s="5"/>
      <c r="J3787" s="5"/>
      <c r="K3787" s="5"/>
      <c r="L3787" s="54"/>
      <c r="M3787" s="5"/>
      <c r="N3787" s="53"/>
      <c r="Q3787" s="5"/>
      <c r="R3787" s="5"/>
      <c r="S3787" s="5"/>
      <c r="T3787" s="5"/>
      <c r="U3787" s="5"/>
      <c r="V3787" s="5"/>
    </row>
    <row r="3788" ht="12.75" customHeight="1">
      <c r="A3788" s="5"/>
      <c r="B3788" s="5"/>
      <c r="C3788" s="5"/>
      <c r="D3788" s="5"/>
      <c r="E3788" s="7"/>
      <c r="F3788" s="5"/>
      <c r="G3788" s="5"/>
      <c r="H3788" s="5"/>
      <c r="I3788" s="5"/>
      <c r="J3788" s="5"/>
      <c r="K3788" s="5"/>
      <c r="L3788" s="54"/>
      <c r="M3788" s="5"/>
      <c r="N3788" s="53"/>
      <c r="Q3788" s="5"/>
      <c r="R3788" s="5"/>
      <c r="S3788" s="5"/>
      <c r="T3788" s="5"/>
      <c r="U3788" s="5"/>
      <c r="V3788" s="5"/>
    </row>
    <row r="3789" ht="12.75" customHeight="1">
      <c r="A3789" s="5"/>
      <c r="B3789" s="5"/>
      <c r="C3789" s="5"/>
      <c r="D3789" s="5"/>
      <c r="E3789" s="7"/>
      <c r="F3789" s="5"/>
      <c r="G3789" s="5"/>
      <c r="H3789" s="5"/>
      <c r="I3789" s="5"/>
      <c r="J3789" s="5"/>
      <c r="K3789" s="5"/>
      <c r="L3789" s="54"/>
      <c r="M3789" s="5"/>
      <c r="N3789" s="53"/>
      <c r="Q3789" s="5"/>
      <c r="R3789" s="5"/>
      <c r="S3789" s="5"/>
      <c r="T3789" s="5"/>
      <c r="U3789" s="5"/>
      <c r="V3789" s="5"/>
    </row>
    <row r="3790" ht="12.75" customHeight="1">
      <c r="A3790" s="5"/>
      <c r="B3790" s="5"/>
      <c r="C3790" s="5"/>
      <c r="D3790" s="5"/>
      <c r="E3790" s="7"/>
      <c r="F3790" s="5"/>
      <c r="G3790" s="5"/>
      <c r="H3790" s="5"/>
      <c r="I3790" s="5"/>
      <c r="J3790" s="5"/>
      <c r="K3790" s="5"/>
      <c r="L3790" s="54"/>
      <c r="M3790" s="5"/>
      <c r="N3790" s="53"/>
      <c r="Q3790" s="5"/>
      <c r="R3790" s="5"/>
      <c r="S3790" s="5"/>
      <c r="T3790" s="5"/>
      <c r="U3790" s="5"/>
      <c r="V3790" s="5"/>
    </row>
    <row r="3791" ht="12.75" customHeight="1">
      <c r="A3791" s="5"/>
      <c r="B3791" s="5"/>
      <c r="C3791" s="5"/>
      <c r="D3791" s="5"/>
      <c r="E3791" s="7"/>
      <c r="F3791" s="5"/>
      <c r="G3791" s="5"/>
      <c r="H3791" s="5"/>
      <c r="I3791" s="5"/>
      <c r="J3791" s="5"/>
      <c r="K3791" s="5"/>
      <c r="L3791" s="54"/>
      <c r="M3791" s="5"/>
      <c r="N3791" s="53"/>
      <c r="Q3791" s="5"/>
      <c r="R3791" s="5"/>
      <c r="S3791" s="5"/>
      <c r="T3791" s="5"/>
      <c r="U3791" s="5"/>
      <c r="V3791" s="5"/>
    </row>
    <row r="3792" ht="12.75" customHeight="1">
      <c r="A3792" s="5"/>
      <c r="B3792" s="5"/>
      <c r="C3792" s="5"/>
      <c r="D3792" s="5"/>
      <c r="E3792" s="7"/>
      <c r="F3792" s="5"/>
      <c r="G3792" s="5"/>
      <c r="H3792" s="5"/>
      <c r="I3792" s="5"/>
      <c r="J3792" s="5"/>
      <c r="K3792" s="5"/>
      <c r="L3792" s="54"/>
      <c r="M3792" s="5"/>
      <c r="N3792" s="53"/>
      <c r="Q3792" s="5"/>
      <c r="R3792" s="5"/>
      <c r="S3792" s="5"/>
      <c r="T3792" s="5"/>
      <c r="U3792" s="5"/>
      <c r="V3792" s="5"/>
    </row>
    <row r="3793" ht="12.75" customHeight="1">
      <c r="A3793" s="5"/>
      <c r="B3793" s="5"/>
      <c r="C3793" s="5"/>
      <c r="D3793" s="5"/>
      <c r="E3793" s="7"/>
      <c r="F3793" s="5"/>
      <c r="G3793" s="5"/>
      <c r="H3793" s="5"/>
      <c r="I3793" s="5"/>
      <c r="J3793" s="5"/>
      <c r="K3793" s="5"/>
      <c r="L3793" s="54"/>
      <c r="M3793" s="5"/>
      <c r="N3793" s="53"/>
      <c r="Q3793" s="5"/>
      <c r="R3793" s="5"/>
      <c r="S3793" s="5"/>
      <c r="T3793" s="5"/>
      <c r="U3793" s="5"/>
      <c r="V3793" s="5"/>
    </row>
    <row r="3794" ht="12.75" customHeight="1">
      <c r="A3794" s="5"/>
      <c r="B3794" s="5"/>
      <c r="C3794" s="5"/>
      <c r="D3794" s="5"/>
      <c r="E3794" s="7"/>
      <c r="F3794" s="5"/>
      <c r="G3794" s="5"/>
      <c r="H3794" s="5"/>
      <c r="I3794" s="5"/>
      <c r="J3794" s="5"/>
      <c r="K3794" s="5"/>
      <c r="L3794" s="54"/>
      <c r="M3794" s="5"/>
      <c r="N3794" s="53"/>
      <c r="Q3794" s="5"/>
      <c r="R3794" s="5"/>
      <c r="S3794" s="5"/>
      <c r="T3794" s="5"/>
      <c r="U3794" s="5"/>
      <c r="V3794" s="5"/>
    </row>
    <row r="3795" ht="12.75" customHeight="1">
      <c r="A3795" s="5"/>
      <c r="B3795" s="5"/>
      <c r="C3795" s="5"/>
      <c r="D3795" s="5"/>
      <c r="E3795" s="7"/>
      <c r="F3795" s="5"/>
      <c r="G3795" s="5"/>
      <c r="H3795" s="5"/>
      <c r="I3795" s="5"/>
      <c r="J3795" s="5"/>
      <c r="K3795" s="5"/>
      <c r="L3795" s="54"/>
      <c r="M3795" s="5"/>
      <c r="N3795" s="53"/>
      <c r="Q3795" s="5"/>
      <c r="R3795" s="5"/>
      <c r="S3795" s="5"/>
      <c r="T3795" s="5"/>
      <c r="U3795" s="5"/>
      <c r="V3795" s="5"/>
    </row>
    <row r="3796" ht="12.75" customHeight="1">
      <c r="A3796" s="5"/>
      <c r="B3796" s="5"/>
      <c r="C3796" s="5"/>
      <c r="D3796" s="5"/>
      <c r="E3796" s="7"/>
      <c r="F3796" s="5"/>
      <c r="G3796" s="5"/>
      <c r="H3796" s="5"/>
      <c r="I3796" s="5"/>
      <c r="J3796" s="5"/>
      <c r="K3796" s="5"/>
      <c r="L3796" s="54"/>
      <c r="M3796" s="5"/>
      <c r="N3796" s="53"/>
      <c r="Q3796" s="5"/>
      <c r="R3796" s="5"/>
      <c r="S3796" s="5"/>
      <c r="T3796" s="5"/>
      <c r="U3796" s="5"/>
      <c r="V3796" s="5"/>
    </row>
    <row r="3797" ht="12.75" customHeight="1">
      <c r="A3797" s="5"/>
      <c r="B3797" s="5"/>
      <c r="C3797" s="5"/>
      <c r="D3797" s="5"/>
      <c r="E3797" s="7"/>
      <c r="F3797" s="5"/>
      <c r="G3797" s="5"/>
      <c r="H3797" s="5"/>
      <c r="I3797" s="5"/>
      <c r="J3797" s="5"/>
      <c r="K3797" s="5"/>
      <c r="L3797" s="54"/>
      <c r="M3797" s="5"/>
      <c r="N3797" s="53"/>
      <c r="Q3797" s="5"/>
      <c r="R3797" s="5"/>
      <c r="S3797" s="5"/>
      <c r="T3797" s="5"/>
      <c r="U3797" s="5"/>
      <c r="V3797" s="5"/>
    </row>
    <row r="3798" ht="12.75" customHeight="1">
      <c r="A3798" s="5"/>
      <c r="B3798" s="5"/>
      <c r="C3798" s="5"/>
      <c r="D3798" s="5"/>
      <c r="E3798" s="7"/>
      <c r="F3798" s="5"/>
      <c r="G3798" s="5"/>
      <c r="H3798" s="5"/>
      <c r="I3798" s="5"/>
      <c r="J3798" s="5"/>
      <c r="K3798" s="5"/>
      <c r="L3798" s="54"/>
      <c r="M3798" s="5"/>
      <c r="N3798" s="53"/>
      <c r="Q3798" s="5"/>
      <c r="R3798" s="5"/>
      <c r="S3798" s="5"/>
      <c r="T3798" s="5"/>
      <c r="U3798" s="5"/>
      <c r="V3798" s="5"/>
    </row>
    <row r="3799" ht="12.75" customHeight="1">
      <c r="A3799" s="5"/>
      <c r="B3799" s="5"/>
      <c r="C3799" s="5"/>
      <c r="D3799" s="5"/>
      <c r="E3799" s="7"/>
      <c r="F3799" s="5"/>
      <c r="G3799" s="5"/>
      <c r="H3799" s="5"/>
      <c r="I3799" s="5"/>
      <c r="J3799" s="5"/>
      <c r="K3799" s="5"/>
      <c r="L3799" s="54"/>
      <c r="M3799" s="5"/>
      <c r="N3799" s="53"/>
      <c r="Q3799" s="5"/>
      <c r="R3799" s="5"/>
      <c r="S3799" s="5"/>
      <c r="T3799" s="5"/>
      <c r="U3799" s="5"/>
      <c r="V3799" s="5"/>
    </row>
    <row r="3800" ht="12.75" customHeight="1">
      <c r="A3800" s="5"/>
      <c r="B3800" s="5"/>
      <c r="C3800" s="5"/>
      <c r="D3800" s="5"/>
      <c r="E3800" s="7"/>
      <c r="F3800" s="5"/>
      <c r="G3800" s="5"/>
      <c r="H3800" s="5"/>
      <c r="I3800" s="5"/>
      <c r="J3800" s="5"/>
      <c r="K3800" s="5"/>
      <c r="L3800" s="54"/>
      <c r="M3800" s="5"/>
      <c r="N3800" s="53"/>
      <c r="Q3800" s="5"/>
      <c r="R3800" s="5"/>
      <c r="S3800" s="5"/>
      <c r="T3800" s="5"/>
      <c r="U3800" s="5"/>
      <c r="V3800" s="5"/>
    </row>
    <row r="3801" ht="12.75" customHeight="1">
      <c r="A3801" s="5"/>
      <c r="B3801" s="5"/>
      <c r="C3801" s="5"/>
      <c r="D3801" s="5"/>
      <c r="E3801" s="7"/>
      <c r="F3801" s="5"/>
      <c r="G3801" s="5"/>
      <c r="H3801" s="5"/>
      <c r="I3801" s="5"/>
      <c r="J3801" s="5"/>
      <c r="K3801" s="5"/>
      <c r="L3801" s="54"/>
      <c r="M3801" s="5"/>
      <c r="N3801" s="53"/>
      <c r="Q3801" s="5"/>
      <c r="R3801" s="5"/>
      <c r="S3801" s="5"/>
      <c r="T3801" s="5"/>
      <c r="U3801" s="5"/>
      <c r="V3801" s="5"/>
    </row>
    <row r="3802" ht="12.75" customHeight="1">
      <c r="A3802" s="5"/>
      <c r="B3802" s="5"/>
      <c r="C3802" s="5"/>
      <c r="D3802" s="5"/>
      <c r="E3802" s="7"/>
      <c r="F3802" s="5"/>
      <c r="G3802" s="5"/>
      <c r="H3802" s="5"/>
      <c r="I3802" s="5"/>
      <c r="J3802" s="5"/>
      <c r="K3802" s="5"/>
      <c r="L3802" s="54"/>
      <c r="M3802" s="5"/>
      <c r="N3802" s="53"/>
      <c r="Q3802" s="5"/>
      <c r="R3802" s="5"/>
      <c r="S3802" s="5"/>
      <c r="T3802" s="5"/>
      <c r="U3802" s="5"/>
      <c r="V3802" s="5"/>
    </row>
    <row r="3803" ht="12.75" customHeight="1">
      <c r="A3803" s="5"/>
      <c r="B3803" s="5"/>
      <c r="C3803" s="5"/>
      <c r="D3803" s="5"/>
      <c r="E3803" s="7"/>
      <c r="F3803" s="5"/>
      <c r="G3803" s="5"/>
      <c r="H3803" s="5"/>
      <c r="I3803" s="5"/>
      <c r="J3803" s="5"/>
      <c r="K3803" s="5"/>
      <c r="L3803" s="54"/>
      <c r="M3803" s="5"/>
      <c r="N3803" s="53"/>
      <c r="Q3803" s="5"/>
      <c r="R3803" s="5"/>
      <c r="S3803" s="5"/>
      <c r="T3803" s="5"/>
      <c r="U3803" s="5"/>
      <c r="V3803" s="5"/>
    </row>
    <row r="3804" ht="12.75" customHeight="1">
      <c r="A3804" s="5"/>
      <c r="B3804" s="5"/>
      <c r="C3804" s="5"/>
      <c r="D3804" s="5"/>
      <c r="E3804" s="7"/>
      <c r="F3804" s="5"/>
      <c r="G3804" s="5"/>
      <c r="H3804" s="5"/>
      <c r="I3804" s="5"/>
      <c r="J3804" s="5"/>
      <c r="K3804" s="5"/>
      <c r="L3804" s="54"/>
      <c r="M3804" s="5"/>
      <c r="N3804" s="53"/>
      <c r="Q3804" s="5"/>
      <c r="R3804" s="5"/>
      <c r="S3804" s="5"/>
      <c r="T3804" s="5"/>
      <c r="U3804" s="5"/>
      <c r="V3804" s="5"/>
    </row>
    <row r="3805" ht="12.75" customHeight="1">
      <c r="A3805" s="5"/>
      <c r="B3805" s="5"/>
      <c r="C3805" s="5"/>
      <c r="D3805" s="5"/>
      <c r="E3805" s="7"/>
      <c r="F3805" s="5"/>
      <c r="G3805" s="5"/>
      <c r="H3805" s="5"/>
      <c r="I3805" s="5"/>
      <c r="J3805" s="5"/>
      <c r="K3805" s="5"/>
      <c r="L3805" s="54"/>
      <c r="M3805" s="5"/>
      <c r="N3805" s="53"/>
      <c r="Q3805" s="5"/>
      <c r="R3805" s="5"/>
      <c r="S3805" s="5"/>
      <c r="T3805" s="5"/>
      <c r="U3805" s="5"/>
      <c r="V3805" s="5"/>
    </row>
    <row r="3806" ht="12.75" customHeight="1">
      <c r="A3806" s="5"/>
      <c r="B3806" s="5"/>
      <c r="C3806" s="5"/>
      <c r="D3806" s="5"/>
      <c r="E3806" s="7"/>
      <c r="F3806" s="5"/>
      <c r="G3806" s="5"/>
      <c r="H3806" s="5"/>
      <c r="I3806" s="5"/>
      <c r="J3806" s="5"/>
      <c r="K3806" s="5"/>
      <c r="L3806" s="54"/>
      <c r="M3806" s="5"/>
      <c r="N3806" s="53"/>
      <c r="Q3806" s="5"/>
      <c r="R3806" s="5"/>
      <c r="S3806" s="5"/>
      <c r="T3806" s="5"/>
      <c r="U3806" s="5"/>
      <c r="V3806" s="5"/>
    </row>
    <row r="3807" ht="12.75" customHeight="1">
      <c r="A3807" s="5"/>
      <c r="B3807" s="5"/>
      <c r="C3807" s="5"/>
      <c r="D3807" s="5"/>
      <c r="E3807" s="7"/>
      <c r="F3807" s="5"/>
      <c r="G3807" s="5"/>
      <c r="H3807" s="5"/>
      <c r="I3807" s="5"/>
      <c r="J3807" s="5"/>
      <c r="K3807" s="5"/>
      <c r="L3807" s="54"/>
      <c r="M3807" s="5"/>
      <c r="N3807" s="53"/>
      <c r="Q3807" s="5"/>
      <c r="R3807" s="5"/>
      <c r="S3807" s="5"/>
      <c r="T3807" s="5"/>
      <c r="U3807" s="5"/>
      <c r="V3807" s="5"/>
    </row>
    <row r="3808" ht="12.75" customHeight="1">
      <c r="A3808" s="5"/>
      <c r="B3808" s="5"/>
      <c r="C3808" s="5"/>
      <c r="D3808" s="5"/>
      <c r="E3808" s="7"/>
      <c r="F3808" s="5"/>
      <c r="G3808" s="5"/>
      <c r="H3808" s="5"/>
      <c r="I3808" s="5"/>
      <c r="J3808" s="5"/>
      <c r="K3808" s="5"/>
      <c r="L3808" s="54"/>
      <c r="M3808" s="5"/>
      <c r="N3808" s="53"/>
      <c r="Q3808" s="5"/>
      <c r="R3808" s="5"/>
      <c r="S3808" s="5"/>
      <c r="T3808" s="5"/>
      <c r="U3808" s="5"/>
      <c r="V3808" s="5"/>
    </row>
    <row r="3809" ht="12.75" customHeight="1">
      <c r="A3809" s="5"/>
      <c r="B3809" s="5"/>
      <c r="C3809" s="5"/>
      <c r="D3809" s="5"/>
      <c r="E3809" s="7"/>
      <c r="F3809" s="5"/>
      <c r="G3809" s="5"/>
      <c r="H3809" s="5"/>
      <c r="I3809" s="5"/>
      <c r="J3809" s="5"/>
      <c r="K3809" s="5"/>
      <c r="L3809" s="54"/>
      <c r="M3809" s="5"/>
      <c r="N3809" s="53"/>
      <c r="Q3809" s="5"/>
      <c r="R3809" s="5"/>
      <c r="S3809" s="5"/>
      <c r="T3809" s="5"/>
      <c r="U3809" s="5"/>
      <c r="V3809" s="5"/>
    </row>
    <row r="3810" ht="12.75" customHeight="1">
      <c r="A3810" s="5"/>
      <c r="B3810" s="5"/>
      <c r="C3810" s="5"/>
      <c r="D3810" s="5"/>
      <c r="E3810" s="7"/>
      <c r="F3810" s="5"/>
      <c r="G3810" s="5"/>
      <c r="H3810" s="5"/>
      <c r="I3810" s="5"/>
      <c r="J3810" s="5"/>
      <c r="K3810" s="5"/>
      <c r="L3810" s="54"/>
      <c r="M3810" s="5"/>
      <c r="N3810" s="53"/>
      <c r="Q3810" s="5"/>
      <c r="R3810" s="5"/>
      <c r="S3810" s="5"/>
      <c r="T3810" s="5"/>
      <c r="U3810" s="5"/>
      <c r="V3810" s="5"/>
    </row>
    <row r="3811" ht="12.75" customHeight="1">
      <c r="A3811" s="5"/>
      <c r="B3811" s="5"/>
      <c r="C3811" s="5"/>
      <c r="D3811" s="5"/>
      <c r="E3811" s="7"/>
      <c r="F3811" s="5"/>
      <c r="G3811" s="5"/>
      <c r="H3811" s="5"/>
      <c r="I3811" s="5"/>
      <c r="J3811" s="5"/>
      <c r="K3811" s="5"/>
      <c r="L3811" s="54"/>
      <c r="M3811" s="5"/>
      <c r="N3811" s="53"/>
      <c r="Q3811" s="5"/>
      <c r="R3811" s="5"/>
      <c r="S3811" s="5"/>
      <c r="T3811" s="5"/>
      <c r="U3811" s="5"/>
      <c r="V3811" s="5"/>
    </row>
    <row r="3812" ht="12.75" customHeight="1">
      <c r="A3812" s="5"/>
      <c r="B3812" s="5"/>
      <c r="C3812" s="5"/>
      <c r="D3812" s="5"/>
      <c r="E3812" s="7"/>
      <c r="F3812" s="5"/>
      <c r="G3812" s="5"/>
      <c r="H3812" s="5"/>
      <c r="I3812" s="5"/>
      <c r="J3812" s="5"/>
      <c r="K3812" s="5"/>
      <c r="L3812" s="54"/>
      <c r="M3812" s="5"/>
      <c r="N3812" s="53"/>
      <c r="Q3812" s="5"/>
      <c r="R3812" s="5"/>
      <c r="S3812" s="5"/>
      <c r="T3812" s="5"/>
      <c r="U3812" s="5"/>
      <c r="V3812" s="5"/>
    </row>
    <row r="3813" ht="12.75" customHeight="1">
      <c r="A3813" s="5"/>
      <c r="B3813" s="5"/>
      <c r="C3813" s="5"/>
      <c r="D3813" s="5"/>
      <c r="E3813" s="7"/>
      <c r="F3813" s="5"/>
      <c r="G3813" s="5"/>
      <c r="H3813" s="5"/>
      <c r="I3813" s="5"/>
      <c r="J3813" s="5"/>
      <c r="K3813" s="5"/>
      <c r="L3813" s="54"/>
      <c r="M3813" s="5"/>
      <c r="N3813" s="53"/>
      <c r="Q3813" s="5"/>
      <c r="R3813" s="5"/>
      <c r="S3813" s="5"/>
      <c r="T3813" s="5"/>
      <c r="U3813" s="5"/>
      <c r="V3813" s="5"/>
    </row>
    <row r="3814" ht="12.75" customHeight="1">
      <c r="A3814" s="5"/>
      <c r="B3814" s="5"/>
      <c r="C3814" s="5"/>
      <c r="D3814" s="5"/>
      <c r="E3814" s="7"/>
      <c r="F3814" s="5"/>
      <c r="G3814" s="5"/>
      <c r="H3814" s="5"/>
      <c r="I3814" s="5"/>
      <c r="J3814" s="5"/>
      <c r="K3814" s="5"/>
      <c r="L3814" s="54"/>
      <c r="M3814" s="5"/>
      <c r="N3814" s="53"/>
      <c r="Q3814" s="5"/>
      <c r="R3814" s="5"/>
      <c r="S3814" s="5"/>
      <c r="T3814" s="5"/>
      <c r="U3814" s="5"/>
      <c r="V3814" s="5"/>
    </row>
    <row r="3815" ht="12.75" customHeight="1">
      <c r="A3815" s="5"/>
      <c r="B3815" s="5"/>
      <c r="C3815" s="5"/>
      <c r="D3815" s="5"/>
      <c r="E3815" s="7"/>
      <c r="F3815" s="5"/>
      <c r="G3815" s="5"/>
      <c r="H3815" s="5"/>
      <c r="I3815" s="5"/>
      <c r="J3815" s="5"/>
      <c r="K3815" s="5"/>
      <c r="L3815" s="54"/>
      <c r="M3815" s="5"/>
      <c r="N3815" s="53"/>
      <c r="Q3815" s="5"/>
      <c r="R3815" s="5"/>
      <c r="S3815" s="5"/>
      <c r="T3815" s="5"/>
      <c r="U3815" s="5"/>
      <c r="V3815" s="5"/>
    </row>
    <row r="3816" ht="12.75" customHeight="1">
      <c r="A3816" s="5"/>
      <c r="B3816" s="5"/>
      <c r="C3816" s="5"/>
      <c r="D3816" s="5"/>
      <c r="E3816" s="7"/>
      <c r="F3816" s="5"/>
      <c r="G3816" s="5"/>
      <c r="H3816" s="5"/>
      <c r="I3816" s="5"/>
      <c r="J3816" s="5"/>
      <c r="K3816" s="5"/>
      <c r="L3816" s="54"/>
      <c r="M3816" s="5"/>
      <c r="N3816" s="53"/>
      <c r="Q3816" s="5"/>
      <c r="R3816" s="5"/>
      <c r="S3816" s="5"/>
      <c r="T3816" s="5"/>
      <c r="U3816" s="5"/>
      <c r="V3816" s="5"/>
    </row>
    <row r="3817" ht="12.75" customHeight="1">
      <c r="A3817" s="5"/>
      <c r="B3817" s="5"/>
      <c r="C3817" s="5"/>
      <c r="D3817" s="5"/>
      <c r="E3817" s="7"/>
      <c r="F3817" s="5"/>
      <c r="G3817" s="5"/>
      <c r="H3817" s="5"/>
      <c r="I3817" s="5"/>
      <c r="J3817" s="5"/>
      <c r="K3817" s="5"/>
      <c r="L3817" s="54"/>
      <c r="M3817" s="5"/>
      <c r="N3817" s="53"/>
      <c r="Q3817" s="5"/>
      <c r="R3817" s="5"/>
      <c r="S3817" s="5"/>
      <c r="T3817" s="5"/>
      <c r="U3817" s="5"/>
      <c r="V3817" s="5"/>
    </row>
    <row r="3818" ht="12.75" customHeight="1">
      <c r="A3818" s="5"/>
      <c r="B3818" s="5"/>
      <c r="C3818" s="5"/>
      <c r="D3818" s="5"/>
      <c r="E3818" s="7"/>
      <c r="F3818" s="5"/>
      <c r="G3818" s="5"/>
      <c r="H3818" s="5"/>
      <c r="I3818" s="5"/>
      <c r="J3818" s="5"/>
      <c r="K3818" s="5"/>
      <c r="L3818" s="54"/>
      <c r="M3818" s="5"/>
      <c r="N3818" s="53"/>
      <c r="Q3818" s="5"/>
      <c r="R3818" s="5"/>
      <c r="S3818" s="5"/>
      <c r="T3818" s="5"/>
      <c r="U3818" s="5"/>
      <c r="V3818" s="5"/>
    </row>
    <row r="3819" ht="12.75" customHeight="1">
      <c r="A3819" s="5"/>
      <c r="B3819" s="5"/>
      <c r="C3819" s="5"/>
      <c r="D3819" s="5"/>
      <c r="E3819" s="7"/>
      <c r="F3819" s="5"/>
      <c r="G3819" s="5"/>
      <c r="H3819" s="5"/>
      <c r="I3819" s="5"/>
      <c r="J3819" s="5"/>
      <c r="K3819" s="5"/>
      <c r="L3819" s="54"/>
      <c r="M3819" s="5"/>
      <c r="N3819" s="53"/>
      <c r="Q3819" s="5"/>
      <c r="R3819" s="5"/>
      <c r="S3819" s="5"/>
      <c r="T3819" s="5"/>
      <c r="U3819" s="5"/>
      <c r="V3819" s="5"/>
    </row>
    <row r="3820" ht="12.75" customHeight="1">
      <c r="A3820" s="5"/>
      <c r="B3820" s="5"/>
      <c r="C3820" s="5"/>
      <c r="D3820" s="5"/>
      <c r="E3820" s="7"/>
      <c r="F3820" s="5"/>
      <c r="G3820" s="5"/>
      <c r="H3820" s="5"/>
      <c r="I3820" s="5"/>
      <c r="J3820" s="5"/>
      <c r="K3820" s="5"/>
      <c r="L3820" s="54"/>
      <c r="M3820" s="5"/>
      <c r="N3820" s="53"/>
      <c r="Q3820" s="5"/>
      <c r="R3820" s="5"/>
      <c r="S3820" s="5"/>
      <c r="T3820" s="5"/>
      <c r="U3820" s="5"/>
      <c r="V3820" s="5"/>
    </row>
    <row r="3821" ht="12.75" customHeight="1">
      <c r="A3821" s="5"/>
      <c r="B3821" s="5"/>
      <c r="C3821" s="5"/>
      <c r="D3821" s="5"/>
      <c r="E3821" s="7"/>
      <c r="F3821" s="5"/>
      <c r="G3821" s="5"/>
      <c r="H3821" s="5"/>
      <c r="I3821" s="5"/>
      <c r="J3821" s="5"/>
      <c r="K3821" s="5"/>
      <c r="L3821" s="54"/>
      <c r="M3821" s="5"/>
      <c r="N3821" s="53"/>
      <c r="Q3821" s="5"/>
      <c r="R3821" s="5"/>
      <c r="S3821" s="5"/>
      <c r="T3821" s="5"/>
      <c r="U3821" s="5"/>
      <c r="V3821" s="5"/>
    </row>
    <row r="3822" ht="12.75" customHeight="1">
      <c r="A3822" s="5"/>
      <c r="B3822" s="5"/>
      <c r="C3822" s="5"/>
      <c r="D3822" s="5"/>
      <c r="E3822" s="7"/>
      <c r="F3822" s="5"/>
      <c r="G3822" s="5"/>
      <c r="H3822" s="5"/>
      <c r="I3822" s="5"/>
      <c r="J3822" s="5"/>
      <c r="K3822" s="5"/>
      <c r="L3822" s="54"/>
      <c r="M3822" s="5"/>
      <c r="N3822" s="53"/>
      <c r="Q3822" s="5"/>
      <c r="R3822" s="5"/>
      <c r="S3822" s="5"/>
      <c r="T3822" s="5"/>
      <c r="U3822" s="5"/>
      <c r="V3822" s="5"/>
    </row>
    <row r="3823" ht="12.75" customHeight="1">
      <c r="A3823" s="5"/>
      <c r="B3823" s="5"/>
      <c r="C3823" s="5"/>
      <c r="D3823" s="5"/>
      <c r="E3823" s="7"/>
      <c r="F3823" s="5"/>
      <c r="G3823" s="5"/>
      <c r="H3823" s="5"/>
      <c r="I3823" s="5"/>
      <c r="J3823" s="5"/>
      <c r="K3823" s="5"/>
      <c r="L3823" s="54"/>
      <c r="M3823" s="5"/>
      <c r="N3823" s="53"/>
      <c r="Q3823" s="5"/>
      <c r="R3823" s="5"/>
      <c r="S3823" s="5"/>
      <c r="T3823" s="5"/>
      <c r="U3823" s="5"/>
      <c r="V3823" s="5"/>
    </row>
    <row r="3824" ht="12.75" customHeight="1">
      <c r="A3824" s="5"/>
      <c r="B3824" s="5"/>
      <c r="C3824" s="5"/>
      <c r="D3824" s="5"/>
      <c r="E3824" s="7"/>
      <c r="F3824" s="5"/>
      <c r="G3824" s="5"/>
      <c r="H3824" s="5"/>
      <c r="I3824" s="5"/>
      <c r="J3824" s="5"/>
      <c r="K3824" s="5"/>
      <c r="L3824" s="54"/>
      <c r="M3824" s="5"/>
      <c r="N3824" s="53"/>
      <c r="Q3824" s="5"/>
      <c r="R3824" s="5"/>
      <c r="S3824" s="5"/>
      <c r="T3824" s="5"/>
      <c r="U3824" s="5"/>
      <c r="V3824" s="5"/>
    </row>
    <row r="3825" ht="12.75" customHeight="1">
      <c r="A3825" s="5"/>
      <c r="B3825" s="5"/>
      <c r="C3825" s="5"/>
      <c r="D3825" s="5"/>
      <c r="E3825" s="7"/>
      <c r="F3825" s="5"/>
      <c r="G3825" s="5"/>
      <c r="H3825" s="5"/>
      <c r="I3825" s="5"/>
      <c r="J3825" s="5"/>
      <c r="K3825" s="5"/>
      <c r="L3825" s="54"/>
      <c r="M3825" s="5"/>
      <c r="N3825" s="53"/>
      <c r="Q3825" s="5"/>
      <c r="R3825" s="5"/>
      <c r="S3825" s="5"/>
      <c r="T3825" s="5"/>
      <c r="U3825" s="5"/>
      <c r="V3825" s="5"/>
    </row>
    <row r="3826" ht="12.75" customHeight="1">
      <c r="A3826" s="5"/>
      <c r="B3826" s="5"/>
      <c r="C3826" s="5"/>
      <c r="D3826" s="5"/>
      <c r="E3826" s="7"/>
      <c r="F3826" s="5"/>
      <c r="G3826" s="5"/>
      <c r="H3826" s="5"/>
      <c r="I3826" s="5"/>
      <c r="J3826" s="5"/>
      <c r="K3826" s="5"/>
      <c r="L3826" s="54"/>
      <c r="M3826" s="5"/>
      <c r="N3826" s="53"/>
      <c r="Q3826" s="5"/>
      <c r="R3826" s="5"/>
      <c r="S3826" s="5"/>
      <c r="T3826" s="5"/>
      <c r="U3826" s="5"/>
      <c r="V3826" s="5"/>
    </row>
    <row r="3827" ht="12.75" customHeight="1">
      <c r="A3827" s="5"/>
      <c r="B3827" s="5"/>
      <c r="C3827" s="5"/>
      <c r="D3827" s="5"/>
      <c r="E3827" s="7"/>
      <c r="F3827" s="5"/>
      <c r="G3827" s="5"/>
      <c r="H3827" s="5"/>
      <c r="I3827" s="5"/>
      <c r="J3827" s="5"/>
      <c r="K3827" s="5"/>
      <c r="L3827" s="54"/>
      <c r="M3827" s="5"/>
      <c r="N3827" s="53"/>
      <c r="Q3827" s="5"/>
      <c r="R3827" s="5"/>
      <c r="S3827" s="5"/>
      <c r="T3827" s="5"/>
      <c r="U3827" s="5"/>
      <c r="V3827" s="5"/>
    </row>
    <row r="3828" ht="12.75" customHeight="1">
      <c r="A3828" s="5"/>
      <c r="B3828" s="5"/>
      <c r="C3828" s="5"/>
      <c r="D3828" s="5"/>
      <c r="E3828" s="7"/>
      <c r="F3828" s="5"/>
      <c r="G3828" s="5"/>
      <c r="H3828" s="5"/>
      <c r="I3828" s="5"/>
      <c r="J3828" s="5"/>
      <c r="K3828" s="5"/>
      <c r="L3828" s="54"/>
      <c r="M3828" s="5"/>
      <c r="N3828" s="53"/>
      <c r="Q3828" s="5"/>
      <c r="R3828" s="5"/>
      <c r="S3828" s="5"/>
      <c r="T3828" s="5"/>
      <c r="U3828" s="5"/>
      <c r="V3828" s="5"/>
    </row>
    <row r="3829" ht="12.75" customHeight="1">
      <c r="A3829" s="5"/>
      <c r="B3829" s="5"/>
      <c r="C3829" s="5"/>
      <c r="D3829" s="5"/>
      <c r="E3829" s="7"/>
      <c r="F3829" s="5"/>
      <c r="G3829" s="5"/>
      <c r="H3829" s="5"/>
      <c r="I3829" s="5"/>
      <c r="J3829" s="5"/>
      <c r="K3829" s="5"/>
      <c r="L3829" s="54"/>
      <c r="M3829" s="5"/>
      <c r="N3829" s="53"/>
      <c r="Q3829" s="5"/>
      <c r="R3829" s="5"/>
      <c r="S3829" s="5"/>
      <c r="T3829" s="5"/>
      <c r="U3829" s="5"/>
      <c r="V3829" s="5"/>
    </row>
    <row r="3830" ht="12.75" customHeight="1">
      <c r="A3830" s="5"/>
      <c r="B3830" s="5"/>
      <c r="C3830" s="5"/>
      <c r="D3830" s="5"/>
      <c r="E3830" s="7"/>
      <c r="F3830" s="5"/>
      <c r="G3830" s="5"/>
      <c r="H3830" s="5"/>
      <c r="I3830" s="5"/>
      <c r="J3830" s="5"/>
      <c r="K3830" s="5"/>
      <c r="L3830" s="54"/>
      <c r="M3830" s="5"/>
      <c r="N3830" s="53"/>
      <c r="Q3830" s="5"/>
      <c r="R3830" s="5"/>
      <c r="S3830" s="5"/>
      <c r="T3830" s="5"/>
      <c r="U3830" s="5"/>
      <c r="V3830" s="5"/>
    </row>
    <row r="3831" ht="12.75" customHeight="1">
      <c r="A3831" s="5"/>
      <c r="B3831" s="5"/>
      <c r="C3831" s="5"/>
      <c r="D3831" s="5"/>
      <c r="E3831" s="7"/>
      <c r="F3831" s="5"/>
      <c r="G3831" s="5"/>
      <c r="H3831" s="5"/>
      <c r="I3831" s="5"/>
      <c r="J3831" s="5"/>
      <c r="K3831" s="5"/>
      <c r="L3831" s="54"/>
      <c r="M3831" s="5"/>
      <c r="N3831" s="53"/>
      <c r="Q3831" s="5"/>
      <c r="R3831" s="5"/>
      <c r="S3831" s="5"/>
      <c r="T3831" s="5"/>
      <c r="U3831" s="5"/>
      <c r="V3831" s="5"/>
    </row>
    <row r="3832" ht="12.75" customHeight="1">
      <c r="A3832" s="5"/>
      <c r="B3832" s="5"/>
      <c r="C3832" s="5"/>
      <c r="D3832" s="5"/>
      <c r="E3832" s="7"/>
      <c r="F3832" s="5"/>
      <c r="G3832" s="5"/>
      <c r="H3832" s="5"/>
      <c r="I3832" s="5"/>
      <c r="J3832" s="5"/>
      <c r="K3832" s="5"/>
      <c r="L3832" s="54"/>
      <c r="M3832" s="5"/>
      <c r="N3832" s="53"/>
      <c r="Q3832" s="5"/>
      <c r="R3832" s="5"/>
      <c r="S3832" s="5"/>
      <c r="T3832" s="5"/>
      <c r="U3832" s="5"/>
      <c r="V3832" s="5"/>
    </row>
    <row r="3833" ht="12.75" customHeight="1">
      <c r="A3833" s="5"/>
      <c r="B3833" s="5"/>
      <c r="C3833" s="5"/>
      <c r="D3833" s="5"/>
      <c r="E3833" s="7"/>
      <c r="F3833" s="5"/>
      <c r="G3833" s="5"/>
      <c r="H3833" s="5"/>
      <c r="I3833" s="5"/>
      <c r="J3833" s="5"/>
      <c r="K3833" s="5"/>
      <c r="L3833" s="54"/>
      <c r="M3833" s="5"/>
      <c r="N3833" s="53"/>
      <c r="Q3833" s="5"/>
      <c r="R3833" s="5"/>
      <c r="S3833" s="5"/>
      <c r="T3833" s="5"/>
      <c r="U3833" s="5"/>
      <c r="V3833" s="5"/>
    </row>
    <row r="3834" ht="12.75" customHeight="1">
      <c r="A3834" s="5"/>
      <c r="B3834" s="5"/>
      <c r="C3834" s="5"/>
      <c r="D3834" s="5"/>
      <c r="E3834" s="7"/>
      <c r="F3834" s="5"/>
      <c r="G3834" s="5"/>
      <c r="H3834" s="5"/>
      <c r="I3834" s="5"/>
      <c r="J3834" s="5"/>
      <c r="K3834" s="5"/>
      <c r="L3834" s="54"/>
      <c r="M3834" s="5"/>
      <c r="N3834" s="53"/>
      <c r="Q3834" s="5"/>
      <c r="R3834" s="5"/>
      <c r="S3834" s="5"/>
      <c r="T3834" s="5"/>
      <c r="U3834" s="5"/>
      <c r="V3834" s="5"/>
    </row>
    <row r="3835" ht="12.75" customHeight="1">
      <c r="A3835" s="5"/>
      <c r="B3835" s="5"/>
      <c r="C3835" s="5"/>
      <c r="D3835" s="5"/>
      <c r="E3835" s="7"/>
      <c r="F3835" s="5"/>
      <c r="G3835" s="5"/>
      <c r="H3835" s="5"/>
      <c r="I3835" s="5"/>
      <c r="J3835" s="5"/>
      <c r="K3835" s="5"/>
      <c r="L3835" s="54"/>
      <c r="M3835" s="5"/>
      <c r="N3835" s="53"/>
      <c r="Q3835" s="5"/>
      <c r="R3835" s="5"/>
      <c r="S3835" s="5"/>
      <c r="T3835" s="5"/>
      <c r="U3835" s="5"/>
      <c r="V3835" s="5"/>
    </row>
    <row r="3836" ht="12.75" customHeight="1">
      <c r="A3836" s="5"/>
      <c r="B3836" s="5"/>
      <c r="C3836" s="5"/>
      <c r="D3836" s="5"/>
      <c r="E3836" s="7"/>
      <c r="F3836" s="5"/>
      <c r="G3836" s="5"/>
      <c r="H3836" s="5"/>
      <c r="I3836" s="5"/>
      <c r="J3836" s="5"/>
      <c r="K3836" s="5"/>
      <c r="L3836" s="54"/>
      <c r="M3836" s="5"/>
      <c r="N3836" s="53"/>
      <c r="Q3836" s="5"/>
      <c r="R3836" s="5"/>
      <c r="S3836" s="5"/>
      <c r="T3836" s="5"/>
      <c r="U3836" s="5"/>
      <c r="V3836" s="5"/>
    </row>
    <row r="3837" ht="12.75" customHeight="1">
      <c r="A3837" s="5"/>
      <c r="B3837" s="5"/>
      <c r="C3837" s="5"/>
      <c r="D3837" s="5"/>
      <c r="E3837" s="7"/>
      <c r="F3837" s="5"/>
      <c r="G3837" s="5"/>
      <c r="H3837" s="5"/>
      <c r="I3837" s="5"/>
      <c r="J3837" s="5"/>
      <c r="K3837" s="5"/>
      <c r="L3837" s="54"/>
      <c r="M3837" s="5"/>
      <c r="N3837" s="53"/>
      <c r="Q3837" s="5"/>
      <c r="R3837" s="5"/>
      <c r="S3837" s="5"/>
      <c r="T3837" s="5"/>
      <c r="U3837" s="5"/>
      <c r="V3837" s="5"/>
    </row>
    <row r="3838" ht="12.75" customHeight="1">
      <c r="A3838" s="5"/>
      <c r="B3838" s="5"/>
      <c r="C3838" s="5"/>
      <c r="D3838" s="5"/>
      <c r="E3838" s="7"/>
      <c r="F3838" s="5"/>
      <c r="G3838" s="5"/>
      <c r="H3838" s="5"/>
      <c r="I3838" s="5"/>
      <c r="J3838" s="5"/>
      <c r="K3838" s="5"/>
      <c r="L3838" s="54"/>
      <c r="M3838" s="5"/>
      <c r="N3838" s="53"/>
      <c r="Q3838" s="5"/>
      <c r="R3838" s="5"/>
      <c r="S3838" s="5"/>
      <c r="T3838" s="5"/>
      <c r="U3838" s="5"/>
      <c r="V3838" s="5"/>
    </row>
    <row r="3839" ht="12.75" customHeight="1">
      <c r="A3839" s="5"/>
      <c r="B3839" s="5"/>
      <c r="C3839" s="5"/>
      <c r="D3839" s="5"/>
      <c r="E3839" s="7"/>
      <c r="F3839" s="5"/>
      <c r="G3839" s="5"/>
      <c r="H3839" s="5"/>
      <c r="I3839" s="5"/>
      <c r="J3839" s="5"/>
      <c r="K3839" s="5"/>
      <c r="L3839" s="54"/>
      <c r="M3839" s="5"/>
      <c r="N3839" s="53"/>
      <c r="Q3839" s="5"/>
      <c r="R3839" s="5"/>
      <c r="S3839" s="5"/>
      <c r="T3839" s="5"/>
      <c r="U3839" s="5"/>
      <c r="V3839" s="5"/>
    </row>
    <row r="3840" ht="12.75" customHeight="1">
      <c r="A3840" s="5"/>
      <c r="B3840" s="5"/>
      <c r="C3840" s="5"/>
      <c r="D3840" s="5"/>
      <c r="E3840" s="7"/>
      <c r="F3840" s="5"/>
      <c r="G3840" s="5"/>
      <c r="H3840" s="5"/>
      <c r="I3840" s="5"/>
      <c r="J3840" s="5"/>
      <c r="K3840" s="5"/>
      <c r="L3840" s="54"/>
      <c r="M3840" s="5"/>
      <c r="N3840" s="53"/>
      <c r="Q3840" s="5"/>
      <c r="R3840" s="5"/>
      <c r="S3840" s="5"/>
      <c r="T3840" s="5"/>
      <c r="U3840" s="5"/>
      <c r="V3840" s="5"/>
    </row>
    <row r="3841" ht="12.75" customHeight="1">
      <c r="A3841" s="5"/>
      <c r="B3841" s="5"/>
      <c r="C3841" s="5"/>
      <c r="D3841" s="5"/>
      <c r="E3841" s="7"/>
      <c r="F3841" s="5"/>
      <c r="G3841" s="5"/>
      <c r="H3841" s="5"/>
      <c r="I3841" s="5"/>
      <c r="J3841" s="5"/>
      <c r="K3841" s="5"/>
      <c r="L3841" s="54"/>
      <c r="M3841" s="5"/>
      <c r="N3841" s="53"/>
      <c r="Q3841" s="5"/>
      <c r="R3841" s="5"/>
      <c r="S3841" s="5"/>
      <c r="T3841" s="5"/>
      <c r="U3841" s="5"/>
      <c r="V3841" s="5"/>
    </row>
    <row r="3842" ht="12.75" customHeight="1">
      <c r="A3842" s="5"/>
      <c r="B3842" s="5"/>
      <c r="C3842" s="5"/>
      <c r="D3842" s="5"/>
      <c r="E3842" s="7"/>
      <c r="F3842" s="5"/>
      <c r="G3842" s="5"/>
      <c r="H3842" s="5"/>
      <c r="I3842" s="5"/>
      <c r="J3842" s="5"/>
      <c r="K3842" s="5"/>
      <c r="L3842" s="54"/>
      <c r="M3842" s="5"/>
      <c r="N3842" s="53"/>
      <c r="Q3842" s="5"/>
      <c r="R3842" s="5"/>
      <c r="S3842" s="5"/>
      <c r="T3842" s="5"/>
      <c r="U3842" s="5"/>
      <c r="V3842" s="5"/>
    </row>
    <row r="3843" ht="12.75" customHeight="1">
      <c r="A3843" s="5"/>
      <c r="B3843" s="5"/>
      <c r="C3843" s="5"/>
      <c r="D3843" s="5"/>
      <c r="E3843" s="7"/>
      <c r="F3843" s="5"/>
      <c r="G3843" s="5"/>
      <c r="H3843" s="5"/>
      <c r="I3843" s="5"/>
      <c r="J3843" s="5"/>
      <c r="K3843" s="5"/>
      <c r="L3843" s="54"/>
      <c r="M3843" s="5"/>
      <c r="N3843" s="53"/>
      <c r="Q3843" s="5"/>
      <c r="R3843" s="5"/>
      <c r="S3843" s="5"/>
      <c r="T3843" s="5"/>
      <c r="U3843" s="5"/>
      <c r="V3843" s="5"/>
    </row>
    <row r="3844" ht="12.75" customHeight="1">
      <c r="A3844" s="5"/>
      <c r="B3844" s="5"/>
      <c r="C3844" s="5"/>
      <c r="D3844" s="5"/>
      <c r="E3844" s="7"/>
      <c r="F3844" s="5"/>
      <c r="G3844" s="5"/>
      <c r="H3844" s="5"/>
      <c r="I3844" s="5"/>
      <c r="J3844" s="5"/>
      <c r="K3844" s="5"/>
      <c r="L3844" s="54"/>
      <c r="M3844" s="5"/>
      <c r="N3844" s="53"/>
      <c r="Q3844" s="5"/>
      <c r="R3844" s="5"/>
      <c r="S3844" s="5"/>
      <c r="T3844" s="5"/>
      <c r="U3844" s="5"/>
      <c r="V3844" s="5"/>
    </row>
    <row r="3845" ht="12.75" customHeight="1">
      <c r="A3845" s="5"/>
      <c r="B3845" s="5"/>
      <c r="C3845" s="5"/>
      <c r="D3845" s="5"/>
      <c r="E3845" s="7"/>
      <c r="F3845" s="5"/>
      <c r="G3845" s="5"/>
      <c r="H3845" s="5"/>
      <c r="I3845" s="5"/>
      <c r="J3845" s="5"/>
      <c r="K3845" s="5"/>
      <c r="L3845" s="54"/>
      <c r="M3845" s="5"/>
      <c r="N3845" s="53"/>
      <c r="Q3845" s="5"/>
      <c r="R3845" s="5"/>
      <c r="S3845" s="5"/>
      <c r="T3845" s="5"/>
      <c r="U3845" s="5"/>
      <c r="V3845" s="5"/>
    </row>
    <row r="3846" ht="12.75" customHeight="1">
      <c r="A3846" s="5"/>
      <c r="B3846" s="5"/>
      <c r="C3846" s="5"/>
      <c r="D3846" s="5"/>
      <c r="E3846" s="7"/>
      <c r="F3846" s="5"/>
      <c r="G3846" s="5"/>
      <c r="H3846" s="5"/>
      <c r="I3846" s="5"/>
      <c r="J3846" s="5"/>
      <c r="K3846" s="5"/>
      <c r="L3846" s="54"/>
      <c r="M3846" s="5"/>
      <c r="N3846" s="53"/>
      <c r="Q3846" s="5"/>
      <c r="R3846" s="5"/>
      <c r="S3846" s="5"/>
      <c r="T3846" s="5"/>
      <c r="U3846" s="5"/>
      <c r="V3846" s="5"/>
    </row>
    <row r="3847" ht="12.75" customHeight="1">
      <c r="A3847" s="5"/>
      <c r="B3847" s="5"/>
      <c r="C3847" s="5"/>
      <c r="D3847" s="5"/>
      <c r="E3847" s="7"/>
      <c r="F3847" s="5"/>
      <c r="G3847" s="5"/>
      <c r="H3847" s="5"/>
      <c r="I3847" s="5"/>
      <c r="J3847" s="5"/>
      <c r="K3847" s="5"/>
      <c r="L3847" s="54"/>
      <c r="M3847" s="5"/>
      <c r="N3847" s="53"/>
      <c r="Q3847" s="5"/>
      <c r="R3847" s="5"/>
      <c r="S3847" s="5"/>
      <c r="T3847" s="5"/>
      <c r="U3847" s="5"/>
      <c r="V3847" s="5"/>
    </row>
    <row r="3848" ht="12.75" customHeight="1">
      <c r="A3848" s="5"/>
      <c r="B3848" s="5"/>
      <c r="C3848" s="5"/>
      <c r="D3848" s="5"/>
      <c r="E3848" s="7"/>
      <c r="F3848" s="5"/>
      <c r="G3848" s="5"/>
      <c r="H3848" s="5"/>
      <c r="I3848" s="5"/>
      <c r="J3848" s="5"/>
      <c r="K3848" s="5"/>
      <c r="L3848" s="54"/>
      <c r="M3848" s="5"/>
      <c r="N3848" s="53"/>
      <c r="Q3848" s="5"/>
      <c r="R3848" s="5"/>
      <c r="S3848" s="5"/>
      <c r="T3848" s="5"/>
      <c r="U3848" s="5"/>
      <c r="V3848" s="5"/>
    </row>
    <row r="3849" ht="12.75" customHeight="1">
      <c r="A3849" s="5"/>
      <c r="B3849" s="5"/>
      <c r="C3849" s="5"/>
      <c r="D3849" s="5"/>
      <c r="E3849" s="7"/>
      <c r="F3849" s="5"/>
      <c r="G3849" s="5"/>
      <c r="H3849" s="5"/>
      <c r="I3849" s="5"/>
      <c r="J3849" s="5"/>
      <c r="K3849" s="5"/>
      <c r="L3849" s="54"/>
      <c r="M3849" s="5"/>
      <c r="N3849" s="53"/>
      <c r="Q3849" s="5"/>
      <c r="R3849" s="5"/>
      <c r="S3849" s="5"/>
      <c r="T3849" s="5"/>
      <c r="U3849" s="5"/>
      <c r="V3849" s="5"/>
    </row>
    <row r="3850" ht="12.75" customHeight="1">
      <c r="A3850" s="5"/>
      <c r="B3850" s="5"/>
      <c r="C3850" s="5"/>
      <c r="D3850" s="5"/>
      <c r="E3850" s="7"/>
      <c r="F3850" s="5"/>
      <c r="G3850" s="5"/>
      <c r="H3850" s="5"/>
      <c r="I3850" s="5"/>
      <c r="J3850" s="5"/>
      <c r="K3850" s="5"/>
      <c r="L3850" s="54"/>
      <c r="M3850" s="5"/>
      <c r="N3850" s="53"/>
      <c r="Q3850" s="5"/>
      <c r="R3850" s="5"/>
      <c r="S3850" s="5"/>
      <c r="T3850" s="5"/>
      <c r="U3850" s="5"/>
      <c r="V3850" s="5"/>
    </row>
    <row r="3851" ht="12.75" customHeight="1">
      <c r="A3851" s="5"/>
      <c r="B3851" s="5"/>
      <c r="C3851" s="5"/>
      <c r="D3851" s="5"/>
      <c r="E3851" s="7"/>
      <c r="F3851" s="5"/>
      <c r="G3851" s="5"/>
      <c r="H3851" s="5"/>
      <c r="I3851" s="5"/>
      <c r="J3851" s="5"/>
      <c r="K3851" s="5"/>
      <c r="L3851" s="54"/>
      <c r="M3851" s="5"/>
      <c r="N3851" s="53"/>
      <c r="Q3851" s="5"/>
      <c r="R3851" s="5"/>
      <c r="S3851" s="5"/>
      <c r="T3851" s="5"/>
      <c r="U3851" s="5"/>
      <c r="V3851" s="5"/>
    </row>
    <row r="3852" ht="12.75" customHeight="1">
      <c r="A3852" s="5"/>
      <c r="B3852" s="5"/>
      <c r="C3852" s="5"/>
      <c r="D3852" s="5"/>
      <c r="E3852" s="7"/>
      <c r="F3852" s="5"/>
      <c r="G3852" s="5"/>
      <c r="H3852" s="5"/>
      <c r="I3852" s="5"/>
      <c r="J3852" s="5"/>
      <c r="K3852" s="5"/>
      <c r="L3852" s="54"/>
      <c r="M3852" s="5"/>
      <c r="N3852" s="53"/>
      <c r="Q3852" s="5"/>
      <c r="R3852" s="5"/>
      <c r="S3852" s="5"/>
      <c r="T3852" s="5"/>
      <c r="U3852" s="5"/>
      <c r="V3852" s="5"/>
    </row>
    <row r="3853" ht="12.75" customHeight="1">
      <c r="A3853" s="5"/>
      <c r="B3853" s="5"/>
      <c r="C3853" s="5"/>
      <c r="D3853" s="5"/>
      <c r="E3853" s="7"/>
      <c r="F3853" s="5"/>
      <c r="G3853" s="5"/>
      <c r="H3853" s="5"/>
      <c r="I3853" s="5"/>
      <c r="J3853" s="5"/>
      <c r="K3853" s="5"/>
      <c r="L3853" s="54"/>
      <c r="M3853" s="5"/>
      <c r="N3853" s="53"/>
      <c r="Q3853" s="5"/>
      <c r="R3853" s="5"/>
      <c r="S3853" s="5"/>
      <c r="T3853" s="5"/>
      <c r="U3853" s="5"/>
      <c r="V3853" s="5"/>
    </row>
    <row r="3854" ht="12.75" customHeight="1">
      <c r="A3854" s="5"/>
      <c r="B3854" s="5"/>
      <c r="C3854" s="5"/>
      <c r="D3854" s="5"/>
      <c r="E3854" s="7"/>
      <c r="F3854" s="5"/>
      <c r="G3854" s="5"/>
      <c r="H3854" s="5"/>
      <c r="I3854" s="5"/>
      <c r="J3854" s="5"/>
      <c r="K3854" s="5"/>
      <c r="L3854" s="54"/>
      <c r="M3854" s="5"/>
      <c r="N3854" s="53"/>
      <c r="Q3854" s="5"/>
      <c r="R3854" s="5"/>
      <c r="S3854" s="5"/>
      <c r="T3854" s="5"/>
      <c r="U3854" s="5"/>
      <c r="V3854" s="5"/>
    </row>
    <row r="3855" ht="12.75" customHeight="1">
      <c r="A3855" s="5"/>
      <c r="B3855" s="5"/>
      <c r="C3855" s="5"/>
      <c r="D3855" s="5"/>
      <c r="E3855" s="7"/>
      <c r="F3855" s="5"/>
      <c r="G3855" s="5"/>
      <c r="H3855" s="5"/>
      <c r="I3855" s="5"/>
      <c r="J3855" s="5"/>
      <c r="K3855" s="5"/>
      <c r="L3855" s="54"/>
      <c r="M3855" s="5"/>
      <c r="N3855" s="53"/>
      <c r="Q3855" s="5"/>
      <c r="R3855" s="5"/>
      <c r="S3855" s="5"/>
      <c r="T3855" s="5"/>
      <c r="U3855" s="5"/>
      <c r="V3855" s="5"/>
    </row>
    <row r="3856" ht="12.75" customHeight="1">
      <c r="A3856" s="5"/>
      <c r="B3856" s="5"/>
      <c r="C3856" s="5"/>
      <c r="D3856" s="5"/>
      <c r="E3856" s="7"/>
      <c r="F3856" s="5"/>
      <c r="G3856" s="5"/>
      <c r="H3856" s="5"/>
      <c r="I3856" s="5"/>
      <c r="J3856" s="5"/>
      <c r="K3856" s="5"/>
      <c r="L3856" s="54"/>
      <c r="M3856" s="5"/>
      <c r="N3856" s="53"/>
      <c r="Q3856" s="5"/>
      <c r="R3856" s="5"/>
      <c r="S3856" s="5"/>
      <c r="T3856" s="5"/>
      <c r="U3856" s="5"/>
      <c r="V3856" s="5"/>
    </row>
    <row r="3857" ht="12.75" customHeight="1">
      <c r="A3857" s="5"/>
      <c r="B3857" s="5"/>
      <c r="C3857" s="5"/>
      <c r="D3857" s="5"/>
      <c r="E3857" s="7"/>
      <c r="F3857" s="5"/>
      <c r="G3857" s="5"/>
      <c r="H3857" s="5"/>
      <c r="I3857" s="5"/>
      <c r="J3857" s="5"/>
      <c r="K3857" s="5"/>
      <c r="L3857" s="54"/>
      <c r="M3857" s="5"/>
      <c r="N3857" s="53"/>
      <c r="Q3857" s="5"/>
      <c r="R3857" s="5"/>
      <c r="S3857" s="5"/>
      <c r="T3857" s="5"/>
      <c r="U3857" s="5"/>
      <c r="V3857" s="5"/>
    </row>
    <row r="3858" ht="12.75" customHeight="1">
      <c r="A3858" s="5"/>
      <c r="B3858" s="5"/>
      <c r="C3858" s="5"/>
      <c r="D3858" s="5"/>
      <c r="E3858" s="7"/>
      <c r="F3858" s="5"/>
      <c r="G3858" s="5"/>
      <c r="H3858" s="5"/>
      <c r="I3858" s="5"/>
      <c r="J3858" s="5"/>
      <c r="K3858" s="5"/>
      <c r="L3858" s="54"/>
      <c r="M3858" s="5"/>
      <c r="N3858" s="53"/>
      <c r="Q3858" s="5"/>
      <c r="R3858" s="5"/>
      <c r="S3858" s="5"/>
      <c r="T3858" s="5"/>
      <c r="U3858" s="5"/>
      <c r="V3858" s="5"/>
    </row>
    <row r="3859" ht="12.75" customHeight="1">
      <c r="A3859" s="5"/>
      <c r="B3859" s="5"/>
      <c r="C3859" s="5"/>
      <c r="D3859" s="5"/>
      <c r="E3859" s="7"/>
      <c r="F3859" s="5"/>
      <c r="G3859" s="5"/>
      <c r="H3859" s="5"/>
      <c r="I3859" s="5"/>
      <c r="J3859" s="5"/>
      <c r="K3859" s="5"/>
      <c r="L3859" s="54"/>
      <c r="M3859" s="5"/>
      <c r="N3859" s="53"/>
      <c r="Q3859" s="5"/>
      <c r="R3859" s="5"/>
      <c r="S3859" s="5"/>
      <c r="T3859" s="5"/>
      <c r="U3859" s="5"/>
      <c r="V3859" s="5"/>
    </row>
    <row r="3860" ht="12.75" customHeight="1">
      <c r="A3860" s="5"/>
      <c r="B3860" s="5"/>
      <c r="C3860" s="5"/>
      <c r="D3860" s="5"/>
      <c r="E3860" s="7"/>
      <c r="F3860" s="5"/>
      <c r="G3860" s="5"/>
      <c r="H3860" s="5"/>
      <c r="I3860" s="5"/>
      <c r="J3860" s="5"/>
      <c r="K3860" s="5"/>
      <c r="L3860" s="54"/>
      <c r="M3860" s="5"/>
      <c r="N3860" s="53"/>
      <c r="Q3860" s="5"/>
      <c r="R3860" s="5"/>
      <c r="S3860" s="5"/>
      <c r="T3860" s="5"/>
      <c r="U3860" s="5"/>
      <c r="V3860" s="5"/>
    </row>
    <row r="3861" ht="12.75" customHeight="1">
      <c r="A3861" s="5"/>
      <c r="B3861" s="5"/>
      <c r="C3861" s="5"/>
      <c r="D3861" s="5"/>
      <c r="E3861" s="7"/>
      <c r="F3861" s="5"/>
      <c r="G3861" s="5"/>
      <c r="H3861" s="5"/>
      <c r="I3861" s="5"/>
      <c r="J3861" s="5"/>
      <c r="K3861" s="5"/>
      <c r="L3861" s="54"/>
      <c r="M3861" s="5"/>
      <c r="N3861" s="53"/>
      <c r="Q3861" s="5"/>
      <c r="R3861" s="5"/>
      <c r="S3861" s="5"/>
      <c r="T3861" s="5"/>
      <c r="U3861" s="5"/>
      <c r="V3861" s="5"/>
    </row>
    <row r="3862" ht="12.75" customHeight="1">
      <c r="A3862" s="5"/>
      <c r="B3862" s="5"/>
      <c r="C3862" s="5"/>
      <c r="D3862" s="5"/>
      <c r="E3862" s="7"/>
      <c r="F3862" s="5"/>
      <c r="G3862" s="5"/>
      <c r="H3862" s="5"/>
      <c r="I3862" s="5"/>
      <c r="J3862" s="5"/>
      <c r="K3862" s="5"/>
      <c r="L3862" s="54"/>
      <c r="M3862" s="5"/>
      <c r="N3862" s="53"/>
      <c r="Q3862" s="5"/>
      <c r="R3862" s="5"/>
      <c r="S3862" s="5"/>
      <c r="T3862" s="5"/>
      <c r="U3862" s="5"/>
      <c r="V3862" s="5"/>
    </row>
    <row r="3863" ht="12.75" customHeight="1">
      <c r="A3863" s="5"/>
      <c r="B3863" s="5"/>
      <c r="C3863" s="5"/>
      <c r="D3863" s="5"/>
      <c r="E3863" s="7"/>
      <c r="F3863" s="5"/>
      <c r="G3863" s="5"/>
      <c r="H3863" s="5"/>
      <c r="I3863" s="5"/>
      <c r="J3863" s="5"/>
      <c r="K3863" s="5"/>
      <c r="L3863" s="54"/>
      <c r="M3863" s="5"/>
      <c r="N3863" s="53"/>
      <c r="Q3863" s="5"/>
      <c r="R3863" s="5"/>
      <c r="S3863" s="5"/>
      <c r="T3863" s="5"/>
      <c r="U3863" s="5"/>
      <c r="V3863" s="5"/>
    </row>
    <row r="3864" ht="12.75" customHeight="1">
      <c r="A3864" s="5"/>
      <c r="B3864" s="5"/>
      <c r="C3864" s="5"/>
      <c r="D3864" s="5"/>
      <c r="E3864" s="7"/>
      <c r="F3864" s="5"/>
      <c r="G3864" s="5"/>
      <c r="H3864" s="5"/>
      <c r="I3864" s="5"/>
      <c r="J3864" s="5"/>
      <c r="K3864" s="5"/>
      <c r="L3864" s="54"/>
      <c r="M3864" s="5"/>
      <c r="N3864" s="53"/>
      <c r="Q3864" s="5"/>
      <c r="R3864" s="5"/>
      <c r="S3864" s="5"/>
      <c r="T3864" s="5"/>
      <c r="U3864" s="5"/>
      <c r="V3864" s="5"/>
    </row>
    <row r="3865" ht="12.75" customHeight="1">
      <c r="A3865" s="5"/>
      <c r="B3865" s="5"/>
      <c r="C3865" s="5"/>
      <c r="D3865" s="5"/>
      <c r="E3865" s="7"/>
      <c r="F3865" s="5"/>
      <c r="G3865" s="5"/>
      <c r="H3865" s="5"/>
      <c r="I3865" s="5"/>
      <c r="J3865" s="5"/>
      <c r="K3865" s="5"/>
      <c r="L3865" s="54"/>
      <c r="M3865" s="5"/>
      <c r="N3865" s="53"/>
      <c r="Q3865" s="5"/>
      <c r="R3865" s="5"/>
      <c r="S3865" s="5"/>
      <c r="T3865" s="5"/>
      <c r="U3865" s="5"/>
      <c r="V3865" s="5"/>
    </row>
    <row r="3866" ht="12.75" customHeight="1">
      <c r="A3866" s="5"/>
      <c r="B3866" s="5"/>
      <c r="C3866" s="5"/>
      <c r="D3866" s="5"/>
      <c r="E3866" s="7"/>
      <c r="F3866" s="5"/>
      <c r="G3866" s="5"/>
      <c r="H3866" s="5"/>
      <c r="I3866" s="5"/>
      <c r="J3866" s="5"/>
      <c r="K3866" s="5"/>
      <c r="L3866" s="54"/>
      <c r="M3866" s="5"/>
      <c r="N3866" s="53"/>
      <c r="Q3866" s="5"/>
      <c r="R3866" s="5"/>
      <c r="S3866" s="5"/>
      <c r="T3866" s="5"/>
      <c r="U3866" s="5"/>
      <c r="V3866" s="5"/>
    </row>
    <row r="3867" ht="12.75" customHeight="1">
      <c r="A3867" s="5"/>
      <c r="B3867" s="5"/>
      <c r="C3867" s="5"/>
      <c r="D3867" s="5"/>
      <c r="E3867" s="7"/>
      <c r="F3867" s="5"/>
      <c r="G3867" s="5"/>
      <c r="H3867" s="5"/>
      <c r="I3867" s="5"/>
      <c r="J3867" s="5"/>
      <c r="K3867" s="5"/>
      <c r="L3867" s="54"/>
      <c r="M3867" s="5"/>
      <c r="N3867" s="53"/>
      <c r="Q3867" s="5"/>
      <c r="R3867" s="5"/>
      <c r="S3867" s="5"/>
      <c r="T3867" s="5"/>
      <c r="U3867" s="5"/>
      <c r="V3867" s="5"/>
    </row>
    <row r="3868" ht="12.75" customHeight="1">
      <c r="A3868" s="5"/>
      <c r="B3868" s="5"/>
      <c r="C3868" s="5"/>
      <c r="D3868" s="5"/>
      <c r="E3868" s="7"/>
      <c r="F3868" s="5"/>
      <c r="G3868" s="5"/>
      <c r="H3868" s="5"/>
      <c r="I3868" s="5"/>
      <c r="J3868" s="5"/>
      <c r="K3868" s="5"/>
      <c r="L3868" s="54"/>
      <c r="M3868" s="5"/>
      <c r="N3868" s="53"/>
      <c r="Q3868" s="5"/>
      <c r="R3868" s="5"/>
      <c r="S3868" s="5"/>
      <c r="T3868" s="5"/>
      <c r="U3868" s="5"/>
      <c r="V3868" s="5"/>
    </row>
    <row r="3869" ht="12.75" customHeight="1">
      <c r="A3869" s="5"/>
      <c r="B3869" s="5"/>
      <c r="C3869" s="5"/>
      <c r="D3869" s="5"/>
      <c r="E3869" s="7"/>
      <c r="F3869" s="5"/>
      <c r="G3869" s="5"/>
      <c r="H3869" s="5"/>
      <c r="I3869" s="5"/>
      <c r="J3869" s="5"/>
      <c r="K3869" s="5"/>
      <c r="L3869" s="54"/>
      <c r="M3869" s="5"/>
      <c r="N3869" s="53"/>
      <c r="Q3869" s="5"/>
      <c r="R3869" s="5"/>
      <c r="S3869" s="5"/>
      <c r="T3869" s="5"/>
      <c r="U3869" s="5"/>
      <c r="V3869" s="5"/>
    </row>
    <row r="3870" ht="12.75" customHeight="1">
      <c r="A3870" s="5"/>
      <c r="B3870" s="5"/>
      <c r="C3870" s="5"/>
      <c r="D3870" s="5"/>
      <c r="E3870" s="7"/>
      <c r="F3870" s="5"/>
      <c r="G3870" s="5"/>
      <c r="H3870" s="5"/>
      <c r="I3870" s="5"/>
      <c r="J3870" s="5"/>
      <c r="K3870" s="5"/>
      <c r="L3870" s="54"/>
      <c r="M3870" s="5"/>
      <c r="N3870" s="53"/>
      <c r="Q3870" s="5"/>
      <c r="R3870" s="5"/>
      <c r="S3870" s="5"/>
      <c r="T3870" s="5"/>
      <c r="U3870" s="5"/>
      <c r="V3870" s="5"/>
    </row>
    <row r="3871" ht="12.75" customHeight="1">
      <c r="A3871" s="5"/>
      <c r="B3871" s="5"/>
      <c r="C3871" s="5"/>
      <c r="D3871" s="5"/>
      <c r="E3871" s="7"/>
      <c r="F3871" s="5"/>
      <c r="G3871" s="5"/>
      <c r="H3871" s="5"/>
      <c r="I3871" s="5"/>
      <c r="J3871" s="5"/>
      <c r="K3871" s="5"/>
      <c r="L3871" s="54"/>
      <c r="M3871" s="5"/>
      <c r="N3871" s="53"/>
      <c r="Q3871" s="5"/>
      <c r="R3871" s="5"/>
      <c r="S3871" s="5"/>
      <c r="T3871" s="5"/>
      <c r="U3871" s="5"/>
      <c r="V3871" s="5"/>
    </row>
    <row r="3872" ht="12.75" customHeight="1">
      <c r="A3872" s="5"/>
      <c r="B3872" s="5"/>
      <c r="C3872" s="5"/>
      <c r="D3872" s="5"/>
      <c r="E3872" s="7"/>
      <c r="F3872" s="5"/>
      <c r="G3872" s="5"/>
      <c r="H3872" s="5"/>
      <c r="I3872" s="5"/>
      <c r="J3872" s="5"/>
      <c r="K3872" s="5"/>
      <c r="L3872" s="54"/>
      <c r="M3872" s="5"/>
      <c r="N3872" s="53"/>
      <c r="Q3872" s="5"/>
      <c r="R3872" s="5"/>
      <c r="S3872" s="5"/>
      <c r="T3872" s="5"/>
      <c r="U3872" s="5"/>
      <c r="V3872" s="5"/>
    </row>
    <row r="3873" ht="12.75" customHeight="1">
      <c r="A3873" s="5"/>
      <c r="B3873" s="5"/>
      <c r="C3873" s="5"/>
      <c r="D3873" s="5"/>
      <c r="E3873" s="7"/>
      <c r="F3873" s="5"/>
      <c r="G3873" s="5"/>
      <c r="H3873" s="5"/>
      <c r="I3873" s="5"/>
      <c r="J3873" s="5"/>
      <c r="K3873" s="5"/>
      <c r="L3873" s="54"/>
      <c r="M3873" s="5"/>
      <c r="N3873" s="53"/>
      <c r="Q3873" s="5"/>
      <c r="R3873" s="5"/>
      <c r="S3873" s="5"/>
      <c r="T3873" s="5"/>
      <c r="U3873" s="5"/>
      <c r="V3873" s="5"/>
    </row>
    <row r="3874" ht="12.75" customHeight="1">
      <c r="A3874" s="5"/>
      <c r="B3874" s="5"/>
      <c r="C3874" s="5"/>
      <c r="D3874" s="5"/>
      <c r="E3874" s="7"/>
      <c r="F3874" s="5"/>
      <c r="G3874" s="5"/>
      <c r="H3874" s="5"/>
      <c r="I3874" s="5"/>
      <c r="J3874" s="5"/>
      <c r="K3874" s="5"/>
      <c r="L3874" s="54"/>
      <c r="M3874" s="5"/>
      <c r="N3874" s="53"/>
      <c r="Q3874" s="5"/>
      <c r="R3874" s="5"/>
      <c r="S3874" s="5"/>
      <c r="T3874" s="5"/>
      <c r="U3874" s="5"/>
      <c r="V3874" s="5"/>
    </row>
    <row r="3875" ht="12.75" customHeight="1">
      <c r="A3875" s="5"/>
      <c r="B3875" s="5"/>
      <c r="C3875" s="5"/>
      <c r="D3875" s="5"/>
      <c r="E3875" s="7"/>
      <c r="F3875" s="5"/>
      <c r="G3875" s="5"/>
      <c r="H3875" s="5"/>
      <c r="I3875" s="5"/>
      <c r="J3875" s="5"/>
      <c r="K3875" s="5"/>
      <c r="L3875" s="54"/>
      <c r="M3875" s="5"/>
      <c r="N3875" s="53"/>
      <c r="Q3875" s="5"/>
      <c r="R3875" s="5"/>
      <c r="S3875" s="5"/>
      <c r="T3875" s="5"/>
      <c r="U3875" s="5"/>
      <c r="V3875" s="5"/>
    </row>
    <row r="3876" ht="12.75" customHeight="1">
      <c r="A3876" s="5"/>
      <c r="B3876" s="5"/>
      <c r="C3876" s="5"/>
      <c r="D3876" s="5"/>
      <c r="E3876" s="7"/>
      <c r="F3876" s="5"/>
      <c r="G3876" s="5"/>
      <c r="H3876" s="5"/>
      <c r="I3876" s="5"/>
      <c r="J3876" s="5"/>
      <c r="K3876" s="5"/>
      <c r="L3876" s="54"/>
      <c r="M3876" s="5"/>
      <c r="N3876" s="53"/>
      <c r="Q3876" s="5"/>
      <c r="R3876" s="5"/>
      <c r="S3876" s="5"/>
      <c r="T3876" s="5"/>
      <c r="U3876" s="5"/>
      <c r="V3876" s="5"/>
    </row>
    <row r="3877" ht="12.75" customHeight="1">
      <c r="A3877" s="5"/>
      <c r="B3877" s="5"/>
      <c r="C3877" s="5"/>
      <c r="D3877" s="5"/>
      <c r="E3877" s="7"/>
      <c r="F3877" s="5"/>
      <c r="G3877" s="5"/>
      <c r="H3877" s="5"/>
      <c r="I3877" s="5"/>
      <c r="J3877" s="5"/>
      <c r="K3877" s="5"/>
      <c r="L3877" s="54"/>
      <c r="M3877" s="5"/>
      <c r="N3877" s="53"/>
      <c r="Q3877" s="5"/>
      <c r="R3877" s="5"/>
      <c r="S3877" s="5"/>
      <c r="T3877" s="5"/>
      <c r="U3877" s="5"/>
      <c r="V3877" s="5"/>
    </row>
    <row r="3878" ht="12.75" customHeight="1">
      <c r="A3878" s="5"/>
      <c r="B3878" s="5"/>
      <c r="C3878" s="5"/>
      <c r="D3878" s="5"/>
      <c r="E3878" s="7"/>
      <c r="F3878" s="5"/>
      <c r="G3878" s="5"/>
      <c r="H3878" s="5"/>
      <c r="I3878" s="5"/>
      <c r="J3878" s="5"/>
      <c r="K3878" s="5"/>
      <c r="L3878" s="54"/>
      <c r="M3878" s="5"/>
      <c r="N3878" s="53"/>
      <c r="Q3878" s="5"/>
      <c r="R3878" s="5"/>
      <c r="S3878" s="5"/>
      <c r="T3878" s="5"/>
      <c r="U3878" s="5"/>
      <c r="V3878" s="5"/>
    </row>
    <row r="3879" ht="12.75" customHeight="1">
      <c r="A3879" s="5"/>
      <c r="B3879" s="5"/>
      <c r="C3879" s="5"/>
      <c r="D3879" s="5"/>
      <c r="E3879" s="7"/>
      <c r="F3879" s="5"/>
      <c r="G3879" s="5"/>
      <c r="H3879" s="5"/>
      <c r="I3879" s="5"/>
      <c r="J3879" s="5"/>
      <c r="K3879" s="5"/>
      <c r="L3879" s="54"/>
      <c r="M3879" s="5"/>
      <c r="N3879" s="53"/>
      <c r="Q3879" s="5"/>
      <c r="R3879" s="5"/>
      <c r="S3879" s="5"/>
      <c r="T3879" s="5"/>
      <c r="U3879" s="5"/>
      <c r="V3879" s="5"/>
    </row>
    <row r="3880" ht="12.75" customHeight="1">
      <c r="A3880" s="5"/>
      <c r="B3880" s="5"/>
      <c r="C3880" s="5"/>
      <c r="D3880" s="5"/>
      <c r="E3880" s="7"/>
      <c r="F3880" s="5"/>
      <c r="G3880" s="5"/>
      <c r="H3880" s="5"/>
      <c r="I3880" s="5"/>
      <c r="J3880" s="5"/>
      <c r="K3880" s="5"/>
      <c r="L3880" s="54"/>
      <c r="M3880" s="5"/>
      <c r="N3880" s="53"/>
      <c r="Q3880" s="5"/>
      <c r="R3880" s="5"/>
      <c r="S3880" s="5"/>
      <c r="T3880" s="5"/>
      <c r="U3880" s="5"/>
      <c r="V3880" s="5"/>
    </row>
    <row r="3881" ht="12.75" customHeight="1">
      <c r="A3881" s="5"/>
      <c r="B3881" s="5"/>
      <c r="C3881" s="5"/>
      <c r="D3881" s="5"/>
      <c r="E3881" s="7"/>
      <c r="F3881" s="5"/>
      <c r="G3881" s="5"/>
      <c r="H3881" s="5"/>
      <c r="I3881" s="5"/>
      <c r="J3881" s="5"/>
      <c r="K3881" s="5"/>
      <c r="L3881" s="54"/>
      <c r="M3881" s="5"/>
      <c r="N3881" s="53"/>
      <c r="Q3881" s="5"/>
      <c r="R3881" s="5"/>
      <c r="S3881" s="5"/>
      <c r="T3881" s="5"/>
      <c r="U3881" s="5"/>
      <c r="V3881" s="5"/>
    </row>
    <row r="3882" ht="12.75" customHeight="1">
      <c r="A3882" s="5"/>
      <c r="B3882" s="5"/>
      <c r="C3882" s="5"/>
      <c r="D3882" s="5"/>
      <c r="E3882" s="7"/>
      <c r="F3882" s="5"/>
      <c r="G3882" s="5"/>
      <c r="H3882" s="5"/>
      <c r="I3882" s="5"/>
      <c r="J3882" s="5"/>
      <c r="K3882" s="5"/>
      <c r="L3882" s="54"/>
      <c r="M3882" s="5"/>
      <c r="N3882" s="53"/>
      <c r="Q3882" s="5"/>
      <c r="R3882" s="5"/>
      <c r="S3882" s="5"/>
      <c r="T3882" s="5"/>
      <c r="U3882" s="5"/>
      <c r="V3882" s="5"/>
    </row>
    <row r="3883" ht="12.75" customHeight="1">
      <c r="A3883" s="5"/>
      <c r="B3883" s="5"/>
      <c r="C3883" s="5"/>
      <c r="D3883" s="5"/>
      <c r="E3883" s="7"/>
      <c r="F3883" s="5"/>
      <c r="G3883" s="5"/>
      <c r="H3883" s="5"/>
      <c r="I3883" s="5"/>
      <c r="J3883" s="5"/>
      <c r="K3883" s="5"/>
      <c r="L3883" s="54"/>
      <c r="M3883" s="5"/>
      <c r="N3883" s="53"/>
      <c r="Q3883" s="5"/>
      <c r="R3883" s="5"/>
      <c r="S3883" s="5"/>
      <c r="T3883" s="5"/>
      <c r="U3883" s="5"/>
      <c r="V3883" s="5"/>
    </row>
    <row r="3884" ht="12.75" customHeight="1">
      <c r="A3884" s="5"/>
      <c r="B3884" s="5"/>
      <c r="C3884" s="5"/>
      <c r="D3884" s="5"/>
      <c r="E3884" s="7"/>
      <c r="F3884" s="5"/>
      <c r="G3884" s="5"/>
      <c r="H3884" s="5"/>
      <c r="I3884" s="5"/>
      <c r="J3884" s="5"/>
      <c r="K3884" s="5"/>
      <c r="L3884" s="54"/>
      <c r="M3884" s="5"/>
      <c r="N3884" s="53"/>
      <c r="Q3884" s="5"/>
      <c r="R3884" s="5"/>
      <c r="S3884" s="5"/>
      <c r="T3884" s="5"/>
      <c r="U3884" s="5"/>
      <c r="V3884" s="5"/>
    </row>
    <row r="3885" ht="12.75" customHeight="1">
      <c r="A3885" s="5"/>
      <c r="B3885" s="5"/>
      <c r="C3885" s="5"/>
      <c r="D3885" s="5"/>
      <c r="E3885" s="7"/>
      <c r="F3885" s="5"/>
      <c r="G3885" s="5"/>
      <c r="H3885" s="5"/>
      <c r="I3885" s="5"/>
      <c r="J3885" s="5"/>
      <c r="K3885" s="5"/>
      <c r="L3885" s="54"/>
      <c r="M3885" s="5"/>
      <c r="N3885" s="53"/>
      <c r="Q3885" s="5"/>
      <c r="R3885" s="5"/>
      <c r="S3885" s="5"/>
      <c r="T3885" s="5"/>
      <c r="U3885" s="5"/>
      <c r="V3885" s="5"/>
    </row>
    <row r="3886" ht="12.75" customHeight="1">
      <c r="A3886" s="5"/>
      <c r="B3886" s="5"/>
      <c r="C3886" s="5"/>
      <c r="D3886" s="5"/>
      <c r="E3886" s="7"/>
      <c r="F3886" s="5"/>
      <c r="G3886" s="5"/>
      <c r="H3886" s="5"/>
      <c r="I3886" s="5"/>
      <c r="J3886" s="5"/>
      <c r="K3886" s="5"/>
      <c r="L3886" s="54"/>
      <c r="M3886" s="5"/>
      <c r="N3886" s="53"/>
      <c r="Q3886" s="5"/>
      <c r="R3886" s="5"/>
      <c r="S3886" s="5"/>
      <c r="T3886" s="5"/>
      <c r="U3886" s="5"/>
      <c r="V3886" s="5"/>
    </row>
    <row r="3887" ht="12.75" customHeight="1">
      <c r="A3887" s="5"/>
      <c r="B3887" s="5"/>
      <c r="C3887" s="5"/>
      <c r="D3887" s="5"/>
      <c r="E3887" s="7"/>
      <c r="F3887" s="5"/>
      <c r="G3887" s="5"/>
      <c r="H3887" s="5"/>
      <c r="I3887" s="5"/>
      <c r="J3887" s="5"/>
      <c r="K3887" s="5"/>
      <c r="L3887" s="54"/>
      <c r="M3887" s="5"/>
      <c r="N3887" s="53"/>
      <c r="Q3887" s="5"/>
      <c r="R3887" s="5"/>
      <c r="S3887" s="5"/>
      <c r="T3887" s="5"/>
      <c r="U3887" s="5"/>
      <c r="V3887" s="5"/>
    </row>
    <row r="3888" ht="12.75" customHeight="1">
      <c r="A3888" s="5"/>
      <c r="B3888" s="5"/>
      <c r="C3888" s="5"/>
      <c r="D3888" s="5"/>
      <c r="E3888" s="7"/>
      <c r="F3888" s="5"/>
      <c r="G3888" s="5"/>
      <c r="H3888" s="5"/>
      <c r="I3888" s="5"/>
      <c r="J3888" s="5"/>
      <c r="K3888" s="5"/>
      <c r="L3888" s="54"/>
      <c r="M3888" s="5"/>
      <c r="N3888" s="53"/>
      <c r="Q3888" s="5"/>
      <c r="R3888" s="5"/>
      <c r="S3888" s="5"/>
      <c r="T3888" s="5"/>
      <c r="U3888" s="5"/>
      <c r="V3888" s="5"/>
    </row>
    <row r="3889" ht="12.75" customHeight="1">
      <c r="A3889" s="5"/>
      <c r="B3889" s="5"/>
      <c r="C3889" s="5"/>
      <c r="D3889" s="5"/>
      <c r="E3889" s="7"/>
      <c r="F3889" s="5"/>
      <c r="G3889" s="5"/>
      <c r="H3889" s="5"/>
      <c r="I3889" s="5"/>
      <c r="J3889" s="5"/>
      <c r="K3889" s="5"/>
      <c r="L3889" s="54"/>
      <c r="M3889" s="5"/>
      <c r="N3889" s="53"/>
      <c r="Q3889" s="5"/>
      <c r="R3889" s="5"/>
      <c r="S3889" s="5"/>
      <c r="T3889" s="5"/>
      <c r="U3889" s="5"/>
      <c r="V3889" s="5"/>
    </row>
    <row r="3890" ht="12.75" customHeight="1">
      <c r="A3890" s="5"/>
      <c r="B3890" s="5"/>
      <c r="C3890" s="5"/>
      <c r="D3890" s="5"/>
      <c r="E3890" s="7"/>
      <c r="F3890" s="5"/>
      <c r="G3890" s="5"/>
      <c r="H3890" s="5"/>
      <c r="I3890" s="5"/>
      <c r="J3890" s="5"/>
      <c r="K3890" s="5"/>
      <c r="L3890" s="54"/>
      <c r="M3890" s="5"/>
      <c r="N3890" s="53"/>
      <c r="Q3890" s="5"/>
      <c r="R3890" s="5"/>
      <c r="S3890" s="5"/>
      <c r="T3890" s="5"/>
      <c r="U3890" s="5"/>
      <c r="V3890" s="5"/>
    </row>
    <row r="3891" ht="12.75" customHeight="1">
      <c r="A3891" s="5"/>
      <c r="B3891" s="5"/>
      <c r="C3891" s="5"/>
      <c r="D3891" s="5"/>
      <c r="E3891" s="7"/>
      <c r="F3891" s="5"/>
      <c r="G3891" s="5"/>
      <c r="H3891" s="5"/>
      <c r="I3891" s="5"/>
      <c r="J3891" s="5"/>
      <c r="K3891" s="5"/>
      <c r="L3891" s="54"/>
      <c r="M3891" s="5"/>
      <c r="N3891" s="53"/>
      <c r="Q3891" s="5"/>
      <c r="R3891" s="5"/>
      <c r="S3891" s="5"/>
      <c r="T3891" s="5"/>
      <c r="U3891" s="5"/>
      <c r="V3891" s="5"/>
    </row>
    <row r="3892" ht="12.75" customHeight="1">
      <c r="A3892" s="5"/>
      <c r="B3892" s="5"/>
      <c r="C3892" s="5"/>
      <c r="D3892" s="5"/>
      <c r="E3892" s="7"/>
      <c r="F3892" s="5"/>
      <c r="G3892" s="5"/>
      <c r="H3892" s="5"/>
      <c r="I3892" s="5"/>
      <c r="J3892" s="5"/>
      <c r="K3892" s="5"/>
      <c r="L3892" s="54"/>
      <c r="M3892" s="5"/>
      <c r="N3892" s="53"/>
      <c r="Q3892" s="5"/>
      <c r="R3892" s="5"/>
      <c r="S3892" s="5"/>
      <c r="T3892" s="5"/>
      <c r="U3892" s="5"/>
      <c r="V3892" s="5"/>
    </row>
    <row r="3893" ht="12.75" customHeight="1">
      <c r="A3893" s="5"/>
      <c r="B3893" s="5"/>
      <c r="C3893" s="5"/>
      <c r="D3893" s="5"/>
      <c r="E3893" s="7"/>
      <c r="F3893" s="5"/>
      <c r="G3893" s="5"/>
      <c r="H3893" s="5"/>
      <c r="I3893" s="5"/>
      <c r="J3893" s="5"/>
      <c r="K3893" s="5"/>
      <c r="L3893" s="54"/>
      <c r="M3893" s="5"/>
      <c r="N3893" s="53"/>
      <c r="Q3893" s="5"/>
      <c r="R3893" s="5"/>
      <c r="S3893" s="5"/>
      <c r="T3893" s="5"/>
      <c r="U3893" s="5"/>
      <c r="V3893" s="5"/>
    </row>
    <row r="3894" ht="12.75" customHeight="1">
      <c r="A3894" s="5"/>
      <c r="B3894" s="5"/>
      <c r="C3894" s="5"/>
      <c r="D3894" s="5"/>
      <c r="E3894" s="7"/>
      <c r="F3894" s="5"/>
      <c r="G3894" s="5"/>
      <c r="H3894" s="5"/>
      <c r="I3894" s="5"/>
      <c r="J3894" s="5"/>
      <c r="K3894" s="5"/>
      <c r="L3894" s="54"/>
      <c r="M3894" s="5"/>
      <c r="N3894" s="53"/>
      <c r="Q3894" s="5"/>
      <c r="R3894" s="5"/>
      <c r="S3894" s="5"/>
      <c r="T3894" s="5"/>
      <c r="U3894" s="5"/>
      <c r="V3894" s="5"/>
    </row>
    <row r="3895" ht="12.75" customHeight="1">
      <c r="A3895" s="5"/>
      <c r="B3895" s="5"/>
      <c r="C3895" s="5"/>
      <c r="D3895" s="5"/>
      <c r="E3895" s="7"/>
      <c r="F3895" s="5"/>
      <c r="G3895" s="5"/>
      <c r="H3895" s="5"/>
      <c r="I3895" s="5"/>
      <c r="J3895" s="5"/>
      <c r="K3895" s="5"/>
      <c r="L3895" s="54"/>
      <c r="M3895" s="5"/>
      <c r="N3895" s="53"/>
      <c r="Q3895" s="5"/>
      <c r="R3895" s="5"/>
      <c r="S3895" s="5"/>
      <c r="T3895" s="5"/>
      <c r="U3895" s="5"/>
      <c r="V3895" s="5"/>
    </row>
    <row r="3896" ht="12.75" customHeight="1">
      <c r="A3896" s="5"/>
      <c r="B3896" s="5"/>
      <c r="C3896" s="5"/>
      <c r="D3896" s="5"/>
      <c r="E3896" s="7"/>
      <c r="F3896" s="5"/>
      <c r="G3896" s="5"/>
      <c r="H3896" s="5"/>
      <c r="I3896" s="5"/>
      <c r="J3896" s="5"/>
      <c r="K3896" s="5"/>
      <c r="L3896" s="54"/>
      <c r="M3896" s="5"/>
      <c r="N3896" s="53"/>
      <c r="Q3896" s="5"/>
      <c r="R3896" s="5"/>
      <c r="S3896" s="5"/>
      <c r="T3896" s="5"/>
      <c r="U3896" s="5"/>
      <c r="V3896" s="5"/>
    </row>
    <row r="3897" ht="12.75" customHeight="1">
      <c r="A3897" s="5"/>
      <c r="B3897" s="5"/>
      <c r="C3897" s="5"/>
      <c r="D3897" s="5"/>
      <c r="E3897" s="7"/>
      <c r="F3897" s="5"/>
      <c r="G3897" s="5"/>
      <c r="H3897" s="5"/>
      <c r="I3897" s="5"/>
      <c r="J3897" s="5"/>
      <c r="K3897" s="5"/>
      <c r="L3897" s="54"/>
      <c r="M3897" s="5"/>
      <c r="N3897" s="53"/>
      <c r="Q3897" s="5"/>
      <c r="R3897" s="5"/>
      <c r="S3897" s="5"/>
      <c r="T3897" s="5"/>
      <c r="U3897" s="5"/>
      <c r="V3897" s="5"/>
    </row>
    <row r="3898" ht="12.75" customHeight="1">
      <c r="A3898" s="5"/>
      <c r="B3898" s="5"/>
      <c r="C3898" s="5"/>
      <c r="D3898" s="5"/>
      <c r="E3898" s="7"/>
      <c r="F3898" s="5"/>
      <c r="G3898" s="5"/>
      <c r="H3898" s="5"/>
      <c r="I3898" s="5"/>
      <c r="J3898" s="5"/>
      <c r="K3898" s="5"/>
      <c r="L3898" s="54"/>
      <c r="M3898" s="5"/>
      <c r="N3898" s="53"/>
      <c r="Q3898" s="5"/>
      <c r="R3898" s="5"/>
      <c r="S3898" s="5"/>
      <c r="T3898" s="5"/>
      <c r="U3898" s="5"/>
      <c r="V3898" s="5"/>
    </row>
    <row r="3899" ht="12.75" customHeight="1">
      <c r="A3899" s="5"/>
      <c r="B3899" s="5"/>
      <c r="C3899" s="5"/>
      <c r="D3899" s="5"/>
      <c r="E3899" s="7"/>
      <c r="F3899" s="5"/>
      <c r="G3899" s="5"/>
      <c r="H3899" s="5"/>
      <c r="I3899" s="5"/>
      <c r="J3899" s="5"/>
      <c r="K3899" s="5"/>
      <c r="L3899" s="54"/>
      <c r="M3899" s="5"/>
      <c r="N3899" s="53"/>
      <c r="Q3899" s="5"/>
      <c r="R3899" s="5"/>
      <c r="S3899" s="5"/>
      <c r="T3899" s="5"/>
      <c r="U3899" s="5"/>
      <c r="V3899" s="5"/>
    </row>
    <row r="3900" ht="12.75" customHeight="1">
      <c r="A3900" s="5"/>
      <c r="B3900" s="5"/>
      <c r="C3900" s="5"/>
      <c r="D3900" s="5"/>
      <c r="E3900" s="7"/>
      <c r="F3900" s="5"/>
      <c r="G3900" s="5"/>
      <c r="H3900" s="5"/>
      <c r="I3900" s="5"/>
      <c r="J3900" s="5"/>
      <c r="K3900" s="5"/>
      <c r="L3900" s="54"/>
      <c r="M3900" s="5"/>
      <c r="N3900" s="53"/>
      <c r="Q3900" s="5"/>
      <c r="R3900" s="5"/>
      <c r="S3900" s="5"/>
      <c r="T3900" s="5"/>
      <c r="U3900" s="5"/>
      <c r="V3900" s="5"/>
    </row>
    <row r="3901" ht="12.75" customHeight="1">
      <c r="A3901" s="5"/>
      <c r="B3901" s="5"/>
      <c r="C3901" s="5"/>
      <c r="D3901" s="5"/>
      <c r="E3901" s="7"/>
      <c r="F3901" s="5"/>
      <c r="G3901" s="5"/>
      <c r="H3901" s="5"/>
      <c r="I3901" s="5"/>
      <c r="J3901" s="5"/>
      <c r="K3901" s="5"/>
      <c r="L3901" s="54"/>
      <c r="M3901" s="5"/>
      <c r="N3901" s="53"/>
      <c r="Q3901" s="5"/>
      <c r="R3901" s="5"/>
      <c r="S3901" s="5"/>
      <c r="T3901" s="5"/>
      <c r="U3901" s="5"/>
      <c r="V3901" s="5"/>
    </row>
    <row r="3902" ht="12.75" customHeight="1">
      <c r="A3902" s="5"/>
      <c r="B3902" s="5"/>
      <c r="C3902" s="5"/>
      <c r="D3902" s="5"/>
      <c r="E3902" s="7"/>
      <c r="F3902" s="5"/>
      <c r="G3902" s="5"/>
      <c r="H3902" s="5"/>
      <c r="I3902" s="5"/>
      <c r="J3902" s="5"/>
      <c r="K3902" s="5"/>
      <c r="L3902" s="54"/>
      <c r="M3902" s="5"/>
      <c r="N3902" s="53"/>
      <c r="Q3902" s="5"/>
      <c r="R3902" s="5"/>
      <c r="S3902" s="5"/>
      <c r="T3902" s="5"/>
      <c r="U3902" s="5"/>
      <c r="V3902" s="5"/>
    </row>
    <row r="3903" ht="12.75" customHeight="1">
      <c r="A3903" s="5"/>
      <c r="B3903" s="5"/>
      <c r="C3903" s="5"/>
      <c r="D3903" s="5"/>
      <c r="E3903" s="7"/>
      <c r="F3903" s="5"/>
      <c r="G3903" s="5"/>
      <c r="H3903" s="5"/>
      <c r="I3903" s="5"/>
      <c r="J3903" s="5"/>
      <c r="K3903" s="5"/>
      <c r="L3903" s="54"/>
      <c r="M3903" s="5"/>
      <c r="N3903" s="53"/>
      <c r="Q3903" s="5"/>
      <c r="R3903" s="5"/>
      <c r="S3903" s="5"/>
      <c r="T3903" s="5"/>
      <c r="U3903" s="5"/>
      <c r="V3903" s="5"/>
    </row>
    <row r="3904" ht="12.75" customHeight="1">
      <c r="A3904" s="5"/>
      <c r="B3904" s="5"/>
      <c r="C3904" s="5"/>
      <c r="D3904" s="5"/>
      <c r="E3904" s="7"/>
      <c r="F3904" s="5"/>
      <c r="G3904" s="5"/>
      <c r="H3904" s="5"/>
      <c r="I3904" s="5"/>
      <c r="J3904" s="5"/>
      <c r="K3904" s="5"/>
      <c r="L3904" s="54"/>
      <c r="M3904" s="5"/>
      <c r="N3904" s="53"/>
      <c r="Q3904" s="5"/>
      <c r="R3904" s="5"/>
      <c r="S3904" s="5"/>
      <c r="T3904" s="5"/>
      <c r="U3904" s="5"/>
      <c r="V3904" s="5"/>
    </row>
    <row r="3905" ht="12.75" customHeight="1">
      <c r="A3905" s="5"/>
      <c r="B3905" s="5"/>
      <c r="C3905" s="5"/>
      <c r="D3905" s="5"/>
      <c r="E3905" s="7"/>
      <c r="F3905" s="5"/>
      <c r="G3905" s="5"/>
      <c r="H3905" s="5"/>
      <c r="I3905" s="5"/>
      <c r="J3905" s="5"/>
      <c r="K3905" s="5"/>
      <c r="L3905" s="54"/>
      <c r="M3905" s="5"/>
      <c r="N3905" s="53"/>
      <c r="Q3905" s="5"/>
      <c r="R3905" s="5"/>
      <c r="S3905" s="5"/>
      <c r="T3905" s="5"/>
      <c r="U3905" s="5"/>
      <c r="V3905" s="5"/>
    </row>
    <row r="3906" ht="12.75" customHeight="1">
      <c r="A3906" s="5"/>
      <c r="B3906" s="5"/>
      <c r="C3906" s="5"/>
      <c r="D3906" s="5"/>
      <c r="E3906" s="7"/>
      <c r="F3906" s="5"/>
      <c r="G3906" s="5"/>
      <c r="H3906" s="5"/>
      <c r="I3906" s="5"/>
      <c r="J3906" s="5"/>
      <c r="K3906" s="5"/>
      <c r="L3906" s="54"/>
      <c r="M3906" s="5"/>
      <c r="N3906" s="53"/>
      <c r="Q3906" s="5"/>
      <c r="R3906" s="5"/>
      <c r="S3906" s="5"/>
      <c r="T3906" s="5"/>
      <c r="U3906" s="5"/>
      <c r="V3906" s="5"/>
    </row>
    <row r="3907" ht="12.75" customHeight="1">
      <c r="A3907" s="5"/>
      <c r="B3907" s="5"/>
      <c r="C3907" s="5"/>
      <c r="D3907" s="5"/>
      <c r="E3907" s="7"/>
      <c r="F3907" s="5"/>
      <c r="G3907" s="5"/>
      <c r="H3907" s="5"/>
      <c r="I3907" s="5"/>
      <c r="J3907" s="5"/>
      <c r="K3907" s="5"/>
      <c r="L3907" s="54"/>
      <c r="M3907" s="5"/>
      <c r="N3907" s="53"/>
      <c r="Q3907" s="5"/>
      <c r="R3907" s="5"/>
      <c r="S3907" s="5"/>
      <c r="T3907" s="5"/>
      <c r="U3907" s="5"/>
      <c r="V3907" s="5"/>
    </row>
    <row r="3908" ht="12.75" customHeight="1">
      <c r="A3908" s="5"/>
      <c r="B3908" s="5"/>
      <c r="C3908" s="5"/>
      <c r="D3908" s="5"/>
      <c r="E3908" s="7"/>
      <c r="F3908" s="5"/>
      <c r="G3908" s="5"/>
      <c r="H3908" s="5"/>
      <c r="I3908" s="5"/>
      <c r="J3908" s="5"/>
      <c r="K3908" s="5"/>
      <c r="L3908" s="54"/>
      <c r="M3908" s="5"/>
      <c r="N3908" s="53"/>
      <c r="Q3908" s="5"/>
      <c r="R3908" s="5"/>
      <c r="S3908" s="5"/>
      <c r="T3908" s="5"/>
      <c r="U3908" s="5"/>
      <c r="V3908" s="5"/>
    </row>
    <row r="3909" ht="12.75" customHeight="1">
      <c r="A3909" s="5"/>
      <c r="B3909" s="5"/>
      <c r="C3909" s="5"/>
      <c r="D3909" s="5"/>
      <c r="E3909" s="7"/>
      <c r="F3909" s="5"/>
      <c r="G3909" s="5"/>
      <c r="H3909" s="5"/>
      <c r="I3909" s="5"/>
      <c r="J3909" s="5"/>
      <c r="K3909" s="5"/>
      <c r="L3909" s="54"/>
      <c r="M3909" s="5"/>
      <c r="N3909" s="53"/>
      <c r="Q3909" s="5"/>
      <c r="R3909" s="5"/>
      <c r="S3909" s="5"/>
      <c r="T3909" s="5"/>
      <c r="U3909" s="5"/>
      <c r="V3909" s="5"/>
    </row>
    <row r="3910" ht="12.75" customHeight="1">
      <c r="A3910" s="5"/>
      <c r="B3910" s="5"/>
      <c r="C3910" s="5"/>
      <c r="D3910" s="5"/>
      <c r="E3910" s="7"/>
      <c r="F3910" s="5"/>
      <c r="G3910" s="5"/>
      <c r="H3910" s="5"/>
      <c r="I3910" s="5"/>
      <c r="J3910" s="5"/>
      <c r="K3910" s="5"/>
      <c r="L3910" s="54"/>
      <c r="M3910" s="5"/>
      <c r="N3910" s="53"/>
      <c r="Q3910" s="5"/>
      <c r="R3910" s="5"/>
      <c r="S3910" s="5"/>
      <c r="T3910" s="5"/>
      <c r="U3910" s="5"/>
      <c r="V3910" s="5"/>
    </row>
    <row r="3911" ht="12.75" customHeight="1">
      <c r="A3911" s="5"/>
      <c r="B3911" s="5"/>
      <c r="C3911" s="5"/>
      <c r="D3911" s="5"/>
      <c r="E3911" s="7"/>
      <c r="F3911" s="5"/>
      <c r="G3911" s="5"/>
      <c r="H3911" s="5"/>
      <c r="I3911" s="5"/>
      <c r="J3911" s="5"/>
      <c r="K3911" s="5"/>
      <c r="L3911" s="54"/>
      <c r="M3911" s="5"/>
      <c r="N3911" s="53"/>
      <c r="Q3911" s="5"/>
      <c r="R3911" s="5"/>
      <c r="S3911" s="5"/>
      <c r="T3911" s="5"/>
      <c r="U3911" s="5"/>
      <c r="V3911" s="5"/>
    </row>
    <row r="3912" ht="12.75" customHeight="1">
      <c r="A3912" s="5"/>
      <c r="B3912" s="5"/>
      <c r="C3912" s="5"/>
      <c r="D3912" s="5"/>
      <c r="E3912" s="7"/>
      <c r="F3912" s="5"/>
      <c r="G3912" s="5"/>
      <c r="H3912" s="5"/>
      <c r="I3912" s="5"/>
      <c r="J3912" s="5"/>
      <c r="K3912" s="5"/>
      <c r="L3912" s="54"/>
      <c r="M3912" s="5"/>
      <c r="N3912" s="53"/>
      <c r="Q3912" s="5"/>
      <c r="R3912" s="5"/>
      <c r="S3912" s="5"/>
      <c r="T3912" s="5"/>
      <c r="U3912" s="5"/>
      <c r="V3912" s="5"/>
    </row>
    <row r="3913" ht="12.75" customHeight="1">
      <c r="A3913" s="5"/>
      <c r="B3913" s="5"/>
      <c r="C3913" s="5"/>
      <c r="D3913" s="5"/>
      <c r="E3913" s="7"/>
      <c r="F3913" s="5"/>
      <c r="G3913" s="5"/>
      <c r="H3913" s="5"/>
      <c r="I3913" s="5"/>
      <c r="J3913" s="5"/>
      <c r="K3913" s="5"/>
      <c r="L3913" s="54"/>
      <c r="M3913" s="5"/>
      <c r="N3913" s="53"/>
      <c r="Q3913" s="5"/>
      <c r="R3913" s="5"/>
      <c r="S3913" s="5"/>
      <c r="T3913" s="5"/>
      <c r="U3913" s="5"/>
      <c r="V3913" s="5"/>
    </row>
    <row r="3914" ht="12.75" customHeight="1">
      <c r="A3914" s="5"/>
      <c r="B3914" s="5"/>
      <c r="C3914" s="5"/>
      <c r="D3914" s="5"/>
      <c r="E3914" s="7"/>
      <c r="F3914" s="5"/>
      <c r="G3914" s="5"/>
      <c r="H3914" s="5"/>
      <c r="I3914" s="5"/>
      <c r="J3914" s="5"/>
      <c r="K3914" s="5"/>
      <c r="L3914" s="54"/>
      <c r="M3914" s="5"/>
      <c r="N3914" s="53"/>
      <c r="Q3914" s="5"/>
      <c r="R3914" s="5"/>
      <c r="S3914" s="5"/>
      <c r="T3914" s="5"/>
      <c r="U3914" s="5"/>
      <c r="V3914" s="5"/>
    </row>
    <row r="3915" ht="12.75" customHeight="1">
      <c r="A3915" s="5"/>
      <c r="B3915" s="5"/>
      <c r="C3915" s="5"/>
      <c r="D3915" s="5"/>
      <c r="E3915" s="7"/>
      <c r="F3915" s="5"/>
      <c r="G3915" s="5"/>
      <c r="H3915" s="5"/>
      <c r="I3915" s="5"/>
      <c r="J3915" s="5"/>
      <c r="K3915" s="5"/>
      <c r="L3915" s="54"/>
      <c r="M3915" s="5"/>
      <c r="N3915" s="53"/>
      <c r="Q3915" s="5"/>
      <c r="R3915" s="5"/>
      <c r="S3915" s="5"/>
      <c r="T3915" s="5"/>
      <c r="U3915" s="5"/>
      <c r="V3915" s="5"/>
    </row>
    <row r="3916" ht="12.75" customHeight="1">
      <c r="A3916" s="5"/>
      <c r="B3916" s="5"/>
      <c r="C3916" s="5"/>
      <c r="D3916" s="5"/>
      <c r="E3916" s="7"/>
      <c r="F3916" s="5"/>
      <c r="G3916" s="5"/>
      <c r="H3916" s="5"/>
      <c r="I3916" s="5"/>
      <c r="J3916" s="5"/>
      <c r="K3916" s="5"/>
      <c r="L3916" s="54"/>
      <c r="M3916" s="5"/>
      <c r="N3916" s="53"/>
      <c r="Q3916" s="5"/>
      <c r="R3916" s="5"/>
      <c r="S3916" s="5"/>
      <c r="T3916" s="5"/>
      <c r="U3916" s="5"/>
      <c r="V3916" s="5"/>
    </row>
    <row r="3917" ht="12.75" customHeight="1">
      <c r="A3917" s="5"/>
      <c r="B3917" s="5"/>
      <c r="C3917" s="5"/>
      <c r="D3917" s="5"/>
      <c r="E3917" s="7"/>
      <c r="F3917" s="5"/>
      <c r="G3917" s="5"/>
      <c r="H3917" s="5"/>
      <c r="I3917" s="5"/>
      <c r="J3917" s="5"/>
      <c r="K3917" s="5"/>
      <c r="L3917" s="54"/>
      <c r="M3917" s="5"/>
      <c r="N3917" s="53"/>
      <c r="Q3917" s="5"/>
      <c r="R3917" s="5"/>
      <c r="S3917" s="5"/>
      <c r="T3917" s="5"/>
      <c r="U3917" s="5"/>
      <c r="V3917" s="5"/>
    </row>
    <row r="3918" ht="12.75" customHeight="1">
      <c r="A3918" s="5"/>
      <c r="B3918" s="5"/>
      <c r="C3918" s="5"/>
      <c r="D3918" s="5"/>
      <c r="E3918" s="7"/>
      <c r="F3918" s="5"/>
      <c r="G3918" s="5"/>
      <c r="H3918" s="5"/>
      <c r="I3918" s="5"/>
      <c r="J3918" s="5"/>
      <c r="K3918" s="5"/>
      <c r="L3918" s="54"/>
      <c r="M3918" s="5"/>
      <c r="N3918" s="53"/>
      <c r="Q3918" s="5"/>
      <c r="R3918" s="5"/>
      <c r="S3918" s="5"/>
      <c r="T3918" s="5"/>
      <c r="U3918" s="5"/>
      <c r="V3918" s="5"/>
    </row>
    <row r="3919" ht="12.75" customHeight="1">
      <c r="A3919" s="5"/>
      <c r="B3919" s="5"/>
      <c r="C3919" s="5"/>
      <c r="D3919" s="5"/>
      <c r="E3919" s="7"/>
      <c r="F3919" s="5"/>
      <c r="G3919" s="5"/>
      <c r="H3919" s="5"/>
      <c r="I3919" s="5"/>
      <c r="J3919" s="5"/>
      <c r="K3919" s="5"/>
      <c r="L3919" s="54"/>
      <c r="M3919" s="5"/>
      <c r="N3919" s="53"/>
      <c r="Q3919" s="5"/>
      <c r="R3919" s="5"/>
      <c r="S3919" s="5"/>
      <c r="T3919" s="5"/>
      <c r="U3919" s="5"/>
      <c r="V3919" s="5"/>
    </row>
    <row r="3920" ht="12.75" customHeight="1">
      <c r="A3920" s="5"/>
      <c r="B3920" s="5"/>
      <c r="C3920" s="5"/>
      <c r="D3920" s="5"/>
      <c r="E3920" s="7"/>
      <c r="F3920" s="5"/>
      <c r="G3920" s="5"/>
      <c r="H3920" s="5"/>
      <c r="I3920" s="5"/>
      <c r="J3920" s="5"/>
      <c r="K3920" s="5"/>
      <c r="L3920" s="54"/>
      <c r="M3920" s="5"/>
      <c r="N3920" s="53"/>
      <c r="Q3920" s="5"/>
      <c r="R3920" s="5"/>
      <c r="S3920" s="5"/>
      <c r="T3920" s="5"/>
      <c r="U3920" s="5"/>
      <c r="V3920" s="5"/>
    </row>
    <row r="3921" ht="12.75" customHeight="1">
      <c r="A3921" s="5"/>
      <c r="B3921" s="5"/>
      <c r="C3921" s="5"/>
      <c r="D3921" s="5"/>
      <c r="E3921" s="7"/>
      <c r="F3921" s="5"/>
      <c r="G3921" s="5"/>
      <c r="H3921" s="5"/>
      <c r="I3921" s="5"/>
      <c r="J3921" s="5"/>
      <c r="K3921" s="5"/>
      <c r="L3921" s="54"/>
      <c r="M3921" s="5"/>
      <c r="N3921" s="53"/>
      <c r="Q3921" s="5"/>
      <c r="R3921" s="5"/>
      <c r="S3921" s="5"/>
      <c r="T3921" s="5"/>
      <c r="U3921" s="5"/>
      <c r="V3921" s="5"/>
    </row>
    <row r="3922" ht="12.75" customHeight="1">
      <c r="A3922" s="5"/>
      <c r="B3922" s="5"/>
      <c r="C3922" s="5"/>
      <c r="D3922" s="5"/>
      <c r="E3922" s="7"/>
      <c r="F3922" s="5"/>
      <c r="G3922" s="5"/>
      <c r="H3922" s="5"/>
      <c r="I3922" s="5"/>
      <c r="J3922" s="5"/>
      <c r="K3922" s="5"/>
      <c r="L3922" s="54"/>
      <c r="M3922" s="5"/>
      <c r="N3922" s="53"/>
      <c r="Q3922" s="5"/>
      <c r="R3922" s="5"/>
      <c r="S3922" s="5"/>
      <c r="T3922" s="5"/>
      <c r="U3922" s="5"/>
      <c r="V3922" s="5"/>
    </row>
    <row r="3923" ht="12.75" customHeight="1">
      <c r="A3923" s="5"/>
      <c r="B3923" s="5"/>
      <c r="C3923" s="5"/>
      <c r="D3923" s="5"/>
      <c r="E3923" s="7"/>
      <c r="F3923" s="5"/>
      <c r="G3923" s="5"/>
      <c r="H3923" s="5"/>
      <c r="I3923" s="5"/>
      <c r="J3923" s="5"/>
      <c r="K3923" s="5"/>
      <c r="L3923" s="54"/>
      <c r="M3923" s="5"/>
      <c r="N3923" s="53"/>
      <c r="Q3923" s="5"/>
      <c r="R3923" s="5"/>
      <c r="S3923" s="5"/>
      <c r="T3923" s="5"/>
      <c r="U3923" s="5"/>
      <c r="V3923" s="5"/>
    </row>
    <row r="3924" ht="12.75" customHeight="1">
      <c r="A3924" s="5"/>
      <c r="B3924" s="5"/>
      <c r="C3924" s="5"/>
      <c r="D3924" s="5"/>
      <c r="E3924" s="7"/>
      <c r="F3924" s="5"/>
      <c r="G3924" s="5"/>
      <c r="H3924" s="5"/>
      <c r="I3924" s="5"/>
      <c r="J3924" s="5"/>
      <c r="K3924" s="5"/>
      <c r="L3924" s="54"/>
      <c r="M3924" s="5"/>
      <c r="N3924" s="53"/>
      <c r="Q3924" s="5"/>
      <c r="R3924" s="5"/>
      <c r="S3924" s="5"/>
      <c r="T3924" s="5"/>
      <c r="U3924" s="5"/>
      <c r="V3924" s="5"/>
    </row>
    <row r="3925" ht="12.75" customHeight="1">
      <c r="A3925" s="5"/>
      <c r="B3925" s="5"/>
      <c r="C3925" s="5"/>
      <c r="D3925" s="5"/>
      <c r="E3925" s="7"/>
      <c r="F3925" s="5"/>
      <c r="G3925" s="5"/>
      <c r="H3925" s="5"/>
      <c r="I3925" s="5"/>
      <c r="J3925" s="5"/>
      <c r="K3925" s="5"/>
      <c r="L3925" s="54"/>
      <c r="M3925" s="5"/>
      <c r="N3925" s="53"/>
      <c r="Q3925" s="5"/>
      <c r="R3925" s="5"/>
      <c r="S3925" s="5"/>
      <c r="T3925" s="5"/>
      <c r="U3925" s="5"/>
      <c r="V3925" s="5"/>
    </row>
    <row r="3926" ht="12.75" customHeight="1">
      <c r="A3926" s="5"/>
      <c r="B3926" s="5"/>
      <c r="C3926" s="5"/>
      <c r="D3926" s="5"/>
      <c r="E3926" s="7"/>
      <c r="F3926" s="5"/>
      <c r="G3926" s="5"/>
      <c r="H3926" s="5"/>
      <c r="I3926" s="5"/>
      <c r="J3926" s="5"/>
      <c r="K3926" s="5"/>
      <c r="L3926" s="54"/>
      <c r="M3926" s="5"/>
      <c r="N3926" s="53"/>
      <c r="Q3926" s="5"/>
      <c r="R3926" s="5"/>
      <c r="S3926" s="5"/>
      <c r="T3926" s="5"/>
      <c r="U3926" s="5"/>
      <c r="V3926" s="5"/>
    </row>
    <row r="3927" ht="12.75" customHeight="1">
      <c r="A3927" s="5"/>
      <c r="B3927" s="5"/>
      <c r="C3927" s="5"/>
      <c r="D3927" s="5"/>
      <c r="E3927" s="7"/>
      <c r="F3927" s="5"/>
      <c r="G3927" s="5"/>
      <c r="H3927" s="5"/>
      <c r="I3927" s="5"/>
      <c r="J3927" s="5"/>
      <c r="K3927" s="5"/>
      <c r="L3927" s="54"/>
      <c r="M3927" s="5"/>
      <c r="N3927" s="53"/>
      <c r="Q3927" s="5"/>
      <c r="R3927" s="5"/>
      <c r="S3927" s="5"/>
      <c r="T3927" s="5"/>
      <c r="U3927" s="5"/>
      <c r="V3927" s="5"/>
    </row>
    <row r="3928" ht="12.75" customHeight="1">
      <c r="A3928" s="5"/>
      <c r="B3928" s="5"/>
      <c r="C3928" s="5"/>
      <c r="D3928" s="5"/>
      <c r="E3928" s="7"/>
      <c r="F3928" s="5"/>
      <c r="G3928" s="5"/>
      <c r="H3928" s="5"/>
      <c r="I3928" s="5"/>
      <c r="J3928" s="5"/>
      <c r="K3928" s="5"/>
      <c r="L3928" s="54"/>
      <c r="M3928" s="5"/>
      <c r="N3928" s="53"/>
      <c r="Q3928" s="5"/>
      <c r="R3928" s="5"/>
      <c r="S3928" s="5"/>
      <c r="T3928" s="5"/>
      <c r="U3928" s="5"/>
      <c r="V3928" s="5"/>
    </row>
    <row r="3929" ht="12.75" customHeight="1">
      <c r="A3929" s="5"/>
      <c r="B3929" s="5"/>
      <c r="C3929" s="5"/>
      <c r="D3929" s="5"/>
      <c r="E3929" s="7"/>
      <c r="F3929" s="5"/>
      <c r="G3929" s="5"/>
      <c r="H3929" s="5"/>
      <c r="I3929" s="5"/>
      <c r="J3929" s="5"/>
      <c r="K3929" s="5"/>
      <c r="L3929" s="54"/>
      <c r="M3929" s="5"/>
      <c r="N3929" s="53"/>
      <c r="Q3929" s="5"/>
      <c r="R3929" s="5"/>
      <c r="S3929" s="5"/>
      <c r="T3929" s="5"/>
      <c r="U3929" s="5"/>
      <c r="V3929" s="5"/>
    </row>
    <row r="3930" ht="12.75" customHeight="1">
      <c r="A3930" s="5"/>
      <c r="B3930" s="5"/>
      <c r="C3930" s="5"/>
      <c r="D3930" s="5"/>
      <c r="E3930" s="7"/>
      <c r="F3930" s="5"/>
      <c r="G3930" s="5"/>
      <c r="H3930" s="5"/>
      <c r="I3930" s="5"/>
      <c r="J3930" s="5"/>
      <c r="K3930" s="5"/>
      <c r="L3930" s="54"/>
      <c r="M3930" s="5"/>
      <c r="N3930" s="53"/>
      <c r="Q3930" s="5"/>
      <c r="R3930" s="5"/>
      <c r="S3930" s="5"/>
      <c r="T3930" s="5"/>
      <c r="U3930" s="5"/>
      <c r="V3930" s="5"/>
    </row>
    <row r="3931" ht="12.75" customHeight="1">
      <c r="A3931" s="5"/>
      <c r="B3931" s="5"/>
      <c r="C3931" s="5"/>
      <c r="D3931" s="5"/>
      <c r="E3931" s="7"/>
      <c r="F3931" s="5"/>
      <c r="G3931" s="5"/>
      <c r="H3931" s="5"/>
      <c r="I3931" s="5"/>
      <c r="J3931" s="5"/>
      <c r="K3931" s="5"/>
      <c r="L3931" s="54"/>
      <c r="M3931" s="5"/>
      <c r="N3931" s="53"/>
      <c r="Q3931" s="5"/>
      <c r="R3931" s="5"/>
      <c r="S3931" s="5"/>
      <c r="T3931" s="5"/>
      <c r="U3931" s="5"/>
      <c r="V3931" s="5"/>
    </row>
    <row r="3932" ht="12.75" customHeight="1">
      <c r="A3932" s="5"/>
      <c r="B3932" s="5"/>
      <c r="C3932" s="5"/>
      <c r="D3932" s="5"/>
      <c r="E3932" s="7"/>
      <c r="F3932" s="5"/>
      <c r="G3932" s="5"/>
      <c r="H3932" s="5"/>
      <c r="I3932" s="5"/>
      <c r="J3932" s="5"/>
      <c r="K3932" s="5"/>
      <c r="L3932" s="54"/>
      <c r="M3932" s="5"/>
      <c r="N3932" s="53"/>
      <c r="Q3932" s="5"/>
      <c r="R3932" s="5"/>
      <c r="S3932" s="5"/>
      <c r="T3932" s="5"/>
      <c r="U3932" s="5"/>
      <c r="V3932" s="5"/>
    </row>
    <row r="3933" ht="12.75" customHeight="1">
      <c r="A3933" s="5"/>
      <c r="B3933" s="5"/>
      <c r="C3933" s="5"/>
      <c r="D3933" s="5"/>
      <c r="E3933" s="7"/>
      <c r="F3933" s="5"/>
      <c r="G3933" s="5"/>
      <c r="H3933" s="5"/>
      <c r="I3933" s="5"/>
      <c r="J3933" s="5"/>
      <c r="K3933" s="5"/>
      <c r="L3933" s="54"/>
      <c r="M3933" s="5"/>
      <c r="N3933" s="53"/>
      <c r="Q3933" s="5"/>
      <c r="R3933" s="5"/>
      <c r="S3933" s="5"/>
      <c r="T3933" s="5"/>
      <c r="U3933" s="5"/>
      <c r="V3933" s="5"/>
    </row>
    <row r="3934" ht="12.75" customHeight="1">
      <c r="A3934" s="5"/>
      <c r="B3934" s="5"/>
      <c r="C3934" s="5"/>
      <c r="D3934" s="5"/>
      <c r="E3934" s="7"/>
      <c r="F3934" s="5"/>
      <c r="G3934" s="5"/>
      <c r="H3934" s="5"/>
      <c r="I3934" s="5"/>
      <c r="J3934" s="5"/>
      <c r="K3934" s="5"/>
      <c r="L3934" s="54"/>
      <c r="M3934" s="5"/>
      <c r="N3934" s="53"/>
      <c r="Q3934" s="5"/>
      <c r="R3934" s="5"/>
      <c r="S3934" s="5"/>
      <c r="T3934" s="5"/>
      <c r="U3934" s="5"/>
      <c r="V3934" s="5"/>
    </row>
    <row r="3935" ht="12.75" customHeight="1">
      <c r="A3935" s="5"/>
      <c r="B3935" s="5"/>
      <c r="C3935" s="5"/>
      <c r="D3935" s="5"/>
      <c r="E3935" s="7"/>
      <c r="F3935" s="5"/>
      <c r="G3935" s="5"/>
      <c r="H3935" s="5"/>
      <c r="I3935" s="5"/>
      <c r="J3935" s="5"/>
      <c r="K3935" s="5"/>
      <c r="L3935" s="54"/>
      <c r="M3935" s="5"/>
      <c r="N3935" s="53"/>
      <c r="Q3935" s="5"/>
      <c r="R3935" s="5"/>
      <c r="S3935" s="5"/>
      <c r="T3935" s="5"/>
      <c r="U3935" s="5"/>
      <c r="V3935" s="5"/>
    </row>
    <row r="3936" ht="12.75" customHeight="1">
      <c r="A3936" s="5"/>
      <c r="B3936" s="5"/>
      <c r="C3936" s="5"/>
      <c r="D3936" s="5"/>
      <c r="E3936" s="7"/>
      <c r="F3936" s="5"/>
      <c r="G3936" s="5"/>
      <c r="H3936" s="5"/>
      <c r="I3936" s="5"/>
      <c r="J3936" s="5"/>
      <c r="K3936" s="5"/>
      <c r="L3936" s="54"/>
      <c r="M3936" s="5"/>
      <c r="N3936" s="53"/>
      <c r="Q3936" s="5"/>
      <c r="R3936" s="5"/>
      <c r="S3936" s="5"/>
      <c r="T3936" s="5"/>
      <c r="U3936" s="5"/>
      <c r="V3936" s="5"/>
    </row>
    <row r="3937" ht="12.75" customHeight="1">
      <c r="A3937" s="5"/>
      <c r="B3937" s="5"/>
      <c r="C3937" s="5"/>
      <c r="D3937" s="5"/>
      <c r="E3937" s="7"/>
      <c r="F3937" s="5"/>
      <c r="G3937" s="5"/>
      <c r="H3937" s="5"/>
      <c r="I3937" s="5"/>
      <c r="J3937" s="5"/>
      <c r="K3937" s="5"/>
      <c r="L3937" s="54"/>
      <c r="M3937" s="5"/>
      <c r="N3937" s="53"/>
      <c r="Q3937" s="5"/>
      <c r="R3937" s="5"/>
      <c r="S3937" s="5"/>
      <c r="T3937" s="5"/>
      <c r="U3937" s="5"/>
      <c r="V3937" s="5"/>
    </row>
    <row r="3938" ht="12.75" customHeight="1">
      <c r="A3938" s="5"/>
      <c r="B3938" s="5"/>
      <c r="C3938" s="5"/>
      <c r="D3938" s="5"/>
      <c r="E3938" s="7"/>
      <c r="F3938" s="5"/>
      <c r="G3938" s="5"/>
      <c r="H3938" s="5"/>
      <c r="I3938" s="5"/>
      <c r="J3938" s="5"/>
      <c r="K3938" s="5"/>
      <c r="L3938" s="54"/>
      <c r="M3938" s="5"/>
      <c r="N3938" s="53"/>
      <c r="Q3938" s="5"/>
      <c r="R3938" s="5"/>
      <c r="S3938" s="5"/>
      <c r="T3938" s="5"/>
      <c r="U3938" s="5"/>
      <c r="V3938" s="5"/>
    </row>
    <row r="3939" ht="12.75" customHeight="1">
      <c r="A3939" s="5"/>
      <c r="B3939" s="5"/>
      <c r="C3939" s="5"/>
      <c r="D3939" s="5"/>
      <c r="E3939" s="7"/>
      <c r="F3939" s="5"/>
      <c r="G3939" s="5"/>
      <c r="H3939" s="5"/>
      <c r="I3939" s="5"/>
      <c r="J3939" s="5"/>
      <c r="K3939" s="5"/>
      <c r="L3939" s="54"/>
      <c r="M3939" s="5"/>
      <c r="N3939" s="53"/>
      <c r="Q3939" s="5"/>
      <c r="R3939" s="5"/>
      <c r="S3939" s="5"/>
      <c r="T3939" s="5"/>
      <c r="U3939" s="5"/>
      <c r="V3939" s="5"/>
    </row>
    <row r="3940" ht="12.75" customHeight="1">
      <c r="A3940" s="5"/>
      <c r="B3940" s="5"/>
      <c r="C3940" s="5"/>
      <c r="D3940" s="5"/>
      <c r="E3940" s="7"/>
      <c r="F3940" s="5"/>
      <c r="G3940" s="5"/>
      <c r="H3940" s="5"/>
      <c r="I3940" s="5"/>
      <c r="J3940" s="5"/>
      <c r="K3940" s="5"/>
      <c r="L3940" s="54"/>
      <c r="M3940" s="5"/>
      <c r="N3940" s="53"/>
      <c r="Q3940" s="5"/>
      <c r="R3940" s="5"/>
      <c r="S3940" s="5"/>
      <c r="T3940" s="5"/>
      <c r="U3940" s="5"/>
      <c r="V3940" s="5"/>
    </row>
    <row r="3941" ht="12.75" customHeight="1">
      <c r="A3941" s="5"/>
      <c r="B3941" s="5"/>
      <c r="C3941" s="5"/>
      <c r="D3941" s="5"/>
      <c r="E3941" s="7"/>
      <c r="F3941" s="5"/>
      <c r="G3941" s="5"/>
      <c r="H3941" s="5"/>
      <c r="I3941" s="5"/>
      <c r="J3941" s="5"/>
      <c r="K3941" s="5"/>
      <c r="L3941" s="54"/>
      <c r="M3941" s="5"/>
      <c r="N3941" s="53"/>
      <c r="Q3941" s="5"/>
      <c r="R3941" s="5"/>
      <c r="S3941" s="5"/>
      <c r="T3941" s="5"/>
      <c r="U3941" s="5"/>
      <c r="V3941" s="5"/>
    </row>
    <row r="3942" ht="12.75" customHeight="1">
      <c r="A3942" s="5"/>
      <c r="B3942" s="5"/>
      <c r="C3942" s="5"/>
      <c r="D3942" s="5"/>
      <c r="E3942" s="7"/>
      <c r="F3942" s="5"/>
      <c r="G3942" s="5"/>
      <c r="H3942" s="5"/>
      <c r="I3942" s="5"/>
      <c r="J3942" s="5"/>
      <c r="K3942" s="5"/>
      <c r="L3942" s="54"/>
      <c r="M3942" s="5"/>
      <c r="N3942" s="53"/>
      <c r="Q3942" s="5"/>
      <c r="R3942" s="5"/>
      <c r="S3942" s="5"/>
      <c r="T3942" s="5"/>
      <c r="U3942" s="5"/>
      <c r="V3942" s="5"/>
    </row>
    <row r="3943" ht="12.75" customHeight="1">
      <c r="A3943" s="5"/>
      <c r="B3943" s="5"/>
      <c r="C3943" s="5"/>
      <c r="D3943" s="5"/>
      <c r="E3943" s="7"/>
      <c r="F3943" s="5"/>
      <c r="G3943" s="5"/>
      <c r="H3943" s="5"/>
      <c r="I3943" s="5"/>
      <c r="J3943" s="5"/>
      <c r="K3943" s="5"/>
      <c r="L3943" s="54"/>
      <c r="M3943" s="5"/>
      <c r="N3943" s="53"/>
      <c r="Q3943" s="5"/>
      <c r="R3943" s="5"/>
      <c r="S3943" s="5"/>
      <c r="T3943" s="5"/>
      <c r="U3943" s="5"/>
      <c r="V3943" s="5"/>
    </row>
    <row r="3944" ht="12.75" customHeight="1">
      <c r="A3944" s="5"/>
      <c r="B3944" s="5"/>
      <c r="C3944" s="5"/>
      <c r="D3944" s="5"/>
      <c r="E3944" s="7"/>
      <c r="F3944" s="5"/>
      <c r="G3944" s="5"/>
      <c r="H3944" s="5"/>
      <c r="I3944" s="5"/>
      <c r="J3944" s="5"/>
      <c r="K3944" s="5"/>
      <c r="L3944" s="54"/>
      <c r="M3944" s="5"/>
      <c r="N3944" s="53"/>
      <c r="Q3944" s="5"/>
      <c r="R3944" s="5"/>
      <c r="S3944" s="5"/>
      <c r="T3944" s="5"/>
      <c r="U3944" s="5"/>
      <c r="V3944" s="5"/>
    </row>
    <row r="3945" ht="12.75" customHeight="1">
      <c r="A3945" s="5"/>
      <c r="B3945" s="5"/>
      <c r="C3945" s="5"/>
      <c r="D3945" s="5"/>
      <c r="E3945" s="7"/>
      <c r="F3945" s="5"/>
      <c r="G3945" s="5"/>
      <c r="H3945" s="5"/>
      <c r="I3945" s="5"/>
      <c r="J3945" s="5"/>
      <c r="K3945" s="5"/>
      <c r="L3945" s="54"/>
      <c r="M3945" s="5"/>
      <c r="N3945" s="53"/>
      <c r="Q3945" s="5"/>
      <c r="R3945" s="5"/>
      <c r="S3945" s="5"/>
      <c r="T3945" s="5"/>
      <c r="U3945" s="5"/>
      <c r="V3945" s="5"/>
    </row>
    <row r="3946" ht="12.75" customHeight="1">
      <c r="A3946" s="5"/>
      <c r="B3946" s="5"/>
      <c r="C3946" s="5"/>
      <c r="D3946" s="5"/>
      <c r="E3946" s="7"/>
      <c r="F3946" s="5"/>
      <c r="G3946" s="5"/>
      <c r="H3946" s="5"/>
      <c r="I3946" s="5"/>
      <c r="J3946" s="5"/>
      <c r="K3946" s="5"/>
      <c r="L3946" s="54"/>
      <c r="M3946" s="5"/>
      <c r="N3946" s="53"/>
      <c r="Q3946" s="5"/>
      <c r="R3946" s="5"/>
      <c r="S3946" s="5"/>
      <c r="T3946" s="5"/>
      <c r="U3946" s="5"/>
      <c r="V3946" s="5"/>
    </row>
    <row r="3947" ht="12.75" customHeight="1">
      <c r="A3947" s="5"/>
      <c r="B3947" s="5"/>
      <c r="C3947" s="5"/>
      <c r="D3947" s="5"/>
      <c r="E3947" s="7"/>
      <c r="F3947" s="5"/>
      <c r="G3947" s="5"/>
      <c r="H3947" s="5"/>
      <c r="I3947" s="5"/>
      <c r="J3947" s="5"/>
      <c r="K3947" s="5"/>
      <c r="L3947" s="54"/>
      <c r="M3947" s="5"/>
      <c r="N3947" s="53"/>
      <c r="Q3947" s="5"/>
      <c r="R3947" s="5"/>
      <c r="S3947" s="5"/>
      <c r="T3947" s="5"/>
      <c r="U3947" s="5"/>
      <c r="V3947" s="5"/>
    </row>
    <row r="3948" ht="12.75" customHeight="1">
      <c r="A3948" s="5"/>
      <c r="B3948" s="5"/>
      <c r="C3948" s="5"/>
      <c r="D3948" s="5"/>
      <c r="E3948" s="7"/>
      <c r="F3948" s="5"/>
      <c r="G3948" s="5"/>
      <c r="H3948" s="5"/>
      <c r="I3948" s="5"/>
      <c r="J3948" s="5"/>
      <c r="K3948" s="5"/>
      <c r="L3948" s="54"/>
      <c r="M3948" s="5"/>
      <c r="N3948" s="53"/>
      <c r="Q3948" s="5"/>
      <c r="R3948" s="5"/>
      <c r="S3948" s="5"/>
      <c r="T3948" s="5"/>
      <c r="U3948" s="5"/>
      <c r="V3948" s="5"/>
    </row>
    <row r="3949" ht="12.75" customHeight="1">
      <c r="A3949" s="5"/>
      <c r="B3949" s="5"/>
      <c r="C3949" s="5"/>
      <c r="D3949" s="5"/>
      <c r="E3949" s="7"/>
      <c r="F3949" s="5"/>
      <c r="G3949" s="5"/>
      <c r="H3949" s="5"/>
      <c r="I3949" s="5"/>
      <c r="J3949" s="5"/>
      <c r="K3949" s="5"/>
      <c r="L3949" s="54"/>
      <c r="M3949" s="5"/>
      <c r="N3949" s="53"/>
      <c r="Q3949" s="5"/>
      <c r="R3949" s="5"/>
      <c r="S3949" s="5"/>
      <c r="T3949" s="5"/>
      <c r="U3949" s="5"/>
      <c r="V3949" s="5"/>
    </row>
    <row r="3950" ht="12.75" customHeight="1">
      <c r="A3950" s="5"/>
      <c r="B3950" s="5"/>
      <c r="C3950" s="5"/>
      <c r="D3950" s="5"/>
      <c r="E3950" s="7"/>
      <c r="F3950" s="5"/>
      <c r="G3950" s="5"/>
      <c r="H3950" s="5"/>
      <c r="I3950" s="5"/>
      <c r="J3950" s="5"/>
      <c r="K3950" s="5"/>
      <c r="L3950" s="54"/>
      <c r="M3950" s="5"/>
      <c r="N3950" s="53"/>
      <c r="Q3950" s="5"/>
      <c r="R3950" s="5"/>
      <c r="S3950" s="5"/>
      <c r="T3950" s="5"/>
      <c r="U3950" s="5"/>
      <c r="V3950" s="5"/>
    </row>
    <row r="3951" ht="12.75" customHeight="1">
      <c r="A3951" s="5"/>
      <c r="B3951" s="5"/>
      <c r="C3951" s="5"/>
      <c r="D3951" s="5"/>
      <c r="E3951" s="7"/>
      <c r="F3951" s="5"/>
      <c r="G3951" s="5"/>
      <c r="H3951" s="5"/>
      <c r="I3951" s="5"/>
      <c r="J3951" s="5"/>
      <c r="K3951" s="5"/>
      <c r="L3951" s="54"/>
      <c r="M3951" s="5"/>
      <c r="N3951" s="53"/>
      <c r="Q3951" s="5"/>
      <c r="R3951" s="5"/>
      <c r="S3951" s="5"/>
      <c r="T3951" s="5"/>
      <c r="U3951" s="5"/>
      <c r="V3951" s="5"/>
    </row>
    <row r="3952" ht="12.75" customHeight="1">
      <c r="A3952" s="5"/>
      <c r="B3952" s="5"/>
      <c r="C3952" s="5"/>
      <c r="D3952" s="5"/>
      <c r="E3952" s="7"/>
      <c r="F3952" s="5"/>
      <c r="G3952" s="5"/>
      <c r="H3952" s="5"/>
      <c r="I3952" s="5"/>
      <c r="J3952" s="5"/>
      <c r="K3952" s="5"/>
      <c r="L3952" s="54"/>
      <c r="M3952" s="5"/>
      <c r="N3952" s="53"/>
      <c r="Q3952" s="5"/>
      <c r="R3952" s="5"/>
      <c r="S3952" s="5"/>
      <c r="T3952" s="5"/>
      <c r="U3952" s="5"/>
      <c r="V3952" s="5"/>
    </row>
    <row r="3953" ht="12.75" customHeight="1">
      <c r="A3953" s="5"/>
      <c r="B3953" s="5"/>
      <c r="C3953" s="5"/>
      <c r="D3953" s="5"/>
      <c r="E3953" s="7"/>
      <c r="F3953" s="5"/>
      <c r="G3953" s="5"/>
      <c r="H3953" s="5"/>
      <c r="I3953" s="5"/>
      <c r="J3953" s="5"/>
      <c r="K3953" s="5"/>
      <c r="L3953" s="54"/>
      <c r="M3953" s="5"/>
      <c r="N3953" s="53"/>
      <c r="Q3953" s="5"/>
      <c r="R3953" s="5"/>
      <c r="S3953" s="5"/>
      <c r="T3953" s="5"/>
      <c r="U3953" s="5"/>
      <c r="V3953" s="5"/>
    </row>
    <row r="3954" ht="12.75" customHeight="1">
      <c r="A3954" s="5"/>
      <c r="B3954" s="5"/>
      <c r="C3954" s="5"/>
      <c r="D3954" s="5"/>
      <c r="E3954" s="7"/>
      <c r="F3954" s="5"/>
      <c r="G3954" s="5"/>
      <c r="H3954" s="5"/>
      <c r="I3954" s="5"/>
      <c r="J3954" s="5"/>
      <c r="K3954" s="5"/>
      <c r="L3954" s="54"/>
      <c r="M3954" s="5"/>
      <c r="N3954" s="53"/>
      <c r="Q3954" s="5"/>
      <c r="R3954" s="5"/>
      <c r="S3954" s="5"/>
      <c r="T3954" s="5"/>
      <c r="U3954" s="5"/>
      <c r="V3954" s="5"/>
    </row>
    <row r="3955" ht="12.75" customHeight="1">
      <c r="A3955" s="5"/>
      <c r="B3955" s="5"/>
      <c r="C3955" s="5"/>
      <c r="D3955" s="5"/>
      <c r="E3955" s="7"/>
      <c r="F3955" s="5"/>
      <c r="G3955" s="5"/>
      <c r="H3955" s="5"/>
      <c r="I3955" s="5"/>
      <c r="J3955" s="5"/>
      <c r="K3955" s="5"/>
      <c r="L3955" s="54"/>
      <c r="M3955" s="5"/>
      <c r="N3955" s="53"/>
      <c r="Q3955" s="5"/>
      <c r="R3955" s="5"/>
      <c r="S3955" s="5"/>
      <c r="T3955" s="5"/>
      <c r="U3955" s="5"/>
      <c r="V3955" s="5"/>
    </row>
    <row r="3956" ht="12.75" customHeight="1">
      <c r="A3956" s="5"/>
      <c r="B3956" s="5"/>
      <c r="C3956" s="5"/>
      <c r="D3956" s="5"/>
      <c r="E3956" s="7"/>
      <c r="F3956" s="5"/>
      <c r="G3956" s="5"/>
      <c r="H3956" s="5"/>
      <c r="I3956" s="5"/>
      <c r="J3956" s="5"/>
      <c r="K3956" s="5"/>
      <c r="L3956" s="54"/>
      <c r="M3956" s="5"/>
      <c r="N3956" s="53"/>
      <c r="Q3956" s="5"/>
      <c r="R3956" s="5"/>
      <c r="S3956" s="5"/>
      <c r="T3956" s="5"/>
      <c r="U3956" s="5"/>
      <c r="V3956" s="5"/>
    </row>
    <row r="3957" ht="12.75" customHeight="1">
      <c r="A3957" s="5"/>
      <c r="B3957" s="5"/>
      <c r="C3957" s="5"/>
      <c r="D3957" s="5"/>
      <c r="E3957" s="7"/>
      <c r="F3957" s="5"/>
      <c r="G3957" s="5"/>
      <c r="H3957" s="5"/>
      <c r="I3957" s="5"/>
      <c r="J3957" s="5"/>
      <c r="K3957" s="5"/>
      <c r="L3957" s="54"/>
      <c r="M3957" s="5"/>
      <c r="N3957" s="53"/>
      <c r="Q3957" s="5"/>
      <c r="R3957" s="5"/>
      <c r="S3957" s="5"/>
      <c r="T3957" s="5"/>
      <c r="U3957" s="5"/>
      <c r="V3957" s="5"/>
    </row>
    <row r="3958" ht="12.75" customHeight="1">
      <c r="A3958" s="5"/>
      <c r="B3958" s="5"/>
      <c r="C3958" s="5"/>
      <c r="D3958" s="5"/>
      <c r="E3958" s="7"/>
      <c r="F3958" s="5"/>
      <c r="G3958" s="5"/>
      <c r="H3958" s="5"/>
      <c r="I3958" s="5"/>
      <c r="J3958" s="5"/>
      <c r="K3958" s="5"/>
      <c r="L3958" s="54"/>
      <c r="M3958" s="5"/>
      <c r="N3958" s="53"/>
      <c r="Q3958" s="5"/>
      <c r="R3958" s="5"/>
      <c r="S3958" s="5"/>
      <c r="T3958" s="5"/>
      <c r="U3958" s="5"/>
      <c r="V3958" s="5"/>
    </row>
    <row r="3959" ht="12.75" customHeight="1">
      <c r="A3959" s="5"/>
      <c r="B3959" s="5"/>
      <c r="C3959" s="5"/>
      <c r="D3959" s="5"/>
      <c r="E3959" s="7"/>
      <c r="F3959" s="5"/>
      <c r="G3959" s="5"/>
      <c r="H3959" s="5"/>
      <c r="I3959" s="5"/>
      <c r="J3959" s="5"/>
      <c r="K3959" s="5"/>
      <c r="L3959" s="54"/>
      <c r="M3959" s="5"/>
      <c r="N3959" s="53"/>
      <c r="Q3959" s="5"/>
      <c r="R3959" s="5"/>
      <c r="S3959" s="5"/>
      <c r="T3959" s="5"/>
      <c r="U3959" s="5"/>
      <c r="V3959" s="5"/>
    </row>
    <row r="3960" ht="12.75" customHeight="1">
      <c r="A3960" s="5"/>
      <c r="B3960" s="5"/>
      <c r="C3960" s="5"/>
      <c r="D3960" s="5"/>
      <c r="E3960" s="7"/>
      <c r="F3960" s="5"/>
      <c r="G3960" s="5"/>
      <c r="H3960" s="5"/>
      <c r="I3960" s="5"/>
      <c r="J3960" s="5"/>
      <c r="K3960" s="5"/>
      <c r="L3960" s="54"/>
      <c r="M3960" s="5"/>
      <c r="N3960" s="53"/>
      <c r="Q3960" s="5"/>
      <c r="R3960" s="5"/>
      <c r="S3960" s="5"/>
      <c r="T3960" s="5"/>
      <c r="U3960" s="5"/>
      <c r="V3960" s="5"/>
    </row>
    <row r="3961" ht="12.75" customHeight="1">
      <c r="A3961" s="5"/>
      <c r="B3961" s="5"/>
      <c r="C3961" s="5"/>
      <c r="D3961" s="5"/>
      <c r="E3961" s="7"/>
      <c r="F3961" s="5"/>
      <c r="G3961" s="5"/>
      <c r="H3961" s="5"/>
      <c r="I3961" s="5"/>
      <c r="J3961" s="5"/>
      <c r="K3961" s="5"/>
      <c r="L3961" s="54"/>
      <c r="M3961" s="5"/>
      <c r="N3961" s="53"/>
      <c r="Q3961" s="5"/>
      <c r="R3961" s="5"/>
      <c r="S3961" s="5"/>
      <c r="T3961" s="5"/>
      <c r="U3961" s="5"/>
      <c r="V3961" s="5"/>
    </row>
    <row r="3962" ht="12.75" customHeight="1">
      <c r="A3962" s="5"/>
      <c r="B3962" s="5"/>
      <c r="C3962" s="5"/>
      <c r="D3962" s="5"/>
      <c r="E3962" s="7"/>
      <c r="F3962" s="5"/>
      <c r="G3962" s="5"/>
      <c r="H3962" s="5"/>
      <c r="I3962" s="5"/>
      <c r="J3962" s="5"/>
      <c r="K3962" s="5"/>
      <c r="L3962" s="54"/>
      <c r="M3962" s="5"/>
      <c r="N3962" s="53"/>
      <c r="Q3962" s="5"/>
      <c r="R3962" s="5"/>
      <c r="S3962" s="5"/>
      <c r="T3962" s="5"/>
      <c r="U3962" s="5"/>
      <c r="V3962" s="5"/>
    </row>
    <row r="3963" ht="12.75" customHeight="1">
      <c r="A3963" s="5"/>
      <c r="B3963" s="5"/>
      <c r="C3963" s="5"/>
      <c r="D3963" s="5"/>
      <c r="E3963" s="7"/>
      <c r="F3963" s="5"/>
      <c r="G3963" s="5"/>
      <c r="H3963" s="5"/>
      <c r="I3963" s="5"/>
      <c r="J3963" s="5"/>
      <c r="K3963" s="5"/>
      <c r="L3963" s="54"/>
      <c r="M3963" s="5"/>
      <c r="N3963" s="53"/>
      <c r="Q3963" s="5"/>
      <c r="R3963" s="5"/>
      <c r="S3963" s="5"/>
      <c r="T3963" s="5"/>
      <c r="U3963" s="5"/>
      <c r="V3963" s="5"/>
    </row>
    <row r="3964" ht="12.75" customHeight="1">
      <c r="A3964" s="5"/>
      <c r="B3964" s="5"/>
      <c r="C3964" s="5"/>
      <c r="D3964" s="5"/>
      <c r="E3964" s="7"/>
      <c r="F3964" s="5"/>
      <c r="G3964" s="5"/>
      <c r="H3964" s="5"/>
      <c r="I3964" s="5"/>
      <c r="J3964" s="5"/>
      <c r="K3964" s="5"/>
      <c r="L3964" s="54"/>
      <c r="M3964" s="5"/>
      <c r="N3964" s="53"/>
      <c r="Q3964" s="5"/>
      <c r="R3964" s="5"/>
      <c r="S3964" s="5"/>
      <c r="T3964" s="5"/>
      <c r="U3964" s="5"/>
      <c r="V3964" s="5"/>
    </row>
    <row r="3965" ht="12.75" customHeight="1">
      <c r="A3965" s="5"/>
      <c r="B3965" s="5"/>
      <c r="C3965" s="5"/>
      <c r="D3965" s="5"/>
      <c r="E3965" s="7"/>
      <c r="F3965" s="5"/>
      <c r="G3965" s="5"/>
      <c r="H3965" s="5"/>
      <c r="I3965" s="5"/>
      <c r="J3965" s="5"/>
      <c r="K3965" s="5"/>
      <c r="L3965" s="54"/>
      <c r="M3965" s="5"/>
      <c r="N3965" s="53"/>
      <c r="Q3965" s="5"/>
      <c r="R3965" s="5"/>
      <c r="S3965" s="5"/>
      <c r="T3965" s="5"/>
      <c r="U3965" s="5"/>
      <c r="V3965" s="5"/>
    </row>
    <row r="3966" ht="12.75" customHeight="1">
      <c r="A3966" s="5"/>
      <c r="B3966" s="5"/>
      <c r="C3966" s="5"/>
      <c r="D3966" s="5"/>
      <c r="E3966" s="7"/>
      <c r="F3966" s="5"/>
      <c r="G3966" s="5"/>
      <c r="H3966" s="5"/>
      <c r="I3966" s="5"/>
      <c r="J3966" s="5"/>
      <c r="K3966" s="5"/>
      <c r="L3966" s="54"/>
      <c r="M3966" s="5"/>
      <c r="N3966" s="53"/>
      <c r="Q3966" s="5"/>
      <c r="R3966" s="5"/>
      <c r="S3966" s="5"/>
      <c r="T3966" s="5"/>
      <c r="U3966" s="5"/>
      <c r="V3966" s="5"/>
    </row>
    <row r="3967" ht="12.75" customHeight="1">
      <c r="A3967" s="5"/>
      <c r="B3967" s="5"/>
      <c r="C3967" s="5"/>
      <c r="D3967" s="5"/>
      <c r="E3967" s="7"/>
      <c r="F3967" s="5"/>
      <c r="G3967" s="5"/>
      <c r="H3967" s="5"/>
      <c r="I3967" s="5"/>
      <c r="J3967" s="5"/>
      <c r="K3967" s="5"/>
      <c r="L3967" s="54"/>
      <c r="M3967" s="5"/>
      <c r="N3967" s="53"/>
      <c r="Q3967" s="5"/>
      <c r="R3967" s="5"/>
      <c r="S3967" s="5"/>
      <c r="T3967" s="5"/>
      <c r="U3967" s="5"/>
      <c r="V3967" s="5"/>
    </row>
    <row r="3968" ht="12.75" customHeight="1">
      <c r="A3968" s="5"/>
      <c r="B3968" s="5"/>
      <c r="C3968" s="5"/>
      <c r="D3968" s="5"/>
      <c r="E3968" s="7"/>
      <c r="F3968" s="5"/>
      <c r="G3968" s="5"/>
      <c r="H3968" s="5"/>
      <c r="I3968" s="5"/>
      <c r="J3968" s="5"/>
      <c r="K3968" s="5"/>
      <c r="L3968" s="54"/>
      <c r="M3968" s="5"/>
      <c r="N3968" s="53"/>
      <c r="Q3968" s="5"/>
      <c r="R3968" s="5"/>
      <c r="S3968" s="5"/>
      <c r="T3968" s="5"/>
      <c r="U3968" s="5"/>
      <c r="V3968" s="5"/>
    </row>
    <row r="3969" ht="12.75" customHeight="1">
      <c r="A3969" s="5"/>
      <c r="B3969" s="5"/>
      <c r="C3969" s="5"/>
      <c r="D3969" s="5"/>
      <c r="E3969" s="7"/>
      <c r="F3969" s="5"/>
      <c r="G3969" s="5"/>
      <c r="H3969" s="5"/>
      <c r="I3969" s="5"/>
      <c r="J3969" s="5"/>
      <c r="K3969" s="5"/>
      <c r="L3969" s="54"/>
      <c r="M3969" s="5"/>
      <c r="N3969" s="53"/>
      <c r="Q3969" s="5"/>
      <c r="R3969" s="5"/>
      <c r="S3969" s="5"/>
      <c r="T3969" s="5"/>
      <c r="U3969" s="5"/>
      <c r="V3969" s="5"/>
    </row>
    <row r="3970" ht="12.75" customHeight="1">
      <c r="A3970" s="5"/>
      <c r="B3970" s="5"/>
      <c r="C3970" s="5"/>
      <c r="D3970" s="5"/>
      <c r="E3970" s="7"/>
      <c r="F3970" s="5"/>
      <c r="G3970" s="5"/>
      <c r="H3970" s="5"/>
      <c r="I3970" s="5"/>
      <c r="J3970" s="5"/>
      <c r="K3970" s="5"/>
      <c r="L3970" s="54"/>
      <c r="M3970" s="5"/>
      <c r="N3970" s="53"/>
      <c r="Q3970" s="5"/>
      <c r="R3970" s="5"/>
      <c r="S3970" s="5"/>
      <c r="T3970" s="5"/>
      <c r="U3970" s="5"/>
      <c r="V3970" s="5"/>
    </row>
    <row r="3971" ht="12.75" customHeight="1">
      <c r="A3971" s="5"/>
      <c r="B3971" s="5"/>
      <c r="C3971" s="5"/>
      <c r="D3971" s="5"/>
      <c r="E3971" s="7"/>
      <c r="F3971" s="5"/>
      <c r="G3971" s="5"/>
      <c r="H3971" s="5"/>
      <c r="I3971" s="5"/>
      <c r="J3971" s="5"/>
      <c r="K3971" s="5"/>
      <c r="L3971" s="54"/>
      <c r="M3971" s="5"/>
      <c r="N3971" s="53"/>
      <c r="Q3971" s="5"/>
      <c r="R3971" s="5"/>
      <c r="S3971" s="5"/>
      <c r="T3971" s="5"/>
      <c r="U3971" s="5"/>
      <c r="V3971" s="5"/>
    </row>
    <row r="3972" ht="12.75" customHeight="1">
      <c r="A3972" s="5"/>
      <c r="B3972" s="5"/>
      <c r="C3972" s="5"/>
      <c r="D3972" s="5"/>
      <c r="E3972" s="7"/>
      <c r="F3972" s="5"/>
      <c r="G3972" s="5"/>
      <c r="H3972" s="5"/>
      <c r="I3972" s="5"/>
      <c r="J3972" s="5"/>
      <c r="K3972" s="5"/>
      <c r="L3972" s="54"/>
      <c r="M3972" s="5"/>
      <c r="N3972" s="53"/>
      <c r="Q3972" s="5"/>
      <c r="R3972" s="5"/>
      <c r="S3972" s="5"/>
      <c r="T3972" s="5"/>
      <c r="U3972" s="5"/>
      <c r="V3972" s="5"/>
    </row>
    <row r="3973" ht="12.75" customHeight="1">
      <c r="A3973" s="5"/>
      <c r="B3973" s="5"/>
      <c r="C3973" s="5"/>
      <c r="D3973" s="5"/>
      <c r="E3973" s="7"/>
      <c r="F3973" s="5"/>
      <c r="G3973" s="5"/>
      <c r="H3973" s="5"/>
      <c r="I3973" s="5"/>
      <c r="J3973" s="5"/>
      <c r="K3973" s="5"/>
      <c r="L3973" s="54"/>
      <c r="M3973" s="5"/>
      <c r="N3973" s="53"/>
      <c r="Q3973" s="5"/>
      <c r="R3973" s="5"/>
      <c r="S3973" s="5"/>
      <c r="T3973" s="5"/>
      <c r="U3973" s="5"/>
      <c r="V3973" s="5"/>
    </row>
    <row r="3974" ht="12.75" customHeight="1">
      <c r="A3974" s="5"/>
      <c r="B3974" s="5"/>
      <c r="C3974" s="5"/>
      <c r="D3974" s="5"/>
      <c r="E3974" s="7"/>
      <c r="F3974" s="5"/>
      <c r="G3974" s="5"/>
      <c r="H3974" s="5"/>
      <c r="I3974" s="5"/>
      <c r="J3974" s="5"/>
      <c r="K3974" s="5"/>
      <c r="L3974" s="54"/>
      <c r="M3974" s="5"/>
      <c r="N3974" s="53"/>
      <c r="Q3974" s="5"/>
      <c r="R3974" s="5"/>
      <c r="S3974" s="5"/>
      <c r="T3974" s="5"/>
      <c r="U3974" s="5"/>
      <c r="V3974" s="5"/>
    </row>
    <row r="3975" ht="12.75" customHeight="1">
      <c r="A3975" s="5"/>
      <c r="B3975" s="5"/>
      <c r="C3975" s="5"/>
      <c r="D3975" s="5"/>
      <c r="E3975" s="7"/>
      <c r="F3975" s="5"/>
      <c r="G3975" s="5"/>
      <c r="H3975" s="5"/>
      <c r="I3975" s="5"/>
      <c r="J3975" s="5"/>
      <c r="K3975" s="5"/>
      <c r="L3975" s="54"/>
      <c r="M3975" s="5"/>
      <c r="N3975" s="53"/>
      <c r="Q3975" s="5"/>
      <c r="R3975" s="5"/>
      <c r="S3975" s="5"/>
      <c r="T3975" s="5"/>
      <c r="U3975" s="5"/>
      <c r="V3975" s="5"/>
    </row>
    <row r="3976" ht="12.75" customHeight="1">
      <c r="A3976" s="5"/>
      <c r="B3976" s="5"/>
      <c r="C3976" s="5"/>
      <c r="D3976" s="5"/>
      <c r="E3976" s="7"/>
      <c r="F3976" s="5"/>
      <c r="G3976" s="5"/>
      <c r="H3976" s="5"/>
      <c r="I3976" s="5"/>
      <c r="J3976" s="5"/>
      <c r="K3976" s="5"/>
      <c r="L3976" s="54"/>
      <c r="M3976" s="5"/>
      <c r="N3976" s="53"/>
      <c r="Q3976" s="5"/>
      <c r="R3976" s="5"/>
      <c r="S3976" s="5"/>
      <c r="T3976" s="5"/>
      <c r="U3976" s="5"/>
      <c r="V3976" s="5"/>
    </row>
    <row r="3977" ht="12.75" customHeight="1">
      <c r="A3977" s="5"/>
      <c r="B3977" s="5"/>
      <c r="C3977" s="5"/>
      <c r="D3977" s="5"/>
      <c r="E3977" s="7"/>
      <c r="F3977" s="5"/>
      <c r="G3977" s="5"/>
      <c r="H3977" s="5"/>
      <c r="I3977" s="5"/>
      <c r="J3977" s="5"/>
      <c r="K3977" s="5"/>
      <c r="L3977" s="54"/>
      <c r="M3977" s="5"/>
      <c r="N3977" s="53"/>
      <c r="Q3977" s="5"/>
      <c r="R3977" s="5"/>
      <c r="S3977" s="5"/>
      <c r="T3977" s="5"/>
      <c r="U3977" s="5"/>
      <c r="V3977" s="5"/>
    </row>
    <row r="3978" ht="12.75" customHeight="1">
      <c r="A3978" s="5"/>
      <c r="B3978" s="5"/>
      <c r="C3978" s="5"/>
      <c r="D3978" s="5"/>
      <c r="E3978" s="7"/>
      <c r="F3978" s="5"/>
      <c r="G3978" s="5"/>
      <c r="H3978" s="5"/>
      <c r="I3978" s="5"/>
      <c r="J3978" s="5"/>
      <c r="K3978" s="5"/>
      <c r="L3978" s="54"/>
      <c r="M3978" s="5"/>
      <c r="N3978" s="53"/>
      <c r="Q3978" s="5"/>
      <c r="R3978" s="5"/>
      <c r="S3978" s="5"/>
      <c r="T3978" s="5"/>
      <c r="U3978" s="5"/>
      <c r="V3978" s="5"/>
    </row>
    <row r="3979" ht="12.75" customHeight="1">
      <c r="A3979" s="5"/>
      <c r="B3979" s="5"/>
      <c r="C3979" s="5"/>
      <c r="D3979" s="5"/>
      <c r="E3979" s="7"/>
      <c r="F3979" s="5"/>
      <c r="G3979" s="5"/>
      <c r="H3979" s="5"/>
      <c r="I3979" s="5"/>
      <c r="J3979" s="5"/>
      <c r="K3979" s="5"/>
      <c r="L3979" s="54"/>
      <c r="M3979" s="5"/>
      <c r="N3979" s="53"/>
      <c r="Q3979" s="5"/>
      <c r="R3979" s="5"/>
      <c r="S3979" s="5"/>
      <c r="T3979" s="5"/>
      <c r="U3979" s="5"/>
      <c r="V3979" s="5"/>
    </row>
    <row r="3980" ht="12.75" customHeight="1">
      <c r="A3980" s="5"/>
      <c r="B3980" s="5"/>
      <c r="C3980" s="5"/>
      <c r="D3980" s="5"/>
      <c r="E3980" s="7"/>
      <c r="F3980" s="5"/>
      <c r="G3980" s="5"/>
      <c r="H3980" s="5"/>
      <c r="I3980" s="5"/>
      <c r="J3980" s="5"/>
      <c r="K3980" s="5"/>
      <c r="L3980" s="54"/>
      <c r="M3980" s="5"/>
      <c r="N3980" s="53"/>
      <c r="Q3980" s="5"/>
      <c r="R3980" s="5"/>
      <c r="S3980" s="5"/>
      <c r="T3980" s="5"/>
      <c r="U3980" s="5"/>
      <c r="V3980" s="5"/>
    </row>
    <row r="3981" ht="12.75" customHeight="1">
      <c r="A3981" s="5"/>
      <c r="B3981" s="5"/>
      <c r="C3981" s="5"/>
      <c r="D3981" s="5"/>
      <c r="E3981" s="7"/>
      <c r="F3981" s="5"/>
      <c r="G3981" s="5"/>
      <c r="H3981" s="5"/>
      <c r="I3981" s="5"/>
      <c r="J3981" s="5"/>
      <c r="K3981" s="5"/>
      <c r="L3981" s="54"/>
      <c r="M3981" s="5"/>
      <c r="N3981" s="53"/>
      <c r="Q3981" s="5"/>
      <c r="R3981" s="5"/>
      <c r="S3981" s="5"/>
      <c r="T3981" s="5"/>
      <c r="U3981" s="5"/>
      <c r="V3981" s="5"/>
    </row>
    <row r="3982" ht="12.75" customHeight="1">
      <c r="A3982" s="5"/>
      <c r="B3982" s="5"/>
      <c r="C3982" s="5"/>
      <c r="D3982" s="5"/>
      <c r="E3982" s="7"/>
      <c r="F3982" s="5"/>
      <c r="G3982" s="5"/>
      <c r="H3982" s="5"/>
      <c r="I3982" s="5"/>
      <c r="J3982" s="5"/>
      <c r="K3982" s="5"/>
      <c r="L3982" s="54"/>
      <c r="M3982" s="5"/>
      <c r="N3982" s="53"/>
      <c r="Q3982" s="5"/>
      <c r="R3982" s="5"/>
      <c r="S3982" s="5"/>
      <c r="T3982" s="5"/>
      <c r="U3982" s="5"/>
      <c r="V3982" s="5"/>
    </row>
    <row r="3983" ht="12.75" customHeight="1">
      <c r="A3983" s="5"/>
      <c r="B3983" s="5"/>
      <c r="C3983" s="5"/>
      <c r="D3983" s="5"/>
      <c r="E3983" s="7"/>
      <c r="F3983" s="5"/>
      <c r="G3983" s="5"/>
      <c r="H3983" s="5"/>
      <c r="I3983" s="5"/>
      <c r="J3983" s="5"/>
      <c r="K3983" s="5"/>
      <c r="L3983" s="54"/>
      <c r="M3983" s="5"/>
      <c r="N3983" s="53"/>
      <c r="Q3983" s="5"/>
      <c r="R3983" s="5"/>
      <c r="S3983" s="5"/>
      <c r="T3983" s="5"/>
      <c r="U3983" s="5"/>
      <c r="V3983" s="5"/>
    </row>
    <row r="3984" ht="12.75" customHeight="1">
      <c r="A3984" s="5"/>
      <c r="B3984" s="5"/>
      <c r="C3984" s="5"/>
      <c r="D3984" s="5"/>
      <c r="E3984" s="7"/>
      <c r="F3984" s="5"/>
      <c r="G3984" s="5"/>
      <c r="H3984" s="5"/>
      <c r="I3984" s="5"/>
      <c r="J3984" s="5"/>
      <c r="K3984" s="5"/>
      <c r="L3984" s="54"/>
      <c r="M3984" s="5"/>
      <c r="N3984" s="53"/>
      <c r="Q3984" s="5"/>
      <c r="R3984" s="5"/>
      <c r="S3984" s="5"/>
      <c r="T3984" s="5"/>
      <c r="U3984" s="5"/>
      <c r="V3984" s="5"/>
    </row>
    <row r="3985" ht="12.75" customHeight="1">
      <c r="A3985" s="5"/>
      <c r="B3985" s="5"/>
      <c r="C3985" s="5"/>
      <c r="D3985" s="5"/>
      <c r="E3985" s="7"/>
      <c r="F3985" s="5"/>
      <c r="G3985" s="5"/>
      <c r="H3985" s="5"/>
      <c r="I3985" s="5"/>
      <c r="J3985" s="5"/>
      <c r="K3985" s="5"/>
      <c r="L3985" s="54"/>
      <c r="M3985" s="5"/>
      <c r="N3985" s="53"/>
      <c r="Q3985" s="5"/>
      <c r="R3985" s="5"/>
      <c r="S3985" s="5"/>
      <c r="T3985" s="5"/>
      <c r="U3985" s="5"/>
      <c r="V3985" s="5"/>
    </row>
    <row r="3986" ht="12.75" customHeight="1">
      <c r="A3986" s="5"/>
      <c r="B3986" s="5"/>
      <c r="C3986" s="5"/>
      <c r="D3986" s="5"/>
      <c r="E3986" s="7"/>
      <c r="F3986" s="5"/>
      <c r="G3986" s="5"/>
      <c r="H3986" s="5"/>
      <c r="I3986" s="5"/>
      <c r="J3986" s="5"/>
      <c r="K3986" s="5"/>
      <c r="L3986" s="54"/>
      <c r="M3986" s="5"/>
      <c r="N3986" s="53"/>
      <c r="Q3986" s="5"/>
      <c r="R3986" s="5"/>
      <c r="S3986" s="5"/>
      <c r="T3986" s="5"/>
      <c r="U3986" s="5"/>
      <c r="V3986" s="5"/>
    </row>
    <row r="3987" ht="12.75" customHeight="1">
      <c r="A3987" s="5"/>
      <c r="B3987" s="5"/>
      <c r="C3987" s="5"/>
      <c r="D3987" s="5"/>
      <c r="E3987" s="7"/>
      <c r="F3987" s="5"/>
      <c r="G3987" s="5"/>
      <c r="H3987" s="5"/>
      <c r="I3987" s="5"/>
      <c r="J3987" s="5"/>
      <c r="K3987" s="5"/>
      <c r="L3987" s="54"/>
      <c r="M3987" s="5"/>
      <c r="N3987" s="53"/>
      <c r="Q3987" s="5"/>
      <c r="R3987" s="5"/>
      <c r="S3987" s="5"/>
      <c r="T3987" s="5"/>
      <c r="U3987" s="5"/>
      <c r="V3987" s="5"/>
    </row>
    <row r="3988" ht="12.75" customHeight="1">
      <c r="A3988" s="5"/>
      <c r="B3988" s="5"/>
      <c r="C3988" s="5"/>
      <c r="D3988" s="5"/>
      <c r="E3988" s="7"/>
      <c r="F3988" s="5"/>
      <c r="G3988" s="5"/>
      <c r="H3988" s="5"/>
      <c r="I3988" s="5"/>
      <c r="J3988" s="5"/>
      <c r="K3988" s="5"/>
      <c r="L3988" s="54"/>
      <c r="M3988" s="5"/>
      <c r="N3988" s="53"/>
      <c r="Q3988" s="5"/>
      <c r="R3988" s="5"/>
      <c r="S3988" s="5"/>
      <c r="T3988" s="5"/>
      <c r="U3988" s="5"/>
      <c r="V3988" s="5"/>
    </row>
    <row r="3989" ht="12.75" customHeight="1">
      <c r="A3989" s="5"/>
      <c r="B3989" s="5"/>
      <c r="C3989" s="5"/>
      <c r="D3989" s="5"/>
      <c r="E3989" s="7"/>
      <c r="F3989" s="5"/>
      <c r="G3989" s="5"/>
      <c r="H3989" s="5"/>
      <c r="I3989" s="5"/>
      <c r="J3989" s="5"/>
      <c r="K3989" s="5"/>
      <c r="L3989" s="54"/>
      <c r="M3989" s="5"/>
      <c r="N3989" s="53"/>
      <c r="Q3989" s="5"/>
      <c r="R3989" s="5"/>
      <c r="S3989" s="5"/>
      <c r="T3989" s="5"/>
      <c r="U3989" s="5"/>
      <c r="V3989" s="5"/>
    </row>
    <row r="3990" ht="12.75" customHeight="1">
      <c r="A3990" s="5"/>
      <c r="B3990" s="5"/>
      <c r="C3990" s="5"/>
      <c r="D3990" s="5"/>
      <c r="E3990" s="7"/>
      <c r="F3990" s="5"/>
      <c r="G3990" s="5"/>
      <c r="H3990" s="5"/>
      <c r="I3990" s="5"/>
      <c r="J3990" s="5"/>
      <c r="K3990" s="5"/>
      <c r="L3990" s="54"/>
      <c r="M3990" s="5"/>
      <c r="N3990" s="53"/>
      <c r="Q3990" s="5"/>
      <c r="R3990" s="5"/>
      <c r="S3990" s="5"/>
      <c r="T3990" s="5"/>
      <c r="U3990" s="5"/>
      <c r="V3990" s="5"/>
    </row>
    <row r="3991" ht="12.75" customHeight="1">
      <c r="A3991" s="5"/>
      <c r="B3991" s="5"/>
      <c r="C3991" s="5"/>
      <c r="D3991" s="5"/>
      <c r="E3991" s="7"/>
      <c r="F3991" s="5"/>
      <c r="G3991" s="5"/>
      <c r="H3991" s="5"/>
      <c r="I3991" s="5"/>
      <c r="J3991" s="5"/>
      <c r="K3991" s="5"/>
      <c r="L3991" s="54"/>
      <c r="M3991" s="5"/>
      <c r="N3991" s="53"/>
      <c r="Q3991" s="5"/>
      <c r="R3991" s="5"/>
      <c r="S3991" s="5"/>
      <c r="T3991" s="5"/>
      <c r="U3991" s="5"/>
      <c r="V3991" s="5"/>
    </row>
    <row r="3992" ht="12.75" customHeight="1">
      <c r="A3992" s="5"/>
      <c r="B3992" s="5"/>
      <c r="C3992" s="5"/>
      <c r="D3992" s="5"/>
      <c r="E3992" s="7"/>
      <c r="F3992" s="5"/>
      <c r="G3992" s="5"/>
      <c r="H3992" s="5"/>
      <c r="I3992" s="5"/>
      <c r="J3992" s="5"/>
      <c r="K3992" s="5"/>
      <c r="L3992" s="54"/>
      <c r="M3992" s="5"/>
      <c r="N3992" s="53"/>
      <c r="Q3992" s="5"/>
      <c r="R3992" s="5"/>
      <c r="S3992" s="5"/>
      <c r="T3992" s="5"/>
      <c r="U3992" s="5"/>
      <c r="V3992" s="5"/>
    </row>
    <row r="3993" ht="12.75" customHeight="1">
      <c r="A3993" s="5"/>
      <c r="B3993" s="5"/>
      <c r="C3993" s="5"/>
      <c r="D3993" s="5"/>
      <c r="E3993" s="7"/>
      <c r="F3993" s="5"/>
      <c r="G3993" s="5"/>
      <c r="H3993" s="5"/>
      <c r="I3993" s="5"/>
      <c r="J3993" s="5"/>
      <c r="K3993" s="5"/>
      <c r="L3993" s="54"/>
      <c r="M3993" s="5"/>
      <c r="N3993" s="53"/>
      <c r="Q3993" s="5"/>
      <c r="R3993" s="5"/>
      <c r="S3993" s="5"/>
      <c r="T3993" s="5"/>
      <c r="U3993" s="5"/>
      <c r="V3993" s="5"/>
    </row>
    <row r="3994" ht="12.75" customHeight="1">
      <c r="A3994" s="5"/>
      <c r="B3994" s="5"/>
      <c r="C3994" s="5"/>
      <c r="D3994" s="5"/>
      <c r="E3994" s="7"/>
      <c r="F3994" s="5"/>
      <c r="G3994" s="5"/>
      <c r="H3994" s="5"/>
      <c r="I3994" s="5"/>
      <c r="J3994" s="5"/>
      <c r="K3994" s="5"/>
      <c r="L3994" s="54"/>
      <c r="M3994" s="5"/>
      <c r="N3994" s="53"/>
      <c r="Q3994" s="5"/>
      <c r="R3994" s="5"/>
      <c r="S3994" s="5"/>
      <c r="T3994" s="5"/>
      <c r="U3994" s="5"/>
      <c r="V3994" s="5"/>
    </row>
    <row r="3995" ht="12.75" customHeight="1">
      <c r="A3995" s="5"/>
      <c r="B3995" s="5"/>
      <c r="C3995" s="5"/>
      <c r="D3995" s="5"/>
      <c r="E3995" s="7"/>
      <c r="F3995" s="5"/>
      <c r="G3995" s="5"/>
      <c r="H3995" s="5"/>
      <c r="I3995" s="5"/>
      <c r="J3995" s="5"/>
      <c r="K3995" s="5"/>
      <c r="L3995" s="54"/>
      <c r="M3995" s="5"/>
      <c r="N3995" s="53"/>
      <c r="Q3995" s="5"/>
      <c r="R3995" s="5"/>
      <c r="S3995" s="5"/>
      <c r="T3995" s="5"/>
      <c r="U3995" s="5"/>
      <c r="V3995" s="5"/>
    </row>
    <row r="3996" ht="12.75" customHeight="1">
      <c r="A3996" s="5"/>
      <c r="B3996" s="5"/>
      <c r="C3996" s="5"/>
      <c r="D3996" s="5"/>
      <c r="E3996" s="7"/>
      <c r="F3996" s="5"/>
      <c r="G3996" s="5"/>
      <c r="H3996" s="5"/>
      <c r="I3996" s="5"/>
      <c r="J3996" s="5"/>
      <c r="K3996" s="5"/>
      <c r="L3996" s="54"/>
      <c r="M3996" s="5"/>
      <c r="N3996" s="53"/>
      <c r="Q3996" s="5"/>
      <c r="R3996" s="5"/>
      <c r="S3996" s="5"/>
      <c r="T3996" s="5"/>
      <c r="U3996" s="5"/>
      <c r="V3996" s="5"/>
    </row>
    <row r="3997" ht="12.75" customHeight="1">
      <c r="A3997" s="5"/>
      <c r="B3997" s="5"/>
      <c r="C3997" s="5"/>
      <c r="D3997" s="5"/>
      <c r="E3997" s="7"/>
      <c r="F3997" s="5"/>
      <c r="G3997" s="5"/>
      <c r="H3997" s="5"/>
      <c r="I3997" s="5"/>
      <c r="J3997" s="5"/>
      <c r="K3997" s="5"/>
      <c r="L3997" s="54"/>
      <c r="M3997" s="5"/>
      <c r="N3997" s="53"/>
      <c r="Q3997" s="5"/>
      <c r="R3997" s="5"/>
      <c r="S3997" s="5"/>
      <c r="T3997" s="5"/>
      <c r="U3997" s="5"/>
      <c r="V3997" s="5"/>
    </row>
    <row r="3998" ht="12.75" customHeight="1">
      <c r="A3998" s="5"/>
      <c r="B3998" s="5"/>
      <c r="C3998" s="5"/>
      <c r="D3998" s="5"/>
      <c r="E3998" s="7"/>
      <c r="F3998" s="5"/>
      <c r="G3998" s="5"/>
      <c r="H3998" s="5"/>
      <c r="I3998" s="5"/>
      <c r="J3998" s="5"/>
      <c r="K3998" s="5"/>
      <c r="L3998" s="54"/>
      <c r="M3998" s="5"/>
      <c r="N3998" s="53"/>
      <c r="Q3998" s="5"/>
      <c r="R3998" s="5"/>
      <c r="S3998" s="5"/>
      <c r="T3998" s="5"/>
      <c r="U3998" s="5"/>
      <c r="V3998" s="5"/>
    </row>
    <row r="3999" ht="12.75" customHeight="1">
      <c r="A3999" s="5"/>
      <c r="B3999" s="5"/>
      <c r="C3999" s="5"/>
      <c r="D3999" s="5"/>
      <c r="E3999" s="7"/>
      <c r="F3999" s="5"/>
      <c r="G3999" s="5"/>
      <c r="H3999" s="5"/>
      <c r="I3999" s="5"/>
      <c r="J3999" s="5"/>
      <c r="K3999" s="5"/>
      <c r="L3999" s="54"/>
      <c r="M3999" s="5"/>
      <c r="N3999" s="53"/>
      <c r="Q3999" s="5"/>
      <c r="R3999" s="5"/>
      <c r="S3999" s="5"/>
      <c r="T3999" s="5"/>
      <c r="U3999" s="5"/>
      <c r="V3999" s="5"/>
    </row>
    <row r="4000" ht="12.75" customHeight="1">
      <c r="A4000" s="5"/>
      <c r="B4000" s="5"/>
      <c r="C4000" s="5"/>
      <c r="D4000" s="5"/>
      <c r="E4000" s="7"/>
      <c r="F4000" s="5"/>
      <c r="G4000" s="5"/>
      <c r="H4000" s="5"/>
      <c r="I4000" s="5"/>
      <c r="J4000" s="5"/>
      <c r="K4000" s="5"/>
      <c r="L4000" s="54"/>
      <c r="M4000" s="5"/>
      <c r="N4000" s="53"/>
      <c r="Q4000" s="5"/>
      <c r="R4000" s="5"/>
      <c r="S4000" s="5"/>
      <c r="T4000" s="5"/>
      <c r="U4000" s="5"/>
      <c r="V4000" s="5"/>
    </row>
    <row r="4001" ht="12.75" customHeight="1">
      <c r="A4001" s="5"/>
      <c r="B4001" s="5"/>
      <c r="C4001" s="5"/>
      <c r="D4001" s="5"/>
      <c r="E4001" s="7"/>
      <c r="F4001" s="5"/>
      <c r="G4001" s="5"/>
      <c r="H4001" s="5"/>
      <c r="I4001" s="5"/>
      <c r="J4001" s="5"/>
      <c r="K4001" s="5"/>
      <c r="L4001" s="54"/>
      <c r="M4001" s="5"/>
      <c r="N4001" s="53"/>
      <c r="Q4001" s="5"/>
      <c r="R4001" s="5"/>
      <c r="S4001" s="5"/>
      <c r="T4001" s="5"/>
      <c r="U4001" s="5"/>
      <c r="V4001" s="5"/>
    </row>
    <row r="4002" ht="12.75" customHeight="1">
      <c r="A4002" s="5"/>
      <c r="B4002" s="5"/>
      <c r="C4002" s="5"/>
      <c r="D4002" s="5"/>
      <c r="E4002" s="7"/>
      <c r="F4002" s="5"/>
      <c r="G4002" s="5"/>
      <c r="H4002" s="5"/>
      <c r="I4002" s="5"/>
      <c r="J4002" s="5"/>
      <c r="K4002" s="5"/>
      <c r="L4002" s="54"/>
      <c r="M4002" s="5"/>
      <c r="N4002" s="53"/>
      <c r="Q4002" s="5"/>
      <c r="R4002" s="5"/>
      <c r="S4002" s="5"/>
      <c r="T4002" s="5"/>
      <c r="U4002" s="5"/>
      <c r="V4002" s="5"/>
    </row>
    <row r="4003" ht="12.75" customHeight="1">
      <c r="A4003" s="5"/>
      <c r="B4003" s="5"/>
      <c r="C4003" s="5"/>
      <c r="D4003" s="5"/>
      <c r="E4003" s="7"/>
      <c r="F4003" s="5"/>
      <c r="G4003" s="5"/>
      <c r="H4003" s="5"/>
      <c r="I4003" s="5"/>
      <c r="J4003" s="5"/>
      <c r="K4003" s="5"/>
      <c r="L4003" s="54"/>
      <c r="M4003" s="5"/>
      <c r="N4003" s="53"/>
      <c r="Q4003" s="5"/>
      <c r="R4003" s="5"/>
      <c r="S4003" s="5"/>
      <c r="T4003" s="5"/>
      <c r="U4003" s="5"/>
      <c r="V4003" s="5"/>
    </row>
    <row r="4004" ht="12.75" customHeight="1">
      <c r="A4004" s="5"/>
      <c r="B4004" s="5"/>
      <c r="C4004" s="5"/>
      <c r="D4004" s="5"/>
      <c r="E4004" s="7"/>
      <c r="F4004" s="5"/>
      <c r="G4004" s="5"/>
      <c r="H4004" s="5"/>
      <c r="I4004" s="5"/>
      <c r="J4004" s="5"/>
      <c r="K4004" s="5"/>
      <c r="L4004" s="54"/>
      <c r="M4004" s="5"/>
      <c r="N4004" s="53"/>
      <c r="Q4004" s="5"/>
      <c r="R4004" s="5"/>
      <c r="S4004" s="5"/>
      <c r="T4004" s="5"/>
      <c r="U4004" s="5"/>
      <c r="V4004" s="5"/>
    </row>
    <row r="4005" ht="12.75" customHeight="1">
      <c r="A4005" s="5"/>
      <c r="B4005" s="5"/>
      <c r="C4005" s="5"/>
      <c r="D4005" s="5"/>
      <c r="E4005" s="7"/>
      <c r="F4005" s="5"/>
      <c r="G4005" s="5"/>
      <c r="H4005" s="5"/>
      <c r="I4005" s="5"/>
      <c r="J4005" s="5"/>
      <c r="K4005" s="5"/>
      <c r="L4005" s="54"/>
      <c r="M4005" s="5"/>
      <c r="N4005" s="53"/>
      <c r="Q4005" s="5"/>
      <c r="R4005" s="5"/>
      <c r="S4005" s="5"/>
      <c r="T4005" s="5"/>
      <c r="U4005" s="5"/>
      <c r="V4005" s="5"/>
    </row>
    <row r="4006" ht="12.75" customHeight="1">
      <c r="A4006" s="5"/>
      <c r="B4006" s="5"/>
      <c r="C4006" s="5"/>
      <c r="D4006" s="5"/>
      <c r="E4006" s="7"/>
      <c r="F4006" s="5"/>
      <c r="G4006" s="5"/>
      <c r="H4006" s="5"/>
      <c r="I4006" s="5"/>
      <c r="J4006" s="5"/>
      <c r="K4006" s="5"/>
      <c r="L4006" s="54"/>
      <c r="M4006" s="5"/>
      <c r="N4006" s="53"/>
      <c r="Q4006" s="5"/>
      <c r="R4006" s="5"/>
      <c r="S4006" s="5"/>
      <c r="T4006" s="5"/>
      <c r="U4006" s="5"/>
      <c r="V4006" s="5"/>
    </row>
    <row r="4007" ht="12.75" customHeight="1">
      <c r="A4007" s="5"/>
      <c r="B4007" s="5"/>
      <c r="C4007" s="5"/>
      <c r="D4007" s="5"/>
      <c r="E4007" s="7"/>
      <c r="F4007" s="5"/>
      <c r="G4007" s="5"/>
      <c r="H4007" s="5"/>
      <c r="I4007" s="5"/>
      <c r="J4007" s="5"/>
      <c r="K4007" s="5"/>
      <c r="L4007" s="54"/>
      <c r="M4007" s="5"/>
      <c r="N4007" s="53"/>
      <c r="Q4007" s="5"/>
      <c r="R4007" s="5"/>
      <c r="S4007" s="5"/>
      <c r="T4007" s="5"/>
      <c r="U4007" s="5"/>
      <c r="V4007" s="5"/>
    </row>
    <row r="4008" ht="12.75" customHeight="1">
      <c r="A4008" s="5"/>
      <c r="B4008" s="5"/>
      <c r="C4008" s="5"/>
      <c r="D4008" s="5"/>
      <c r="E4008" s="7"/>
      <c r="F4008" s="5"/>
      <c r="G4008" s="5"/>
      <c r="H4008" s="5"/>
      <c r="I4008" s="5"/>
      <c r="J4008" s="5"/>
      <c r="K4008" s="5"/>
      <c r="L4008" s="54"/>
      <c r="M4008" s="5"/>
      <c r="N4008" s="53"/>
      <c r="Q4008" s="5"/>
      <c r="R4008" s="5"/>
      <c r="S4008" s="5"/>
      <c r="T4008" s="5"/>
      <c r="U4008" s="5"/>
      <c r="V4008" s="5"/>
    </row>
    <row r="4009" ht="12.75" customHeight="1">
      <c r="A4009" s="5"/>
      <c r="B4009" s="5"/>
      <c r="C4009" s="5"/>
      <c r="D4009" s="5"/>
      <c r="E4009" s="7"/>
      <c r="F4009" s="5"/>
      <c r="G4009" s="5"/>
      <c r="H4009" s="5"/>
      <c r="I4009" s="5"/>
      <c r="J4009" s="5"/>
      <c r="K4009" s="5"/>
      <c r="L4009" s="54"/>
      <c r="M4009" s="5"/>
      <c r="N4009" s="53"/>
      <c r="Q4009" s="5"/>
      <c r="R4009" s="5"/>
      <c r="S4009" s="5"/>
      <c r="T4009" s="5"/>
      <c r="U4009" s="5"/>
      <c r="V4009" s="5"/>
    </row>
    <row r="4010" ht="12.75" customHeight="1">
      <c r="A4010" s="5"/>
      <c r="B4010" s="5"/>
      <c r="C4010" s="5"/>
      <c r="D4010" s="5"/>
      <c r="E4010" s="7"/>
      <c r="F4010" s="5"/>
      <c r="G4010" s="5"/>
      <c r="H4010" s="5"/>
      <c r="I4010" s="5"/>
      <c r="J4010" s="5"/>
      <c r="K4010" s="5"/>
      <c r="L4010" s="54"/>
      <c r="M4010" s="5"/>
      <c r="N4010" s="53"/>
      <c r="Q4010" s="5"/>
      <c r="R4010" s="5"/>
      <c r="S4010" s="5"/>
      <c r="T4010" s="5"/>
      <c r="U4010" s="5"/>
      <c r="V4010" s="5"/>
    </row>
    <row r="4011" ht="12.75" customHeight="1">
      <c r="A4011" s="5"/>
      <c r="B4011" s="5"/>
      <c r="C4011" s="5"/>
      <c r="D4011" s="5"/>
      <c r="E4011" s="7"/>
      <c r="F4011" s="5"/>
      <c r="G4011" s="5"/>
      <c r="H4011" s="5"/>
      <c r="I4011" s="5"/>
      <c r="J4011" s="5"/>
      <c r="K4011" s="5"/>
      <c r="L4011" s="54"/>
      <c r="M4011" s="5"/>
      <c r="N4011" s="53"/>
      <c r="Q4011" s="5"/>
      <c r="R4011" s="5"/>
      <c r="S4011" s="5"/>
      <c r="T4011" s="5"/>
      <c r="U4011" s="5"/>
      <c r="V4011" s="5"/>
    </row>
    <row r="4012" ht="12.75" customHeight="1">
      <c r="A4012" s="5"/>
      <c r="B4012" s="5"/>
      <c r="C4012" s="5"/>
      <c r="D4012" s="5"/>
      <c r="E4012" s="7"/>
      <c r="F4012" s="5"/>
      <c r="G4012" s="5"/>
      <c r="H4012" s="5"/>
      <c r="I4012" s="5"/>
      <c r="J4012" s="5"/>
      <c r="K4012" s="5"/>
      <c r="L4012" s="54"/>
      <c r="M4012" s="5"/>
      <c r="N4012" s="53"/>
      <c r="Q4012" s="5"/>
      <c r="R4012" s="5"/>
      <c r="S4012" s="5"/>
      <c r="T4012" s="5"/>
      <c r="U4012" s="5"/>
      <c r="V4012" s="5"/>
    </row>
    <row r="4013" ht="12.75" customHeight="1">
      <c r="A4013" s="5"/>
      <c r="B4013" s="5"/>
      <c r="C4013" s="5"/>
      <c r="D4013" s="5"/>
      <c r="E4013" s="7"/>
      <c r="F4013" s="5"/>
      <c r="G4013" s="5"/>
      <c r="H4013" s="5"/>
      <c r="I4013" s="5"/>
      <c r="J4013" s="5"/>
      <c r="K4013" s="5"/>
      <c r="L4013" s="54"/>
      <c r="M4013" s="5"/>
      <c r="N4013" s="53"/>
      <c r="Q4013" s="5"/>
      <c r="R4013" s="5"/>
      <c r="S4013" s="5"/>
      <c r="T4013" s="5"/>
      <c r="U4013" s="5"/>
      <c r="V4013" s="5"/>
    </row>
    <row r="4014" ht="12.75" customHeight="1">
      <c r="A4014" s="5"/>
      <c r="B4014" s="5"/>
      <c r="C4014" s="5"/>
      <c r="D4014" s="5"/>
      <c r="E4014" s="7"/>
      <c r="F4014" s="5"/>
      <c r="G4014" s="5"/>
      <c r="H4014" s="5"/>
      <c r="I4014" s="5"/>
      <c r="J4014" s="5"/>
      <c r="K4014" s="5"/>
      <c r="L4014" s="54"/>
      <c r="M4014" s="5"/>
      <c r="N4014" s="53"/>
      <c r="Q4014" s="5"/>
      <c r="R4014" s="5"/>
      <c r="S4014" s="5"/>
      <c r="T4014" s="5"/>
      <c r="U4014" s="5"/>
      <c r="V4014" s="5"/>
    </row>
    <row r="4015" ht="12.75" customHeight="1">
      <c r="A4015" s="5"/>
      <c r="B4015" s="5"/>
      <c r="C4015" s="5"/>
      <c r="D4015" s="5"/>
      <c r="E4015" s="7"/>
      <c r="F4015" s="5"/>
      <c r="G4015" s="5"/>
      <c r="H4015" s="5"/>
      <c r="I4015" s="5"/>
      <c r="J4015" s="5"/>
      <c r="K4015" s="5"/>
      <c r="L4015" s="54"/>
      <c r="M4015" s="5"/>
      <c r="N4015" s="53"/>
      <c r="Q4015" s="5"/>
      <c r="R4015" s="5"/>
      <c r="S4015" s="5"/>
      <c r="T4015" s="5"/>
      <c r="U4015" s="5"/>
      <c r="V4015" s="5"/>
    </row>
    <row r="4016" ht="12.75" customHeight="1">
      <c r="A4016" s="5"/>
      <c r="B4016" s="5"/>
      <c r="C4016" s="5"/>
      <c r="D4016" s="5"/>
      <c r="E4016" s="7"/>
      <c r="F4016" s="5"/>
      <c r="G4016" s="5"/>
      <c r="H4016" s="5"/>
      <c r="I4016" s="5"/>
      <c r="J4016" s="5"/>
      <c r="K4016" s="5"/>
      <c r="L4016" s="54"/>
      <c r="M4016" s="5"/>
      <c r="N4016" s="53"/>
      <c r="Q4016" s="5"/>
      <c r="R4016" s="5"/>
      <c r="S4016" s="5"/>
      <c r="T4016" s="5"/>
      <c r="U4016" s="5"/>
      <c r="V4016" s="5"/>
    </row>
    <row r="4017" ht="12.75" customHeight="1">
      <c r="A4017" s="5"/>
      <c r="B4017" s="5"/>
      <c r="C4017" s="5"/>
      <c r="D4017" s="5"/>
      <c r="E4017" s="7"/>
      <c r="F4017" s="5"/>
      <c r="G4017" s="5"/>
      <c r="H4017" s="5"/>
      <c r="I4017" s="5"/>
      <c r="J4017" s="5"/>
      <c r="K4017" s="5"/>
      <c r="L4017" s="54"/>
      <c r="M4017" s="5"/>
      <c r="N4017" s="53"/>
      <c r="Q4017" s="5"/>
      <c r="R4017" s="5"/>
      <c r="S4017" s="5"/>
      <c r="T4017" s="5"/>
      <c r="U4017" s="5"/>
      <c r="V4017" s="5"/>
    </row>
    <row r="4018" ht="12.75" customHeight="1">
      <c r="A4018" s="5"/>
      <c r="B4018" s="5"/>
      <c r="C4018" s="5"/>
      <c r="D4018" s="5"/>
      <c r="E4018" s="7"/>
      <c r="F4018" s="5"/>
      <c r="G4018" s="5"/>
      <c r="H4018" s="5"/>
      <c r="I4018" s="5"/>
      <c r="J4018" s="5"/>
      <c r="K4018" s="5"/>
      <c r="L4018" s="54"/>
      <c r="M4018" s="5"/>
      <c r="N4018" s="53"/>
      <c r="Q4018" s="5"/>
      <c r="R4018" s="5"/>
      <c r="S4018" s="5"/>
      <c r="T4018" s="5"/>
      <c r="U4018" s="5"/>
      <c r="V4018" s="5"/>
    </row>
    <row r="4019" ht="12.75" customHeight="1">
      <c r="A4019" s="5"/>
      <c r="B4019" s="5"/>
      <c r="C4019" s="5"/>
      <c r="D4019" s="5"/>
      <c r="E4019" s="7"/>
      <c r="F4019" s="5"/>
      <c r="G4019" s="5"/>
      <c r="H4019" s="5"/>
      <c r="I4019" s="5"/>
      <c r="J4019" s="5"/>
      <c r="K4019" s="5"/>
      <c r="L4019" s="54"/>
      <c r="M4019" s="5"/>
      <c r="N4019" s="53"/>
      <c r="Q4019" s="5"/>
      <c r="R4019" s="5"/>
      <c r="S4019" s="5"/>
      <c r="T4019" s="5"/>
      <c r="U4019" s="5"/>
      <c r="V4019" s="5"/>
    </row>
    <row r="4020" ht="12.75" customHeight="1">
      <c r="A4020" s="5"/>
      <c r="B4020" s="5"/>
      <c r="C4020" s="5"/>
      <c r="D4020" s="5"/>
      <c r="E4020" s="7"/>
      <c r="F4020" s="5"/>
      <c r="G4020" s="5"/>
      <c r="H4020" s="5"/>
      <c r="I4020" s="5"/>
      <c r="J4020" s="5"/>
      <c r="K4020" s="5"/>
      <c r="L4020" s="54"/>
      <c r="M4020" s="5"/>
      <c r="N4020" s="53"/>
      <c r="Q4020" s="5"/>
      <c r="R4020" s="5"/>
      <c r="S4020" s="5"/>
      <c r="T4020" s="5"/>
      <c r="U4020" s="5"/>
      <c r="V4020" s="5"/>
    </row>
    <row r="4021" ht="12.75" customHeight="1">
      <c r="A4021" s="5"/>
      <c r="B4021" s="5"/>
      <c r="C4021" s="5"/>
      <c r="D4021" s="5"/>
      <c r="E4021" s="7"/>
      <c r="F4021" s="5"/>
      <c r="G4021" s="5"/>
      <c r="H4021" s="5"/>
      <c r="I4021" s="5"/>
      <c r="J4021" s="5"/>
      <c r="K4021" s="5"/>
      <c r="L4021" s="54"/>
      <c r="M4021" s="5"/>
      <c r="N4021" s="53"/>
      <c r="Q4021" s="5"/>
      <c r="R4021" s="5"/>
      <c r="S4021" s="5"/>
      <c r="T4021" s="5"/>
      <c r="U4021" s="5"/>
      <c r="V4021" s="5"/>
    </row>
    <row r="4022" ht="12.75" customHeight="1">
      <c r="A4022" s="5"/>
      <c r="B4022" s="5"/>
      <c r="C4022" s="5"/>
      <c r="D4022" s="5"/>
      <c r="E4022" s="7"/>
      <c r="F4022" s="5"/>
      <c r="G4022" s="5"/>
      <c r="H4022" s="5"/>
      <c r="I4022" s="5"/>
      <c r="J4022" s="5"/>
      <c r="K4022" s="5"/>
      <c r="L4022" s="54"/>
      <c r="M4022" s="5"/>
      <c r="N4022" s="53"/>
      <c r="Q4022" s="5"/>
      <c r="R4022" s="5"/>
      <c r="S4022" s="5"/>
      <c r="T4022" s="5"/>
      <c r="U4022" s="5"/>
      <c r="V4022" s="5"/>
    </row>
    <row r="4023" ht="12.75" customHeight="1">
      <c r="A4023" s="5"/>
      <c r="B4023" s="5"/>
      <c r="C4023" s="5"/>
      <c r="D4023" s="5"/>
      <c r="E4023" s="7"/>
      <c r="F4023" s="5"/>
      <c r="G4023" s="5"/>
      <c r="H4023" s="5"/>
      <c r="I4023" s="5"/>
      <c r="J4023" s="5"/>
      <c r="K4023" s="5"/>
      <c r="L4023" s="54"/>
      <c r="M4023" s="5"/>
      <c r="N4023" s="53"/>
      <c r="Q4023" s="5"/>
      <c r="R4023" s="5"/>
      <c r="S4023" s="5"/>
      <c r="T4023" s="5"/>
      <c r="U4023" s="5"/>
      <c r="V4023" s="5"/>
    </row>
    <row r="4024" ht="12.75" customHeight="1">
      <c r="A4024" s="5"/>
      <c r="B4024" s="5"/>
      <c r="C4024" s="5"/>
      <c r="D4024" s="5"/>
      <c r="E4024" s="7"/>
      <c r="F4024" s="5"/>
      <c r="G4024" s="5"/>
      <c r="H4024" s="5"/>
      <c r="I4024" s="5"/>
      <c r="J4024" s="5"/>
      <c r="K4024" s="5"/>
      <c r="L4024" s="54"/>
      <c r="M4024" s="5"/>
      <c r="N4024" s="53"/>
      <c r="Q4024" s="5"/>
      <c r="R4024" s="5"/>
      <c r="S4024" s="5"/>
      <c r="T4024" s="5"/>
      <c r="U4024" s="5"/>
      <c r="V4024" s="5"/>
    </row>
    <row r="4025" ht="12.75" customHeight="1">
      <c r="A4025" s="5"/>
      <c r="B4025" s="5"/>
      <c r="C4025" s="5"/>
      <c r="D4025" s="5"/>
      <c r="E4025" s="7"/>
      <c r="F4025" s="5"/>
      <c r="G4025" s="5"/>
      <c r="H4025" s="5"/>
      <c r="I4025" s="5"/>
      <c r="J4025" s="5"/>
      <c r="K4025" s="5"/>
      <c r="L4025" s="54"/>
      <c r="M4025" s="5"/>
      <c r="N4025" s="53"/>
      <c r="Q4025" s="5"/>
      <c r="R4025" s="5"/>
      <c r="S4025" s="5"/>
      <c r="T4025" s="5"/>
      <c r="U4025" s="5"/>
      <c r="V4025" s="5"/>
    </row>
    <row r="4026" ht="12.75" customHeight="1">
      <c r="A4026" s="5"/>
      <c r="B4026" s="5"/>
      <c r="C4026" s="5"/>
      <c r="D4026" s="5"/>
      <c r="E4026" s="7"/>
      <c r="F4026" s="5"/>
      <c r="G4026" s="5"/>
      <c r="H4026" s="5"/>
      <c r="I4026" s="5"/>
      <c r="J4026" s="5"/>
      <c r="K4026" s="5"/>
      <c r="L4026" s="54"/>
      <c r="M4026" s="5"/>
      <c r="N4026" s="53"/>
      <c r="Q4026" s="5"/>
      <c r="R4026" s="5"/>
      <c r="S4026" s="5"/>
      <c r="T4026" s="5"/>
      <c r="U4026" s="5"/>
      <c r="V4026" s="5"/>
    </row>
    <row r="4027" ht="12.75" customHeight="1">
      <c r="A4027" s="5"/>
      <c r="B4027" s="5"/>
      <c r="C4027" s="5"/>
      <c r="D4027" s="5"/>
      <c r="E4027" s="7"/>
      <c r="F4027" s="5"/>
      <c r="G4027" s="5"/>
      <c r="H4027" s="5"/>
      <c r="I4027" s="5"/>
      <c r="J4027" s="5"/>
      <c r="K4027" s="5"/>
      <c r="L4027" s="54"/>
      <c r="M4027" s="5"/>
      <c r="N4027" s="53"/>
      <c r="Q4027" s="5"/>
      <c r="R4027" s="5"/>
      <c r="S4027" s="5"/>
      <c r="T4027" s="5"/>
      <c r="U4027" s="5"/>
      <c r="V4027" s="5"/>
    </row>
    <row r="4028" ht="12.75" customHeight="1">
      <c r="A4028" s="5"/>
      <c r="B4028" s="5"/>
      <c r="C4028" s="5"/>
      <c r="D4028" s="5"/>
      <c r="E4028" s="7"/>
      <c r="F4028" s="5"/>
      <c r="G4028" s="5"/>
      <c r="H4028" s="5"/>
      <c r="I4028" s="5"/>
      <c r="J4028" s="5"/>
      <c r="K4028" s="5"/>
      <c r="L4028" s="54"/>
      <c r="M4028" s="5"/>
      <c r="N4028" s="53"/>
      <c r="Q4028" s="5"/>
      <c r="R4028" s="5"/>
      <c r="S4028" s="5"/>
      <c r="T4028" s="5"/>
      <c r="U4028" s="5"/>
      <c r="V4028" s="5"/>
    </row>
    <row r="4029" ht="12.75" customHeight="1">
      <c r="A4029" s="5"/>
      <c r="B4029" s="5"/>
      <c r="C4029" s="5"/>
      <c r="D4029" s="5"/>
      <c r="E4029" s="7"/>
      <c r="F4029" s="5"/>
      <c r="G4029" s="5"/>
      <c r="H4029" s="5"/>
      <c r="I4029" s="5"/>
      <c r="J4029" s="5"/>
      <c r="K4029" s="5"/>
      <c r="L4029" s="54"/>
      <c r="M4029" s="5"/>
      <c r="N4029" s="53"/>
      <c r="Q4029" s="5"/>
      <c r="R4029" s="5"/>
      <c r="S4029" s="5"/>
      <c r="T4029" s="5"/>
      <c r="U4029" s="5"/>
      <c r="V4029" s="5"/>
    </row>
    <row r="4030" ht="12.75" customHeight="1">
      <c r="A4030" s="5"/>
      <c r="B4030" s="5"/>
      <c r="C4030" s="5"/>
      <c r="D4030" s="5"/>
      <c r="E4030" s="7"/>
      <c r="F4030" s="5"/>
      <c r="G4030" s="5"/>
      <c r="H4030" s="5"/>
      <c r="I4030" s="5"/>
      <c r="J4030" s="5"/>
      <c r="K4030" s="5"/>
      <c r="L4030" s="54"/>
      <c r="M4030" s="5"/>
      <c r="N4030" s="53"/>
      <c r="Q4030" s="5"/>
      <c r="R4030" s="5"/>
      <c r="S4030" s="5"/>
      <c r="T4030" s="5"/>
      <c r="U4030" s="5"/>
      <c r="V4030" s="5"/>
    </row>
    <row r="4031" ht="12.75" customHeight="1">
      <c r="A4031" s="5"/>
      <c r="B4031" s="5"/>
      <c r="C4031" s="5"/>
      <c r="D4031" s="5"/>
      <c r="E4031" s="7"/>
      <c r="F4031" s="5"/>
      <c r="G4031" s="5"/>
      <c r="H4031" s="5"/>
      <c r="I4031" s="5"/>
      <c r="J4031" s="5"/>
      <c r="K4031" s="5"/>
      <c r="L4031" s="54"/>
      <c r="M4031" s="5"/>
      <c r="N4031" s="53"/>
      <c r="Q4031" s="5"/>
      <c r="R4031" s="5"/>
      <c r="S4031" s="5"/>
      <c r="T4031" s="5"/>
      <c r="U4031" s="5"/>
      <c r="V4031" s="5"/>
    </row>
    <row r="4032" ht="12.75" customHeight="1">
      <c r="A4032" s="5"/>
      <c r="B4032" s="5"/>
      <c r="C4032" s="5"/>
      <c r="D4032" s="5"/>
      <c r="E4032" s="7"/>
      <c r="F4032" s="5"/>
      <c r="G4032" s="5"/>
      <c r="H4032" s="5"/>
      <c r="I4032" s="5"/>
      <c r="J4032" s="5"/>
      <c r="K4032" s="5"/>
      <c r="L4032" s="54"/>
      <c r="M4032" s="5"/>
      <c r="N4032" s="53"/>
      <c r="Q4032" s="5"/>
      <c r="R4032" s="5"/>
      <c r="S4032" s="5"/>
      <c r="T4032" s="5"/>
      <c r="U4032" s="5"/>
      <c r="V4032" s="5"/>
    </row>
    <row r="4033" ht="12.75" customHeight="1">
      <c r="A4033" s="5"/>
      <c r="B4033" s="5"/>
      <c r="C4033" s="5"/>
      <c r="D4033" s="5"/>
      <c r="E4033" s="7"/>
      <c r="F4033" s="5"/>
      <c r="G4033" s="5"/>
      <c r="H4033" s="5"/>
      <c r="I4033" s="5"/>
      <c r="J4033" s="5"/>
      <c r="K4033" s="5"/>
      <c r="L4033" s="54"/>
      <c r="M4033" s="5"/>
      <c r="N4033" s="53"/>
      <c r="Q4033" s="5"/>
      <c r="R4033" s="5"/>
      <c r="S4033" s="5"/>
      <c r="T4033" s="5"/>
      <c r="U4033" s="5"/>
      <c r="V4033" s="5"/>
    </row>
    <row r="4034" ht="12.75" customHeight="1">
      <c r="A4034" s="5"/>
      <c r="B4034" s="5"/>
      <c r="C4034" s="5"/>
      <c r="D4034" s="5"/>
      <c r="E4034" s="7"/>
      <c r="F4034" s="5"/>
      <c r="G4034" s="5"/>
      <c r="H4034" s="5"/>
      <c r="I4034" s="5"/>
      <c r="J4034" s="5"/>
      <c r="K4034" s="5"/>
      <c r="L4034" s="54"/>
      <c r="M4034" s="5"/>
      <c r="N4034" s="53"/>
      <c r="Q4034" s="5"/>
      <c r="R4034" s="5"/>
      <c r="S4034" s="5"/>
      <c r="T4034" s="5"/>
      <c r="U4034" s="5"/>
      <c r="V4034" s="5"/>
    </row>
    <row r="4035" ht="12.75" customHeight="1">
      <c r="A4035" s="5"/>
      <c r="B4035" s="5"/>
      <c r="C4035" s="5"/>
      <c r="D4035" s="5"/>
      <c r="E4035" s="7"/>
      <c r="F4035" s="5"/>
      <c r="G4035" s="5"/>
      <c r="H4035" s="5"/>
      <c r="I4035" s="5"/>
      <c r="J4035" s="5"/>
      <c r="K4035" s="5"/>
      <c r="L4035" s="54"/>
      <c r="M4035" s="5"/>
      <c r="N4035" s="53"/>
      <c r="Q4035" s="5"/>
      <c r="R4035" s="5"/>
      <c r="S4035" s="5"/>
      <c r="T4035" s="5"/>
      <c r="U4035" s="5"/>
      <c r="V4035" s="5"/>
    </row>
    <row r="4036" ht="12.75" customHeight="1">
      <c r="A4036" s="5"/>
      <c r="B4036" s="5"/>
      <c r="C4036" s="5"/>
      <c r="D4036" s="5"/>
      <c r="E4036" s="7"/>
      <c r="F4036" s="5"/>
      <c r="G4036" s="5"/>
      <c r="H4036" s="5"/>
      <c r="I4036" s="5"/>
      <c r="J4036" s="5"/>
      <c r="K4036" s="5"/>
      <c r="L4036" s="54"/>
      <c r="M4036" s="5"/>
      <c r="N4036" s="53"/>
      <c r="Q4036" s="5"/>
      <c r="R4036" s="5"/>
      <c r="S4036" s="5"/>
      <c r="T4036" s="5"/>
      <c r="U4036" s="5"/>
      <c r="V4036" s="5"/>
    </row>
    <row r="4037" ht="12.75" customHeight="1">
      <c r="A4037" s="5"/>
      <c r="B4037" s="5"/>
      <c r="C4037" s="5"/>
      <c r="D4037" s="5"/>
      <c r="E4037" s="7"/>
      <c r="F4037" s="5"/>
      <c r="G4037" s="5"/>
      <c r="H4037" s="5"/>
      <c r="I4037" s="5"/>
      <c r="J4037" s="5"/>
      <c r="K4037" s="5"/>
      <c r="L4037" s="54"/>
      <c r="M4037" s="5"/>
      <c r="N4037" s="53"/>
      <c r="Q4037" s="5"/>
      <c r="R4037" s="5"/>
      <c r="S4037" s="5"/>
      <c r="T4037" s="5"/>
      <c r="U4037" s="5"/>
      <c r="V4037" s="5"/>
    </row>
    <row r="4038" ht="12.75" customHeight="1">
      <c r="A4038" s="5"/>
      <c r="B4038" s="5"/>
      <c r="C4038" s="5"/>
      <c r="D4038" s="5"/>
      <c r="E4038" s="7"/>
      <c r="F4038" s="5"/>
      <c r="G4038" s="5"/>
      <c r="H4038" s="5"/>
      <c r="I4038" s="5"/>
      <c r="J4038" s="5"/>
      <c r="K4038" s="5"/>
      <c r="L4038" s="54"/>
      <c r="M4038" s="5"/>
      <c r="N4038" s="53"/>
      <c r="Q4038" s="5"/>
      <c r="R4038" s="5"/>
      <c r="S4038" s="5"/>
      <c r="T4038" s="5"/>
      <c r="U4038" s="5"/>
      <c r="V4038" s="5"/>
    </row>
    <row r="4039" ht="12.75" customHeight="1">
      <c r="A4039" s="5"/>
      <c r="B4039" s="5"/>
      <c r="C4039" s="5"/>
      <c r="D4039" s="5"/>
      <c r="E4039" s="7"/>
      <c r="F4039" s="5"/>
      <c r="G4039" s="5"/>
      <c r="H4039" s="5"/>
      <c r="I4039" s="5"/>
      <c r="J4039" s="5"/>
      <c r="K4039" s="5"/>
      <c r="L4039" s="54"/>
      <c r="M4039" s="5"/>
      <c r="N4039" s="53"/>
      <c r="Q4039" s="5"/>
      <c r="R4039" s="5"/>
      <c r="S4039" s="5"/>
      <c r="T4039" s="5"/>
      <c r="U4039" s="5"/>
      <c r="V4039" s="5"/>
    </row>
    <row r="4040" ht="12.75" customHeight="1">
      <c r="A4040" s="5"/>
      <c r="B4040" s="5"/>
      <c r="C4040" s="5"/>
      <c r="D4040" s="5"/>
      <c r="E4040" s="7"/>
      <c r="F4040" s="5"/>
      <c r="G4040" s="5"/>
      <c r="H4040" s="5"/>
      <c r="I4040" s="5"/>
      <c r="J4040" s="5"/>
      <c r="K4040" s="5"/>
      <c r="L4040" s="54"/>
      <c r="M4040" s="5"/>
      <c r="N4040" s="53"/>
      <c r="Q4040" s="5"/>
      <c r="R4040" s="5"/>
      <c r="S4040" s="5"/>
      <c r="T4040" s="5"/>
      <c r="U4040" s="5"/>
      <c r="V4040" s="5"/>
    </row>
    <row r="4041" ht="12.75" customHeight="1">
      <c r="A4041" s="5"/>
      <c r="B4041" s="5"/>
      <c r="C4041" s="5"/>
      <c r="D4041" s="5"/>
      <c r="E4041" s="7"/>
      <c r="F4041" s="5"/>
      <c r="G4041" s="5"/>
      <c r="H4041" s="5"/>
      <c r="I4041" s="5"/>
      <c r="J4041" s="5"/>
      <c r="K4041" s="5"/>
      <c r="L4041" s="54"/>
      <c r="M4041" s="5"/>
      <c r="N4041" s="53"/>
      <c r="Q4041" s="5"/>
      <c r="R4041" s="5"/>
      <c r="S4041" s="5"/>
      <c r="T4041" s="5"/>
      <c r="U4041" s="5"/>
      <c r="V4041" s="5"/>
    </row>
    <row r="4042" ht="12.75" customHeight="1">
      <c r="A4042" s="5"/>
      <c r="B4042" s="5"/>
      <c r="C4042" s="5"/>
      <c r="D4042" s="5"/>
      <c r="E4042" s="7"/>
      <c r="F4042" s="5"/>
      <c r="G4042" s="5"/>
      <c r="H4042" s="5"/>
      <c r="I4042" s="5"/>
      <c r="J4042" s="5"/>
      <c r="K4042" s="5"/>
      <c r="L4042" s="54"/>
      <c r="M4042" s="5"/>
      <c r="N4042" s="53"/>
      <c r="Q4042" s="5"/>
      <c r="R4042" s="5"/>
      <c r="S4042" s="5"/>
      <c r="T4042" s="5"/>
      <c r="U4042" s="5"/>
      <c r="V4042" s="5"/>
    </row>
    <row r="4043" ht="12.75" customHeight="1">
      <c r="A4043" s="5"/>
      <c r="B4043" s="5"/>
      <c r="C4043" s="5"/>
      <c r="D4043" s="5"/>
      <c r="E4043" s="7"/>
      <c r="F4043" s="5"/>
      <c r="G4043" s="5"/>
      <c r="H4043" s="5"/>
      <c r="I4043" s="5"/>
      <c r="J4043" s="5"/>
      <c r="K4043" s="5"/>
      <c r="L4043" s="54"/>
      <c r="M4043" s="5"/>
      <c r="N4043" s="53"/>
      <c r="Q4043" s="5"/>
      <c r="R4043" s="5"/>
      <c r="S4043" s="5"/>
      <c r="T4043" s="5"/>
      <c r="U4043" s="5"/>
      <c r="V4043" s="5"/>
    </row>
    <row r="4044" ht="12.75" customHeight="1">
      <c r="A4044" s="5"/>
      <c r="B4044" s="5"/>
      <c r="C4044" s="5"/>
      <c r="D4044" s="5"/>
      <c r="E4044" s="7"/>
      <c r="F4044" s="5"/>
      <c r="G4044" s="5"/>
      <c r="H4044" s="5"/>
      <c r="I4044" s="5"/>
      <c r="J4044" s="5"/>
      <c r="K4044" s="5"/>
      <c r="L4044" s="54"/>
      <c r="M4044" s="5"/>
      <c r="N4044" s="53"/>
      <c r="Q4044" s="5"/>
      <c r="R4044" s="5"/>
      <c r="S4044" s="5"/>
      <c r="T4044" s="5"/>
      <c r="U4044" s="5"/>
      <c r="V4044" s="5"/>
    </row>
    <row r="4045" ht="12.75" customHeight="1">
      <c r="A4045" s="5"/>
      <c r="B4045" s="5"/>
      <c r="C4045" s="5"/>
      <c r="D4045" s="5"/>
      <c r="E4045" s="7"/>
      <c r="F4045" s="5"/>
      <c r="G4045" s="5"/>
      <c r="H4045" s="5"/>
      <c r="I4045" s="5"/>
      <c r="J4045" s="5"/>
      <c r="K4045" s="5"/>
      <c r="L4045" s="54"/>
      <c r="M4045" s="5"/>
      <c r="N4045" s="53"/>
      <c r="Q4045" s="5"/>
      <c r="R4045" s="5"/>
      <c r="S4045" s="5"/>
      <c r="T4045" s="5"/>
      <c r="U4045" s="5"/>
      <c r="V4045" s="5"/>
    </row>
    <row r="4046" ht="12.75" customHeight="1">
      <c r="A4046" s="5"/>
      <c r="B4046" s="5"/>
      <c r="C4046" s="5"/>
      <c r="D4046" s="5"/>
      <c r="E4046" s="7"/>
      <c r="F4046" s="5"/>
      <c r="G4046" s="5"/>
      <c r="H4046" s="5"/>
      <c r="I4046" s="5"/>
      <c r="J4046" s="5"/>
      <c r="K4046" s="5"/>
      <c r="L4046" s="54"/>
      <c r="M4046" s="5"/>
      <c r="N4046" s="53"/>
      <c r="Q4046" s="5"/>
      <c r="R4046" s="5"/>
      <c r="S4046" s="5"/>
      <c r="T4046" s="5"/>
      <c r="U4046" s="5"/>
      <c r="V4046" s="5"/>
    </row>
    <row r="4047" ht="12.75" customHeight="1">
      <c r="A4047" s="5"/>
      <c r="B4047" s="5"/>
      <c r="C4047" s="5"/>
      <c r="D4047" s="5"/>
      <c r="E4047" s="7"/>
      <c r="F4047" s="5"/>
      <c r="G4047" s="5"/>
      <c r="H4047" s="5"/>
      <c r="I4047" s="5"/>
      <c r="J4047" s="5"/>
      <c r="K4047" s="5"/>
      <c r="L4047" s="54"/>
      <c r="M4047" s="5"/>
      <c r="N4047" s="53"/>
      <c r="Q4047" s="5"/>
      <c r="R4047" s="5"/>
      <c r="S4047" s="5"/>
      <c r="T4047" s="5"/>
      <c r="U4047" s="5"/>
      <c r="V4047" s="5"/>
    </row>
    <row r="4048" ht="12.75" customHeight="1">
      <c r="A4048" s="5"/>
      <c r="B4048" s="5"/>
      <c r="C4048" s="5"/>
      <c r="D4048" s="5"/>
      <c r="E4048" s="7"/>
      <c r="F4048" s="5"/>
      <c r="G4048" s="5"/>
      <c r="H4048" s="5"/>
      <c r="I4048" s="5"/>
      <c r="J4048" s="5"/>
      <c r="K4048" s="5"/>
      <c r="L4048" s="54"/>
      <c r="M4048" s="5"/>
      <c r="N4048" s="53"/>
      <c r="Q4048" s="5"/>
      <c r="R4048" s="5"/>
      <c r="S4048" s="5"/>
      <c r="T4048" s="5"/>
      <c r="U4048" s="5"/>
      <c r="V4048" s="5"/>
    </row>
    <row r="4049" ht="12.75" customHeight="1">
      <c r="A4049" s="5"/>
      <c r="B4049" s="5"/>
      <c r="C4049" s="5"/>
      <c r="D4049" s="5"/>
      <c r="E4049" s="7"/>
      <c r="F4049" s="5"/>
      <c r="G4049" s="5"/>
      <c r="H4049" s="5"/>
      <c r="I4049" s="5"/>
      <c r="J4049" s="5"/>
      <c r="K4049" s="5"/>
      <c r="L4049" s="54"/>
      <c r="M4049" s="5"/>
      <c r="N4049" s="53"/>
      <c r="Q4049" s="5"/>
      <c r="R4049" s="5"/>
      <c r="S4049" s="5"/>
      <c r="T4049" s="5"/>
      <c r="U4049" s="5"/>
      <c r="V4049" s="5"/>
    </row>
    <row r="4050" ht="12.75" customHeight="1">
      <c r="A4050" s="5"/>
      <c r="B4050" s="5"/>
      <c r="C4050" s="5"/>
      <c r="D4050" s="5"/>
      <c r="E4050" s="7"/>
      <c r="F4050" s="5"/>
      <c r="G4050" s="5"/>
      <c r="H4050" s="5"/>
      <c r="I4050" s="5"/>
      <c r="J4050" s="5"/>
      <c r="K4050" s="5"/>
      <c r="L4050" s="54"/>
      <c r="M4050" s="5"/>
      <c r="N4050" s="53"/>
      <c r="Q4050" s="5"/>
      <c r="R4050" s="5"/>
      <c r="S4050" s="5"/>
      <c r="T4050" s="5"/>
      <c r="U4050" s="5"/>
      <c r="V4050" s="5"/>
    </row>
    <row r="4051" ht="12.75" customHeight="1">
      <c r="A4051" s="5"/>
      <c r="B4051" s="5"/>
      <c r="C4051" s="5"/>
      <c r="D4051" s="5"/>
      <c r="E4051" s="7"/>
      <c r="F4051" s="5"/>
      <c r="G4051" s="5"/>
      <c r="H4051" s="5"/>
      <c r="I4051" s="5"/>
      <c r="J4051" s="5"/>
      <c r="K4051" s="5"/>
      <c r="L4051" s="54"/>
      <c r="M4051" s="5"/>
      <c r="N4051" s="53"/>
      <c r="Q4051" s="5"/>
      <c r="R4051" s="5"/>
      <c r="S4051" s="5"/>
      <c r="T4051" s="5"/>
      <c r="U4051" s="5"/>
      <c r="V4051" s="5"/>
    </row>
    <row r="4052" ht="12.75" customHeight="1">
      <c r="A4052" s="5"/>
      <c r="B4052" s="5"/>
      <c r="C4052" s="5"/>
      <c r="D4052" s="5"/>
      <c r="E4052" s="7"/>
      <c r="F4052" s="5"/>
      <c r="G4052" s="5"/>
      <c r="H4052" s="5"/>
      <c r="I4052" s="5"/>
      <c r="J4052" s="5"/>
      <c r="K4052" s="5"/>
      <c r="L4052" s="54"/>
      <c r="M4052" s="5"/>
      <c r="N4052" s="53"/>
      <c r="Q4052" s="5"/>
      <c r="R4052" s="5"/>
      <c r="S4052" s="5"/>
      <c r="T4052" s="5"/>
      <c r="U4052" s="5"/>
      <c r="V4052" s="5"/>
    </row>
    <row r="4053" ht="12.75" customHeight="1">
      <c r="A4053" s="5"/>
      <c r="B4053" s="5"/>
      <c r="C4053" s="5"/>
      <c r="D4053" s="5"/>
      <c r="E4053" s="7"/>
      <c r="F4053" s="5"/>
      <c r="G4053" s="5"/>
      <c r="H4053" s="5"/>
      <c r="I4053" s="5"/>
      <c r="J4053" s="5"/>
      <c r="K4053" s="5"/>
      <c r="L4053" s="54"/>
      <c r="M4053" s="5"/>
      <c r="N4053" s="53"/>
      <c r="Q4053" s="5"/>
      <c r="R4053" s="5"/>
      <c r="S4053" s="5"/>
      <c r="T4053" s="5"/>
      <c r="U4053" s="5"/>
      <c r="V4053" s="5"/>
    </row>
    <row r="4054" ht="12.75" customHeight="1">
      <c r="A4054" s="5"/>
      <c r="B4054" s="5"/>
      <c r="C4054" s="5"/>
      <c r="D4054" s="5"/>
      <c r="E4054" s="7"/>
      <c r="F4054" s="5"/>
      <c r="G4054" s="5"/>
      <c r="H4054" s="5"/>
      <c r="I4054" s="5"/>
      <c r="J4054" s="5"/>
      <c r="K4054" s="5"/>
      <c r="L4054" s="54"/>
      <c r="M4054" s="5"/>
      <c r="N4054" s="53"/>
      <c r="Q4054" s="5"/>
      <c r="R4054" s="5"/>
      <c r="S4054" s="5"/>
      <c r="T4054" s="5"/>
      <c r="U4054" s="5"/>
      <c r="V4054" s="5"/>
    </row>
    <row r="4055" ht="12.75" customHeight="1">
      <c r="A4055" s="5"/>
      <c r="B4055" s="5"/>
      <c r="C4055" s="5"/>
      <c r="D4055" s="5"/>
      <c r="E4055" s="7"/>
      <c r="F4055" s="5"/>
      <c r="G4055" s="5"/>
      <c r="H4055" s="5"/>
      <c r="I4055" s="5"/>
      <c r="J4055" s="5"/>
      <c r="K4055" s="5"/>
      <c r="L4055" s="54"/>
      <c r="M4055" s="5"/>
      <c r="N4055" s="53"/>
      <c r="Q4055" s="5"/>
      <c r="R4055" s="5"/>
      <c r="S4055" s="5"/>
      <c r="T4055" s="5"/>
      <c r="U4055" s="5"/>
      <c r="V4055" s="5"/>
    </row>
    <row r="4056" ht="12.75" customHeight="1">
      <c r="A4056" s="5"/>
      <c r="B4056" s="5"/>
      <c r="C4056" s="5"/>
      <c r="D4056" s="5"/>
      <c r="E4056" s="7"/>
      <c r="F4056" s="5"/>
      <c r="G4056" s="5"/>
      <c r="H4056" s="5"/>
      <c r="I4056" s="5"/>
      <c r="J4056" s="5"/>
      <c r="K4056" s="5"/>
      <c r="L4056" s="54"/>
      <c r="M4056" s="5"/>
      <c r="N4056" s="53"/>
      <c r="Q4056" s="5"/>
      <c r="R4056" s="5"/>
      <c r="S4056" s="5"/>
      <c r="T4056" s="5"/>
      <c r="U4056" s="5"/>
      <c r="V4056" s="5"/>
    </row>
    <row r="4057" ht="12.75" customHeight="1">
      <c r="A4057" s="5"/>
      <c r="B4057" s="5"/>
      <c r="C4057" s="5"/>
      <c r="D4057" s="5"/>
      <c r="E4057" s="7"/>
      <c r="F4057" s="5"/>
      <c r="G4057" s="5"/>
      <c r="H4057" s="5"/>
      <c r="I4057" s="5"/>
      <c r="J4057" s="5"/>
      <c r="K4057" s="5"/>
      <c r="L4057" s="54"/>
      <c r="M4057" s="5"/>
      <c r="N4057" s="53"/>
      <c r="Q4057" s="5"/>
      <c r="R4057" s="5"/>
      <c r="S4057" s="5"/>
      <c r="T4057" s="5"/>
      <c r="U4057" s="5"/>
      <c r="V4057" s="5"/>
    </row>
    <row r="4058" ht="12.75" customHeight="1">
      <c r="A4058" s="5"/>
      <c r="B4058" s="5"/>
      <c r="C4058" s="5"/>
      <c r="D4058" s="5"/>
      <c r="E4058" s="7"/>
      <c r="F4058" s="5"/>
      <c r="G4058" s="5"/>
      <c r="H4058" s="5"/>
      <c r="I4058" s="5"/>
      <c r="J4058" s="5"/>
      <c r="K4058" s="5"/>
      <c r="L4058" s="54"/>
      <c r="M4058" s="5"/>
      <c r="N4058" s="53"/>
      <c r="Q4058" s="5"/>
      <c r="R4058" s="5"/>
      <c r="S4058" s="5"/>
      <c r="T4058" s="5"/>
      <c r="U4058" s="5"/>
      <c r="V4058" s="5"/>
    </row>
    <row r="4059" ht="12.75" customHeight="1">
      <c r="A4059" s="5"/>
      <c r="B4059" s="5"/>
      <c r="C4059" s="5"/>
      <c r="D4059" s="5"/>
      <c r="E4059" s="7"/>
      <c r="F4059" s="5"/>
      <c r="G4059" s="5"/>
      <c r="H4059" s="5"/>
      <c r="I4059" s="5"/>
      <c r="J4059" s="5"/>
      <c r="K4059" s="5"/>
      <c r="L4059" s="54"/>
      <c r="M4059" s="5"/>
      <c r="N4059" s="53"/>
      <c r="Q4059" s="5"/>
      <c r="R4059" s="5"/>
      <c r="S4059" s="5"/>
      <c r="T4059" s="5"/>
      <c r="U4059" s="5"/>
      <c r="V4059" s="5"/>
    </row>
    <row r="4060" ht="12.75" customHeight="1">
      <c r="A4060" s="5"/>
      <c r="B4060" s="5"/>
      <c r="C4060" s="5"/>
      <c r="D4060" s="5"/>
      <c r="E4060" s="7"/>
      <c r="F4060" s="5"/>
      <c r="G4060" s="5"/>
      <c r="H4060" s="5"/>
      <c r="I4060" s="5"/>
      <c r="J4060" s="5"/>
      <c r="K4060" s="5"/>
      <c r="L4060" s="54"/>
      <c r="M4060" s="5"/>
      <c r="N4060" s="53"/>
      <c r="Q4060" s="5"/>
      <c r="R4060" s="5"/>
      <c r="S4060" s="5"/>
      <c r="T4060" s="5"/>
      <c r="U4060" s="5"/>
      <c r="V4060" s="5"/>
    </row>
    <row r="4061" ht="12.75" customHeight="1">
      <c r="A4061" s="5"/>
      <c r="B4061" s="5"/>
      <c r="C4061" s="5"/>
      <c r="D4061" s="5"/>
      <c r="E4061" s="7"/>
      <c r="F4061" s="5"/>
      <c r="G4061" s="5"/>
      <c r="H4061" s="5"/>
      <c r="I4061" s="5"/>
      <c r="J4061" s="5"/>
      <c r="K4061" s="5"/>
      <c r="L4061" s="54"/>
      <c r="M4061" s="5"/>
      <c r="N4061" s="53"/>
      <c r="Q4061" s="5"/>
      <c r="R4061" s="5"/>
      <c r="S4061" s="5"/>
      <c r="T4061" s="5"/>
      <c r="U4061" s="5"/>
      <c r="V4061" s="5"/>
    </row>
    <row r="4062" ht="12.75" customHeight="1">
      <c r="A4062" s="5"/>
      <c r="B4062" s="5"/>
      <c r="C4062" s="5"/>
      <c r="D4062" s="5"/>
      <c r="E4062" s="7"/>
      <c r="F4062" s="5"/>
      <c r="G4062" s="5"/>
      <c r="H4062" s="5"/>
      <c r="I4062" s="5"/>
      <c r="J4062" s="5"/>
      <c r="K4062" s="5"/>
      <c r="L4062" s="54"/>
      <c r="M4062" s="5"/>
      <c r="N4062" s="53"/>
      <c r="Q4062" s="5"/>
      <c r="R4062" s="5"/>
      <c r="S4062" s="5"/>
      <c r="T4062" s="5"/>
      <c r="U4062" s="5"/>
      <c r="V4062" s="5"/>
    </row>
    <row r="4063" ht="12.75" customHeight="1">
      <c r="A4063" s="5"/>
      <c r="B4063" s="5"/>
      <c r="C4063" s="5"/>
      <c r="D4063" s="5"/>
      <c r="E4063" s="7"/>
      <c r="F4063" s="5"/>
      <c r="G4063" s="5"/>
      <c r="H4063" s="5"/>
      <c r="I4063" s="5"/>
      <c r="J4063" s="5"/>
      <c r="K4063" s="5"/>
      <c r="L4063" s="54"/>
      <c r="M4063" s="5"/>
      <c r="N4063" s="53"/>
      <c r="Q4063" s="5"/>
      <c r="R4063" s="5"/>
      <c r="S4063" s="5"/>
      <c r="T4063" s="5"/>
      <c r="U4063" s="5"/>
      <c r="V4063" s="5"/>
    </row>
    <row r="4064" ht="12.75" customHeight="1">
      <c r="A4064" s="5"/>
      <c r="B4064" s="5"/>
      <c r="C4064" s="5"/>
      <c r="D4064" s="5"/>
      <c r="E4064" s="7"/>
      <c r="F4064" s="5"/>
      <c r="G4064" s="5"/>
      <c r="H4064" s="5"/>
      <c r="I4064" s="5"/>
      <c r="J4064" s="5"/>
      <c r="K4064" s="5"/>
      <c r="L4064" s="54"/>
      <c r="M4064" s="5"/>
      <c r="N4064" s="53"/>
      <c r="Q4064" s="5"/>
      <c r="R4064" s="5"/>
      <c r="S4064" s="5"/>
      <c r="T4064" s="5"/>
      <c r="U4064" s="5"/>
      <c r="V4064" s="5"/>
    </row>
    <row r="4065" ht="12.75" customHeight="1">
      <c r="A4065" s="5"/>
      <c r="B4065" s="5"/>
      <c r="C4065" s="5"/>
      <c r="D4065" s="5"/>
      <c r="E4065" s="7"/>
      <c r="F4065" s="5"/>
      <c r="G4065" s="5"/>
      <c r="H4065" s="5"/>
      <c r="I4065" s="5"/>
      <c r="J4065" s="5"/>
      <c r="K4065" s="5"/>
      <c r="L4065" s="54"/>
      <c r="M4065" s="5"/>
      <c r="N4065" s="53"/>
      <c r="Q4065" s="5"/>
      <c r="R4065" s="5"/>
      <c r="S4065" s="5"/>
      <c r="T4065" s="5"/>
      <c r="U4065" s="5"/>
      <c r="V4065" s="5"/>
    </row>
    <row r="4066" ht="12.75" customHeight="1">
      <c r="A4066" s="5"/>
      <c r="B4066" s="5"/>
      <c r="C4066" s="5"/>
      <c r="D4066" s="5"/>
      <c r="E4066" s="7"/>
      <c r="F4066" s="5"/>
      <c r="G4066" s="5"/>
      <c r="H4066" s="5"/>
      <c r="I4066" s="5"/>
      <c r="J4066" s="5"/>
      <c r="K4066" s="5"/>
      <c r="L4066" s="54"/>
      <c r="M4066" s="5"/>
      <c r="N4066" s="53"/>
      <c r="Q4066" s="5"/>
      <c r="R4066" s="5"/>
      <c r="S4066" s="5"/>
      <c r="T4066" s="5"/>
      <c r="U4066" s="5"/>
      <c r="V4066" s="5"/>
    </row>
    <row r="4067" ht="12.75" customHeight="1">
      <c r="A4067" s="5"/>
      <c r="B4067" s="5"/>
      <c r="C4067" s="5"/>
      <c r="D4067" s="5"/>
      <c r="E4067" s="7"/>
      <c r="F4067" s="5"/>
      <c r="G4067" s="5"/>
      <c r="H4067" s="5"/>
      <c r="I4067" s="5"/>
      <c r="J4067" s="5"/>
      <c r="K4067" s="5"/>
      <c r="L4067" s="54"/>
      <c r="M4067" s="5"/>
      <c r="N4067" s="53"/>
      <c r="Q4067" s="5"/>
      <c r="R4067" s="5"/>
      <c r="S4067" s="5"/>
      <c r="T4067" s="5"/>
      <c r="U4067" s="5"/>
      <c r="V4067" s="5"/>
    </row>
    <row r="4068" ht="12.75" customHeight="1">
      <c r="A4068" s="5"/>
      <c r="B4068" s="5"/>
      <c r="C4068" s="5"/>
      <c r="D4068" s="5"/>
      <c r="E4068" s="7"/>
      <c r="F4068" s="5"/>
      <c r="G4068" s="5"/>
      <c r="H4068" s="5"/>
      <c r="I4068" s="5"/>
      <c r="J4068" s="5"/>
      <c r="K4068" s="5"/>
      <c r="L4068" s="54"/>
      <c r="M4068" s="5"/>
      <c r="N4068" s="53"/>
      <c r="Q4068" s="5"/>
      <c r="R4068" s="5"/>
      <c r="S4068" s="5"/>
      <c r="T4068" s="5"/>
      <c r="U4068" s="5"/>
      <c r="V4068" s="5"/>
    </row>
    <row r="4069" ht="12.75" customHeight="1">
      <c r="A4069" s="5"/>
      <c r="B4069" s="5"/>
      <c r="C4069" s="5"/>
      <c r="D4069" s="5"/>
      <c r="E4069" s="7"/>
      <c r="F4069" s="5"/>
      <c r="G4069" s="5"/>
      <c r="H4069" s="5"/>
      <c r="I4069" s="5"/>
      <c r="J4069" s="5"/>
      <c r="K4069" s="5"/>
      <c r="L4069" s="54"/>
      <c r="M4069" s="5"/>
      <c r="N4069" s="53"/>
      <c r="Q4069" s="5"/>
      <c r="R4069" s="5"/>
      <c r="S4069" s="5"/>
      <c r="T4069" s="5"/>
      <c r="U4069" s="5"/>
      <c r="V4069" s="5"/>
    </row>
    <row r="4070" ht="12.75" customHeight="1">
      <c r="A4070" s="5"/>
      <c r="B4070" s="5"/>
      <c r="C4070" s="5"/>
      <c r="D4070" s="5"/>
      <c r="E4070" s="7"/>
      <c r="F4070" s="5"/>
      <c r="G4070" s="5"/>
      <c r="H4070" s="5"/>
      <c r="I4070" s="5"/>
      <c r="J4070" s="5"/>
      <c r="K4070" s="5"/>
      <c r="L4070" s="54"/>
      <c r="M4070" s="5"/>
      <c r="N4070" s="53"/>
      <c r="Q4070" s="5"/>
      <c r="R4070" s="5"/>
      <c r="S4070" s="5"/>
      <c r="T4070" s="5"/>
      <c r="U4070" s="5"/>
      <c r="V4070" s="5"/>
    </row>
    <row r="4071" ht="12.75" customHeight="1">
      <c r="A4071" s="5"/>
      <c r="B4071" s="5"/>
      <c r="C4071" s="5"/>
      <c r="D4071" s="5"/>
      <c r="E4071" s="7"/>
      <c r="F4071" s="5"/>
      <c r="G4071" s="5"/>
      <c r="H4071" s="5"/>
      <c r="I4071" s="5"/>
      <c r="J4071" s="5"/>
      <c r="K4071" s="5"/>
      <c r="L4071" s="54"/>
      <c r="M4071" s="5"/>
      <c r="N4071" s="53"/>
      <c r="Q4071" s="5"/>
      <c r="R4071" s="5"/>
      <c r="S4071" s="5"/>
      <c r="T4071" s="5"/>
      <c r="U4071" s="5"/>
      <c r="V4071" s="5"/>
    </row>
    <row r="4072" ht="12.75" customHeight="1">
      <c r="A4072" s="5"/>
      <c r="B4072" s="5"/>
      <c r="C4072" s="5"/>
      <c r="D4072" s="5"/>
      <c r="E4072" s="7"/>
      <c r="F4072" s="5"/>
      <c r="G4072" s="5"/>
      <c r="H4072" s="5"/>
      <c r="I4072" s="5"/>
      <c r="J4072" s="5"/>
      <c r="K4072" s="5"/>
      <c r="L4072" s="54"/>
      <c r="M4072" s="5"/>
      <c r="N4072" s="53"/>
      <c r="Q4072" s="5"/>
      <c r="R4072" s="5"/>
      <c r="S4072" s="5"/>
      <c r="T4072" s="5"/>
      <c r="U4072" s="5"/>
      <c r="V4072" s="5"/>
    </row>
    <row r="4073" ht="12.75" customHeight="1">
      <c r="A4073" s="5"/>
      <c r="B4073" s="5"/>
      <c r="C4073" s="5"/>
      <c r="D4073" s="5"/>
      <c r="E4073" s="7"/>
      <c r="F4073" s="5"/>
      <c r="G4073" s="5"/>
      <c r="H4073" s="5"/>
      <c r="I4073" s="5"/>
      <c r="J4073" s="5"/>
      <c r="K4073" s="5"/>
      <c r="L4073" s="54"/>
      <c r="M4073" s="5"/>
      <c r="N4073" s="53"/>
      <c r="Q4073" s="5"/>
      <c r="R4073" s="5"/>
      <c r="S4073" s="5"/>
      <c r="T4073" s="5"/>
      <c r="U4073" s="5"/>
      <c r="V4073" s="5"/>
    </row>
    <row r="4074" ht="12.75" customHeight="1">
      <c r="A4074" s="5"/>
      <c r="B4074" s="5"/>
      <c r="C4074" s="5"/>
      <c r="D4074" s="5"/>
      <c r="E4074" s="7"/>
      <c r="F4074" s="5"/>
      <c r="G4074" s="5"/>
      <c r="H4074" s="5"/>
      <c r="I4074" s="5"/>
      <c r="J4074" s="5"/>
      <c r="K4074" s="5"/>
      <c r="L4074" s="54"/>
      <c r="M4074" s="5"/>
      <c r="N4074" s="53"/>
      <c r="Q4074" s="5"/>
      <c r="R4074" s="5"/>
      <c r="S4074" s="5"/>
      <c r="T4074" s="5"/>
      <c r="U4074" s="5"/>
      <c r="V4074" s="5"/>
    </row>
    <row r="4075" ht="12.75" customHeight="1">
      <c r="A4075" s="5"/>
      <c r="B4075" s="5"/>
      <c r="C4075" s="5"/>
      <c r="D4075" s="5"/>
      <c r="E4075" s="7"/>
      <c r="F4075" s="5"/>
      <c r="G4075" s="5"/>
      <c r="H4075" s="5"/>
      <c r="I4075" s="5"/>
      <c r="J4075" s="5"/>
      <c r="K4075" s="5"/>
      <c r="L4075" s="54"/>
      <c r="M4075" s="5"/>
      <c r="N4075" s="53"/>
      <c r="Q4075" s="5"/>
      <c r="R4075" s="5"/>
      <c r="S4075" s="5"/>
      <c r="T4075" s="5"/>
      <c r="U4075" s="5"/>
      <c r="V4075" s="5"/>
    </row>
    <row r="4076" ht="12.75" customHeight="1">
      <c r="A4076" s="5"/>
      <c r="B4076" s="5"/>
      <c r="C4076" s="5"/>
      <c r="D4076" s="5"/>
      <c r="E4076" s="7"/>
      <c r="F4076" s="5"/>
      <c r="G4076" s="5"/>
      <c r="H4076" s="5"/>
      <c r="I4076" s="5"/>
      <c r="J4076" s="5"/>
      <c r="K4076" s="5"/>
      <c r="L4076" s="54"/>
      <c r="M4076" s="5"/>
      <c r="N4076" s="53"/>
      <c r="Q4076" s="5"/>
      <c r="R4076" s="5"/>
      <c r="S4076" s="5"/>
      <c r="T4076" s="5"/>
      <c r="U4076" s="5"/>
      <c r="V4076" s="5"/>
    </row>
    <row r="4077" ht="12.75" customHeight="1">
      <c r="A4077" s="5"/>
      <c r="B4077" s="5"/>
      <c r="C4077" s="5"/>
      <c r="D4077" s="5"/>
      <c r="E4077" s="7"/>
      <c r="F4077" s="5"/>
      <c r="G4077" s="5"/>
      <c r="H4077" s="5"/>
      <c r="I4077" s="5"/>
      <c r="J4077" s="5"/>
      <c r="K4077" s="5"/>
      <c r="L4077" s="54"/>
      <c r="M4077" s="5"/>
      <c r="N4077" s="53"/>
      <c r="Q4077" s="5"/>
      <c r="R4077" s="5"/>
      <c r="S4077" s="5"/>
      <c r="T4077" s="5"/>
      <c r="U4077" s="5"/>
      <c r="V4077" s="5"/>
    </row>
    <row r="4078" ht="12.75" customHeight="1">
      <c r="A4078" s="5"/>
      <c r="B4078" s="5"/>
      <c r="C4078" s="5"/>
      <c r="D4078" s="5"/>
      <c r="E4078" s="7"/>
      <c r="F4078" s="5"/>
      <c r="G4078" s="5"/>
      <c r="H4078" s="5"/>
      <c r="I4078" s="5"/>
      <c r="J4078" s="5"/>
      <c r="K4078" s="5"/>
      <c r="L4078" s="54"/>
      <c r="M4078" s="5"/>
      <c r="N4078" s="53"/>
      <c r="Q4078" s="5"/>
      <c r="R4078" s="5"/>
      <c r="S4078" s="5"/>
      <c r="T4078" s="5"/>
      <c r="U4078" s="5"/>
      <c r="V4078" s="5"/>
    </row>
    <row r="4079" ht="12.75" customHeight="1">
      <c r="A4079" s="5"/>
      <c r="B4079" s="5"/>
      <c r="C4079" s="5"/>
      <c r="D4079" s="5"/>
      <c r="E4079" s="7"/>
      <c r="F4079" s="5"/>
      <c r="G4079" s="5"/>
      <c r="H4079" s="5"/>
      <c r="I4079" s="5"/>
      <c r="J4079" s="5"/>
      <c r="K4079" s="5"/>
      <c r="L4079" s="54"/>
      <c r="M4079" s="5"/>
      <c r="N4079" s="53"/>
      <c r="Q4079" s="5"/>
      <c r="R4079" s="5"/>
      <c r="S4079" s="5"/>
      <c r="T4079" s="5"/>
      <c r="U4079" s="5"/>
      <c r="V4079" s="5"/>
    </row>
    <row r="4080" ht="12.75" customHeight="1">
      <c r="A4080" s="5"/>
      <c r="B4080" s="5"/>
      <c r="C4080" s="5"/>
      <c r="D4080" s="5"/>
      <c r="E4080" s="7"/>
      <c r="F4080" s="5"/>
      <c r="G4080" s="5"/>
      <c r="H4080" s="5"/>
      <c r="I4080" s="5"/>
      <c r="J4080" s="5"/>
      <c r="K4080" s="5"/>
      <c r="L4080" s="54"/>
      <c r="M4080" s="5"/>
      <c r="N4080" s="53"/>
      <c r="Q4080" s="5"/>
      <c r="R4080" s="5"/>
      <c r="S4080" s="5"/>
      <c r="T4080" s="5"/>
      <c r="U4080" s="5"/>
      <c r="V4080" s="5"/>
    </row>
    <row r="4081" ht="12.75" customHeight="1">
      <c r="A4081" s="5"/>
      <c r="B4081" s="5"/>
      <c r="C4081" s="5"/>
      <c r="D4081" s="5"/>
      <c r="E4081" s="7"/>
      <c r="F4081" s="5"/>
      <c r="G4081" s="5"/>
      <c r="H4081" s="5"/>
      <c r="I4081" s="5"/>
      <c r="J4081" s="5"/>
      <c r="K4081" s="5"/>
      <c r="L4081" s="54"/>
      <c r="M4081" s="5"/>
      <c r="N4081" s="53"/>
      <c r="Q4081" s="5"/>
      <c r="R4081" s="5"/>
      <c r="S4081" s="5"/>
      <c r="T4081" s="5"/>
      <c r="U4081" s="5"/>
      <c r="V4081" s="5"/>
    </row>
    <row r="4082" ht="12.75" customHeight="1">
      <c r="A4082" s="5"/>
      <c r="B4082" s="5"/>
      <c r="C4082" s="5"/>
      <c r="D4082" s="5"/>
      <c r="E4082" s="7"/>
      <c r="F4082" s="5"/>
      <c r="G4082" s="5"/>
      <c r="H4082" s="5"/>
      <c r="I4082" s="5"/>
      <c r="J4082" s="5"/>
      <c r="K4082" s="5"/>
      <c r="L4082" s="54"/>
      <c r="M4082" s="5"/>
      <c r="N4082" s="53"/>
      <c r="Q4082" s="5"/>
      <c r="R4082" s="5"/>
      <c r="S4082" s="5"/>
      <c r="T4082" s="5"/>
      <c r="U4082" s="5"/>
      <c r="V4082" s="5"/>
    </row>
    <row r="4083" ht="12.75" customHeight="1">
      <c r="A4083" s="5"/>
      <c r="B4083" s="5"/>
      <c r="C4083" s="5"/>
      <c r="D4083" s="5"/>
      <c r="E4083" s="7"/>
      <c r="F4083" s="5"/>
      <c r="G4083" s="5"/>
      <c r="H4083" s="5"/>
      <c r="I4083" s="5"/>
      <c r="J4083" s="5"/>
      <c r="K4083" s="5"/>
      <c r="L4083" s="54"/>
      <c r="M4083" s="5"/>
      <c r="N4083" s="53"/>
      <c r="Q4083" s="5"/>
      <c r="R4083" s="5"/>
      <c r="S4083" s="5"/>
      <c r="T4083" s="5"/>
      <c r="U4083" s="5"/>
      <c r="V4083" s="5"/>
    </row>
    <row r="4084" ht="12.75" customHeight="1">
      <c r="A4084" s="5"/>
      <c r="B4084" s="5"/>
      <c r="C4084" s="5"/>
      <c r="D4084" s="5"/>
      <c r="E4084" s="7"/>
      <c r="F4084" s="5"/>
      <c r="G4084" s="5"/>
      <c r="H4084" s="5"/>
      <c r="I4084" s="5"/>
      <c r="J4084" s="5"/>
      <c r="K4084" s="5"/>
      <c r="L4084" s="54"/>
      <c r="M4084" s="5"/>
      <c r="N4084" s="53"/>
      <c r="Q4084" s="5"/>
      <c r="R4084" s="5"/>
      <c r="S4084" s="5"/>
      <c r="T4084" s="5"/>
      <c r="U4084" s="5"/>
      <c r="V4084" s="5"/>
    </row>
    <row r="4085" ht="12.75" customHeight="1">
      <c r="A4085" s="5"/>
      <c r="B4085" s="5"/>
      <c r="C4085" s="5"/>
      <c r="D4085" s="5"/>
      <c r="E4085" s="7"/>
      <c r="F4085" s="5"/>
      <c r="G4085" s="5"/>
      <c r="H4085" s="5"/>
      <c r="I4085" s="5"/>
      <c r="J4085" s="5"/>
      <c r="K4085" s="5"/>
      <c r="L4085" s="54"/>
      <c r="M4085" s="5"/>
      <c r="N4085" s="53"/>
      <c r="Q4085" s="5"/>
      <c r="R4085" s="5"/>
      <c r="S4085" s="5"/>
      <c r="T4085" s="5"/>
      <c r="U4085" s="5"/>
      <c r="V4085" s="5"/>
    </row>
    <row r="4086" ht="12.75" customHeight="1">
      <c r="A4086" s="5"/>
      <c r="B4086" s="5"/>
      <c r="C4086" s="5"/>
      <c r="D4086" s="5"/>
      <c r="E4086" s="7"/>
      <c r="F4086" s="5"/>
      <c r="G4086" s="5"/>
      <c r="H4086" s="5"/>
      <c r="I4086" s="5"/>
      <c r="J4086" s="5"/>
      <c r="K4086" s="5"/>
      <c r="L4086" s="54"/>
      <c r="M4086" s="5"/>
      <c r="N4086" s="53"/>
      <c r="Q4086" s="5"/>
      <c r="R4086" s="5"/>
      <c r="S4086" s="5"/>
      <c r="T4086" s="5"/>
      <c r="U4086" s="5"/>
      <c r="V4086" s="5"/>
    </row>
    <row r="4087" ht="12.75" customHeight="1">
      <c r="A4087" s="5"/>
      <c r="B4087" s="5"/>
      <c r="C4087" s="5"/>
      <c r="D4087" s="5"/>
      <c r="E4087" s="7"/>
      <c r="F4087" s="5"/>
      <c r="G4087" s="5"/>
      <c r="H4087" s="5"/>
      <c r="I4087" s="5"/>
      <c r="J4087" s="5"/>
      <c r="K4087" s="5"/>
      <c r="L4087" s="54"/>
      <c r="M4087" s="5"/>
      <c r="N4087" s="53"/>
      <c r="Q4087" s="5"/>
      <c r="R4087" s="5"/>
      <c r="S4087" s="5"/>
      <c r="T4087" s="5"/>
      <c r="U4087" s="5"/>
      <c r="V4087" s="5"/>
    </row>
    <row r="4088" ht="12.75" customHeight="1">
      <c r="A4088" s="5"/>
      <c r="B4088" s="5"/>
      <c r="C4088" s="5"/>
      <c r="D4088" s="5"/>
      <c r="E4088" s="7"/>
      <c r="F4088" s="5"/>
      <c r="G4088" s="5"/>
      <c r="H4088" s="5"/>
      <c r="I4088" s="5"/>
      <c r="J4088" s="5"/>
      <c r="K4088" s="5"/>
      <c r="L4088" s="54"/>
      <c r="M4088" s="5"/>
      <c r="N4088" s="53"/>
      <c r="Q4088" s="5"/>
      <c r="R4088" s="5"/>
      <c r="S4088" s="5"/>
      <c r="T4088" s="5"/>
      <c r="U4088" s="5"/>
      <c r="V4088" s="5"/>
    </row>
    <row r="4089" ht="12.75" customHeight="1">
      <c r="A4089" s="5"/>
      <c r="B4089" s="5"/>
      <c r="C4089" s="5"/>
      <c r="D4089" s="5"/>
      <c r="E4089" s="7"/>
      <c r="F4089" s="5"/>
      <c r="G4089" s="5"/>
      <c r="H4089" s="5"/>
      <c r="I4089" s="5"/>
      <c r="J4089" s="5"/>
      <c r="K4089" s="5"/>
      <c r="L4089" s="54"/>
      <c r="M4089" s="5"/>
      <c r="N4089" s="53"/>
      <c r="Q4089" s="5"/>
      <c r="R4089" s="5"/>
      <c r="S4089" s="5"/>
      <c r="T4089" s="5"/>
      <c r="U4089" s="5"/>
      <c r="V4089" s="5"/>
    </row>
    <row r="4090" ht="12.75" customHeight="1">
      <c r="A4090" s="5"/>
      <c r="B4090" s="5"/>
      <c r="C4090" s="5"/>
      <c r="D4090" s="5"/>
      <c r="E4090" s="7"/>
      <c r="F4090" s="5"/>
      <c r="G4090" s="5"/>
      <c r="H4090" s="5"/>
      <c r="I4090" s="5"/>
      <c r="J4090" s="5"/>
      <c r="K4090" s="5"/>
      <c r="L4090" s="54"/>
      <c r="M4090" s="5"/>
      <c r="N4090" s="53"/>
      <c r="Q4090" s="5"/>
      <c r="R4090" s="5"/>
      <c r="S4090" s="5"/>
      <c r="T4090" s="5"/>
      <c r="U4090" s="5"/>
      <c r="V4090" s="5"/>
    </row>
    <row r="4091" ht="12.75" customHeight="1">
      <c r="A4091" s="5"/>
      <c r="B4091" s="5"/>
      <c r="C4091" s="5"/>
      <c r="D4091" s="5"/>
      <c r="E4091" s="7"/>
      <c r="F4091" s="5"/>
      <c r="G4091" s="5"/>
      <c r="H4091" s="5"/>
      <c r="I4091" s="5"/>
      <c r="J4091" s="5"/>
      <c r="K4091" s="5"/>
      <c r="L4091" s="54"/>
      <c r="M4091" s="5"/>
      <c r="N4091" s="53"/>
      <c r="Q4091" s="5"/>
      <c r="R4091" s="5"/>
      <c r="S4091" s="5"/>
      <c r="T4091" s="5"/>
      <c r="U4091" s="5"/>
      <c r="V4091" s="5"/>
    </row>
    <row r="4092" ht="12.75" customHeight="1">
      <c r="A4092" s="5"/>
      <c r="B4092" s="5"/>
      <c r="C4092" s="5"/>
      <c r="D4092" s="5"/>
      <c r="E4092" s="7"/>
      <c r="F4092" s="5"/>
      <c r="G4092" s="5"/>
      <c r="H4092" s="5"/>
      <c r="I4092" s="5"/>
      <c r="J4092" s="5"/>
      <c r="K4092" s="5"/>
      <c r="L4092" s="54"/>
      <c r="M4092" s="5"/>
      <c r="N4092" s="53"/>
      <c r="Q4092" s="5"/>
      <c r="R4092" s="5"/>
      <c r="S4092" s="5"/>
      <c r="T4092" s="5"/>
      <c r="U4092" s="5"/>
      <c r="V4092" s="5"/>
    </row>
    <row r="4093" ht="12.75" customHeight="1">
      <c r="A4093" s="5"/>
      <c r="B4093" s="5"/>
      <c r="C4093" s="5"/>
      <c r="D4093" s="5"/>
      <c r="E4093" s="7"/>
      <c r="F4093" s="5"/>
      <c r="G4093" s="5"/>
      <c r="H4093" s="5"/>
      <c r="I4093" s="5"/>
      <c r="J4093" s="5"/>
      <c r="K4093" s="5"/>
      <c r="L4093" s="54"/>
      <c r="M4093" s="5"/>
      <c r="N4093" s="53"/>
      <c r="Q4093" s="5"/>
      <c r="R4093" s="5"/>
      <c r="S4093" s="5"/>
      <c r="T4093" s="5"/>
      <c r="U4093" s="5"/>
      <c r="V4093" s="5"/>
    </row>
    <row r="4094" ht="12.75" customHeight="1">
      <c r="A4094" s="5"/>
      <c r="B4094" s="5"/>
      <c r="C4094" s="5"/>
      <c r="D4094" s="5"/>
      <c r="E4094" s="7"/>
      <c r="F4094" s="5"/>
      <c r="G4094" s="5"/>
      <c r="H4094" s="5"/>
      <c r="I4094" s="5"/>
      <c r="J4094" s="5"/>
      <c r="K4094" s="5"/>
      <c r="L4094" s="54"/>
      <c r="M4094" s="5"/>
      <c r="N4094" s="53"/>
      <c r="Q4094" s="5"/>
      <c r="R4094" s="5"/>
      <c r="S4094" s="5"/>
      <c r="T4094" s="5"/>
      <c r="U4094" s="5"/>
      <c r="V4094" s="5"/>
    </row>
    <row r="4095" ht="12.75" customHeight="1">
      <c r="A4095" s="5"/>
      <c r="B4095" s="5"/>
      <c r="C4095" s="5"/>
      <c r="D4095" s="5"/>
      <c r="E4095" s="7"/>
      <c r="F4095" s="5"/>
      <c r="G4095" s="5"/>
      <c r="H4095" s="5"/>
      <c r="I4095" s="5"/>
      <c r="J4095" s="5"/>
      <c r="K4095" s="5"/>
      <c r="L4095" s="54"/>
      <c r="M4095" s="5"/>
      <c r="N4095" s="53"/>
      <c r="Q4095" s="5"/>
      <c r="R4095" s="5"/>
      <c r="S4095" s="5"/>
      <c r="T4095" s="5"/>
      <c r="U4095" s="5"/>
      <c r="V4095" s="5"/>
    </row>
    <row r="4096" ht="12.75" customHeight="1">
      <c r="A4096" s="5"/>
      <c r="B4096" s="5"/>
      <c r="C4096" s="5"/>
      <c r="D4096" s="5"/>
      <c r="E4096" s="7"/>
      <c r="F4096" s="5"/>
      <c r="G4096" s="5"/>
      <c r="H4096" s="5"/>
      <c r="I4096" s="5"/>
      <c r="J4096" s="5"/>
      <c r="K4096" s="5"/>
      <c r="L4096" s="54"/>
      <c r="M4096" s="5"/>
      <c r="N4096" s="53"/>
      <c r="Q4096" s="5"/>
      <c r="R4096" s="5"/>
      <c r="S4096" s="5"/>
      <c r="T4096" s="5"/>
      <c r="U4096" s="5"/>
      <c r="V4096" s="5"/>
    </row>
    <row r="4097" ht="12.75" customHeight="1">
      <c r="A4097" s="5"/>
      <c r="B4097" s="5"/>
      <c r="C4097" s="5"/>
      <c r="D4097" s="5"/>
      <c r="E4097" s="7"/>
      <c r="F4097" s="5"/>
      <c r="G4097" s="5"/>
      <c r="H4097" s="5"/>
      <c r="I4097" s="5"/>
      <c r="J4097" s="5"/>
      <c r="K4097" s="5"/>
      <c r="L4097" s="54"/>
      <c r="M4097" s="5"/>
      <c r="N4097" s="53"/>
      <c r="Q4097" s="5"/>
      <c r="R4097" s="5"/>
      <c r="S4097" s="5"/>
      <c r="T4097" s="5"/>
      <c r="U4097" s="5"/>
      <c r="V4097" s="5"/>
    </row>
    <row r="4098" ht="12.75" customHeight="1">
      <c r="A4098" s="5"/>
      <c r="B4098" s="5"/>
      <c r="C4098" s="5"/>
      <c r="D4098" s="5"/>
      <c r="E4098" s="7"/>
      <c r="F4098" s="5"/>
      <c r="G4098" s="5"/>
      <c r="H4098" s="5"/>
      <c r="I4098" s="5"/>
      <c r="J4098" s="5"/>
      <c r="K4098" s="5"/>
      <c r="L4098" s="54"/>
      <c r="M4098" s="5"/>
      <c r="N4098" s="53"/>
      <c r="Q4098" s="5"/>
      <c r="R4098" s="5"/>
      <c r="S4098" s="5"/>
      <c r="T4098" s="5"/>
      <c r="U4098" s="5"/>
      <c r="V4098" s="5"/>
    </row>
    <row r="4099" ht="12.75" customHeight="1">
      <c r="A4099" s="5"/>
      <c r="B4099" s="5"/>
      <c r="C4099" s="5"/>
      <c r="D4099" s="5"/>
      <c r="E4099" s="7"/>
      <c r="F4099" s="5"/>
      <c r="G4099" s="5"/>
      <c r="H4099" s="5"/>
      <c r="I4099" s="5"/>
      <c r="J4099" s="5"/>
      <c r="K4099" s="5"/>
      <c r="L4099" s="54"/>
      <c r="M4099" s="5"/>
      <c r="N4099" s="53"/>
      <c r="Q4099" s="5"/>
      <c r="R4099" s="5"/>
      <c r="S4099" s="5"/>
      <c r="T4099" s="5"/>
      <c r="U4099" s="5"/>
      <c r="V4099" s="5"/>
    </row>
    <row r="4100" ht="12.75" customHeight="1">
      <c r="A4100" s="5"/>
      <c r="B4100" s="5"/>
      <c r="C4100" s="5"/>
      <c r="D4100" s="5"/>
      <c r="E4100" s="7"/>
      <c r="F4100" s="5"/>
      <c r="G4100" s="5"/>
      <c r="H4100" s="5"/>
      <c r="I4100" s="5"/>
      <c r="J4100" s="5"/>
      <c r="K4100" s="5"/>
      <c r="L4100" s="54"/>
      <c r="M4100" s="5"/>
      <c r="N4100" s="53"/>
      <c r="Q4100" s="5"/>
      <c r="R4100" s="5"/>
      <c r="S4100" s="5"/>
      <c r="T4100" s="5"/>
      <c r="U4100" s="5"/>
      <c r="V4100" s="5"/>
    </row>
    <row r="4101" ht="12.75" customHeight="1">
      <c r="A4101" s="5"/>
      <c r="B4101" s="5"/>
      <c r="C4101" s="5"/>
      <c r="D4101" s="5"/>
      <c r="E4101" s="7"/>
      <c r="F4101" s="5"/>
      <c r="G4101" s="5"/>
      <c r="H4101" s="5"/>
      <c r="I4101" s="5"/>
      <c r="J4101" s="5"/>
      <c r="K4101" s="5"/>
      <c r="L4101" s="54"/>
      <c r="M4101" s="5"/>
      <c r="N4101" s="53"/>
      <c r="Q4101" s="5"/>
      <c r="R4101" s="5"/>
      <c r="S4101" s="5"/>
      <c r="T4101" s="5"/>
      <c r="U4101" s="5"/>
      <c r="V4101" s="5"/>
    </row>
    <row r="4102" ht="12.75" customHeight="1">
      <c r="A4102" s="5"/>
      <c r="B4102" s="5"/>
      <c r="C4102" s="5"/>
      <c r="D4102" s="5"/>
      <c r="E4102" s="7"/>
      <c r="F4102" s="5"/>
      <c r="G4102" s="5"/>
      <c r="H4102" s="5"/>
      <c r="I4102" s="5"/>
      <c r="J4102" s="5"/>
      <c r="K4102" s="5"/>
      <c r="L4102" s="54"/>
      <c r="M4102" s="5"/>
      <c r="N4102" s="53"/>
      <c r="Q4102" s="5"/>
      <c r="R4102" s="5"/>
      <c r="S4102" s="5"/>
      <c r="T4102" s="5"/>
      <c r="U4102" s="5"/>
      <c r="V4102" s="5"/>
    </row>
    <row r="4103" ht="12.75" customHeight="1">
      <c r="A4103" s="5"/>
      <c r="B4103" s="5"/>
      <c r="C4103" s="5"/>
      <c r="D4103" s="5"/>
      <c r="E4103" s="7"/>
      <c r="F4103" s="5"/>
      <c r="G4103" s="5"/>
      <c r="H4103" s="5"/>
      <c r="I4103" s="5"/>
      <c r="J4103" s="5"/>
      <c r="K4103" s="5"/>
      <c r="L4103" s="54"/>
      <c r="M4103" s="5"/>
      <c r="N4103" s="53"/>
      <c r="Q4103" s="5"/>
      <c r="R4103" s="5"/>
      <c r="S4103" s="5"/>
      <c r="T4103" s="5"/>
      <c r="U4103" s="5"/>
      <c r="V4103" s="5"/>
    </row>
    <row r="4104" ht="12.75" customHeight="1">
      <c r="A4104" s="5"/>
      <c r="B4104" s="5"/>
      <c r="C4104" s="5"/>
      <c r="D4104" s="5"/>
      <c r="E4104" s="7"/>
      <c r="F4104" s="5"/>
      <c r="G4104" s="5"/>
      <c r="H4104" s="5"/>
      <c r="I4104" s="5"/>
      <c r="J4104" s="5"/>
      <c r="K4104" s="5"/>
      <c r="L4104" s="54"/>
      <c r="M4104" s="5"/>
      <c r="N4104" s="53"/>
      <c r="Q4104" s="5"/>
      <c r="R4104" s="5"/>
      <c r="S4104" s="5"/>
      <c r="T4104" s="5"/>
      <c r="U4104" s="5"/>
      <c r="V4104" s="5"/>
    </row>
    <row r="4105" ht="12.75" customHeight="1">
      <c r="A4105" s="5"/>
      <c r="B4105" s="5"/>
      <c r="C4105" s="5"/>
      <c r="D4105" s="5"/>
      <c r="E4105" s="7"/>
      <c r="F4105" s="5"/>
      <c r="G4105" s="5"/>
      <c r="H4105" s="5"/>
      <c r="I4105" s="5"/>
      <c r="J4105" s="5"/>
      <c r="K4105" s="5"/>
      <c r="L4105" s="54"/>
      <c r="M4105" s="5"/>
      <c r="N4105" s="53"/>
      <c r="Q4105" s="5"/>
      <c r="R4105" s="5"/>
      <c r="S4105" s="5"/>
      <c r="T4105" s="5"/>
      <c r="U4105" s="5"/>
      <c r="V4105" s="5"/>
    </row>
    <row r="4106" ht="12.75" customHeight="1">
      <c r="A4106" s="5"/>
      <c r="B4106" s="5"/>
      <c r="C4106" s="5"/>
      <c r="D4106" s="5"/>
      <c r="E4106" s="7"/>
      <c r="F4106" s="5"/>
      <c r="G4106" s="5"/>
      <c r="H4106" s="5"/>
      <c r="I4106" s="5"/>
      <c r="J4106" s="5"/>
      <c r="K4106" s="5"/>
      <c r="L4106" s="54"/>
      <c r="M4106" s="5"/>
      <c r="N4106" s="53"/>
      <c r="Q4106" s="5"/>
      <c r="R4106" s="5"/>
      <c r="S4106" s="5"/>
      <c r="T4106" s="5"/>
      <c r="U4106" s="5"/>
      <c r="V4106" s="5"/>
    </row>
    <row r="4107" ht="12.75" customHeight="1">
      <c r="A4107" s="5"/>
      <c r="B4107" s="5"/>
      <c r="C4107" s="5"/>
      <c r="D4107" s="5"/>
      <c r="E4107" s="7"/>
      <c r="F4107" s="5"/>
      <c r="G4107" s="5"/>
      <c r="H4107" s="5"/>
      <c r="I4107" s="5"/>
      <c r="J4107" s="5"/>
      <c r="K4107" s="5"/>
      <c r="L4107" s="54"/>
      <c r="M4107" s="5"/>
      <c r="N4107" s="53"/>
      <c r="Q4107" s="5"/>
      <c r="R4107" s="5"/>
      <c r="S4107" s="5"/>
      <c r="T4107" s="5"/>
      <c r="U4107" s="5"/>
      <c r="V4107" s="5"/>
    </row>
    <row r="4108" ht="12.75" customHeight="1">
      <c r="A4108" s="5"/>
      <c r="B4108" s="5"/>
      <c r="C4108" s="5"/>
      <c r="D4108" s="5"/>
      <c r="E4108" s="7"/>
      <c r="F4108" s="5"/>
      <c r="G4108" s="5"/>
      <c r="H4108" s="5"/>
      <c r="I4108" s="5"/>
      <c r="J4108" s="5"/>
      <c r="K4108" s="5"/>
      <c r="L4108" s="54"/>
      <c r="M4108" s="5"/>
      <c r="N4108" s="53"/>
      <c r="Q4108" s="5"/>
      <c r="R4108" s="5"/>
      <c r="S4108" s="5"/>
      <c r="T4108" s="5"/>
      <c r="U4108" s="5"/>
      <c r="V4108" s="5"/>
    </row>
    <row r="4109" ht="12.75" customHeight="1">
      <c r="A4109" s="5"/>
      <c r="B4109" s="5"/>
      <c r="C4109" s="5"/>
      <c r="D4109" s="5"/>
      <c r="E4109" s="7"/>
      <c r="F4109" s="5"/>
      <c r="G4109" s="5"/>
      <c r="H4109" s="5"/>
      <c r="I4109" s="5"/>
      <c r="J4109" s="5"/>
      <c r="K4109" s="5"/>
      <c r="L4109" s="54"/>
      <c r="M4109" s="5"/>
      <c r="N4109" s="53"/>
      <c r="Q4109" s="5"/>
      <c r="R4109" s="5"/>
      <c r="S4109" s="5"/>
      <c r="T4109" s="5"/>
      <c r="U4109" s="5"/>
      <c r="V4109" s="5"/>
    </row>
    <row r="4110" ht="12.75" customHeight="1">
      <c r="A4110" s="5"/>
      <c r="B4110" s="5"/>
      <c r="C4110" s="5"/>
      <c r="D4110" s="5"/>
      <c r="E4110" s="7"/>
      <c r="F4110" s="5"/>
      <c r="G4110" s="5"/>
      <c r="H4110" s="5"/>
      <c r="I4110" s="5"/>
      <c r="J4110" s="5"/>
      <c r="K4110" s="5"/>
      <c r="L4110" s="54"/>
      <c r="M4110" s="5"/>
      <c r="N4110" s="53"/>
      <c r="Q4110" s="5"/>
      <c r="R4110" s="5"/>
      <c r="S4110" s="5"/>
      <c r="T4110" s="5"/>
      <c r="U4110" s="5"/>
      <c r="V4110" s="5"/>
    </row>
    <row r="4111" ht="12.75" customHeight="1">
      <c r="A4111" s="5"/>
      <c r="B4111" s="5"/>
      <c r="C4111" s="5"/>
      <c r="D4111" s="5"/>
      <c r="E4111" s="7"/>
      <c r="F4111" s="5"/>
      <c r="G4111" s="5"/>
      <c r="H4111" s="5"/>
      <c r="I4111" s="5"/>
      <c r="J4111" s="5"/>
      <c r="K4111" s="5"/>
      <c r="L4111" s="54"/>
      <c r="M4111" s="5"/>
      <c r="N4111" s="53"/>
      <c r="Q4111" s="5"/>
      <c r="R4111" s="5"/>
      <c r="S4111" s="5"/>
      <c r="T4111" s="5"/>
      <c r="U4111" s="5"/>
      <c r="V4111" s="5"/>
    </row>
    <row r="4112" ht="12.75" customHeight="1">
      <c r="A4112" s="5"/>
      <c r="B4112" s="5"/>
      <c r="C4112" s="5"/>
      <c r="D4112" s="5"/>
      <c r="E4112" s="7"/>
      <c r="F4112" s="5"/>
      <c r="G4112" s="5"/>
      <c r="H4112" s="5"/>
      <c r="I4112" s="5"/>
      <c r="J4112" s="5"/>
      <c r="K4112" s="5"/>
      <c r="L4112" s="54"/>
      <c r="M4112" s="5"/>
      <c r="N4112" s="53"/>
      <c r="Q4112" s="5"/>
      <c r="R4112" s="5"/>
      <c r="S4112" s="5"/>
      <c r="T4112" s="5"/>
      <c r="U4112" s="5"/>
      <c r="V4112" s="5"/>
    </row>
    <row r="4113" ht="12.75" customHeight="1">
      <c r="A4113" s="5"/>
      <c r="B4113" s="5"/>
      <c r="C4113" s="5"/>
      <c r="D4113" s="5"/>
      <c r="E4113" s="7"/>
      <c r="F4113" s="5"/>
      <c r="G4113" s="5"/>
      <c r="H4113" s="5"/>
      <c r="I4113" s="5"/>
      <c r="J4113" s="5"/>
      <c r="K4113" s="5"/>
      <c r="L4113" s="54"/>
      <c r="M4113" s="5"/>
      <c r="N4113" s="53"/>
      <c r="Q4113" s="5"/>
      <c r="R4113" s="5"/>
      <c r="S4113" s="5"/>
      <c r="T4113" s="5"/>
      <c r="U4113" s="5"/>
      <c r="V4113" s="5"/>
    </row>
    <row r="4114" ht="12.75" customHeight="1">
      <c r="A4114" s="5"/>
      <c r="B4114" s="5"/>
      <c r="C4114" s="5"/>
      <c r="D4114" s="5"/>
      <c r="E4114" s="7"/>
      <c r="F4114" s="5"/>
      <c r="G4114" s="5"/>
      <c r="H4114" s="5"/>
      <c r="I4114" s="5"/>
      <c r="J4114" s="5"/>
      <c r="K4114" s="5"/>
      <c r="L4114" s="54"/>
      <c r="M4114" s="5"/>
      <c r="N4114" s="53"/>
      <c r="Q4114" s="5"/>
      <c r="R4114" s="5"/>
      <c r="S4114" s="5"/>
      <c r="T4114" s="5"/>
      <c r="U4114" s="5"/>
      <c r="V4114" s="5"/>
    </row>
    <row r="4115" ht="12.75" customHeight="1">
      <c r="A4115" s="5"/>
      <c r="B4115" s="5"/>
      <c r="C4115" s="5"/>
      <c r="D4115" s="5"/>
      <c r="E4115" s="7"/>
      <c r="F4115" s="5"/>
      <c r="G4115" s="5"/>
      <c r="H4115" s="5"/>
      <c r="I4115" s="5"/>
      <c r="J4115" s="5"/>
      <c r="K4115" s="5"/>
      <c r="L4115" s="54"/>
      <c r="M4115" s="5"/>
      <c r="N4115" s="53"/>
      <c r="Q4115" s="5"/>
      <c r="R4115" s="5"/>
      <c r="S4115" s="5"/>
      <c r="T4115" s="5"/>
      <c r="U4115" s="5"/>
      <c r="V4115" s="5"/>
    </row>
    <row r="4116" ht="12.75" customHeight="1">
      <c r="A4116" s="5"/>
      <c r="B4116" s="5"/>
      <c r="C4116" s="5"/>
      <c r="D4116" s="5"/>
      <c r="E4116" s="7"/>
      <c r="F4116" s="5"/>
      <c r="G4116" s="5"/>
      <c r="H4116" s="5"/>
      <c r="I4116" s="5"/>
      <c r="J4116" s="5"/>
      <c r="K4116" s="5"/>
      <c r="L4116" s="54"/>
      <c r="M4116" s="5"/>
      <c r="N4116" s="53"/>
      <c r="Q4116" s="5"/>
      <c r="R4116" s="5"/>
      <c r="S4116" s="5"/>
      <c r="T4116" s="5"/>
      <c r="U4116" s="5"/>
      <c r="V4116" s="5"/>
    </row>
    <row r="4117" ht="12.75" customHeight="1">
      <c r="A4117" s="5"/>
      <c r="B4117" s="5"/>
      <c r="C4117" s="5"/>
      <c r="D4117" s="5"/>
      <c r="E4117" s="7"/>
      <c r="F4117" s="5"/>
      <c r="G4117" s="5"/>
      <c r="H4117" s="5"/>
      <c r="I4117" s="5"/>
      <c r="J4117" s="5"/>
      <c r="K4117" s="5"/>
      <c r="L4117" s="54"/>
      <c r="M4117" s="5"/>
      <c r="N4117" s="53"/>
      <c r="Q4117" s="5"/>
      <c r="R4117" s="5"/>
      <c r="S4117" s="5"/>
      <c r="T4117" s="5"/>
      <c r="U4117" s="5"/>
      <c r="V4117" s="5"/>
    </row>
    <row r="4118" ht="12.75" customHeight="1">
      <c r="A4118" s="5"/>
      <c r="B4118" s="5"/>
      <c r="C4118" s="5"/>
      <c r="D4118" s="5"/>
      <c r="E4118" s="7"/>
      <c r="F4118" s="5"/>
      <c r="G4118" s="5"/>
      <c r="H4118" s="5"/>
      <c r="I4118" s="5"/>
      <c r="J4118" s="5"/>
      <c r="K4118" s="5"/>
      <c r="L4118" s="54"/>
      <c r="M4118" s="5"/>
      <c r="N4118" s="53"/>
      <c r="Q4118" s="5"/>
      <c r="R4118" s="5"/>
      <c r="S4118" s="5"/>
      <c r="T4118" s="5"/>
      <c r="U4118" s="5"/>
      <c r="V4118" s="5"/>
    </row>
    <row r="4119" ht="12.75" customHeight="1">
      <c r="A4119" s="5"/>
      <c r="B4119" s="5"/>
      <c r="C4119" s="5"/>
      <c r="D4119" s="5"/>
      <c r="E4119" s="7"/>
      <c r="F4119" s="5"/>
      <c r="G4119" s="5"/>
      <c r="H4119" s="5"/>
      <c r="I4119" s="5"/>
      <c r="J4119" s="5"/>
      <c r="K4119" s="5"/>
      <c r="L4119" s="54"/>
      <c r="M4119" s="5"/>
      <c r="N4119" s="53"/>
      <c r="Q4119" s="5"/>
      <c r="R4119" s="5"/>
      <c r="S4119" s="5"/>
      <c r="T4119" s="5"/>
      <c r="U4119" s="5"/>
      <c r="V4119" s="5"/>
    </row>
    <row r="4120" ht="12.75" customHeight="1">
      <c r="A4120" s="5"/>
      <c r="B4120" s="5"/>
      <c r="C4120" s="5"/>
      <c r="D4120" s="5"/>
      <c r="E4120" s="7"/>
      <c r="F4120" s="5"/>
      <c r="G4120" s="5"/>
      <c r="H4120" s="5"/>
      <c r="I4120" s="5"/>
      <c r="J4120" s="5"/>
      <c r="K4120" s="5"/>
      <c r="L4120" s="54"/>
      <c r="M4120" s="5"/>
      <c r="N4120" s="53"/>
      <c r="Q4120" s="5"/>
      <c r="R4120" s="5"/>
      <c r="S4120" s="5"/>
      <c r="T4120" s="5"/>
      <c r="U4120" s="5"/>
      <c r="V4120" s="5"/>
    </row>
    <row r="4121" ht="12.75" customHeight="1">
      <c r="A4121" s="5"/>
      <c r="B4121" s="5"/>
      <c r="C4121" s="5"/>
      <c r="D4121" s="5"/>
      <c r="E4121" s="7"/>
      <c r="F4121" s="5"/>
      <c r="G4121" s="5"/>
      <c r="H4121" s="5"/>
      <c r="I4121" s="5"/>
      <c r="J4121" s="5"/>
      <c r="K4121" s="5"/>
      <c r="L4121" s="54"/>
      <c r="M4121" s="5"/>
      <c r="N4121" s="53"/>
      <c r="Q4121" s="5"/>
      <c r="R4121" s="5"/>
      <c r="S4121" s="5"/>
      <c r="T4121" s="5"/>
      <c r="U4121" s="5"/>
      <c r="V4121" s="5"/>
    </row>
    <row r="4122" ht="12.75" customHeight="1">
      <c r="A4122" s="5"/>
      <c r="B4122" s="5"/>
      <c r="C4122" s="5"/>
      <c r="D4122" s="5"/>
      <c r="E4122" s="7"/>
      <c r="F4122" s="5"/>
      <c r="G4122" s="5"/>
      <c r="H4122" s="5"/>
      <c r="I4122" s="5"/>
      <c r="J4122" s="5"/>
      <c r="K4122" s="5"/>
      <c r="L4122" s="54"/>
      <c r="M4122" s="5"/>
      <c r="N4122" s="53"/>
      <c r="Q4122" s="5"/>
      <c r="R4122" s="5"/>
      <c r="S4122" s="5"/>
      <c r="T4122" s="5"/>
      <c r="U4122" s="5"/>
      <c r="V4122" s="5"/>
    </row>
    <row r="4123" ht="12.75" customHeight="1">
      <c r="A4123" s="5"/>
      <c r="B4123" s="5"/>
      <c r="C4123" s="5"/>
      <c r="D4123" s="5"/>
      <c r="E4123" s="7"/>
      <c r="F4123" s="5"/>
      <c r="G4123" s="5"/>
      <c r="H4123" s="5"/>
      <c r="I4123" s="5"/>
      <c r="J4123" s="5"/>
      <c r="K4123" s="5"/>
      <c r="L4123" s="54"/>
      <c r="M4123" s="5"/>
      <c r="N4123" s="53"/>
      <c r="Q4123" s="5"/>
      <c r="R4123" s="5"/>
      <c r="S4123" s="5"/>
      <c r="T4123" s="5"/>
      <c r="U4123" s="5"/>
      <c r="V4123" s="5"/>
    </row>
    <row r="4124" ht="12.75" customHeight="1">
      <c r="A4124" s="5"/>
      <c r="B4124" s="5"/>
      <c r="C4124" s="5"/>
      <c r="D4124" s="5"/>
      <c r="E4124" s="7"/>
      <c r="F4124" s="5"/>
      <c r="G4124" s="5"/>
      <c r="H4124" s="5"/>
      <c r="I4124" s="5"/>
      <c r="J4124" s="5"/>
      <c r="K4124" s="5"/>
      <c r="L4124" s="54"/>
      <c r="M4124" s="5"/>
      <c r="N4124" s="53"/>
      <c r="Q4124" s="5"/>
      <c r="R4124" s="5"/>
      <c r="S4124" s="5"/>
      <c r="T4124" s="5"/>
      <c r="U4124" s="5"/>
      <c r="V4124" s="5"/>
    </row>
    <row r="4125" ht="12.75" customHeight="1">
      <c r="A4125" s="5"/>
      <c r="B4125" s="5"/>
      <c r="C4125" s="5"/>
      <c r="D4125" s="5"/>
      <c r="E4125" s="7"/>
      <c r="F4125" s="5"/>
      <c r="G4125" s="5"/>
      <c r="H4125" s="5"/>
      <c r="I4125" s="5"/>
      <c r="J4125" s="5"/>
      <c r="K4125" s="5"/>
      <c r="L4125" s="54"/>
      <c r="M4125" s="5"/>
      <c r="N4125" s="53"/>
      <c r="Q4125" s="5"/>
      <c r="R4125" s="5"/>
      <c r="S4125" s="5"/>
      <c r="T4125" s="5"/>
      <c r="U4125" s="5"/>
      <c r="V4125" s="5"/>
    </row>
    <row r="4126" ht="12.75" customHeight="1">
      <c r="A4126" s="5"/>
      <c r="B4126" s="5"/>
      <c r="C4126" s="5"/>
      <c r="D4126" s="5"/>
      <c r="E4126" s="7"/>
      <c r="F4126" s="5"/>
      <c r="G4126" s="5"/>
      <c r="H4126" s="5"/>
      <c r="I4126" s="5"/>
      <c r="J4126" s="5"/>
      <c r="K4126" s="5"/>
      <c r="L4126" s="54"/>
      <c r="M4126" s="5"/>
      <c r="N4126" s="53"/>
      <c r="Q4126" s="5"/>
      <c r="R4126" s="5"/>
      <c r="S4126" s="5"/>
      <c r="T4126" s="5"/>
      <c r="U4126" s="5"/>
      <c r="V4126" s="5"/>
    </row>
    <row r="4127" ht="12.75" customHeight="1">
      <c r="A4127" s="5"/>
      <c r="B4127" s="5"/>
      <c r="C4127" s="5"/>
      <c r="D4127" s="5"/>
      <c r="E4127" s="7"/>
      <c r="F4127" s="5"/>
      <c r="G4127" s="5"/>
      <c r="H4127" s="5"/>
      <c r="I4127" s="5"/>
      <c r="J4127" s="5"/>
      <c r="K4127" s="5"/>
      <c r="L4127" s="54"/>
      <c r="M4127" s="5"/>
      <c r="N4127" s="53"/>
      <c r="Q4127" s="5"/>
      <c r="R4127" s="5"/>
      <c r="S4127" s="5"/>
      <c r="T4127" s="5"/>
      <c r="U4127" s="5"/>
      <c r="V4127" s="5"/>
    </row>
    <row r="4128" ht="12.75" customHeight="1">
      <c r="A4128" s="5"/>
      <c r="B4128" s="5"/>
      <c r="C4128" s="5"/>
      <c r="D4128" s="5"/>
      <c r="E4128" s="7"/>
      <c r="F4128" s="5"/>
      <c r="G4128" s="5"/>
      <c r="H4128" s="5"/>
      <c r="I4128" s="5"/>
      <c r="J4128" s="5"/>
      <c r="K4128" s="5"/>
      <c r="L4128" s="54"/>
      <c r="M4128" s="5"/>
      <c r="N4128" s="53"/>
      <c r="Q4128" s="5"/>
      <c r="R4128" s="5"/>
      <c r="S4128" s="5"/>
      <c r="T4128" s="5"/>
      <c r="U4128" s="5"/>
      <c r="V4128" s="5"/>
    </row>
    <row r="4129" ht="12.75" customHeight="1">
      <c r="A4129" s="5"/>
      <c r="B4129" s="5"/>
      <c r="C4129" s="5"/>
      <c r="D4129" s="5"/>
      <c r="E4129" s="7"/>
      <c r="F4129" s="5"/>
      <c r="G4129" s="5"/>
      <c r="H4129" s="5"/>
      <c r="I4129" s="5"/>
      <c r="J4129" s="5"/>
      <c r="K4129" s="5"/>
      <c r="L4129" s="54"/>
      <c r="M4129" s="5"/>
      <c r="N4129" s="53"/>
      <c r="Q4129" s="5"/>
      <c r="R4129" s="5"/>
      <c r="S4129" s="5"/>
      <c r="T4129" s="5"/>
      <c r="U4129" s="5"/>
      <c r="V4129" s="5"/>
    </row>
    <row r="4130" ht="12.75" customHeight="1">
      <c r="A4130" s="5"/>
      <c r="B4130" s="5"/>
      <c r="C4130" s="5"/>
      <c r="D4130" s="5"/>
      <c r="E4130" s="7"/>
      <c r="F4130" s="5"/>
      <c r="G4130" s="5"/>
      <c r="H4130" s="5"/>
      <c r="I4130" s="5"/>
      <c r="J4130" s="5"/>
      <c r="K4130" s="5"/>
      <c r="L4130" s="54"/>
      <c r="M4130" s="5"/>
      <c r="N4130" s="53"/>
      <c r="Q4130" s="5"/>
      <c r="R4130" s="5"/>
      <c r="S4130" s="5"/>
      <c r="T4130" s="5"/>
      <c r="U4130" s="5"/>
      <c r="V4130" s="5"/>
    </row>
    <row r="4131" ht="12.75" customHeight="1">
      <c r="A4131" s="5"/>
      <c r="B4131" s="5"/>
      <c r="C4131" s="5"/>
      <c r="D4131" s="5"/>
      <c r="E4131" s="7"/>
      <c r="F4131" s="5"/>
      <c r="G4131" s="5"/>
      <c r="H4131" s="5"/>
      <c r="I4131" s="5"/>
      <c r="J4131" s="5"/>
      <c r="K4131" s="5"/>
      <c r="L4131" s="54"/>
      <c r="M4131" s="5"/>
      <c r="N4131" s="53"/>
      <c r="Q4131" s="5"/>
      <c r="R4131" s="5"/>
      <c r="S4131" s="5"/>
      <c r="T4131" s="5"/>
      <c r="U4131" s="5"/>
      <c r="V4131" s="5"/>
    </row>
    <row r="4132" ht="12.75" customHeight="1">
      <c r="A4132" s="5"/>
      <c r="B4132" s="5"/>
      <c r="C4132" s="5"/>
      <c r="D4132" s="5"/>
      <c r="E4132" s="7"/>
      <c r="F4132" s="5"/>
      <c r="G4132" s="5"/>
      <c r="H4132" s="5"/>
      <c r="I4132" s="5"/>
      <c r="J4132" s="5"/>
      <c r="K4132" s="5"/>
      <c r="L4132" s="54"/>
      <c r="M4132" s="5"/>
      <c r="N4132" s="53"/>
      <c r="Q4132" s="5"/>
      <c r="R4132" s="5"/>
      <c r="S4132" s="5"/>
      <c r="T4132" s="5"/>
      <c r="U4132" s="5"/>
      <c r="V4132" s="5"/>
    </row>
    <row r="4133" ht="12.75" customHeight="1">
      <c r="A4133" s="5"/>
      <c r="B4133" s="5"/>
      <c r="C4133" s="5"/>
      <c r="D4133" s="5"/>
      <c r="E4133" s="7"/>
      <c r="F4133" s="5"/>
      <c r="G4133" s="5"/>
      <c r="H4133" s="5"/>
      <c r="I4133" s="5"/>
      <c r="J4133" s="5"/>
      <c r="K4133" s="5"/>
      <c r="L4133" s="54"/>
      <c r="M4133" s="5"/>
      <c r="N4133" s="53"/>
      <c r="Q4133" s="5"/>
      <c r="R4133" s="5"/>
      <c r="S4133" s="5"/>
      <c r="T4133" s="5"/>
      <c r="U4133" s="5"/>
      <c r="V4133" s="5"/>
    </row>
    <row r="4134" ht="12.75" customHeight="1">
      <c r="A4134" s="5"/>
      <c r="B4134" s="5"/>
      <c r="C4134" s="5"/>
      <c r="D4134" s="5"/>
      <c r="E4134" s="7"/>
      <c r="F4134" s="5"/>
      <c r="G4134" s="5"/>
      <c r="H4134" s="5"/>
      <c r="I4134" s="5"/>
      <c r="J4134" s="5"/>
      <c r="K4134" s="5"/>
      <c r="L4134" s="54"/>
      <c r="M4134" s="5"/>
      <c r="N4134" s="53"/>
      <c r="Q4134" s="5"/>
      <c r="R4134" s="5"/>
      <c r="S4134" s="5"/>
      <c r="T4134" s="5"/>
      <c r="U4134" s="5"/>
      <c r="V4134" s="5"/>
    </row>
    <row r="4135" ht="12.75" customHeight="1">
      <c r="A4135" s="5"/>
      <c r="B4135" s="5"/>
      <c r="C4135" s="5"/>
      <c r="D4135" s="5"/>
      <c r="E4135" s="7"/>
      <c r="F4135" s="5"/>
      <c r="G4135" s="5"/>
      <c r="H4135" s="5"/>
      <c r="I4135" s="5"/>
      <c r="J4135" s="5"/>
      <c r="K4135" s="5"/>
      <c r="L4135" s="54"/>
      <c r="M4135" s="5"/>
      <c r="N4135" s="53"/>
      <c r="Q4135" s="5"/>
      <c r="R4135" s="5"/>
      <c r="S4135" s="5"/>
      <c r="T4135" s="5"/>
      <c r="U4135" s="5"/>
      <c r="V4135" s="5"/>
    </row>
    <row r="4136" ht="12.75" customHeight="1">
      <c r="A4136" s="5"/>
      <c r="B4136" s="5"/>
      <c r="C4136" s="5"/>
      <c r="D4136" s="5"/>
      <c r="E4136" s="7"/>
      <c r="F4136" s="5"/>
      <c r="G4136" s="5"/>
      <c r="H4136" s="5"/>
      <c r="I4136" s="5"/>
      <c r="J4136" s="5"/>
      <c r="K4136" s="5"/>
      <c r="L4136" s="54"/>
      <c r="M4136" s="5"/>
      <c r="N4136" s="53"/>
      <c r="Q4136" s="5"/>
      <c r="R4136" s="5"/>
      <c r="S4136" s="5"/>
      <c r="T4136" s="5"/>
      <c r="U4136" s="5"/>
      <c r="V4136" s="5"/>
    </row>
    <row r="4137" ht="12.75" customHeight="1">
      <c r="A4137" s="5"/>
      <c r="B4137" s="5"/>
      <c r="C4137" s="5"/>
      <c r="D4137" s="5"/>
      <c r="E4137" s="7"/>
      <c r="F4137" s="5"/>
      <c r="G4137" s="5"/>
      <c r="H4137" s="5"/>
      <c r="I4137" s="5"/>
      <c r="J4137" s="5"/>
      <c r="K4137" s="5"/>
      <c r="L4137" s="54"/>
      <c r="M4137" s="5"/>
      <c r="N4137" s="53"/>
      <c r="Q4137" s="5"/>
      <c r="R4137" s="5"/>
      <c r="S4137" s="5"/>
      <c r="T4137" s="5"/>
      <c r="U4137" s="5"/>
      <c r="V4137" s="5"/>
    </row>
    <row r="4138" ht="12.75" customHeight="1">
      <c r="A4138" s="5"/>
      <c r="B4138" s="5"/>
      <c r="C4138" s="5"/>
      <c r="D4138" s="5"/>
      <c r="E4138" s="7"/>
      <c r="F4138" s="5"/>
      <c r="G4138" s="5"/>
      <c r="H4138" s="5"/>
      <c r="I4138" s="5"/>
      <c r="J4138" s="5"/>
      <c r="K4138" s="5"/>
      <c r="L4138" s="54"/>
      <c r="M4138" s="5"/>
      <c r="N4138" s="53"/>
      <c r="Q4138" s="5"/>
      <c r="R4138" s="5"/>
      <c r="S4138" s="5"/>
      <c r="T4138" s="5"/>
      <c r="U4138" s="5"/>
      <c r="V4138" s="5"/>
    </row>
    <row r="4139" ht="12.75" customHeight="1">
      <c r="A4139" s="5"/>
      <c r="B4139" s="5"/>
      <c r="C4139" s="5"/>
      <c r="D4139" s="5"/>
      <c r="E4139" s="7"/>
      <c r="F4139" s="5"/>
      <c r="G4139" s="5"/>
      <c r="H4139" s="5"/>
      <c r="I4139" s="5"/>
      <c r="J4139" s="5"/>
      <c r="K4139" s="5"/>
      <c r="L4139" s="54"/>
      <c r="M4139" s="5"/>
      <c r="N4139" s="53"/>
      <c r="Q4139" s="5"/>
      <c r="R4139" s="5"/>
      <c r="S4139" s="5"/>
      <c r="T4139" s="5"/>
      <c r="U4139" s="5"/>
      <c r="V4139" s="5"/>
    </row>
    <row r="4140" ht="12.75" customHeight="1">
      <c r="A4140" s="5"/>
      <c r="B4140" s="5"/>
      <c r="C4140" s="5"/>
      <c r="D4140" s="5"/>
      <c r="E4140" s="7"/>
      <c r="F4140" s="5"/>
      <c r="G4140" s="5"/>
      <c r="H4140" s="5"/>
      <c r="I4140" s="5"/>
      <c r="J4140" s="5"/>
      <c r="K4140" s="5"/>
      <c r="L4140" s="54"/>
      <c r="M4140" s="5"/>
      <c r="N4140" s="53"/>
      <c r="Q4140" s="5"/>
      <c r="R4140" s="5"/>
      <c r="S4140" s="5"/>
      <c r="T4140" s="5"/>
      <c r="U4140" s="5"/>
      <c r="V4140" s="5"/>
    </row>
    <row r="4141" ht="12.75" customHeight="1">
      <c r="A4141" s="5"/>
      <c r="B4141" s="5"/>
      <c r="C4141" s="5"/>
      <c r="D4141" s="5"/>
      <c r="E4141" s="7"/>
      <c r="F4141" s="5"/>
      <c r="G4141" s="5"/>
      <c r="H4141" s="5"/>
      <c r="I4141" s="5"/>
      <c r="J4141" s="5"/>
      <c r="K4141" s="5"/>
      <c r="L4141" s="54"/>
      <c r="M4141" s="5"/>
      <c r="N4141" s="53"/>
      <c r="Q4141" s="5"/>
      <c r="R4141" s="5"/>
      <c r="S4141" s="5"/>
      <c r="T4141" s="5"/>
      <c r="U4141" s="5"/>
      <c r="V4141" s="5"/>
    </row>
    <row r="4142" ht="12.75" customHeight="1">
      <c r="A4142" s="5"/>
      <c r="B4142" s="5"/>
      <c r="C4142" s="5"/>
      <c r="D4142" s="5"/>
      <c r="E4142" s="7"/>
      <c r="F4142" s="5"/>
      <c r="G4142" s="5"/>
      <c r="H4142" s="5"/>
      <c r="I4142" s="5"/>
      <c r="J4142" s="5"/>
      <c r="K4142" s="5"/>
      <c r="L4142" s="54"/>
      <c r="M4142" s="5"/>
      <c r="N4142" s="53"/>
      <c r="Q4142" s="5"/>
      <c r="R4142" s="5"/>
      <c r="S4142" s="5"/>
      <c r="T4142" s="5"/>
      <c r="U4142" s="5"/>
      <c r="V4142" s="5"/>
    </row>
    <row r="4143" ht="12.75" customHeight="1">
      <c r="A4143" s="5"/>
      <c r="B4143" s="5"/>
      <c r="C4143" s="5"/>
      <c r="D4143" s="5"/>
      <c r="E4143" s="7"/>
      <c r="F4143" s="5"/>
      <c r="G4143" s="5"/>
      <c r="H4143" s="5"/>
      <c r="I4143" s="5"/>
      <c r="J4143" s="5"/>
      <c r="K4143" s="5"/>
      <c r="L4143" s="54"/>
      <c r="M4143" s="5"/>
      <c r="N4143" s="53"/>
      <c r="Q4143" s="5"/>
      <c r="R4143" s="5"/>
      <c r="S4143" s="5"/>
      <c r="T4143" s="5"/>
      <c r="U4143" s="5"/>
      <c r="V4143" s="5"/>
    </row>
    <row r="4144" ht="12.75" customHeight="1">
      <c r="A4144" s="5"/>
      <c r="B4144" s="5"/>
      <c r="C4144" s="5"/>
      <c r="D4144" s="5"/>
      <c r="E4144" s="7"/>
      <c r="F4144" s="5"/>
      <c r="G4144" s="5"/>
      <c r="H4144" s="5"/>
      <c r="I4144" s="5"/>
      <c r="J4144" s="5"/>
      <c r="K4144" s="5"/>
      <c r="L4144" s="54"/>
      <c r="M4144" s="5"/>
      <c r="N4144" s="53"/>
      <c r="Q4144" s="5"/>
      <c r="R4144" s="5"/>
      <c r="S4144" s="5"/>
      <c r="T4144" s="5"/>
      <c r="U4144" s="5"/>
      <c r="V4144" s="5"/>
    </row>
    <row r="4145" ht="12.75" customHeight="1">
      <c r="A4145" s="5"/>
      <c r="B4145" s="5"/>
      <c r="C4145" s="5"/>
      <c r="D4145" s="5"/>
      <c r="E4145" s="7"/>
      <c r="F4145" s="5"/>
      <c r="G4145" s="5"/>
      <c r="H4145" s="5"/>
      <c r="I4145" s="5"/>
      <c r="J4145" s="5"/>
      <c r="K4145" s="5"/>
      <c r="L4145" s="54"/>
      <c r="M4145" s="5"/>
      <c r="N4145" s="53"/>
      <c r="Q4145" s="5"/>
      <c r="R4145" s="5"/>
      <c r="S4145" s="5"/>
      <c r="T4145" s="5"/>
      <c r="U4145" s="5"/>
      <c r="V4145" s="5"/>
    </row>
    <row r="4146" ht="12.75" customHeight="1">
      <c r="A4146" s="5"/>
      <c r="B4146" s="5"/>
      <c r="C4146" s="5"/>
      <c r="D4146" s="5"/>
      <c r="E4146" s="7"/>
      <c r="F4146" s="5"/>
      <c r="G4146" s="5"/>
      <c r="H4146" s="5"/>
      <c r="I4146" s="5"/>
      <c r="J4146" s="5"/>
      <c r="K4146" s="5"/>
      <c r="L4146" s="54"/>
      <c r="M4146" s="5"/>
      <c r="N4146" s="53"/>
      <c r="Q4146" s="5"/>
      <c r="R4146" s="5"/>
      <c r="S4146" s="5"/>
      <c r="T4146" s="5"/>
      <c r="U4146" s="5"/>
      <c r="V4146" s="5"/>
    </row>
    <row r="4147" ht="12.75" customHeight="1">
      <c r="A4147" s="5"/>
      <c r="B4147" s="5"/>
      <c r="C4147" s="5"/>
      <c r="D4147" s="5"/>
      <c r="E4147" s="7"/>
      <c r="F4147" s="5"/>
      <c r="G4147" s="5"/>
      <c r="H4147" s="5"/>
      <c r="I4147" s="5"/>
      <c r="J4147" s="5"/>
      <c r="K4147" s="5"/>
      <c r="L4147" s="54"/>
      <c r="M4147" s="5"/>
      <c r="N4147" s="53"/>
      <c r="Q4147" s="5"/>
      <c r="R4147" s="5"/>
      <c r="S4147" s="5"/>
      <c r="T4147" s="5"/>
      <c r="U4147" s="5"/>
      <c r="V4147" s="5"/>
    </row>
    <row r="4148" ht="12.75" customHeight="1">
      <c r="A4148" s="5"/>
      <c r="B4148" s="5"/>
      <c r="C4148" s="5"/>
      <c r="D4148" s="5"/>
      <c r="E4148" s="7"/>
      <c r="F4148" s="5"/>
      <c r="G4148" s="5"/>
      <c r="H4148" s="5"/>
      <c r="I4148" s="5"/>
      <c r="J4148" s="5"/>
      <c r="K4148" s="5"/>
      <c r="L4148" s="54"/>
      <c r="M4148" s="5"/>
      <c r="N4148" s="53"/>
      <c r="Q4148" s="5"/>
      <c r="R4148" s="5"/>
      <c r="S4148" s="5"/>
      <c r="T4148" s="5"/>
      <c r="U4148" s="5"/>
      <c r="V4148" s="5"/>
    </row>
    <row r="4149" ht="12.75" customHeight="1">
      <c r="A4149" s="5"/>
      <c r="B4149" s="5"/>
      <c r="C4149" s="5"/>
      <c r="D4149" s="5"/>
      <c r="E4149" s="7"/>
      <c r="F4149" s="5"/>
      <c r="G4149" s="5"/>
      <c r="H4149" s="5"/>
      <c r="I4149" s="5"/>
      <c r="J4149" s="5"/>
      <c r="K4149" s="5"/>
      <c r="L4149" s="54"/>
      <c r="M4149" s="5"/>
      <c r="N4149" s="53"/>
      <c r="Q4149" s="5"/>
      <c r="R4149" s="5"/>
      <c r="S4149" s="5"/>
      <c r="T4149" s="5"/>
      <c r="U4149" s="5"/>
      <c r="V4149" s="5"/>
    </row>
    <row r="4150" ht="12.75" customHeight="1">
      <c r="A4150" s="5"/>
      <c r="B4150" s="5"/>
      <c r="C4150" s="5"/>
      <c r="D4150" s="5"/>
      <c r="E4150" s="7"/>
      <c r="F4150" s="5"/>
      <c r="G4150" s="5"/>
      <c r="H4150" s="5"/>
      <c r="I4150" s="5"/>
      <c r="J4150" s="5"/>
      <c r="K4150" s="5"/>
      <c r="L4150" s="54"/>
      <c r="M4150" s="5"/>
      <c r="N4150" s="53"/>
      <c r="Q4150" s="5"/>
      <c r="R4150" s="5"/>
      <c r="S4150" s="5"/>
      <c r="T4150" s="5"/>
      <c r="U4150" s="5"/>
      <c r="V4150" s="5"/>
    </row>
    <row r="4151" ht="12.75" customHeight="1">
      <c r="A4151" s="5"/>
      <c r="B4151" s="5"/>
      <c r="C4151" s="5"/>
      <c r="D4151" s="5"/>
      <c r="E4151" s="7"/>
      <c r="F4151" s="5"/>
      <c r="G4151" s="5"/>
      <c r="H4151" s="5"/>
      <c r="I4151" s="5"/>
      <c r="J4151" s="5"/>
      <c r="K4151" s="5"/>
      <c r="L4151" s="54"/>
      <c r="M4151" s="5"/>
      <c r="N4151" s="53"/>
      <c r="Q4151" s="5"/>
      <c r="R4151" s="5"/>
      <c r="S4151" s="5"/>
      <c r="T4151" s="5"/>
      <c r="U4151" s="5"/>
      <c r="V4151" s="5"/>
    </row>
    <row r="4152" ht="12.75" customHeight="1">
      <c r="A4152" s="5"/>
      <c r="B4152" s="5"/>
      <c r="C4152" s="5"/>
      <c r="D4152" s="5"/>
      <c r="E4152" s="7"/>
      <c r="F4152" s="5"/>
      <c r="G4152" s="5"/>
      <c r="H4152" s="5"/>
      <c r="I4152" s="5"/>
      <c r="J4152" s="5"/>
      <c r="K4152" s="5"/>
      <c r="L4152" s="54"/>
      <c r="M4152" s="5"/>
      <c r="N4152" s="53"/>
      <c r="Q4152" s="5"/>
      <c r="R4152" s="5"/>
      <c r="S4152" s="5"/>
      <c r="T4152" s="5"/>
      <c r="U4152" s="5"/>
      <c r="V4152" s="5"/>
    </row>
    <row r="4153" ht="12.75" customHeight="1">
      <c r="A4153" s="5"/>
      <c r="B4153" s="5"/>
      <c r="C4153" s="5"/>
      <c r="D4153" s="5"/>
      <c r="E4153" s="7"/>
      <c r="F4153" s="5"/>
      <c r="G4153" s="5"/>
      <c r="H4153" s="5"/>
      <c r="I4153" s="5"/>
      <c r="J4153" s="5"/>
      <c r="K4153" s="5"/>
      <c r="L4153" s="54"/>
      <c r="M4153" s="5"/>
      <c r="N4153" s="53"/>
      <c r="Q4153" s="5"/>
      <c r="R4153" s="5"/>
      <c r="S4153" s="5"/>
      <c r="T4153" s="5"/>
      <c r="U4153" s="5"/>
      <c r="V4153" s="5"/>
    </row>
    <row r="4154" ht="12.75" customHeight="1">
      <c r="A4154" s="5"/>
      <c r="B4154" s="5"/>
      <c r="C4154" s="5"/>
      <c r="D4154" s="5"/>
      <c r="E4154" s="7"/>
      <c r="F4154" s="5"/>
      <c r="G4154" s="5"/>
      <c r="H4154" s="5"/>
      <c r="I4154" s="5"/>
      <c r="J4154" s="5"/>
      <c r="K4154" s="5"/>
      <c r="L4154" s="54"/>
      <c r="M4154" s="5"/>
      <c r="N4154" s="53"/>
      <c r="Q4154" s="5"/>
      <c r="R4154" s="5"/>
      <c r="S4154" s="5"/>
      <c r="T4154" s="5"/>
      <c r="U4154" s="5"/>
      <c r="V4154" s="5"/>
    </row>
    <row r="4155" ht="12.75" customHeight="1">
      <c r="A4155" s="5"/>
      <c r="B4155" s="5"/>
      <c r="C4155" s="5"/>
      <c r="D4155" s="5"/>
      <c r="E4155" s="7"/>
      <c r="F4155" s="5"/>
      <c r="G4155" s="5"/>
      <c r="H4155" s="5"/>
      <c r="I4155" s="5"/>
      <c r="J4155" s="5"/>
      <c r="K4155" s="5"/>
      <c r="L4155" s="54"/>
      <c r="M4155" s="5"/>
      <c r="N4155" s="53"/>
      <c r="Q4155" s="5"/>
      <c r="R4155" s="5"/>
      <c r="S4155" s="5"/>
      <c r="T4155" s="5"/>
      <c r="U4155" s="5"/>
      <c r="V4155" s="5"/>
    </row>
    <row r="4156" ht="12.75" customHeight="1">
      <c r="A4156" s="5"/>
      <c r="B4156" s="5"/>
      <c r="C4156" s="5"/>
      <c r="D4156" s="5"/>
      <c r="E4156" s="7"/>
      <c r="F4156" s="5"/>
      <c r="G4156" s="5"/>
      <c r="H4156" s="5"/>
      <c r="I4156" s="5"/>
      <c r="J4156" s="5"/>
      <c r="K4156" s="5"/>
      <c r="L4156" s="54"/>
      <c r="M4156" s="5"/>
      <c r="N4156" s="53"/>
      <c r="Q4156" s="5"/>
      <c r="R4156" s="5"/>
      <c r="S4156" s="5"/>
      <c r="T4156" s="5"/>
      <c r="U4156" s="5"/>
      <c r="V4156" s="5"/>
    </row>
    <row r="4157" ht="12.75" customHeight="1">
      <c r="A4157" s="5"/>
      <c r="B4157" s="5"/>
      <c r="C4157" s="5"/>
      <c r="D4157" s="5"/>
      <c r="E4157" s="7"/>
      <c r="F4157" s="5"/>
      <c r="G4157" s="5"/>
      <c r="H4157" s="5"/>
      <c r="I4157" s="5"/>
      <c r="J4157" s="5"/>
      <c r="K4157" s="5"/>
      <c r="L4157" s="54"/>
      <c r="M4157" s="5"/>
      <c r="N4157" s="53"/>
      <c r="Q4157" s="5"/>
      <c r="R4157" s="5"/>
      <c r="S4157" s="5"/>
      <c r="T4157" s="5"/>
      <c r="U4157" s="5"/>
      <c r="V4157" s="5"/>
    </row>
    <row r="4158" ht="12.75" customHeight="1">
      <c r="A4158" s="5"/>
      <c r="B4158" s="5"/>
      <c r="C4158" s="5"/>
      <c r="D4158" s="5"/>
      <c r="E4158" s="7"/>
      <c r="F4158" s="5"/>
      <c r="G4158" s="5"/>
      <c r="H4158" s="5"/>
      <c r="I4158" s="5"/>
      <c r="J4158" s="5"/>
      <c r="K4158" s="5"/>
      <c r="L4158" s="54"/>
      <c r="M4158" s="5"/>
      <c r="N4158" s="53"/>
      <c r="Q4158" s="5"/>
      <c r="R4158" s="5"/>
      <c r="S4158" s="5"/>
      <c r="T4158" s="5"/>
      <c r="U4158" s="5"/>
      <c r="V4158" s="5"/>
    </row>
    <row r="4159" ht="12.75" customHeight="1">
      <c r="A4159" s="5"/>
      <c r="B4159" s="5"/>
      <c r="C4159" s="5"/>
      <c r="D4159" s="5"/>
      <c r="E4159" s="7"/>
      <c r="F4159" s="5"/>
      <c r="G4159" s="5"/>
      <c r="H4159" s="5"/>
      <c r="I4159" s="5"/>
      <c r="J4159" s="5"/>
      <c r="K4159" s="5"/>
      <c r="L4159" s="54"/>
      <c r="M4159" s="5"/>
      <c r="N4159" s="53"/>
      <c r="Q4159" s="5"/>
      <c r="R4159" s="5"/>
      <c r="S4159" s="5"/>
      <c r="T4159" s="5"/>
      <c r="U4159" s="5"/>
      <c r="V4159" s="5"/>
    </row>
    <row r="4160" ht="12.75" customHeight="1">
      <c r="A4160" s="5"/>
      <c r="B4160" s="5"/>
      <c r="C4160" s="5"/>
      <c r="D4160" s="5"/>
      <c r="E4160" s="7"/>
      <c r="F4160" s="5"/>
      <c r="G4160" s="5"/>
      <c r="H4160" s="5"/>
      <c r="I4160" s="5"/>
      <c r="J4160" s="5"/>
      <c r="K4160" s="5"/>
      <c r="L4160" s="54"/>
      <c r="M4160" s="5"/>
      <c r="N4160" s="53"/>
      <c r="Q4160" s="5"/>
      <c r="R4160" s="5"/>
      <c r="S4160" s="5"/>
      <c r="T4160" s="5"/>
      <c r="U4160" s="5"/>
      <c r="V4160" s="5"/>
    </row>
    <row r="4161" ht="12.75" customHeight="1">
      <c r="A4161" s="5"/>
      <c r="B4161" s="5"/>
      <c r="C4161" s="5"/>
      <c r="D4161" s="5"/>
      <c r="E4161" s="7"/>
      <c r="F4161" s="5"/>
      <c r="G4161" s="5"/>
      <c r="H4161" s="5"/>
      <c r="I4161" s="5"/>
      <c r="J4161" s="5"/>
      <c r="K4161" s="5"/>
      <c r="L4161" s="54"/>
      <c r="M4161" s="5"/>
      <c r="N4161" s="53"/>
      <c r="Q4161" s="5"/>
      <c r="R4161" s="5"/>
      <c r="S4161" s="5"/>
      <c r="T4161" s="5"/>
      <c r="U4161" s="5"/>
      <c r="V4161" s="5"/>
    </row>
    <row r="4162" ht="12.75" customHeight="1">
      <c r="A4162" s="5"/>
      <c r="B4162" s="5"/>
      <c r="C4162" s="5"/>
      <c r="D4162" s="5"/>
      <c r="E4162" s="7"/>
      <c r="F4162" s="5"/>
      <c r="G4162" s="5"/>
      <c r="H4162" s="5"/>
      <c r="I4162" s="5"/>
      <c r="J4162" s="5"/>
      <c r="K4162" s="5"/>
      <c r="L4162" s="54"/>
      <c r="M4162" s="5"/>
      <c r="N4162" s="53"/>
      <c r="Q4162" s="5"/>
      <c r="R4162" s="5"/>
      <c r="S4162" s="5"/>
      <c r="T4162" s="5"/>
      <c r="U4162" s="5"/>
      <c r="V4162" s="5"/>
    </row>
    <row r="4163" ht="12.75" customHeight="1">
      <c r="A4163" s="5"/>
      <c r="B4163" s="5"/>
      <c r="C4163" s="5"/>
      <c r="D4163" s="5"/>
      <c r="E4163" s="7"/>
      <c r="F4163" s="5"/>
      <c r="G4163" s="5"/>
      <c r="H4163" s="5"/>
      <c r="I4163" s="5"/>
      <c r="J4163" s="5"/>
      <c r="K4163" s="5"/>
      <c r="L4163" s="54"/>
      <c r="M4163" s="5"/>
      <c r="N4163" s="53"/>
      <c r="Q4163" s="5"/>
      <c r="R4163" s="5"/>
      <c r="S4163" s="5"/>
      <c r="T4163" s="5"/>
      <c r="U4163" s="5"/>
      <c r="V4163" s="5"/>
    </row>
    <row r="4164" ht="12.75" customHeight="1">
      <c r="A4164" s="5"/>
      <c r="B4164" s="5"/>
      <c r="C4164" s="5"/>
      <c r="D4164" s="5"/>
      <c r="E4164" s="7"/>
      <c r="F4164" s="5"/>
      <c r="G4164" s="5"/>
      <c r="H4164" s="5"/>
      <c r="I4164" s="5"/>
      <c r="J4164" s="5"/>
      <c r="K4164" s="5"/>
      <c r="L4164" s="54"/>
      <c r="M4164" s="5"/>
      <c r="N4164" s="53"/>
      <c r="Q4164" s="5"/>
      <c r="R4164" s="5"/>
      <c r="S4164" s="5"/>
      <c r="T4164" s="5"/>
      <c r="U4164" s="5"/>
      <c r="V4164" s="5"/>
    </row>
    <row r="4165" ht="12.75" customHeight="1">
      <c r="A4165" s="5"/>
      <c r="B4165" s="5"/>
      <c r="C4165" s="5"/>
      <c r="D4165" s="5"/>
      <c r="E4165" s="7"/>
      <c r="F4165" s="5"/>
      <c r="G4165" s="5"/>
      <c r="H4165" s="5"/>
      <c r="I4165" s="5"/>
      <c r="J4165" s="5"/>
      <c r="K4165" s="5"/>
      <c r="L4165" s="54"/>
      <c r="M4165" s="5"/>
      <c r="N4165" s="53"/>
      <c r="Q4165" s="5"/>
      <c r="R4165" s="5"/>
      <c r="S4165" s="5"/>
      <c r="T4165" s="5"/>
      <c r="U4165" s="5"/>
      <c r="V4165" s="5"/>
    </row>
    <row r="4166" ht="12.75" customHeight="1">
      <c r="A4166" s="5"/>
      <c r="B4166" s="5"/>
      <c r="C4166" s="5"/>
      <c r="D4166" s="5"/>
      <c r="E4166" s="7"/>
      <c r="F4166" s="5"/>
      <c r="G4166" s="5"/>
      <c r="H4166" s="5"/>
      <c r="I4166" s="5"/>
      <c r="J4166" s="5"/>
      <c r="K4166" s="5"/>
      <c r="L4166" s="54"/>
      <c r="M4166" s="5"/>
      <c r="N4166" s="53"/>
      <c r="Q4166" s="5"/>
      <c r="R4166" s="5"/>
      <c r="S4166" s="5"/>
      <c r="T4166" s="5"/>
      <c r="U4166" s="5"/>
      <c r="V4166" s="5"/>
    </row>
    <row r="4167" ht="12.75" customHeight="1">
      <c r="A4167" s="5"/>
      <c r="B4167" s="5"/>
      <c r="C4167" s="5"/>
      <c r="D4167" s="5"/>
      <c r="E4167" s="7"/>
      <c r="F4167" s="5"/>
      <c r="G4167" s="5"/>
      <c r="H4167" s="5"/>
      <c r="I4167" s="5"/>
      <c r="J4167" s="5"/>
      <c r="K4167" s="5"/>
      <c r="L4167" s="54"/>
      <c r="M4167" s="5"/>
      <c r="N4167" s="53"/>
      <c r="Q4167" s="5"/>
      <c r="R4167" s="5"/>
      <c r="S4167" s="5"/>
      <c r="T4167" s="5"/>
      <c r="U4167" s="5"/>
      <c r="V4167" s="5"/>
    </row>
    <row r="4168" ht="12.75" customHeight="1">
      <c r="A4168" s="5"/>
      <c r="B4168" s="5"/>
      <c r="C4168" s="5"/>
      <c r="D4168" s="5"/>
      <c r="E4168" s="7"/>
      <c r="F4168" s="5"/>
      <c r="G4168" s="5"/>
      <c r="H4168" s="5"/>
      <c r="I4168" s="5"/>
      <c r="J4168" s="5"/>
      <c r="K4168" s="5"/>
      <c r="L4168" s="54"/>
      <c r="M4168" s="5"/>
      <c r="N4168" s="53"/>
      <c r="Q4168" s="5"/>
      <c r="R4168" s="5"/>
      <c r="S4168" s="5"/>
      <c r="T4168" s="5"/>
      <c r="U4168" s="5"/>
      <c r="V4168" s="5"/>
    </row>
    <row r="4169" ht="12.75" customHeight="1">
      <c r="A4169" s="5"/>
      <c r="B4169" s="5"/>
      <c r="C4169" s="5"/>
      <c r="D4169" s="5"/>
      <c r="E4169" s="7"/>
      <c r="F4169" s="5"/>
      <c r="G4169" s="5"/>
      <c r="H4169" s="5"/>
      <c r="I4169" s="5"/>
      <c r="J4169" s="5"/>
      <c r="K4169" s="5"/>
      <c r="L4169" s="54"/>
      <c r="M4169" s="5"/>
      <c r="N4169" s="53"/>
      <c r="Q4169" s="5"/>
      <c r="R4169" s="5"/>
      <c r="S4169" s="5"/>
      <c r="T4169" s="5"/>
      <c r="U4169" s="5"/>
      <c r="V4169" s="5"/>
    </row>
    <row r="4170" ht="12.75" customHeight="1">
      <c r="A4170" s="5"/>
      <c r="B4170" s="5"/>
      <c r="C4170" s="5"/>
      <c r="D4170" s="5"/>
      <c r="E4170" s="7"/>
      <c r="F4170" s="5"/>
      <c r="G4170" s="5"/>
      <c r="H4170" s="5"/>
      <c r="I4170" s="5"/>
      <c r="J4170" s="5"/>
      <c r="K4170" s="5"/>
      <c r="L4170" s="54"/>
      <c r="M4170" s="5"/>
      <c r="N4170" s="53"/>
      <c r="Q4170" s="5"/>
      <c r="R4170" s="5"/>
      <c r="S4170" s="5"/>
      <c r="T4170" s="5"/>
      <c r="U4170" s="5"/>
      <c r="V4170" s="5"/>
    </row>
    <row r="4171" ht="12.75" customHeight="1">
      <c r="A4171" s="5"/>
      <c r="B4171" s="5"/>
      <c r="C4171" s="5"/>
      <c r="D4171" s="5"/>
      <c r="E4171" s="7"/>
      <c r="F4171" s="5"/>
      <c r="G4171" s="5"/>
      <c r="H4171" s="5"/>
      <c r="I4171" s="5"/>
      <c r="J4171" s="5"/>
      <c r="K4171" s="5"/>
      <c r="L4171" s="54"/>
      <c r="M4171" s="5"/>
      <c r="N4171" s="53"/>
      <c r="Q4171" s="5"/>
      <c r="R4171" s="5"/>
      <c r="S4171" s="5"/>
      <c r="T4171" s="5"/>
      <c r="U4171" s="5"/>
      <c r="V4171" s="5"/>
    </row>
    <row r="4172" ht="12.75" customHeight="1">
      <c r="A4172" s="5"/>
      <c r="B4172" s="5"/>
      <c r="C4172" s="5"/>
      <c r="D4172" s="5"/>
      <c r="E4172" s="7"/>
      <c r="F4172" s="5"/>
      <c r="G4172" s="5"/>
      <c r="H4172" s="5"/>
      <c r="I4172" s="5"/>
      <c r="J4172" s="5"/>
      <c r="K4172" s="5"/>
      <c r="L4172" s="54"/>
      <c r="M4172" s="5"/>
      <c r="N4172" s="53"/>
      <c r="Q4172" s="5"/>
      <c r="R4172" s="5"/>
      <c r="S4172" s="5"/>
      <c r="T4172" s="5"/>
      <c r="U4172" s="5"/>
      <c r="V4172" s="5"/>
    </row>
    <row r="4173" ht="12.75" customHeight="1">
      <c r="A4173" s="5"/>
      <c r="B4173" s="5"/>
      <c r="C4173" s="5"/>
      <c r="D4173" s="5"/>
      <c r="E4173" s="7"/>
      <c r="F4173" s="5"/>
      <c r="G4173" s="5"/>
      <c r="H4173" s="5"/>
      <c r="I4173" s="5"/>
      <c r="J4173" s="5"/>
      <c r="K4173" s="5"/>
      <c r="L4173" s="54"/>
      <c r="M4173" s="5"/>
      <c r="N4173" s="53"/>
      <c r="Q4173" s="5"/>
      <c r="R4173" s="5"/>
      <c r="S4173" s="5"/>
      <c r="T4173" s="5"/>
      <c r="U4173" s="5"/>
      <c r="V4173" s="5"/>
    </row>
    <row r="4174" ht="12.75" customHeight="1">
      <c r="A4174" s="5"/>
      <c r="B4174" s="5"/>
      <c r="C4174" s="5"/>
      <c r="D4174" s="5"/>
      <c r="E4174" s="7"/>
      <c r="F4174" s="5"/>
      <c r="G4174" s="5"/>
      <c r="H4174" s="5"/>
      <c r="I4174" s="5"/>
      <c r="J4174" s="5"/>
      <c r="K4174" s="5"/>
      <c r="L4174" s="54"/>
      <c r="M4174" s="5"/>
      <c r="N4174" s="53"/>
      <c r="Q4174" s="5"/>
      <c r="R4174" s="5"/>
      <c r="S4174" s="5"/>
      <c r="T4174" s="5"/>
      <c r="U4174" s="5"/>
      <c r="V4174" s="5"/>
    </row>
    <row r="4175" ht="12.75" customHeight="1">
      <c r="A4175" s="5"/>
      <c r="B4175" s="5"/>
      <c r="C4175" s="5"/>
      <c r="D4175" s="5"/>
      <c r="E4175" s="7"/>
      <c r="F4175" s="5"/>
      <c r="G4175" s="5"/>
      <c r="H4175" s="5"/>
      <c r="I4175" s="5"/>
      <c r="J4175" s="5"/>
      <c r="K4175" s="5"/>
      <c r="L4175" s="54"/>
      <c r="M4175" s="5"/>
      <c r="N4175" s="53"/>
      <c r="Q4175" s="5"/>
      <c r="R4175" s="5"/>
      <c r="S4175" s="5"/>
      <c r="T4175" s="5"/>
      <c r="U4175" s="5"/>
      <c r="V4175" s="5"/>
    </row>
    <row r="4176" ht="12.75" customHeight="1">
      <c r="A4176" s="5"/>
      <c r="B4176" s="5"/>
      <c r="C4176" s="5"/>
      <c r="D4176" s="5"/>
      <c r="E4176" s="7"/>
      <c r="F4176" s="5"/>
      <c r="G4176" s="5"/>
      <c r="H4176" s="5"/>
      <c r="I4176" s="5"/>
      <c r="J4176" s="5"/>
      <c r="K4176" s="5"/>
      <c r="L4176" s="54"/>
      <c r="M4176" s="5"/>
      <c r="N4176" s="53"/>
      <c r="Q4176" s="5"/>
      <c r="R4176" s="5"/>
      <c r="S4176" s="5"/>
      <c r="T4176" s="5"/>
      <c r="U4176" s="5"/>
      <c r="V4176" s="5"/>
    </row>
    <row r="4177" ht="12.75" customHeight="1">
      <c r="A4177" s="5"/>
      <c r="B4177" s="5"/>
      <c r="C4177" s="5"/>
      <c r="D4177" s="5"/>
      <c r="E4177" s="7"/>
      <c r="F4177" s="5"/>
      <c r="G4177" s="5"/>
      <c r="H4177" s="5"/>
      <c r="I4177" s="5"/>
      <c r="J4177" s="5"/>
      <c r="K4177" s="5"/>
      <c r="L4177" s="54"/>
      <c r="M4177" s="5"/>
      <c r="N4177" s="53"/>
      <c r="Q4177" s="5"/>
      <c r="R4177" s="5"/>
      <c r="S4177" s="5"/>
      <c r="T4177" s="5"/>
      <c r="U4177" s="5"/>
      <c r="V4177" s="5"/>
    </row>
    <row r="4178" ht="12.75" customHeight="1">
      <c r="A4178" s="5"/>
      <c r="B4178" s="5"/>
      <c r="C4178" s="5"/>
      <c r="D4178" s="5"/>
      <c r="E4178" s="7"/>
      <c r="F4178" s="5"/>
      <c r="G4178" s="5"/>
      <c r="H4178" s="5"/>
      <c r="I4178" s="5"/>
      <c r="J4178" s="5"/>
      <c r="K4178" s="5"/>
      <c r="L4178" s="54"/>
      <c r="M4178" s="5"/>
      <c r="N4178" s="53"/>
      <c r="Q4178" s="5"/>
      <c r="R4178" s="5"/>
      <c r="S4178" s="5"/>
      <c r="T4178" s="5"/>
      <c r="U4178" s="5"/>
      <c r="V4178" s="5"/>
    </row>
    <row r="4179" ht="12.75" customHeight="1">
      <c r="A4179" s="5"/>
      <c r="B4179" s="5"/>
      <c r="C4179" s="5"/>
      <c r="D4179" s="5"/>
      <c r="E4179" s="7"/>
      <c r="F4179" s="5"/>
      <c r="G4179" s="5"/>
      <c r="H4179" s="5"/>
      <c r="I4179" s="5"/>
      <c r="J4179" s="5"/>
      <c r="K4179" s="5"/>
      <c r="L4179" s="54"/>
      <c r="M4179" s="5"/>
      <c r="N4179" s="53"/>
      <c r="Q4179" s="5"/>
      <c r="R4179" s="5"/>
      <c r="S4179" s="5"/>
      <c r="T4179" s="5"/>
      <c r="U4179" s="5"/>
      <c r="V4179" s="5"/>
    </row>
    <row r="4180" ht="12.75" customHeight="1">
      <c r="A4180" s="5"/>
      <c r="B4180" s="5"/>
      <c r="C4180" s="5"/>
      <c r="D4180" s="5"/>
      <c r="E4180" s="7"/>
      <c r="F4180" s="5"/>
      <c r="G4180" s="5"/>
      <c r="H4180" s="5"/>
      <c r="I4180" s="5"/>
      <c r="J4180" s="5"/>
      <c r="K4180" s="5"/>
      <c r="L4180" s="54"/>
      <c r="M4180" s="5"/>
      <c r="N4180" s="53"/>
      <c r="Q4180" s="5"/>
      <c r="R4180" s="5"/>
      <c r="S4180" s="5"/>
      <c r="T4180" s="5"/>
      <c r="U4180" s="5"/>
      <c r="V4180" s="5"/>
    </row>
    <row r="4181" ht="12.75" customHeight="1">
      <c r="A4181" s="5"/>
      <c r="B4181" s="5"/>
      <c r="C4181" s="5"/>
      <c r="D4181" s="5"/>
      <c r="E4181" s="7"/>
      <c r="F4181" s="5"/>
      <c r="G4181" s="5"/>
      <c r="H4181" s="5"/>
      <c r="I4181" s="5"/>
      <c r="J4181" s="5"/>
      <c r="K4181" s="5"/>
      <c r="L4181" s="54"/>
      <c r="M4181" s="5"/>
      <c r="N4181" s="53"/>
      <c r="Q4181" s="5"/>
      <c r="R4181" s="5"/>
      <c r="S4181" s="5"/>
      <c r="T4181" s="5"/>
      <c r="U4181" s="5"/>
      <c r="V4181" s="5"/>
    </row>
    <row r="4182" ht="12.75" customHeight="1">
      <c r="A4182" s="5"/>
      <c r="B4182" s="5"/>
      <c r="C4182" s="5"/>
      <c r="D4182" s="5"/>
      <c r="E4182" s="7"/>
      <c r="F4182" s="5"/>
      <c r="G4182" s="5"/>
      <c r="H4182" s="5"/>
      <c r="I4182" s="5"/>
      <c r="J4182" s="5"/>
      <c r="K4182" s="5"/>
      <c r="L4182" s="54"/>
      <c r="M4182" s="5"/>
      <c r="N4182" s="53"/>
      <c r="Q4182" s="5"/>
      <c r="R4182" s="5"/>
      <c r="S4182" s="5"/>
      <c r="T4182" s="5"/>
      <c r="U4182" s="5"/>
      <c r="V4182" s="5"/>
    </row>
    <row r="4183" ht="12.75" customHeight="1">
      <c r="A4183" s="5"/>
      <c r="B4183" s="5"/>
      <c r="C4183" s="5"/>
      <c r="D4183" s="5"/>
      <c r="E4183" s="7"/>
      <c r="F4183" s="5"/>
      <c r="G4183" s="5"/>
      <c r="H4183" s="5"/>
      <c r="I4183" s="5"/>
      <c r="J4183" s="5"/>
      <c r="K4183" s="5"/>
      <c r="L4183" s="54"/>
      <c r="M4183" s="5"/>
      <c r="N4183" s="53"/>
      <c r="Q4183" s="5"/>
      <c r="R4183" s="5"/>
      <c r="S4183" s="5"/>
      <c r="T4183" s="5"/>
      <c r="U4183" s="5"/>
      <c r="V4183" s="5"/>
    </row>
    <row r="4184" ht="12.75" customHeight="1">
      <c r="A4184" s="5"/>
      <c r="B4184" s="5"/>
      <c r="C4184" s="5"/>
      <c r="D4184" s="5"/>
      <c r="E4184" s="7"/>
      <c r="F4184" s="5"/>
      <c r="G4184" s="5"/>
      <c r="H4184" s="5"/>
      <c r="I4184" s="5"/>
      <c r="J4184" s="5"/>
      <c r="K4184" s="5"/>
      <c r="L4184" s="54"/>
      <c r="M4184" s="5"/>
      <c r="N4184" s="53"/>
      <c r="Q4184" s="5"/>
      <c r="R4184" s="5"/>
      <c r="S4184" s="5"/>
      <c r="T4184" s="5"/>
      <c r="U4184" s="5"/>
      <c r="V4184" s="5"/>
    </row>
    <row r="4185" ht="12.75" customHeight="1">
      <c r="A4185" s="5"/>
      <c r="B4185" s="5"/>
      <c r="C4185" s="5"/>
      <c r="D4185" s="5"/>
      <c r="E4185" s="7"/>
      <c r="F4185" s="5"/>
      <c r="G4185" s="5"/>
      <c r="H4185" s="5"/>
      <c r="I4185" s="5"/>
      <c r="J4185" s="5"/>
      <c r="K4185" s="5"/>
      <c r="L4185" s="54"/>
      <c r="M4185" s="5"/>
      <c r="N4185" s="53"/>
      <c r="Q4185" s="5"/>
      <c r="R4185" s="5"/>
      <c r="S4185" s="5"/>
      <c r="T4185" s="5"/>
      <c r="U4185" s="5"/>
      <c r="V4185" s="5"/>
    </row>
    <row r="4186" ht="12.75" customHeight="1">
      <c r="A4186" s="5"/>
      <c r="B4186" s="5"/>
      <c r="C4186" s="5"/>
      <c r="D4186" s="5"/>
      <c r="E4186" s="7"/>
      <c r="F4186" s="5"/>
      <c r="G4186" s="5"/>
      <c r="H4186" s="5"/>
      <c r="I4186" s="5"/>
      <c r="J4186" s="5"/>
      <c r="K4186" s="5"/>
      <c r="L4186" s="54"/>
      <c r="M4186" s="5"/>
      <c r="N4186" s="53"/>
      <c r="Q4186" s="5"/>
      <c r="R4186" s="5"/>
      <c r="S4186" s="5"/>
      <c r="T4186" s="5"/>
      <c r="U4186" s="5"/>
      <c r="V4186" s="5"/>
    </row>
    <row r="4187" ht="12.75" customHeight="1">
      <c r="A4187" s="5"/>
      <c r="B4187" s="5"/>
      <c r="C4187" s="5"/>
      <c r="D4187" s="5"/>
      <c r="E4187" s="7"/>
      <c r="F4187" s="5"/>
      <c r="G4187" s="5"/>
      <c r="H4187" s="5"/>
      <c r="I4187" s="5"/>
      <c r="J4187" s="5"/>
      <c r="K4187" s="5"/>
      <c r="L4187" s="54"/>
      <c r="M4187" s="5"/>
      <c r="N4187" s="53"/>
      <c r="Q4187" s="5"/>
      <c r="R4187" s="5"/>
      <c r="S4187" s="5"/>
      <c r="T4187" s="5"/>
      <c r="U4187" s="5"/>
      <c r="V4187" s="5"/>
    </row>
    <row r="4188" ht="12.75" customHeight="1">
      <c r="A4188" s="5"/>
      <c r="B4188" s="5"/>
      <c r="C4188" s="5"/>
      <c r="D4188" s="5"/>
      <c r="E4188" s="7"/>
      <c r="F4188" s="5"/>
      <c r="G4188" s="5"/>
      <c r="H4188" s="5"/>
      <c r="I4188" s="5"/>
      <c r="J4188" s="5"/>
      <c r="K4188" s="5"/>
      <c r="L4188" s="54"/>
      <c r="M4188" s="5"/>
      <c r="N4188" s="53"/>
      <c r="Q4188" s="5"/>
      <c r="R4188" s="5"/>
      <c r="S4188" s="5"/>
      <c r="T4188" s="5"/>
      <c r="U4188" s="5"/>
      <c r="V4188" s="5"/>
    </row>
    <row r="4189" ht="12.75" customHeight="1">
      <c r="A4189" s="5"/>
      <c r="B4189" s="5"/>
      <c r="C4189" s="5"/>
      <c r="D4189" s="5"/>
      <c r="E4189" s="7"/>
      <c r="F4189" s="5"/>
      <c r="G4189" s="5"/>
      <c r="H4189" s="5"/>
      <c r="I4189" s="5"/>
      <c r="J4189" s="5"/>
      <c r="K4189" s="5"/>
      <c r="L4189" s="54"/>
      <c r="M4189" s="5"/>
      <c r="N4189" s="53"/>
      <c r="Q4189" s="5"/>
      <c r="R4189" s="5"/>
      <c r="S4189" s="5"/>
      <c r="T4189" s="5"/>
      <c r="U4189" s="5"/>
      <c r="V4189" s="5"/>
    </row>
    <row r="4190" ht="12.75" customHeight="1">
      <c r="A4190" s="5"/>
      <c r="B4190" s="5"/>
      <c r="C4190" s="5"/>
      <c r="D4190" s="5"/>
      <c r="E4190" s="7"/>
      <c r="F4190" s="5"/>
      <c r="G4190" s="5"/>
      <c r="H4190" s="5"/>
      <c r="I4190" s="5"/>
      <c r="J4190" s="5"/>
      <c r="K4190" s="5"/>
      <c r="L4190" s="54"/>
      <c r="M4190" s="5"/>
      <c r="N4190" s="53"/>
      <c r="Q4190" s="5"/>
      <c r="R4190" s="5"/>
      <c r="S4190" s="5"/>
      <c r="T4190" s="5"/>
      <c r="U4190" s="5"/>
      <c r="V4190" s="5"/>
    </row>
    <row r="4191" ht="12.75" customHeight="1">
      <c r="A4191" s="5"/>
      <c r="B4191" s="5"/>
      <c r="C4191" s="5"/>
      <c r="D4191" s="5"/>
      <c r="E4191" s="7"/>
      <c r="F4191" s="5"/>
      <c r="G4191" s="5"/>
      <c r="H4191" s="5"/>
      <c r="I4191" s="5"/>
      <c r="J4191" s="5"/>
      <c r="K4191" s="5"/>
      <c r="L4191" s="54"/>
      <c r="M4191" s="5"/>
      <c r="N4191" s="53"/>
      <c r="Q4191" s="5"/>
      <c r="R4191" s="5"/>
      <c r="S4191" s="5"/>
      <c r="T4191" s="5"/>
      <c r="U4191" s="5"/>
      <c r="V4191" s="5"/>
    </row>
    <row r="4192" ht="12.75" customHeight="1">
      <c r="A4192" s="5"/>
      <c r="B4192" s="5"/>
      <c r="C4192" s="5"/>
      <c r="D4192" s="5"/>
      <c r="E4192" s="7"/>
      <c r="F4192" s="5"/>
      <c r="G4192" s="5"/>
      <c r="H4192" s="5"/>
      <c r="I4192" s="5"/>
      <c r="J4192" s="5"/>
      <c r="K4192" s="5"/>
      <c r="L4192" s="54"/>
      <c r="M4192" s="5"/>
      <c r="N4192" s="53"/>
      <c r="Q4192" s="5"/>
      <c r="R4192" s="5"/>
      <c r="S4192" s="5"/>
      <c r="T4192" s="5"/>
      <c r="U4192" s="5"/>
      <c r="V4192" s="5"/>
    </row>
    <row r="4193" ht="12.75" customHeight="1">
      <c r="A4193" s="5"/>
      <c r="B4193" s="5"/>
      <c r="C4193" s="5"/>
      <c r="D4193" s="5"/>
      <c r="E4193" s="7"/>
      <c r="F4193" s="5"/>
      <c r="G4193" s="5"/>
      <c r="H4193" s="5"/>
      <c r="I4193" s="5"/>
      <c r="J4193" s="5"/>
      <c r="K4193" s="5"/>
      <c r="L4193" s="54"/>
      <c r="M4193" s="5"/>
      <c r="N4193" s="53"/>
      <c r="Q4193" s="5"/>
      <c r="R4193" s="5"/>
      <c r="S4193" s="5"/>
      <c r="T4193" s="5"/>
      <c r="U4193" s="5"/>
      <c r="V4193" s="5"/>
    </row>
    <row r="4194" ht="12.75" customHeight="1">
      <c r="A4194" s="5"/>
      <c r="B4194" s="5"/>
      <c r="C4194" s="5"/>
      <c r="D4194" s="5"/>
      <c r="E4194" s="7"/>
      <c r="F4194" s="5"/>
      <c r="G4194" s="5"/>
      <c r="H4194" s="5"/>
      <c r="I4194" s="5"/>
      <c r="J4194" s="5"/>
      <c r="K4194" s="5"/>
      <c r="L4194" s="54"/>
      <c r="M4194" s="5"/>
      <c r="N4194" s="53"/>
      <c r="Q4194" s="5"/>
      <c r="R4194" s="5"/>
      <c r="S4194" s="5"/>
      <c r="T4194" s="5"/>
      <c r="U4194" s="5"/>
      <c r="V4194" s="5"/>
    </row>
  </sheetData>
  <customSheetViews>
    <customSheetView guid="{78ABDDC9-160E-429A-B474-BDF6E6E6C5C0}" filter="1" showAutoFilter="1">
      <autoFilter ref="$F$3065:$K$3192"/>
    </customSheetView>
  </customSheetViews>
  <conditionalFormatting sqref="Q1:Q230 R1 N1:N179 K2:K263 O2:O145 S2:S141 X9:X14 R56 T56 V82:V136 M137:M142 M144 S145 M146:M263 O147:O171 S147:S230 O175:O197 O199 O201:O205 O207:O208 O215 O221:O225 N227:N237 O227:O230 O234 Q273:R4194">
    <cfRule type="expression" dxfId="0" priority="1">
      <formula>high</formula>
    </cfRule>
  </conditionalFormatting>
  <dataValidations>
    <dataValidation type="list" allowBlank="1" sqref="C2:C4102">
      <formula1>'Data Validation'!$A$2:$A$8</formula1>
    </dataValidation>
    <dataValidation type="list" allowBlank="1" sqref="T2:T55 T57:T4083">
      <formula1>'Data Validation'!$B$2:$B$10</formula1>
    </dataValidation>
  </dataValidations>
  <hyperlinks>
    <hyperlink r:id="rId1" ref="V2"/>
    <hyperlink r:id="rId2" ref="V3"/>
    <hyperlink r:id="rId3" ref="V4"/>
    <hyperlink r:id="rId4" ref="V5"/>
    <hyperlink r:id="rId5" ref="V7"/>
    <hyperlink r:id="rId6" ref="V8"/>
    <hyperlink r:id="rId7" ref="V9"/>
    <hyperlink r:id="rId8" ref="V10"/>
    <hyperlink r:id="rId9" ref="V11"/>
    <hyperlink r:id="rId10" ref="V12"/>
    <hyperlink r:id="rId11" ref="V13"/>
    <hyperlink r:id="rId12" ref="V14"/>
    <hyperlink r:id="rId13" ref="V15"/>
    <hyperlink r:id="rId14" ref="V19"/>
    <hyperlink r:id="rId15" ref="V20"/>
    <hyperlink r:id="rId16" ref="V21"/>
    <hyperlink r:id="rId17" ref="V22"/>
    <hyperlink r:id="rId18" ref="V24"/>
    <hyperlink r:id="rId19" ref="V25"/>
    <hyperlink r:id="rId20" ref="V26"/>
    <hyperlink r:id="rId21" ref="V27"/>
    <hyperlink r:id="rId22" ref="V28"/>
    <hyperlink r:id="rId23" ref="V29"/>
    <hyperlink r:id="rId24" ref="V30"/>
    <hyperlink r:id="rId25" ref="V31"/>
    <hyperlink r:id="rId26" ref="V32"/>
    <hyperlink r:id="rId27" ref="V34"/>
    <hyperlink r:id="rId28" ref="V35"/>
    <hyperlink r:id="rId29" ref="V36"/>
    <hyperlink r:id="rId30" ref="V37"/>
    <hyperlink r:id="rId31" ref="V38"/>
    <hyperlink r:id="rId32" ref="V39"/>
    <hyperlink r:id="rId33" ref="V40"/>
    <hyperlink r:id="rId34" ref="V41"/>
    <hyperlink r:id="rId35" ref="V43"/>
    <hyperlink r:id="rId36" ref="V44"/>
    <hyperlink r:id="rId37" ref="V45"/>
    <hyperlink r:id="rId38" ref="V46"/>
    <hyperlink r:id="rId39" ref="V47"/>
    <hyperlink r:id="rId40" ref="V48"/>
    <hyperlink r:id="rId41" ref="V49"/>
    <hyperlink r:id="rId42" ref="V50"/>
    <hyperlink r:id="rId43" ref="V51"/>
    <hyperlink r:id="rId44" ref="V52"/>
    <hyperlink r:id="rId45" ref="V53"/>
    <hyperlink r:id="rId46" ref="V54"/>
    <hyperlink r:id="rId47" ref="V55"/>
    <hyperlink r:id="rId48" ref="V56"/>
    <hyperlink r:id="rId49" ref="V57"/>
    <hyperlink r:id="rId50" ref="V58"/>
    <hyperlink r:id="rId51" ref="V59"/>
    <hyperlink r:id="rId52" ref="V61"/>
    <hyperlink r:id="rId53" ref="V62"/>
    <hyperlink r:id="rId54" ref="V63"/>
    <hyperlink r:id="rId55" ref="V65"/>
    <hyperlink r:id="rId56" ref="V66"/>
    <hyperlink r:id="rId57" ref="V68"/>
    <hyperlink r:id="rId58" ref="V69"/>
    <hyperlink r:id="rId59" ref="V70"/>
    <hyperlink r:id="rId60" ref="V73"/>
    <hyperlink r:id="rId61" ref="V74"/>
    <hyperlink r:id="rId62" ref="V75"/>
    <hyperlink r:id="rId63" ref="V76"/>
    <hyperlink r:id="rId64" ref="V77"/>
    <hyperlink r:id="rId65" ref="V78"/>
    <hyperlink r:id="rId66" ref="V79"/>
    <hyperlink r:id="rId67" ref="V80"/>
    <hyperlink r:id="rId68" ref="V81"/>
    <hyperlink r:id="rId69" ref="V82"/>
    <hyperlink r:id="rId70" ref="V83"/>
    <hyperlink r:id="rId71" ref="V84"/>
    <hyperlink r:id="rId72" ref="V86"/>
    <hyperlink r:id="rId73" ref="V88"/>
    <hyperlink r:id="rId74" ref="V89"/>
    <hyperlink r:id="rId75" ref="V90"/>
    <hyperlink r:id="rId76" ref="V91"/>
    <hyperlink r:id="rId77" ref="V92"/>
    <hyperlink r:id="rId78" ref="V93"/>
    <hyperlink r:id="rId79" ref="V94"/>
    <hyperlink r:id="rId80" ref="V95"/>
    <hyperlink r:id="rId81" ref="V96"/>
    <hyperlink r:id="rId82" ref="V97"/>
    <hyperlink r:id="rId83" ref="V98"/>
    <hyperlink r:id="rId84" ref="V100"/>
    <hyperlink r:id="rId85" ref="V101"/>
    <hyperlink r:id="rId86" ref="V102"/>
    <hyperlink r:id="rId87" ref="V103"/>
    <hyperlink r:id="rId88" ref="V104"/>
    <hyperlink r:id="rId89" ref="V105"/>
    <hyperlink r:id="rId90" ref="V106"/>
    <hyperlink r:id="rId91" ref="V108"/>
    <hyperlink r:id="rId92" ref="V109"/>
    <hyperlink r:id="rId93" ref="V110"/>
    <hyperlink r:id="rId94" ref="V111"/>
    <hyperlink r:id="rId95" ref="V112"/>
    <hyperlink r:id="rId96" ref="V113"/>
    <hyperlink r:id="rId97" ref="V114"/>
    <hyperlink r:id="rId98" ref="V115"/>
    <hyperlink r:id="rId99" ref="V116"/>
    <hyperlink r:id="rId100" ref="V117"/>
    <hyperlink r:id="rId101" ref="V118"/>
    <hyperlink r:id="rId102" ref="V119"/>
    <hyperlink r:id="rId103" ref="V120"/>
    <hyperlink r:id="rId104" ref="V121"/>
    <hyperlink r:id="rId105" ref="V122"/>
    <hyperlink r:id="rId106" ref="V123"/>
    <hyperlink r:id="rId107" location=".Vpzff6XcUlg.twitter" ref="V124"/>
    <hyperlink r:id="rId108" ref="V125"/>
    <hyperlink r:id="rId109" ref="V126"/>
    <hyperlink r:id="rId110" ref="V127"/>
    <hyperlink r:id="rId111" ref="V128"/>
    <hyperlink r:id="rId112" ref="V129"/>
    <hyperlink r:id="rId113" ref="V130"/>
    <hyperlink r:id="rId114" ref="V131"/>
    <hyperlink r:id="rId115" ref="V132"/>
    <hyperlink r:id="rId116" ref="V133"/>
    <hyperlink r:id="rId117" ref="V134"/>
    <hyperlink r:id="rId118" ref="V135"/>
    <hyperlink r:id="rId119" ref="V136"/>
    <hyperlink r:id="rId120" ref="V137"/>
    <hyperlink r:id="rId121" ref="V138"/>
    <hyperlink r:id="rId122" ref="V139"/>
    <hyperlink r:id="rId123" ref="V140"/>
    <hyperlink r:id="rId124" ref="V141"/>
    <hyperlink r:id="rId125" ref="V142"/>
    <hyperlink r:id="rId126" ref="V143"/>
    <hyperlink r:id="rId127" ref="V144"/>
    <hyperlink r:id="rId128" ref="V145"/>
    <hyperlink r:id="rId129" ref="V146"/>
    <hyperlink r:id="rId130" ref="V147"/>
    <hyperlink r:id="rId131" ref="V148"/>
    <hyperlink r:id="rId132" ref="V149"/>
    <hyperlink r:id="rId133" ref="V150"/>
    <hyperlink r:id="rId134" ref="V151"/>
    <hyperlink r:id="rId135" ref="V152"/>
    <hyperlink r:id="rId136" ref="V153"/>
    <hyperlink r:id="rId137" ref="V154"/>
    <hyperlink r:id="rId138" ref="V155"/>
    <hyperlink r:id="rId139" ref="V156"/>
    <hyperlink r:id="rId140" ref="V157"/>
    <hyperlink r:id="rId141" ref="V158"/>
    <hyperlink r:id="rId142" ref="V159"/>
    <hyperlink r:id="rId143" ref="V160"/>
    <hyperlink r:id="rId144" ref="V161"/>
    <hyperlink r:id="rId145" ref="V162"/>
    <hyperlink r:id="rId146" ref="V163"/>
    <hyperlink r:id="rId147" ref="V164"/>
    <hyperlink r:id="rId148" ref="V165"/>
    <hyperlink r:id="rId149" ref="V166"/>
    <hyperlink r:id="rId150" ref="V167"/>
    <hyperlink r:id="rId151" ref="V168"/>
    <hyperlink r:id="rId152" ref="V169"/>
    <hyperlink r:id="rId153" ref="V170"/>
    <hyperlink r:id="rId154" ref="V171"/>
    <hyperlink r:id="rId155" ref="V172"/>
    <hyperlink r:id="rId156" ref="V173"/>
    <hyperlink r:id="rId157" ref="V174"/>
    <hyperlink r:id="rId158" ref="V175"/>
    <hyperlink r:id="rId159" ref="V176"/>
    <hyperlink r:id="rId160" ref="V177"/>
    <hyperlink r:id="rId161" ref="V178"/>
    <hyperlink r:id="rId162" ref="V179"/>
    <hyperlink r:id="rId163" ref="V180"/>
    <hyperlink r:id="rId164" ref="V181"/>
    <hyperlink r:id="rId165" ref="V182"/>
    <hyperlink r:id="rId166" ref="V183"/>
    <hyperlink r:id="rId167" ref="V184"/>
    <hyperlink r:id="rId168" ref="V185"/>
    <hyperlink r:id="rId169" ref="V186"/>
    <hyperlink r:id="rId170" ref="V187"/>
    <hyperlink r:id="rId171" ref="V188"/>
    <hyperlink r:id="rId172" ref="V189"/>
    <hyperlink r:id="rId173" ref="V190"/>
    <hyperlink r:id="rId174" ref="V191"/>
    <hyperlink r:id="rId175" ref="V192"/>
    <hyperlink r:id="rId176" ref="V193"/>
    <hyperlink r:id="rId177" ref="V194"/>
    <hyperlink r:id="rId178" ref="V195"/>
    <hyperlink r:id="rId179" ref="V196"/>
    <hyperlink r:id="rId180" ref="V197"/>
    <hyperlink r:id="rId181" ref="V198"/>
    <hyperlink r:id="rId182" ref="V199"/>
    <hyperlink r:id="rId183" location="GiiOXof6tIsejXtq.97" ref="V200"/>
    <hyperlink r:id="rId184" ref="V201"/>
    <hyperlink r:id="rId185" ref="V202"/>
    <hyperlink r:id="rId186" ref="V203"/>
    <hyperlink r:id="rId187" ref="V204"/>
    <hyperlink r:id="rId188" ref="V205"/>
    <hyperlink r:id="rId189" ref="V206"/>
    <hyperlink r:id="rId190" ref="V207"/>
    <hyperlink r:id="rId191" ref="V208"/>
    <hyperlink r:id="rId192" ref="V209"/>
    <hyperlink r:id="rId193" ref="V210"/>
    <hyperlink r:id="rId194" ref="V211"/>
    <hyperlink r:id="rId195" ref="V212"/>
    <hyperlink r:id="rId196" ref="V213"/>
    <hyperlink r:id="rId197" ref="V214"/>
    <hyperlink r:id="rId198" ref="V215"/>
    <hyperlink r:id="rId199" ref="V216"/>
    <hyperlink r:id="rId200" ref="V217"/>
    <hyperlink r:id="rId201" ref="V218"/>
    <hyperlink r:id="rId202" ref="V219"/>
    <hyperlink r:id="rId203" location="utm_medium=redaction&amp;utm_source=twitter&amp;utm_campaign=page-fan-vdn" ref="V220"/>
    <hyperlink r:id="rId204" ref="V221"/>
    <hyperlink r:id="rId205" ref="V222"/>
    <hyperlink r:id="rId206" ref="V223"/>
    <hyperlink r:id="rId207" ref="V224"/>
    <hyperlink r:id="rId208" ref="V225"/>
    <hyperlink r:id="rId209" ref="V226"/>
    <hyperlink r:id="rId210" ref="V227"/>
    <hyperlink r:id="rId211" ref="V228"/>
    <hyperlink r:id="rId212" ref="V229"/>
    <hyperlink r:id="rId213" location="QE3Mkm1jjqqY" ref="V230"/>
    <hyperlink r:id="rId214" ref="V231"/>
    <hyperlink r:id="rId215" ref="V232"/>
    <hyperlink r:id="rId216" ref="V233"/>
    <hyperlink r:id="rId217" ref="V234"/>
    <hyperlink r:id="rId218" ref="V236"/>
    <hyperlink r:id="rId219" ref="V237"/>
    <hyperlink r:id="rId220" ref="V238"/>
    <hyperlink r:id="rId221" ref="V239"/>
    <hyperlink r:id="rId222" ref="V240"/>
    <hyperlink r:id="rId223" ref="V241"/>
    <hyperlink r:id="rId224" ref="V242"/>
    <hyperlink r:id="rId225" ref="V243"/>
    <hyperlink r:id="rId226" ref="V244"/>
    <hyperlink r:id="rId227" ref="V245"/>
    <hyperlink r:id="rId228" ref="V246"/>
    <hyperlink r:id="rId229" ref="V247"/>
    <hyperlink r:id="rId230" ref="V248"/>
    <hyperlink r:id="rId231" ref="V249"/>
    <hyperlink r:id="rId232" ref="V250"/>
    <hyperlink r:id="rId233" ref="V251"/>
    <hyperlink r:id="rId234" ref="V252"/>
    <hyperlink r:id="rId235" ref="V253"/>
    <hyperlink r:id="rId236" ref="V254"/>
    <hyperlink r:id="rId237" ref="V255"/>
    <hyperlink r:id="rId238" ref="V256"/>
    <hyperlink r:id="rId239" ref="V257"/>
    <hyperlink r:id="rId240" ref="V258"/>
    <hyperlink r:id="rId241" ref="V259"/>
    <hyperlink r:id="rId242" ref="V260"/>
    <hyperlink r:id="rId243" ref="V261"/>
    <hyperlink r:id="rId244" ref="V262"/>
    <hyperlink r:id="rId245" ref="V263"/>
    <hyperlink r:id="rId246" ref="V264"/>
    <hyperlink r:id="rId247" ref="V265"/>
    <hyperlink r:id="rId248" ref="V266"/>
    <hyperlink r:id="rId249" ref="V267"/>
    <hyperlink r:id="rId250" ref="V268"/>
    <hyperlink r:id="rId251" ref="V269"/>
    <hyperlink r:id="rId252" ref="V270"/>
    <hyperlink r:id="rId253" ref="V271"/>
    <hyperlink r:id="rId254" ref="V272"/>
    <hyperlink r:id="rId255" location="axzz3k5quE1Mi" ref="V273"/>
    <hyperlink r:id="rId256" ref="V274"/>
    <hyperlink r:id="rId257" ref="V275"/>
    <hyperlink r:id="rId258" ref="V276"/>
    <hyperlink r:id="rId259" ref="V277"/>
    <hyperlink r:id="rId260" location="ad-image-0" ref="V278"/>
    <hyperlink r:id="rId261" ref="V279"/>
    <hyperlink r:id="rId262" ref="V280"/>
    <hyperlink r:id="rId263" ref="V281"/>
    <hyperlink r:id="rId264" ref="V282"/>
    <hyperlink r:id="rId265" ref="V283"/>
    <hyperlink r:id="rId266" ref="V284"/>
    <hyperlink r:id="rId267" ref="V285"/>
    <hyperlink r:id="rId268" ref="V286"/>
    <hyperlink r:id="rId269" ref="V287"/>
    <hyperlink r:id="rId270" ref="V288"/>
    <hyperlink r:id="rId271" ref="U289"/>
    <hyperlink r:id="rId272" ref="V289"/>
    <hyperlink r:id="rId273" ref="U290"/>
    <hyperlink r:id="rId274" ref="V290"/>
    <hyperlink r:id="rId275" ref="V291"/>
    <hyperlink r:id="rId276" ref="V292"/>
    <hyperlink r:id="rId277" ref="V293"/>
    <hyperlink r:id="rId278" ref="V294"/>
    <hyperlink r:id="rId279" ref="V295"/>
    <hyperlink r:id="rId280" ref="V296"/>
    <hyperlink r:id="rId281" ref="V297"/>
    <hyperlink r:id="rId282" ref="V298"/>
    <hyperlink r:id="rId283" ref="V299"/>
    <hyperlink r:id="rId284" ref="V300"/>
    <hyperlink r:id="rId285" ref="V301"/>
    <hyperlink r:id="rId286" ref="V302"/>
    <hyperlink r:id="rId287" ref="V303"/>
    <hyperlink r:id="rId288" ref="V304"/>
    <hyperlink r:id="rId289" ref="V305"/>
    <hyperlink r:id="rId290" ref="V306"/>
    <hyperlink r:id="rId291" ref="V315"/>
    <hyperlink r:id="rId292" location=".VY8kEMhI5kA.twitter" ref="V380"/>
    <hyperlink r:id="rId293" ref="V381"/>
  </hyperlinks>
  <drawing r:id="rId2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3" width="15.71"/>
    <col customWidth="1" min="4" max="4" width="24.71"/>
    <col customWidth="1" min="5" max="26" width="15.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sheetData>
    <row r="1">
      <c r="A1" s="10" t="s">
        <v>208</v>
      </c>
      <c r="B1" s="10" t="s">
        <v>209</v>
      </c>
      <c r="C1" s="10" t="s">
        <v>210</v>
      </c>
      <c r="D1" t="s">
        <v>42</v>
      </c>
      <c r="E1" t="s">
        <v>62</v>
      </c>
      <c r="F1" t="s">
        <v>75</v>
      </c>
      <c r="G1" t="s">
        <v>211</v>
      </c>
      <c r="H1" s="10" t="s">
        <v>212</v>
      </c>
      <c r="I1" t="s">
        <v>124</v>
      </c>
      <c r="J1" t="s">
        <v>213</v>
      </c>
    </row>
    <row r="2">
      <c r="A2" t="s">
        <v>214</v>
      </c>
      <c r="B2">
        <f t="shared" ref="B2:B951" si="1">IFERROR(__xludf.DUMMYFUNCTION("SPLIT(A2,"", "",true)"),-0.228021)</f>
        <v>-0.228021</v>
      </c>
      <c r="C2">
        <f>IFERROR(__xludf.DUMMYFUNCTION("""COMPUTED_VALUE"""),15.827659)</f>
        <v>15.827659</v>
      </c>
      <c r="H2">
        <v>3.0</v>
      </c>
      <c r="J2">
        <f t="shared" ref="J2:J197" si="2">SUM(D2:I2)</f>
        <v>3</v>
      </c>
    </row>
    <row r="3">
      <c r="A3" t="s">
        <v>223</v>
      </c>
      <c r="B3">
        <f t="shared" si="1"/>
        <v>-11.202692</v>
      </c>
      <c r="C3">
        <f>IFERROR(__xludf.DUMMYFUNCTION("""COMPUTED_VALUE"""),17.873887)</f>
        <v>17.873887</v>
      </c>
      <c r="H3">
        <v>1.0</v>
      </c>
      <c r="J3">
        <f t="shared" si="2"/>
        <v>1</v>
      </c>
    </row>
    <row r="4">
      <c r="A4" t="s">
        <v>228</v>
      </c>
      <c r="B4">
        <f t="shared" si="1"/>
        <v>-12.8275</v>
      </c>
      <c r="C4">
        <f>IFERROR(__xludf.DUMMYFUNCTION("""COMPUTED_VALUE"""),45.166244)</f>
        <v>45.166244</v>
      </c>
      <c r="H4">
        <v>753.0</v>
      </c>
      <c r="J4">
        <f t="shared" si="2"/>
        <v>753</v>
      </c>
    </row>
    <row r="5">
      <c r="A5" s="10" t="s">
        <v>229</v>
      </c>
      <c r="B5">
        <f t="shared" si="1"/>
        <v>-12.8</v>
      </c>
      <c r="C5">
        <f>IFERROR(__xludf.DUMMYFUNCTION("""COMPUTED_VALUE"""),45.1)</f>
        <v>45.1</v>
      </c>
      <c r="I5">
        <v>4.0</v>
      </c>
      <c r="J5">
        <f t="shared" si="2"/>
        <v>4</v>
      </c>
    </row>
    <row r="6">
      <c r="A6" t="s">
        <v>232</v>
      </c>
      <c r="B6">
        <f t="shared" si="1"/>
        <v>-8.783195</v>
      </c>
      <c r="C6">
        <f>IFERROR(__xludf.DUMMYFUNCTION("""COMPUTED_VALUE"""),34.508523)</f>
        <v>34.508523</v>
      </c>
      <c r="H6">
        <v>21.0</v>
      </c>
      <c r="J6">
        <f t="shared" si="2"/>
        <v>21</v>
      </c>
    </row>
    <row r="7">
      <c r="A7" s="10" t="s">
        <v>234</v>
      </c>
      <c r="B7">
        <f t="shared" si="1"/>
        <v>-12.9</v>
      </c>
      <c r="C7">
        <f>IFERROR(__xludf.DUMMYFUNCTION("""COMPUTED_VALUE"""),45.2)</f>
        <v>45.2</v>
      </c>
      <c r="H7">
        <v>18.0</v>
      </c>
      <c r="J7">
        <f t="shared" si="2"/>
        <v>18</v>
      </c>
    </row>
    <row r="8">
      <c r="A8" t="s">
        <v>237</v>
      </c>
      <c r="B8">
        <f t="shared" si="1"/>
        <v>0.344922</v>
      </c>
      <c r="C8">
        <f>IFERROR(__xludf.DUMMYFUNCTION("""COMPUTED_VALUE"""),51.4609)</f>
        <v>51.4609</v>
      </c>
      <c r="H8">
        <v>1.0</v>
      </c>
      <c r="J8">
        <f t="shared" si="2"/>
        <v>1</v>
      </c>
    </row>
    <row r="9">
      <c r="A9" t="s">
        <v>239</v>
      </c>
      <c r="B9">
        <f t="shared" si="1"/>
        <v>0.390841</v>
      </c>
      <c r="C9">
        <f>IFERROR(__xludf.DUMMYFUNCTION("""COMPUTED_VALUE"""),9.453644)</f>
        <v>9.453644</v>
      </c>
      <c r="H9">
        <v>37.0</v>
      </c>
      <c r="J9">
        <f t="shared" si="2"/>
        <v>37</v>
      </c>
    </row>
    <row r="10">
      <c r="A10" t="s">
        <v>242</v>
      </c>
      <c r="B10">
        <f t="shared" si="1"/>
        <v>12.8</v>
      </c>
      <c r="C10">
        <f>IFERROR(__xludf.DUMMYFUNCTION("""COMPUTED_VALUE"""),45.033333)</f>
        <v>45.033333</v>
      </c>
      <c r="H10">
        <v>55.0</v>
      </c>
      <c r="J10">
        <f t="shared" si="2"/>
        <v>55</v>
      </c>
    </row>
    <row r="11">
      <c r="A11" t="s">
        <v>245</v>
      </c>
      <c r="B11">
        <f t="shared" si="1"/>
        <v>12.862807</v>
      </c>
      <c r="C11">
        <f>IFERROR(__xludf.DUMMYFUNCTION("""COMPUTED_VALUE"""),30.217636)</f>
        <v>30.217636</v>
      </c>
      <c r="H11">
        <v>45.0</v>
      </c>
      <c r="J11">
        <f t="shared" si="2"/>
        <v>45</v>
      </c>
    </row>
    <row r="12">
      <c r="A12" s="10" t="s">
        <v>246</v>
      </c>
      <c r="B12">
        <f t="shared" si="1"/>
        <v>12.9</v>
      </c>
      <c r="C12">
        <f>IFERROR(__xludf.DUMMYFUNCTION("""COMPUTED_VALUE"""),30.3)</f>
        <v>30.3</v>
      </c>
      <c r="E12">
        <v>2.0</v>
      </c>
      <c r="J12">
        <f t="shared" si="2"/>
        <v>2</v>
      </c>
    </row>
    <row r="13">
      <c r="A13" t="s">
        <v>250</v>
      </c>
      <c r="B13">
        <f t="shared" si="1"/>
        <v>12.89952</v>
      </c>
      <c r="C13">
        <f>IFERROR(__xludf.DUMMYFUNCTION("""COMPUTED_VALUE"""),-14.94427)</f>
        <v>-14.94427</v>
      </c>
      <c r="H13">
        <v>310.0</v>
      </c>
      <c r="J13">
        <f t="shared" si="2"/>
        <v>310</v>
      </c>
    </row>
    <row r="14">
      <c r="A14" t="s">
        <v>251</v>
      </c>
      <c r="B14">
        <f t="shared" si="1"/>
        <v>13.193887</v>
      </c>
      <c r="C14">
        <f>IFERROR(__xludf.DUMMYFUNCTION("""COMPUTED_VALUE"""),-59.543198)</f>
        <v>-59.543198</v>
      </c>
      <c r="H14">
        <v>37.0</v>
      </c>
      <c r="J14">
        <f t="shared" si="2"/>
        <v>37</v>
      </c>
    </row>
    <row r="15">
      <c r="A15" t="s">
        <v>256</v>
      </c>
      <c r="B15">
        <f t="shared" si="1"/>
        <v>13.443182</v>
      </c>
      <c r="C15">
        <f>IFERROR(__xludf.DUMMYFUNCTION("""COMPUTED_VALUE"""),-15.310139)</f>
        <v>-15.310139</v>
      </c>
      <c r="H15">
        <v>58.0</v>
      </c>
      <c r="J15">
        <f t="shared" si="2"/>
        <v>58</v>
      </c>
    </row>
    <row r="16">
      <c r="A16" t="s">
        <v>257</v>
      </c>
      <c r="B16">
        <f t="shared" si="1"/>
        <v>14.4903</v>
      </c>
      <c r="C16">
        <f>IFERROR(__xludf.DUMMYFUNCTION("""COMPUTED_VALUE"""),35.8334)</f>
        <v>35.8334</v>
      </c>
      <c r="D16">
        <v>1.0</v>
      </c>
      <c r="H16">
        <v>0.0</v>
      </c>
      <c r="J16">
        <f t="shared" si="2"/>
        <v>1</v>
      </c>
    </row>
    <row r="17">
      <c r="A17" t="s">
        <v>258</v>
      </c>
      <c r="B17">
        <f t="shared" si="1"/>
        <v>14.497401</v>
      </c>
      <c r="C17">
        <f>IFERROR(__xludf.DUMMYFUNCTION("""COMPUTED_VALUE"""),-14.452362)</f>
        <v>-14.452362</v>
      </c>
      <c r="H17">
        <v>200.0</v>
      </c>
      <c r="J17">
        <f t="shared" si="2"/>
        <v>200</v>
      </c>
    </row>
    <row r="18">
      <c r="A18" t="s">
        <v>262</v>
      </c>
      <c r="B18">
        <f t="shared" si="1"/>
        <v>14.743417</v>
      </c>
      <c r="C18">
        <f>IFERROR(__xludf.DUMMYFUNCTION("""COMPUTED_VALUE"""),-17.485433)</f>
        <v>-17.485433</v>
      </c>
      <c r="H18">
        <v>74.0</v>
      </c>
      <c r="J18">
        <f t="shared" si="2"/>
        <v>74</v>
      </c>
    </row>
    <row r="19">
      <c r="A19" t="s">
        <v>263</v>
      </c>
      <c r="B19">
        <f t="shared" si="1"/>
        <v>14.762683</v>
      </c>
      <c r="C19">
        <f>IFERROR(__xludf.DUMMYFUNCTION("""COMPUTED_VALUE"""),-17.481736)</f>
        <v>-17.481736</v>
      </c>
      <c r="H19">
        <v>40.0</v>
      </c>
      <c r="J19">
        <f t="shared" si="2"/>
        <v>40</v>
      </c>
    </row>
    <row r="20">
      <c r="A20" t="s">
        <v>266</v>
      </c>
      <c r="B20">
        <f t="shared" si="1"/>
        <v>14.764504</v>
      </c>
      <c r="C20">
        <f>IFERROR(__xludf.DUMMYFUNCTION("""COMPUTED_VALUE"""),-17.366029)</f>
        <v>-17.366029</v>
      </c>
      <c r="H20">
        <v>129.0</v>
      </c>
      <c r="J20">
        <f t="shared" si="2"/>
        <v>129</v>
      </c>
    </row>
    <row r="21">
      <c r="A21" s="10" t="s">
        <v>271</v>
      </c>
      <c r="B21">
        <f t="shared" si="1"/>
        <v>14.8</v>
      </c>
      <c r="C21">
        <f>IFERROR(__xludf.DUMMYFUNCTION("""COMPUTED_VALUE"""),-17.0)</f>
        <v>-17</v>
      </c>
      <c r="I21">
        <v>4.0</v>
      </c>
      <c r="J21">
        <f t="shared" si="2"/>
        <v>4</v>
      </c>
    </row>
    <row r="22">
      <c r="A22" t="s">
        <v>272</v>
      </c>
      <c r="B22">
        <f t="shared" si="1"/>
        <v>15.552727</v>
      </c>
      <c r="C22">
        <f>IFERROR(__xludf.DUMMYFUNCTION("""COMPUTED_VALUE"""),48.516388)</f>
        <v>48.516388</v>
      </c>
      <c r="E22">
        <v>1.0</v>
      </c>
      <c r="H22">
        <v>0.0</v>
      </c>
      <c r="J22">
        <f t="shared" si="2"/>
        <v>1</v>
      </c>
    </row>
    <row r="23">
      <c r="A23" t="s">
        <v>273</v>
      </c>
      <c r="B23">
        <f t="shared" si="1"/>
        <v>16.666667</v>
      </c>
      <c r="C23">
        <f>IFERROR(__xludf.DUMMYFUNCTION("""COMPUTED_VALUE"""),-9.616667)</f>
        <v>-9.616667</v>
      </c>
      <c r="H23">
        <v>42.0</v>
      </c>
      <c r="J23">
        <f t="shared" si="2"/>
        <v>42</v>
      </c>
    </row>
    <row r="24">
      <c r="A24" s="10" t="s">
        <v>276</v>
      </c>
      <c r="B24">
        <f t="shared" si="1"/>
        <v>16.7</v>
      </c>
      <c r="C24">
        <f>IFERROR(__xludf.DUMMYFUNCTION("""COMPUTED_VALUE"""),-9.7)</f>
        <v>-9.7</v>
      </c>
      <c r="D24">
        <v>2.0</v>
      </c>
      <c r="J24">
        <f t="shared" si="2"/>
        <v>2</v>
      </c>
    </row>
    <row r="25">
      <c r="A25" t="s">
        <v>277</v>
      </c>
      <c r="B25">
        <f t="shared" si="1"/>
        <v>16.966667</v>
      </c>
      <c r="C25">
        <f>IFERROR(__xludf.DUMMYFUNCTION("""COMPUTED_VALUE"""),7.983333)</f>
        <v>7.983333</v>
      </c>
      <c r="H25">
        <v>26.0</v>
      </c>
      <c r="J25">
        <f t="shared" si="2"/>
        <v>26</v>
      </c>
    </row>
    <row r="26">
      <c r="A26" s="10" t="s">
        <v>278</v>
      </c>
      <c r="B26">
        <f t="shared" si="1"/>
        <v>17</v>
      </c>
      <c r="C26">
        <f>IFERROR(__xludf.DUMMYFUNCTION("""COMPUTED_VALUE"""),8.0)</f>
        <v>8</v>
      </c>
      <c r="I26">
        <v>12.0</v>
      </c>
      <c r="J26">
        <f t="shared" si="2"/>
        <v>12</v>
      </c>
    </row>
    <row r="27">
      <c r="A27" t="s">
        <v>283</v>
      </c>
      <c r="B27">
        <f t="shared" si="1"/>
        <v>17.570692</v>
      </c>
      <c r="C27">
        <f>IFERROR(__xludf.DUMMYFUNCTION("""COMPUTED_VALUE"""),-3.996166)</f>
        <v>-3.996166</v>
      </c>
      <c r="H27">
        <v>98.0</v>
      </c>
      <c r="J27">
        <f t="shared" si="2"/>
        <v>98</v>
      </c>
    </row>
    <row r="28">
      <c r="A28" t="s">
        <v>284</v>
      </c>
      <c r="B28">
        <f t="shared" si="1"/>
        <v>17.607789</v>
      </c>
      <c r="C28">
        <f>IFERROR(__xludf.DUMMYFUNCTION("""COMPUTED_VALUE"""),8.081666)</f>
        <v>8.081666</v>
      </c>
      <c r="H28">
        <v>112.0</v>
      </c>
      <c r="J28">
        <f t="shared" si="2"/>
        <v>112</v>
      </c>
    </row>
    <row r="29">
      <c r="A29" t="s">
        <v>288</v>
      </c>
      <c r="B29">
        <f t="shared" si="1"/>
        <v>17.916944</v>
      </c>
      <c r="C29">
        <f>IFERROR(__xludf.DUMMYFUNCTION("""COMPUTED_VALUE"""),19.116667)</f>
        <v>19.116667</v>
      </c>
      <c r="H29">
        <v>1.0</v>
      </c>
      <c r="J29">
        <f t="shared" si="2"/>
        <v>1</v>
      </c>
    </row>
    <row r="30">
      <c r="A30" s="10" t="s">
        <v>289</v>
      </c>
      <c r="B30">
        <f t="shared" si="1"/>
        <v>17.6</v>
      </c>
      <c r="C30">
        <f>IFERROR(__xludf.DUMMYFUNCTION("""COMPUTED_VALUE"""),8.1)</f>
        <v>8.1</v>
      </c>
      <c r="E30">
        <v>2.0</v>
      </c>
      <c r="J30">
        <f t="shared" si="2"/>
        <v>2</v>
      </c>
    </row>
    <row r="31">
      <c r="A31" s="10" t="s">
        <v>292</v>
      </c>
      <c r="B31">
        <f t="shared" si="1"/>
        <v>17.9</v>
      </c>
      <c r="C31">
        <f>IFERROR(__xludf.DUMMYFUNCTION("""COMPUTED_VALUE"""),8.0)</f>
        <v>8</v>
      </c>
      <c r="I31">
        <v>50.0</v>
      </c>
      <c r="J31">
        <f t="shared" si="2"/>
        <v>50</v>
      </c>
    </row>
    <row r="32">
      <c r="A32" t="s">
        <v>294</v>
      </c>
      <c r="B32">
        <f t="shared" si="1"/>
        <v>17.992731</v>
      </c>
      <c r="C32">
        <f>IFERROR(__xludf.DUMMYFUNCTION("""COMPUTED_VALUE"""),-76.792009)</f>
        <v>-76.792009</v>
      </c>
      <c r="E32">
        <v>1.0</v>
      </c>
      <c r="H32">
        <v>0.0</v>
      </c>
      <c r="J32">
        <f t="shared" si="2"/>
        <v>1</v>
      </c>
    </row>
    <row r="33">
      <c r="A33" t="s">
        <v>297</v>
      </c>
      <c r="B33">
        <f t="shared" si="1"/>
        <v>18.084061</v>
      </c>
      <c r="C33">
        <f>IFERROR(__xludf.DUMMYFUNCTION("""COMPUTED_VALUE"""),-15.97842)</f>
        <v>-15.97842</v>
      </c>
      <c r="H33">
        <v>152.0</v>
      </c>
      <c r="J33">
        <f t="shared" si="2"/>
        <v>152</v>
      </c>
    </row>
    <row r="34">
      <c r="A34" t="s">
        <v>299</v>
      </c>
      <c r="B34">
        <f t="shared" si="1"/>
        <v>18.733</v>
      </c>
      <c r="C34">
        <f>IFERROR(__xludf.DUMMYFUNCTION("""COMPUTED_VALUE"""),7.383)</f>
        <v>7.383</v>
      </c>
      <c r="H34">
        <v>18.0</v>
      </c>
      <c r="J34">
        <f t="shared" si="2"/>
        <v>18</v>
      </c>
    </row>
    <row r="35">
      <c r="A35" t="s">
        <v>300</v>
      </c>
      <c r="B35">
        <f t="shared" si="1"/>
        <v>19.0086</v>
      </c>
      <c r="C35">
        <f>IFERROR(__xludf.DUMMYFUNCTION("""COMPUTED_VALUE"""),12.88579)</f>
        <v>12.88579</v>
      </c>
      <c r="H35">
        <v>30.0</v>
      </c>
      <c r="J35">
        <f t="shared" si="2"/>
        <v>30</v>
      </c>
    </row>
    <row r="36">
      <c r="A36" t="s">
        <v>301</v>
      </c>
      <c r="B36">
        <f t="shared" si="1"/>
        <v>19.213588</v>
      </c>
      <c r="C36">
        <f>IFERROR(__xludf.DUMMYFUNCTION("""COMPUTED_VALUE"""),6.800537)</f>
        <v>6.800537</v>
      </c>
      <c r="H36">
        <v>18.0</v>
      </c>
      <c r="J36">
        <f t="shared" si="2"/>
        <v>18</v>
      </c>
    </row>
    <row r="37">
      <c r="A37" t="s">
        <v>304</v>
      </c>
      <c r="B37">
        <f t="shared" si="1"/>
        <v>2.033333</v>
      </c>
      <c r="C37">
        <f>IFERROR(__xludf.DUMMYFUNCTION("""COMPUTED_VALUE"""),45.35)</f>
        <v>45.35</v>
      </c>
      <c r="E37">
        <v>2.0</v>
      </c>
      <c r="H37">
        <v>0.0</v>
      </c>
      <c r="J37">
        <f t="shared" si="2"/>
        <v>2</v>
      </c>
    </row>
    <row r="38">
      <c r="A38" t="s">
        <v>305</v>
      </c>
      <c r="B38">
        <f t="shared" si="1"/>
        <v>20</v>
      </c>
      <c r="C38">
        <f>IFERROR(__xludf.DUMMYFUNCTION("""COMPUTED_VALUE"""),25.0)</f>
        <v>25</v>
      </c>
      <c r="D38">
        <v>12.0</v>
      </c>
      <c r="H38">
        <v>0.0</v>
      </c>
      <c r="J38">
        <f t="shared" si="2"/>
        <v>12</v>
      </c>
    </row>
    <row r="39">
      <c r="A39" t="s">
        <v>308</v>
      </c>
      <c r="B39">
        <f t="shared" si="1"/>
        <v>20.23</v>
      </c>
      <c r="C39">
        <f>IFERROR(__xludf.DUMMYFUNCTION("""COMPUTED_VALUE"""),25.0)</f>
        <v>25</v>
      </c>
      <c r="H39">
        <v>10.0</v>
      </c>
      <c r="J39">
        <f t="shared" si="2"/>
        <v>10</v>
      </c>
    </row>
    <row r="40">
      <c r="A40" t="s">
        <v>309</v>
      </c>
      <c r="B40">
        <f t="shared" si="1"/>
        <v>20.942518</v>
      </c>
      <c r="C40">
        <f>IFERROR(__xludf.DUMMYFUNCTION("""COMPUTED_VALUE"""),-17.036227)</f>
        <v>-17.036227</v>
      </c>
      <c r="H40">
        <v>83.0</v>
      </c>
      <c r="J40">
        <f t="shared" si="2"/>
        <v>83</v>
      </c>
    </row>
    <row r="41">
      <c r="A41" t="s">
        <v>310</v>
      </c>
      <c r="B41">
        <f t="shared" si="1"/>
        <v>21.00789</v>
      </c>
      <c r="C41">
        <f>IFERROR(__xludf.DUMMYFUNCTION("""COMPUTED_VALUE"""),-10.940835)</f>
        <v>-10.940835</v>
      </c>
      <c r="H41">
        <v>51.0</v>
      </c>
      <c r="J41">
        <f t="shared" si="2"/>
        <v>51</v>
      </c>
    </row>
    <row r="42">
      <c r="A42" t="s">
        <v>314</v>
      </c>
      <c r="B42">
        <f t="shared" si="1"/>
        <v>21.8</v>
      </c>
      <c r="C42">
        <f>IFERROR(__xludf.DUMMYFUNCTION("""COMPUTED_VALUE"""),8.56)</f>
        <v>8.56</v>
      </c>
      <c r="H42">
        <v>46.0</v>
      </c>
      <c r="J42">
        <f t="shared" si="2"/>
        <v>46</v>
      </c>
    </row>
    <row r="43">
      <c r="A43" s="10" t="s">
        <v>315</v>
      </c>
      <c r="B43">
        <f t="shared" si="1"/>
        <v>21</v>
      </c>
      <c r="C43">
        <f>IFERROR(__xludf.DUMMYFUNCTION("""COMPUTED_VALUE"""),-11.0)</f>
        <v>-11</v>
      </c>
      <c r="G43">
        <v>10.0</v>
      </c>
      <c r="J43">
        <f t="shared" si="2"/>
        <v>10</v>
      </c>
    </row>
    <row r="44">
      <c r="A44" t="s">
        <v>316</v>
      </c>
      <c r="B44">
        <f t="shared" si="1"/>
        <v>22.785</v>
      </c>
      <c r="C44">
        <f>IFERROR(__xludf.DUMMYFUNCTION("""COMPUTED_VALUE"""),5.522778)</f>
        <v>5.522778</v>
      </c>
      <c r="H44">
        <v>6.0</v>
      </c>
      <c r="J44">
        <f t="shared" si="2"/>
        <v>6</v>
      </c>
    </row>
    <row r="45">
      <c r="A45" t="s">
        <v>319</v>
      </c>
      <c r="B45">
        <f t="shared" si="1"/>
        <v>23.14632</v>
      </c>
      <c r="C45">
        <f>IFERROR(__xludf.DUMMYFUNCTION("""COMPUTED_VALUE"""),58.825119)</f>
        <v>58.825119</v>
      </c>
      <c r="H45">
        <v>5.0</v>
      </c>
      <c r="J45">
        <f t="shared" si="2"/>
        <v>5</v>
      </c>
    </row>
    <row r="46">
      <c r="A46" t="s">
        <v>322</v>
      </c>
      <c r="B46">
        <f t="shared" si="1"/>
        <v>23.684994</v>
      </c>
      <c r="C46">
        <f>IFERROR(__xludf.DUMMYFUNCTION("""COMPUTED_VALUE"""),90.356331)</f>
        <v>90.356331</v>
      </c>
      <c r="G46">
        <v>1.0</v>
      </c>
      <c r="H46">
        <v>0.0</v>
      </c>
      <c r="J46">
        <f t="shared" si="2"/>
        <v>1</v>
      </c>
    </row>
    <row r="47">
      <c r="A47" t="s">
        <v>323</v>
      </c>
      <c r="B47">
        <f t="shared" si="1"/>
        <v>23.69751</v>
      </c>
      <c r="C47">
        <f>IFERROR(__xludf.DUMMYFUNCTION("""COMPUTED_VALUE"""),-15.93698)</f>
        <v>-15.93698</v>
      </c>
      <c r="H47">
        <v>177.0</v>
      </c>
      <c r="J47">
        <f t="shared" si="2"/>
        <v>177</v>
      </c>
    </row>
    <row r="48">
      <c r="A48" t="s">
        <v>324</v>
      </c>
      <c r="B48">
        <f t="shared" si="1"/>
        <v>23.803497</v>
      </c>
      <c r="C48">
        <f>IFERROR(__xludf.DUMMYFUNCTION("""COMPUTED_VALUE"""),11.291889)</f>
        <v>11.291889</v>
      </c>
      <c r="H48">
        <v>234.0</v>
      </c>
      <c r="J48">
        <f t="shared" si="2"/>
        <v>234</v>
      </c>
    </row>
    <row r="49">
      <c r="A49" t="s">
        <v>329</v>
      </c>
      <c r="B49">
        <f t="shared" si="1"/>
        <v>24.088938</v>
      </c>
      <c r="C49">
        <f>IFERROR(__xludf.DUMMYFUNCTION("""COMPUTED_VALUE"""),32.899829)</f>
        <v>32.899829</v>
      </c>
      <c r="H49">
        <v>28.0</v>
      </c>
      <c r="J49">
        <f t="shared" si="2"/>
        <v>28</v>
      </c>
    </row>
    <row r="50">
      <c r="A50" s="10" t="s">
        <v>330</v>
      </c>
      <c r="B50">
        <f t="shared" si="1"/>
        <v>24.1</v>
      </c>
      <c r="C50">
        <f>IFERROR(__xludf.DUMMYFUNCTION("""COMPUTED_VALUE"""),33.0)</f>
        <v>33</v>
      </c>
      <c r="D50">
        <v>85.0</v>
      </c>
      <c r="J50">
        <f t="shared" si="2"/>
        <v>85</v>
      </c>
    </row>
    <row r="51">
      <c r="A51" s="10" t="s">
        <v>331</v>
      </c>
      <c r="B51">
        <f t="shared" si="1"/>
        <v>25</v>
      </c>
      <c r="C51">
        <f>IFERROR(__xludf.DUMMYFUNCTION("""COMPUTED_VALUE"""),32.9)</f>
        <v>32.9</v>
      </c>
      <c r="E51">
        <v>16.0</v>
      </c>
      <c r="J51">
        <f t="shared" si="2"/>
        <v>16</v>
      </c>
    </row>
    <row r="52">
      <c r="A52" t="s">
        <v>334</v>
      </c>
      <c r="B52">
        <f t="shared" si="1"/>
        <v>26.0667</v>
      </c>
      <c r="C52">
        <f>IFERROR(__xludf.DUMMYFUNCTION("""COMPUTED_VALUE"""),50.5577)</f>
        <v>50.5577</v>
      </c>
      <c r="H52">
        <v>0.0</v>
      </c>
      <c r="I52">
        <v>1.0</v>
      </c>
      <c r="J52">
        <f t="shared" si="2"/>
        <v>1</v>
      </c>
    </row>
    <row r="53">
      <c r="A53" t="s">
        <v>336</v>
      </c>
      <c r="B53">
        <f t="shared" si="1"/>
        <v>26.133333</v>
      </c>
      <c r="C53">
        <f>IFERROR(__xludf.DUMMYFUNCTION("""COMPUTED_VALUE"""),-14.466667)</f>
        <v>-14.466667</v>
      </c>
      <c r="H53">
        <v>22.0</v>
      </c>
      <c r="J53">
        <f t="shared" si="2"/>
        <v>22</v>
      </c>
    </row>
    <row r="54">
      <c r="A54" t="s">
        <v>337</v>
      </c>
      <c r="B54">
        <f t="shared" si="1"/>
        <v>26.3351</v>
      </c>
      <c r="C54">
        <f>IFERROR(__xludf.DUMMYFUNCTION("""COMPUTED_VALUE"""),17.228331)</f>
        <v>17.228331</v>
      </c>
      <c r="H54">
        <v>1230.0</v>
      </c>
      <c r="J54">
        <f t="shared" si="2"/>
        <v>1230</v>
      </c>
    </row>
    <row r="55">
      <c r="A55" s="10" t="s">
        <v>341</v>
      </c>
      <c r="B55">
        <f t="shared" si="1"/>
        <v>26</v>
      </c>
      <c r="C55">
        <f>IFERROR(__xludf.DUMMYFUNCTION("""COMPUTED_VALUE"""),17.5)</f>
        <v>17.5</v>
      </c>
      <c r="E55">
        <v>1.0</v>
      </c>
      <c r="J55">
        <f t="shared" si="2"/>
        <v>1</v>
      </c>
    </row>
    <row r="56">
      <c r="A56" s="10" t="s">
        <v>342</v>
      </c>
      <c r="B56">
        <f t="shared" si="1"/>
        <v>26.5</v>
      </c>
      <c r="C56">
        <f>IFERROR(__xludf.DUMMYFUNCTION("""COMPUTED_VALUE"""),17.0)</f>
        <v>17</v>
      </c>
      <c r="I56">
        <v>140.0</v>
      </c>
      <c r="J56">
        <f t="shared" si="2"/>
        <v>140</v>
      </c>
    </row>
    <row r="57">
      <c r="A57" t="s">
        <v>344</v>
      </c>
      <c r="B57">
        <f t="shared" si="1"/>
        <v>26.820553</v>
      </c>
      <c r="C57">
        <f>IFERROR(__xludf.DUMMYFUNCTION("""COMPUTED_VALUE"""),30.802498)</f>
        <v>30.802498</v>
      </c>
      <c r="H57">
        <v>425.0</v>
      </c>
      <c r="J57">
        <f t="shared" si="2"/>
        <v>425</v>
      </c>
    </row>
    <row r="58">
      <c r="A58" s="10" t="s">
        <v>346</v>
      </c>
      <c r="B58">
        <f t="shared" si="1"/>
        <v>27</v>
      </c>
      <c r="C58">
        <f>IFERROR(__xludf.DUMMYFUNCTION("""COMPUTED_VALUE"""),30.8)</f>
        <v>30.8</v>
      </c>
      <c r="D58">
        <v>2.0</v>
      </c>
      <c r="J58">
        <f t="shared" si="2"/>
        <v>2</v>
      </c>
    </row>
    <row r="59">
      <c r="A59" t="s">
        <v>349</v>
      </c>
      <c r="B59">
        <f t="shared" si="1"/>
        <v>27.153611</v>
      </c>
      <c r="C59">
        <f>IFERROR(__xludf.DUMMYFUNCTION("""COMPUTED_VALUE"""),-13.203333)</f>
        <v>-13.203333</v>
      </c>
      <c r="H59">
        <v>348.0</v>
      </c>
      <c r="J59">
        <f t="shared" si="2"/>
        <v>348</v>
      </c>
    </row>
    <row r="60">
      <c r="A60" t="s">
        <v>351</v>
      </c>
      <c r="B60">
        <f t="shared" si="1"/>
        <v>27.725499</v>
      </c>
      <c r="C60">
        <f>IFERROR(__xludf.DUMMYFUNCTION("""COMPUTED_VALUE"""),-18.024301)</f>
        <v>-18.024301</v>
      </c>
      <c r="H60">
        <v>41.0</v>
      </c>
      <c r="J60">
        <f t="shared" si="2"/>
        <v>41</v>
      </c>
    </row>
    <row r="61">
      <c r="A61" t="s">
        <v>353</v>
      </c>
      <c r="B61">
        <f t="shared" si="1"/>
        <v>27.759555</v>
      </c>
      <c r="C61">
        <f>IFERROR(__xludf.DUMMYFUNCTION("""COMPUTED_VALUE"""),-15.57903)</f>
        <v>-15.57903</v>
      </c>
      <c r="H61">
        <v>5.0</v>
      </c>
      <c r="J61">
        <f t="shared" si="2"/>
        <v>5</v>
      </c>
    </row>
    <row r="62">
      <c r="A62" t="s">
        <v>356</v>
      </c>
      <c r="B62">
        <f t="shared" si="1"/>
        <v>27.78085</v>
      </c>
      <c r="C62">
        <f>IFERROR(__xludf.DUMMYFUNCTION("""COMPUTED_VALUE"""),-15.520694)</f>
        <v>-15.520694</v>
      </c>
      <c r="H62">
        <v>2.0</v>
      </c>
      <c r="J62">
        <f t="shared" si="2"/>
        <v>2</v>
      </c>
    </row>
    <row r="63">
      <c r="A63" t="s">
        <v>357</v>
      </c>
      <c r="B63">
        <f t="shared" si="1"/>
        <v>27.793611</v>
      </c>
      <c r="C63">
        <f>IFERROR(__xludf.DUMMYFUNCTION("""COMPUTED_VALUE"""),-15.658889)</f>
        <v>-15.658889</v>
      </c>
      <c r="H63">
        <v>30.0</v>
      </c>
      <c r="J63">
        <f t="shared" si="2"/>
        <v>30</v>
      </c>
    </row>
    <row r="64">
      <c r="A64" t="s">
        <v>360</v>
      </c>
      <c r="B64">
        <f t="shared" si="1"/>
        <v>27.858484</v>
      </c>
      <c r="C64">
        <f>IFERROR(__xludf.DUMMYFUNCTION("""COMPUTED_VALUE"""),-15.394362)</f>
        <v>-15.394362</v>
      </c>
      <c r="H64">
        <v>1.0</v>
      </c>
      <c r="J64">
        <f t="shared" si="2"/>
        <v>1</v>
      </c>
    </row>
    <row r="65">
      <c r="A65" t="s">
        <v>365</v>
      </c>
      <c r="B65">
        <f t="shared" si="1"/>
        <v>27.93556</v>
      </c>
      <c r="C65">
        <f>IFERROR(__xludf.DUMMYFUNCTION("""COMPUTED_VALUE"""),-12.91871)</f>
        <v>-12.91871</v>
      </c>
      <c r="H65">
        <v>85.0</v>
      </c>
      <c r="J65">
        <f t="shared" si="2"/>
        <v>85</v>
      </c>
    </row>
    <row r="66">
      <c r="A66" t="s">
        <v>366</v>
      </c>
      <c r="B66">
        <f t="shared" si="1"/>
        <v>28.009757</v>
      </c>
      <c r="C66">
        <f>IFERROR(__xludf.DUMMYFUNCTION("""COMPUTED_VALUE"""),-15.53205)</f>
        <v>-15.53205</v>
      </c>
      <c r="H66">
        <v>5.0</v>
      </c>
      <c r="J66">
        <f t="shared" si="2"/>
        <v>5</v>
      </c>
    </row>
    <row r="67">
      <c r="A67" t="s">
        <v>369</v>
      </c>
      <c r="B67">
        <f t="shared" si="1"/>
        <v>28.033886</v>
      </c>
      <c r="C67">
        <f>IFERROR(__xludf.DUMMYFUNCTION("""COMPUTED_VALUE"""),1.659626)</f>
        <v>1.659626</v>
      </c>
      <c r="H67">
        <v>127.0</v>
      </c>
      <c r="J67">
        <f t="shared" si="2"/>
        <v>127</v>
      </c>
    </row>
    <row r="68">
      <c r="A68" t="s">
        <v>372</v>
      </c>
      <c r="B68">
        <f t="shared" si="1"/>
        <v>28.05</v>
      </c>
      <c r="C68">
        <f>IFERROR(__xludf.DUMMYFUNCTION("""COMPUTED_VALUE"""),-16.716667)</f>
        <v>-16.716667</v>
      </c>
      <c r="H68">
        <v>2.0</v>
      </c>
      <c r="J68">
        <f t="shared" si="2"/>
        <v>2</v>
      </c>
    </row>
    <row r="69">
      <c r="A69" t="s">
        <v>375</v>
      </c>
      <c r="B69">
        <f t="shared" si="1"/>
        <v>28.100259</v>
      </c>
      <c r="C69">
        <f>IFERROR(__xludf.DUMMYFUNCTION("""COMPUTED_VALUE"""),-15.699674)</f>
        <v>-15.699674</v>
      </c>
      <c r="H69">
        <v>1.0</v>
      </c>
      <c r="J69">
        <f t="shared" si="2"/>
        <v>1</v>
      </c>
    </row>
    <row r="70">
      <c r="A70" t="s">
        <v>376</v>
      </c>
      <c r="B70">
        <f t="shared" si="1"/>
        <v>28.103304</v>
      </c>
      <c r="C70">
        <f>IFERROR(__xludf.DUMMYFUNCTION("""COMPUTED_VALUE"""),-17.219358)</f>
        <v>-17.219358</v>
      </c>
      <c r="H70">
        <v>29.0</v>
      </c>
      <c r="J70">
        <f t="shared" si="2"/>
        <v>29</v>
      </c>
    </row>
    <row r="71">
      <c r="A71" t="s">
        <v>379</v>
      </c>
      <c r="B71">
        <f t="shared" si="1"/>
        <v>28.113155</v>
      </c>
      <c r="C71">
        <f>IFERROR(__xludf.DUMMYFUNCTION("""COMPUTED_VALUE"""),-15.440883)</f>
        <v>-15.440883</v>
      </c>
      <c r="H71">
        <v>5.0</v>
      </c>
      <c r="J71">
        <f t="shared" si="2"/>
        <v>5</v>
      </c>
    </row>
    <row r="72">
      <c r="A72" t="s">
        <v>382</v>
      </c>
      <c r="B72">
        <f t="shared" si="1"/>
        <v>28.291564</v>
      </c>
      <c r="C72">
        <f>IFERROR(__xludf.DUMMYFUNCTION("""COMPUTED_VALUE"""),-16.62913)</f>
        <v>-16.62913</v>
      </c>
      <c r="H72">
        <v>1096.0</v>
      </c>
      <c r="J72">
        <f t="shared" si="2"/>
        <v>1096</v>
      </c>
    </row>
    <row r="73">
      <c r="A73" s="10" t="s">
        <v>385</v>
      </c>
      <c r="B73">
        <f t="shared" si="1"/>
        <v>28</v>
      </c>
      <c r="C73">
        <f>IFERROR(__xludf.DUMMYFUNCTION("""COMPUTED_VALUE"""),-16.6)</f>
        <v>-16.6</v>
      </c>
      <c r="D73">
        <v>2.0</v>
      </c>
      <c r="J73">
        <f t="shared" si="2"/>
        <v>2</v>
      </c>
    </row>
    <row r="74">
      <c r="A74" s="10" t="s">
        <v>386</v>
      </c>
      <c r="B74">
        <f t="shared" si="1"/>
        <v>28.5</v>
      </c>
      <c r="C74">
        <f>IFERROR(__xludf.DUMMYFUNCTION("""COMPUTED_VALUE"""),-16.0)</f>
        <v>-16</v>
      </c>
      <c r="G74">
        <v>4.0</v>
      </c>
      <c r="J74">
        <f t="shared" si="2"/>
        <v>4</v>
      </c>
    </row>
    <row r="75">
      <c r="A75" s="10" t="s">
        <v>387</v>
      </c>
      <c r="B75">
        <f t="shared" si="1"/>
        <v>28.8</v>
      </c>
      <c r="C75">
        <f>IFERROR(__xludf.DUMMYFUNCTION("""COMPUTED_VALUE"""),-16.8)</f>
        <v>-16.8</v>
      </c>
      <c r="I75">
        <v>18.0</v>
      </c>
      <c r="J75">
        <f t="shared" si="2"/>
        <v>18</v>
      </c>
    </row>
    <row r="76">
      <c r="A76" t="s">
        <v>390</v>
      </c>
      <c r="B76">
        <f t="shared" si="1"/>
        <v>28.358744</v>
      </c>
      <c r="C76">
        <f>IFERROR(__xludf.DUMMYFUNCTION("""COMPUTED_VALUE"""),-14.053676)</f>
        <v>-14.053676</v>
      </c>
      <c r="H76">
        <v>488.0</v>
      </c>
      <c r="J76">
        <f t="shared" si="2"/>
        <v>488</v>
      </c>
    </row>
    <row r="77">
      <c r="A77" t="s">
        <v>391</v>
      </c>
      <c r="B77">
        <f t="shared" si="1"/>
        <v>28.386856</v>
      </c>
      <c r="C77">
        <f>IFERROR(__xludf.DUMMYFUNCTION("""COMPUTED_VALUE"""),-16.553251)</f>
        <v>-16.553251</v>
      </c>
      <c r="H77">
        <v>1.0</v>
      </c>
      <c r="J77">
        <f t="shared" si="2"/>
        <v>1</v>
      </c>
    </row>
    <row r="78">
      <c r="A78" t="s">
        <v>392</v>
      </c>
      <c r="B78">
        <f t="shared" si="1"/>
        <v>28.3968</v>
      </c>
      <c r="C78">
        <f>IFERROR(__xludf.DUMMYFUNCTION("""COMPUTED_VALUE"""),-13.863823)</f>
        <v>-13.863823</v>
      </c>
      <c r="H78">
        <v>1.0</v>
      </c>
      <c r="J78">
        <f t="shared" si="2"/>
        <v>1</v>
      </c>
    </row>
    <row r="79">
      <c r="A79" t="s">
        <v>395</v>
      </c>
      <c r="B79">
        <f t="shared" si="1"/>
        <v>28.415292</v>
      </c>
      <c r="C79">
        <f>IFERROR(__xludf.DUMMYFUNCTION("""COMPUTED_VALUE"""),-14.01106)</f>
        <v>-14.01106</v>
      </c>
      <c r="H79">
        <v>2.0</v>
      </c>
      <c r="J79">
        <f t="shared" si="2"/>
        <v>2</v>
      </c>
    </row>
    <row r="80">
      <c r="A80" t="s">
        <v>396</v>
      </c>
      <c r="B80">
        <f t="shared" si="1"/>
        <v>28.569022</v>
      </c>
      <c r="C80">
        <f>IFERROR(__xludf.DUMMYFUNCTION("""COMPUTED_VALUE"""),-16.324539)</f>
        <v>-16.324539</v>
      </c>
      <c r="H80">
        <v>53.0</v>
      </c>
      <c r="J80">
        <f t="shared" si="2"/>
        <v>53</v>
      </c>
    </row>
    <row r="81">
      <c r="A81" t="s">
        <v>398</v>
      </c>
      <c r="B81">
        <f t="shared" si="1"/>
        <v>29.01</v>
      </c>
      <c r="C81">
        <f>IFERROR(__xludf.DUMMYFUNCTION("""COMPUTED_VALUE"""),-12.79)</f>
        <v>-12.79</v>
      </c>
      <c r="H81">
        <v>12.0</v>
      </c>
      <c r="J81">
        <f t="shared" si="2"/>
        <v>12</v>
      </c>
    </row>
    <row r="82">
      <c r="A82" t="s">
        <v>400</v>
      </c>
      <c r="B82">
        <f t="shared" si="1"/>
        <v>29.046854</v>
      </c>
      <c r="C82">
        <f>IFERROR(__xludf.DUMMYFUNCTION("""COMPUTED_VALUE"""),-13.589973)</f>
        <v>-13.589973</v>
      </c>
      <c r="D82">
        <v>1.0</v>
      </c>
      <c r="H82">
        <v>73.0</v>
      </c>
      <c r="J82">
        <f t="shared" si="2"/>
        <v>74</v>
      </c>
    </row>
    <row r="83">
      <c r="A83" t="s">
        <v>401</v>
      </c>
      <c r="B83">
        <f t="shared" si="1"/>
        <v>29.060072</v>
      </c>
      <c r="C83">
        <f>IFERROR(__xludf.DUMMYFUNCTION("""COMPUTED_VALUE"""),-13.560306)</f>
        <v>-13.560306</v>
      </c>
      <c r="H83">
        <v>12.0</v>
      </c>
      <c r="J83">
        <f t="shared" si="2"/>
        <v>12</v>
      </c>
    </row>
    <row r="84">
      <c r="A84" t="s">
        <v>405</v>
      </c>
      <c r="B84">
        <f t="shared" si="1"/>
        <v>29.104381</v>
      </c>
      <c r="C84">
        <f>IFERROR(__xludf.DUMMYFUNCTION("""COMPUTED_VALUE"""),53.045893)</f>
        <v>53.045893</v>
      </c>
      <c r="H84">
        <v>0.0</v>
      </c>
      <c r="I84">
        <v>30.0</v>
      </c>
      <c r="J84">
        <f t="shared" si="2"/>
        <v>30</v>
      </c>
    </row>
    <row r="85">
      <c r="A85" t="s">
        <v>406</v>
      </c>
      <c r="B85">
        <f t="shared" si="1"/>
        <v>30.000473</v>
      </c>
      <c r="C85">
        <f>IFERROR(__xludf.DUMMYFUNCTION("""COMPUTED_VALUE"""),34.679418)</f>
        <v>34.679418</v>
      </c>
      <c r="D85">
        <v>1.0</v>
      </c>
      <c r="H85">
        <v>0.0</v>
      </c>
      <c r="J85">
        <f t="shared" si="2"/>
        <v>1</v>
      </c>
    </row>
    <row r="86">
      <c r="A86" t="s">
        <v>407</v>
      </c>
      <c r="B86">
        <f t="shared" si="1"/>
        <v>30.04442</v>
      </c>
      <c r="C86">
        <f>IFERROR(__xludf.DUMMYFUNCTION("""COMPUTED_VALUE"""),31.235712)</f>
        <v>31.235712</v>
      </c>
      <c r="H86">
        <v>2.0</v>
      </c>
      <c r="J86">
        <f t="shared" si="2"/>
        <v>2</v>
      </c>
    </row>
    <row r="87">
      <c r="A87" s="10" t="s">
        <v>408</v>
      </c>
      <c r="B87">
        <f t="shared" si="1"/>
        <v>30</v>
      </c>
      <c r="C87">
        <f>IFERROR(__xludf.DUMMYFUNCTION("""COMPUTED_VALUE"""),31.0)</f>
        <v>31</v>
      </c>
      <c r="D87">
        <v>26.0</v>
      </c>
      <c r="J87">
        <f t="shared" si="2"/>
        <v>26</v>
      </c>
    </row>
    <row r="88">
      <c r="A88" t="s">
        <v>411</v>
      </c>
      <c r="B88">
        <f t="shared" si="1"/>
        <v>30.134703</v>
      </c>
      <c r="C88">
        <f>IFERROR(__xludf.DUMMYFUNCTION("""COMPUTED_VALUE"""),31.254136)</f>
        <v>31.254136</v>
      </c>
      <c r="H88">
        <v>305.0</v>
      </c>
      <c r="J88">
        <f t="shared" si="2"/>
        <v>305</v>
      </c>
    </row>
    <row r="89">
      <c r="A89" t="s">
        <v>412</v>
      </c>
      <c r="B89">
        <f t="shared" si="1"/>
        <v>30.153994</v>
      </c>
      <c r="C89">
        <f>IFERROR(__xludf.DUMMYFUNCTION("""COMPUTED_VALUE"""),34.035645)</f>
        <v>34.035645</v>
      </c>
      <c r="D89">
        <v>10.0</v>
      </c>
      <c r="H89">
        <v>0.0</v>
      </c>
      <c r="J89">
        <f t="shared" si="2"/>
        <v>10</v>
      </c>
    </row>
    <row r="90">
      <c r="A90" t="s">
        <v>416</v>
      </c>
      <c r="B90">
        <f t="shared" si="1"/>
        <v>30.446042</v>
      </c>
      <c r="C90">
        <f>IFERROR(__xludf.DUMMYFUNCTION("""COMPUTED_VALUE"""),31.181203)</f>
        <v>31.181203</v>
      </c>
      <c r="H90">
        <v>26.0</v>
      </c>
      <c r="J90">
        <f t="shared" si="2"/>
        <v>26</v>
      </c>
    </row>
    <row r="91">
      <c r="A91" t="s">
        <v>418</v>
      </c>
      <c r="B91">
        <f t="shared" si="1"/>
        <v>30.597246</v>
      </c>
      <c r="C91">
        <f>IFERROR(__xludf.DUMMYFUNCTION("""COMPUTED_VALUE"""),30.987632)</f>
        <v>30.987632</v>
      </c>
      <c r="H91">
        <v>101.0</v>
      </c>
      <c r="J91">
        <f t="shared" si="2"/>
        <v>101</v>
      </c>
    </row>
    <row r="92">
      <c r="A92" t="s">
        <v>419</v>
      </c>
      <c r="B92">
        <f t="shared" si="1"/>
        <v>30.755556</v>
      </c>
      <c r="C92">
        <f>IFERROR(__xludf.DUMMYFUNCTION("""COMPUTED_VALUE"""),20.225278)</f>
        <v>20.225278</v>
      </c>
      <c r="H92">
        <v>60.0</v>
      </c>
      <c r="J92">
        <f t="shared" si="2"/>
        <v>60</v>
      </c>
    </row>
    <row r="93">
      <c r="A93" t="s">
        <v>422</v>
      </c>
      <c r="B93">
        <f t="shared" si="1"/>
        <v>30.78004</v>
      </c>
      <c r="C93">
        <f>IFERROR(__xludf.DUMMYFUNCTION("""COMPUTED_VALUE"""),30.991133)</f>
        <v>30.991133</v>
      </c>
      <c r="H93">
        <v>2.0</v>
      </c>
      <c r="J93">
        <f t="shared" si="2"/>
        <v>2</v>
      </c>
    </row>
    <row r="94">
      <c r="A94" t="s">
        <v>423</v>
      </c>
      <c r="B94">
        <f t="shared" si="1"/>
        <v>30.840842</v>
      </c>
      <c r="C94">
        <f>IFERROR(__xludf.DUMMYFUNCTION("""COMPUTED_VALUE"""),32.32634)</f>
        <v>32.32634</v>
      </c>
      <c r="H94">
        <v>12.0</v>
      </c>
      <c r="J94">
        <f t="shared" si="2"/>
        <v>12</v>
      </c>
    </row>
    <row r="95">
      <c r="A95" t="s">
        <v>426</v>
      </c>
      <c r="B95">
        <f t="shared" si="1"/>
        <v>31.030972</v>
      </c>
      <c r="C95">
        <f>IFERROR(__xludf.DUMMYFUNCTION("""COMPUTED_VALUE"""),-7.885086)</f>
        <v>-7.885086</v>
      </c>
      <c r="H95">
        <v>36.0</v>
      </c>
      <c r="J95">
        <f t="shared" si="2"/>
        <v>36</v>
      </c>
    </row>
    <row r="96">
      <c r="A96" t="s">
        <v>427</v>
      </c>
      <c r="B96">
        <f t="shared" si="1"/>
        <v>31.200092</v>
      </c>
      <c r="C96">
        <f>IFERROR(__xludf.DUMMYFUNCTION("""COMPUTED_VALUE"""),29.918739)</f>
        <v>29.918739</v>
      </c>
      <c r="H96">
        <v>132.0</v>
      </c>
      <c r="J96">
        <f t="shared" si="2"/>
        <v>132</v>
      </c>
    </row>
    <row r="97">
      <c r="A97" s="10" t="s">
        <v>429</v>
      </c>
      <c r="B97">
        <f t="shared" si="1"/>
        <v>31</v>
      </c>
      <c r="C97">
        <f>IFERROR(__xludf.DUMMYFUNCTION("""COMPUTED_VALUE"""),30.0)</f>
        <v>30</v>
      </c>
      <c r="D97">
        <v>1.0</v>
      </c>
      <c r="J97">
        <f t="shared" si="2"/>
        <v>1</v>
      </c>
    </row>
    <row r="98">
      <c r="A98" t="s">
        <v>432</v>
      </c>
      <c r="B98">
        <f t="shared" si="1"/>
        <v>31.280267</v>
      </c>
      <c r="C98">
        <f>IFERROR(__xludf.DUMMYFUNCTION("""COMPUTED_VALUE"""),34.240191)</f>
        <v>34.240191</v>
      </c>
      <c r="D98">
        <v>4.0</v>
      </c>
      <c r="H98">
        <v>0.0</v>
      </c>
      <c r="J98">
        <f t="shared" si="2"/>
        <v>4</v>
      </c>
    </row>
    <row r="99">
      <c r="A99" t="s">
        <v>433</v>
      </c>
      <c r="B99">
        <f t="shared" si="1"/>
        <v>31.510077</v>
      </c>
      <c r="C99">
        <f>IFERROR(__xludf.DUMMYFUNCTION("""COMPUTED_VALUE"""),30.21185)</f>
        <v>30.21185</v>
      </c>
      <c r="H99">
        <v>3.0</v>
      </c>
      <c r="J99">
        <f t="shared" si="2"/>
        <v>3</v>
      </c>
    </row>
    <row r="100">
      <c r="A100" t="s">
        <v>436</v>
      </c>
      <c r="B100">
        <f t="shared" si="1"/>
        <v>31.558247</v>
      </c>
      <c r="C100">
        <f>IFERROR(__xludf.DUMMYFUNCTION("""COMPUTED_VALUE"""),31.085148)</f>
        <v>31.085148</v>
      </c>
      <c r="H100">
        <v>3.0</v>
      </c>
      <c r="J100">
        <f t="shared" si="2"/>
        <v>3</v>
      </c>
    </row>
    <row r="101">
      <c r="A101" t="s">
        <v>439</v>
      </c>
      <c r="B101">
        <f t="shared" si="1"/>
        <v>31.791702</v>
      </c>
      <c r="C101">
        <f>IFERROR(__xludf.DUMMYFUNCTION("""COMPUTED_VALUE"""),-7.09262)</f>
        <v>-7.09262</v>
      </c>
      <c r="H101">
        <v>76.0</v>
      </c>
      <c r="J101">
        <f t="shared" si="2"/>
        <v>76</v>
      </c>
    </row>
    <row r="102">
      <c r="A102" s="10" t="s">
        <v>440</v>
      </c>
      <c r="B102">
        <f t="shared" si="1"/>
        <v>31.79</v>
      </c>
      <c r="C102">
        <f>IFERROR(__xludf.DUMMYFUNCTION("""COMPUTED_VALUE"""),-7.1)</f>
        <v>-7.1</v>
      </c>
      <c r="D102">
        <v>1.0</v>
      </c>
      <c r="J102">
        <f t="shared" si="2"/>
        <v>1</v>
      </c>
    </row>
    <row r="103">
      <c r="A103" t="s">
        <v>442</v>
      </c>
      <c r="B103">
        <f t="shared" si="1"/>
        <v>31.802985</v>
      </c>
      <c r="C103">
        <f>IFERROR(__xludf.DUMMYFUNCTION("""COMPUTED_VALUE"""),-7.574833)</f>
        <v>-7.574833</v>
      </c>
      <c r="H103">
        <v>16.0</v>
      </c>
      <c r="J103">
        <f t="shared" si="2"/>
        <v>16</v>
      </c>
    </row>
    <row r="104">
      <c r="A104" t="s">
        <v>446</v>
      </c>
      <c r="B104">
        <f t="shared" si="1"/>
        <v>32</v>
      </c>
      <c r="C104">
        <f>IFERROR(__xludf.DUMMYFUNCTION("""COMPUTED_VALUE"""),17.0)</f>
        <v>17</v>
      </c>
      <c r="H104">
        <v>15.0</v>
      </c>
      <c r="J104">
        <f t="shared" si="2"/>
        <v>15</v>
      </c>
    </row>
    <row r="105">
      <c r="A105" t="s">
        <v>449</v>
      </c>
      <c r="B105">
        <f t="shared" si="1"/>
        <v>32</v>
      </c>
      <c r="C105">
        <f>IFERROR(__xludf.DUMMYFUNCTION("""COMPUTED_VALUE"""),30.6)</f>
        <v>30.6</v>
      </c>
      <c r="H105">
        <v>1.0</v>
      </c>
      <c r="J105">
        <f t="shared" si="2"/>
        <v>1</v>
      </c>
    </row>
    <row r="106">
      <c r="A106" t="s">
        <v>451</v>
      </c>
      <c r="B106">
        <f t="shared" si="1"/>
        <v>32.116667</v>
      </c>
      <c r="C106">
        <f>IFERROR(__xludf.DUMMYFUNCTION("""COMPUTED_VALUE"""),20.066667)</f>
        <v>20.066667</v>
      </c>
      <c r="D106">
        <v>58.0</v>
      </c>
      <c r="H106">
        <v>0.0</v>
      </c>
      <c r="J106">
        <f t="shared" si="2"/>
        <v>58</v>
      </c>
    </row>
    <row r="107">
      <c r="A107" t="s">
        <v>453</v>
      </c>
      <c r="B107">
        <f t="shared" si="1"/>
        <v>32.183929</v>
      </c>
      <c r="C107">
        <f>IFERROR(__xludf.DUMMYFUNCTION("""COMPUTED_VALUE"""),35.233453)</f>
        <v>35.233453</v>
      </c>
      <c r="H107">
        <v>0.0</v>
      </c>
      <c r="I107">
        <v>4.0</v>
      </c>
      <c r="J107">
        <f t="shared" si="2"/>
        <v>4</v>
      </c>
    </row>
    <row r="108">
      <c r="A108" t="s">
        <v>458</v>
      </c>
      <c r="B108">
        <f t="shared" si="1"/>
        <v>32.23</v>
      </c>
      <c r="C108">
        <f>IFERROR(__xludf.DUMMYFUNCTION("""COMPUTED_VALUE"""),26.64)</f>
        <v>26.64</v>
      </c>
      <c r="E108">
        <v>1.0</v>
      </c>
      <c r="H108">
        <v>0.0</v>
      </c>
      <c r="J108">
        <f t="shared" si="2"/>
        <v>1</v>
      </c>
    </row>
    <row r="109">
      <c r="A109" s="10" t="s">
        <v>459</v>
      </c>
      <c r="B109">
        <f t="shared" si="1"/>
        <v>32.18</v>
      </c>
      <c r="C109">
        <f>IFERROR(__xludf.DUMMYFUNCTION("""COMPUTED_VALUE"""),35.0)</f>
        <v>35</v>
      </c>
      <c r="F109">
        <v>1.0</v>
      </c>
      <c r="J109">
        <f t="shared" si="2"/>
        <v>1</v>
      </c>
    </row>
    <row r="110">
      <c r="A110" t="s">
        <v>462</v>
      </c>
      <c r="B110">
        <f t="shared" si="1"/>
        <v>32.3</v>
      </c>
      <c r="C110">
        <f>IFERROR(__xludf.DUMMYFUNCTION("""COMPUTED_VALUE"""),29.7)</f>
        <v>29.7</v>
      </c>
      <c r="H110">
        <v>15.0</v>
      </c>
      <c r="J110">
        <f t="shared" si="2"/>
        <v>15</v>
      </c>
    </row>
    <row r="111">
      <c r="A111" t="s">
        <v>465</v>
      </c>
      <c r="B111">
        <f t="shared" si="1"/>
        <v>32.310059</v>
      </c>
      <c r="C111">
        <f>IFERROR(__xludf.DUMMYFUNCTION("""COMPUTED_VALUE"""),-9.236617)</f>
        <v>-9.236617</v>
      </c>
      <c r="D111">
        <v>1.0</v>
      </c>
      <c r="H111">
        <v>9.0</v>
      </c>
      <c r="J111">
        <f t="shared" si="2"/>
        <v>10</v>
      </c>
    </row>
    <row r="112">
      <c r="A112" t="s">
        <v>466</v>
      </c>
      <c r="B112">
        <f t="shared" si="1"/>
        <v>32.374298</v>
      </c>
      <c r="C112">
        <f>IFERROR(__xludf.DUMMYFUNCTION("""COMPUTED_VALUE"""),15.09492)</f>
        <v>15.09492</v>
      </c>
      <c r="H112">
        <v>56.0</v>
      </c>
      <c r="J112">
        <f t="shared" si="2"/>
        <v>56</v>
      </c>
    </row>
    <row r="113">
      <c r="A113" t="s">
        <v>470</v>
      </c>
      <c r="B113">
        <f t="shared" si="1"/>
        <v>32.427908</v>
      </c>
      <c r="C113">
        <f>IFERROR(__xludf.DUMMYFUNCTION("""COMPUTED_VALUE"""),53.688046)</f>
        <v>53.688046</v>
      </c>
      <c r="H113">
        <v>89.0</v>
      </c>
      <c r="J113">
        <f t="shared" si="2"/>
        <v>89</v>
      </c>
    </row>
    <row r="114">
      <c r="A114" s="10" t="s">
        <v>471</v>
      </c>
      <c r="B114">
        <f t="shared" si="1"/>
        <v>32.4</v>
      </c>
      <c r="C114">
        <f>IFERROR(__xludf.DUMMYFUNCTION("""COMPUTED_VALUE"""),53.6)</f>
        <v>53.6</v>
      </c>
      <c r="D114">
        <v>3.0</v>
      </c>
      <c r="J114">
        <f t="shared" si="2"/>
        <v>3</v>
      </c>
    </row>
    <row r="115">
      <c r="A115" s="10" t="s">
        <v>473</v>
      </c>
      <c r="B115">
        <f t="shared" si="1"/>
        <v>32.5</v>
      </c>
      <c r="C115">
        <f>IFERROR(__xludf.DUMMYFUNCTION("""COMPUTED_VALUE"""),53.7)</f>
        <v>53.7</v>
      </c>
      <c r="E115">
        <v>3.0</v>
      </c>
      <c r="J115">
        <f t="shared" si="2"/>
        <v>3</v>
      </c>
    </row>
    <row r="116">
      <c r="A116" t="s">
        <v>474</v>
      </c>
      <c r="B116">
        <f t="shared" si="1"/>
        <v>32.5</v>
      </c>
      <c r="C116">
        <f>IFERROR(__xludf.DUMMYFUNCTION("""COMPUTED_VALUE"""),13.3)</f>
        <v>13.3</v>
      </c>
      <c r="H116">
        <v>0.0</v>
      </c>
      <c r="I116">
        <v>12.0</v>
      </c>
      <c r="J116">
        <f t="shared" si="2"/>
        <v>12</v>
      </c>
    </row>
    <row r="117">
      <c r="A117" t="s">
        <v>477</v>
      </c>
      <c r="B117">
        <f t="shared" si="1"/>
        <v>32.8</v>
      </c>
      <c r="C117">
        <f>IFERROR(__xludf.DUMMYFUNCTION("""COMPUTED_VALUE"""),13.1)</f>
        <v>13.1</v>
      </c>
      <c r="H117">
        <v>13.0</v>
      </c>
      <c r="J117">
        <f t="shared" si="2"/>
        <v>13</v>
      </c>
    </row>
    <row r="118">
      <c r="A118" t="s">
        <v>478</v>
      </c>
      <c r="B118">
        <f t="shared" si="1"/>
        <v>32.857</v>
      </c>
      <c r="C118">
        <f>IFERROR(__xludf.DUMMYFUNCTION("""COMPUTED_VALUE"""),14.306)</f>
        <v>14.306</v>
      </c>
      <c r="H118">
        <v>150.0</v>
      </c>
      <c r="J118">
        <f t="shared" si="2"/>
        <v>150</v>
      </c>
    </row>
    <row r="119">
      <c r="A119" t="s">
        <v>481</v>
      </c>
      <c r="B119">
        <f t="shared" si="1"/>
        <v>32.876174</v>
      </c>
      <c r="C119">
        <f>IFERROR(__xludf.DUMMYFUNCTION("""COMPUTED_VALUE"""),13.187507)</f>
        <v>13.187507</v>
      </c>
      <c r="H119">
        <v>1259.0</v>
      </c>
      <c r="J119">
        <f t="shared" si="2"/>
        <v>1259</v>
      </c>
    </row>
    <row r="120">
      <c r="A120" s="10" t="s">
        <v>483</v>
      </c>
      <c r="B120">
        <f t="shared" si="1"/>
        <v>32.9</v>
      </c>
      <c r="C120">
        <f>IFERROR(__xludf.DUMMYFUNCTION("""COMPUTED_VALUE"""),13.1)</f>
        <v>13.1</v>
      </c>
      <c r="D120">
        <v>2.0</v>
      </c>
      <c r="J120">
        <f t="shared" si="2"/>
        <v>2</v>
      </c>
    </row>
    <row r="121">
      <c r="A121" s="10" t="s">
        <v>484</v>
      </c>
      <c r="B121">
        <f t="shared" si="1"/>
        <v>32.8</v>
      </c>
      <c r="C121">
        <f>IFERROR(__xludf.DUMMYFUNCTION("""COMPUTED_VALUE"""),13.2)</f>
        <v>13.2</v>
      </c>
      <c r="E121">
        <v>20.0</v>
      </c>
      <c r="J121">
        <f t="shared" si="2"/>
        <v>20</v>
      </c>
    </row>
    <row r="122">
      <c r="A122" t="s">
        <v>487</v>
      </c>
      <c r="B122">
        <f t="shared" si="1"/>
        <v>32.882937</v>
      </c>
      <c r="C122">
        <f>IFERROR(__xludf.DUMMYFUNCTION("""COMPUTED_VALUE"""),13.188336)</f>
        <v>13.188336</v>
      </c>
      <c r="H122">
        <v>600.0</v>
      </c>
      <c r="J122">
        <f t="shared" si="2"/>
        <v>600</v>
      </c>
    </row>
    <row r="123">
      <c r="A123" t="s">
        <v>490</v>
      </c>
      <c r="B123">
        <f t="shared" si="1"/>
        <v>32.9</v>
      </c>
      <c r="C123">
        <f>IFERROR(__xludf.DUMMYFUNCTION("""COMPUTED_VALUE"""),13.5)</f>
        <v>13.5</v>
      </c>
      <c r="H123">
        <v>270.0</v>
      </c>
      <c r="J123">
        <f t="shared" si="2"/>
        <v>270</v>
      </c>
    </row>
    <row r="124">
      <c r="A124" t="s">
        <v>492</v>
      </c>
      <c r="B124">
        <f t="shared" si="1"/>
        <v>32.92</v>
      </c>
      <c r="C124">
        <f>IFERROR(__xludf.DUMMYFUNCTION("""COMPUTED_VALUE"""),13.335)</f>
        <v>13.335</v>
      </c>
      <c r="H124">
        <v>70.0</v>
      </c>
      <c r="J124">
        <f t="shared" si="2"/>
        <v>70</v>
      </c>
    </row>
    <row r="125">
      <c r="A125" t="s">
        <v>497</v>
      </c>
      <c r="B125">
        <f t="shared" si="1"/>
        <v>32.933333</v>
      </c>
      <c r="C125">
        <f>IFERROR(__xludf.DUMMYFUNCTION("""COMPUTED_VALUE"""),12.083333)</f>
        <v>12.083333</v>
      </c>
      <c r="H125">
        <v>100.0</v>
      </c>
      <c r="J125">
        <f t="shared" si="2"/>
        <v>100</v>
      </c>
    </row>
    <row r="126">
      <c r="A126" t="s">
        <v>498</v>
      </c>
      <c r="B126">
        <f t="shared" si="1"/>
        <v>32.982</v>
      </c>
      <c r="C126">
        <f>IFERROR(__xludf.DUMMYFUNCTION("""COMPUTED_VALUE"""),13.563)</f>
        <v>13.563</v>
      </c>
      <c r="H126">
        <v>90.0</v>
      </c>
      <c r="J126">
        <f t="shared" si="2"/>
        <v>90</v>
      </c>
    </row>
    <row r="127">
      <c r="A127" t="s">
        <v>499</v>
      </c>
      <c r="B127">
        <f t="shared" si="1"/>
        <v>33</v>
      </c>
      <c r="C127">
        <f>IFERROR(__xludf.DUMMYFUNCTION("""COMPUTED_VALUE"""),12.1)</f>
        <v>12.1</v>
      </c>
      <c r="H127">
        <v>41.0</v>
      </c>
      <c r="J127">
        <f t="shared" si="2"/>
        <v>41</v>
      </c>
    </row>
    <row r="128">
      <c r="A128" t="s">
        <v>501</v>
      </c>
      <c r="B128">
        <f t="shared" si="1"/>
        <v>33</v>
      </c>
      <c r="C128">
        <f>IFERROR(__xludf.DUMMYFUNCTION("""COMPUTED_VALUE"""),13.0)</f>
        <v>13</v>
      </c>
      <c r="H128">
        <v>3.0</v>
      </c>
      <c r="J128">
        <f t="shared" si="2"/>
        <v>3</v>
      </c>
    </row>
    <row r="129">
      <c r="A129" t="s">
        <v>504</v>
      </c>
      <c r="B129">
        <f t="shared" si="1"/>
        <v>33</v>
      </c>
      <c r="C129">
        <f>IFERROR(__xludf.DUMMYFUNCTION("""COMPUTED_VALUE"""),13.1)</f>
        <v>13.1</v>
      </c>
      <c r="H129">
        <v>24.0</v>
      </c>
      <c r="J129">
        <f t="shared" si="2"/>
        <v>24</v>
      </c>
    </row>
    <row r="130">
      <c r="A130" t="s">
        <v>505</v>
      </c>
      <c r="B130">
        <f t="shared" si="1"/>
        <v>33</v>
      </c>
      <c r="C130">
        <f>IFERROR(__xludf.DUMMYFUNCTION("""COMPUTED_VALUE"""),13.4)</f>
        <v>13.4</v>
      </c>
      <c r="H130">
        <v>6.0</v>
      </c>
      <c r="J130">
        <f t="shared" si="2"/>
        <v>6</v>
      </c>
    </row>
    <row r="131">
      <c r="A131" t="s">
        <v>509</v>
      </c>
      <c r="B131">
        <f t="shared" si="1"/>
        <v>33</v>
      </c>
      <c r="C131">
        <f>IFERROR(__xludf.DUMMYFUNCTION("""COMPUTED_VALUE"""),14.0)</f>
        <v>14</v>
      </c>
      <c r="H131">
        <v>115.0</v>
      </c>
      <c r="J131">
        <f t="shared" si="2"/>
        <v>115</v>
      </c>
    </row>
    <row r="132">
      <c r="A132" t="s">
        <v>510</v>
      </c>
      <c r="B132">
        <f t="shared" si="1"/>
        <v>33</v>
      </c>
      <c r="C132">
        <f>IFERROR(__xludf.DUMMYFUNCTION("""COMPUTED_VALUE"""),30.0)</f>
        <v>30</v>
      </c>
      <c r="H132">
        <v>3.0</v>
      </c>
      <c r="J132">
        <f t="shared" si="2"/>
        <v>3</v>
      </c>
    </row>
    <row r="133">
      <c r="A133" t="s">
        <v>511</v>
      </c>
      <c r="B133">
        <f t="shared" si="1"/>
        <v>33.04</v>
      </c>
      <c r="C133">
        <f>IFERROR(__xludf.DUMMYFUNCTION("""COMPUTED_VALUE"""),12.23)</f>
        <v>12.23</v>
      </c>
      <c r="H133">
        <v>128.0</v>
      </c>
      <c r="J133">
        <f t="shared" si="2"/>
        <v>128</v>
      </c>
    </row>
    <row r="134">
      <c r="A134" t="s">
        <v>512</v>
      </c>
      <c r="B134">
        <f t="shared" si="1"/>
        <v>33.04</v>
      </c>
      <c r="C134">
        <f>IFERROR(__xludf.DUMMYFUNCTION("""COMPUTED_VALUE"""),13.64)</f>
        <v>13.64</v>
      </c>
      <c r="H134">
        <v>40.0</v>
      </c>
      <c r="J134">
        <f t="shared" si="2"/>
        <v>40</v>
      </c>
    </row>
    <row r="135">
      <c r="A135" t="s">
        <v>516</v>
      </c>
      <c r="B135">
        <f t="shared" si="1"/>
        <v>33.06503</v>
      </c>
      <c r="C135">
        <f>IFERROR(__xludf.DUMMYFUNCTION("""COMPUTED_VALUE"""),13.413009)</f>
        <v>13.413009</v>
      </c>
      <c r="H135">
        <v>10.0</v>
      </c>
      <c r="J135">
        <f t="shared" si="2"/>
        <v>10</v>
      </c>
    </row>
    <row r="136">
      <c r="A136" t="s">
        <v>517</v>
      </c>
      <c r="B136">
        <f t="shared" si="1"/>
        <v>33.1</v>
      </c>
      <c r="C136">
        <f>IFERROR(__xludf.DUMMYFUNCTION("""COMPUTED_VALUE"""),13.3)</f>
        <v>13.3</v>
      </c>
      <c r="H136">
        <v>160.0</v>
      </c>
      <c r="J136">
        <f t="shared" si="2"/>
        <v>160</v>
      </c>
    </row>
    <row r="137">
      <c r="A137" t="s">
        <v>518</v>
      </c>
      <c r="B137">
        <f t="shared" si="1"/>
        <v>33.17</v>
      </c>
      <c r="C137">
        <f>IFERROR(__xludf.DUMMYFUNCTION("""COMPUTED_VALUE"""),13.88)</f>
        <v>13.88</v>
      </c>
      <c r="H137">
        <v>3.0</v>
      </c>
      <c r="J137">
        <f t="shared" si="2"/>
        <v>3</v>
      </c>
    </row>
    <row r="138">
      <c r="A138" t="s">
        <v>523</v>
      </c>
      <c r="B138">
        <f t="shared" si="1"/>
        <v>33.223191</v>
      </c>
      <c r="C138">
        <f>IFERROR(__xludf.DUMMYFUNCTION("""COMPUTED_VALUE"""),43.679291)</f>
        <v>43.679291</v>
      </c>
      <c r="H138">
        <v>12.0</v>
      </c>
      <c r="J138">
        <f t="shared" si="2"/>
        <v>12</v>
      </c>
    </row>
    <row r="139">
      <c r="A139" s="10" t="s">
        <v>524</v>
      </c>
      <c r="B139">
        <f t="shared" si="1"/>
        <v>33.2</v>
      </c>
      <c r="C139">
        <f>IFERROR(__xludf.DUMMYFUNCTION("""COMPUTED_VALUE"""),43.7)</f>
        <v>43.7</v>
      </c>
      <c r="G139">
        <v>1.0</v>
      </c>
      <c r="J139">
        <f t="shared" si="2"/>
        <v>1</v>
      </c>
    </row>
    <row r="140">
      <c r="A140" t="s">
        <v>527</v>
      </c>
      <c r="B140">
        <f t="shared" si="1"/>
        <v>33.3</v>
      </c>
      <c r="C140">
        <f>IFERROR(__xludf.DUMMYFUNCTION("""COMPUTED_VALUE"""),13.6)</f>
        <v>13.6</v>
      </c>
      <c r="H140">
        <v>45.0</v>
      </c>
      <c r="J140">
        <f t="shared" si="2"/>
        <v>45</v>
      </c>
    </row>
    <row r="141">
      <c r="A141" t="s">
        <v>529</v>
      </c>
      <c r="B141">
        <f t="shared" si="1"/>
        <v>33.349987</v>
      </c>
      <c r="C141">
        <f>IFERROR(__xludf.DUMMYFUNCTION("""COMPUTED_VALUE"""),13.58879)</f>
        <v>13.58879</v>
      </c>
      <c r="H141">
        <v>450.0</v>
      </c>
      <c r="J141">
        <f t="shared" si="2"/>
        <v>450</v>
      </c>
    </row>
    <row r="142">
      <c r="A142" s="10" t="s">
        <v>531</v>
      </c>
      <c r="B142">
        <f t="shared" si="1"/>
        <v>33.4</v>
      </c>
      <c r="C142">
        <f>IFERROR(__xludf.DUMMYFUNCTION("""COMPUTED_VALUE"""),13.5)</f>
        <v>13.5</v>
      </c>
      <c r="I142">
        <v>1.0</v>
      </c>
      <c r="J142">
        <f t="shared" si="2"/>
        <v>1</v>
      </c>
    </row>
    <row r="143">
      <c r="A143" t="s">
        <v>532</v>
      </c>
      <c r="B143">
        <f t="shared" si="1"/>
        <v>33.4</v>
      </c>
      <c r="C143">
        <f>IFERROR(__xludf.DUMMYFUNCTION("""COMPUTED_VALUE"""),13.3)</f>
        <v>13.3</v>
      </c>
      <c r="H143">
        <v>225.0</v>
      </c>
      <c r="J143">
        <f t="shared" si="2"/>
        <v>225</v>
      </c>
    </row>
    <row r="144">
      <c r="A144" t="s">
        <v>536</v>
      </c>
      <c r="B144">
        <f t="shared" si="1"/>
        <v>33.4</v>
      </c>
      <c r="C144">
        <f>IFERROR(__xludf.DUMMYFUNCTION("""COMPUTED_VALUE"""),15.3)</f>
        <v>15.3</v>
      </c>
      <c r="H144">
        <v>9.0</v>
      </c>
      <c r="J144">
        <f t="shared" si="2"/>
        <v>9</v>
      </c>
    </row>
    <row r="145">
      <c r="A145" t="s">
        <v>537</v>
      </c>
      <c r="B145">
        <f t="shared" si="1"/>
        <v>33.44238</v>
      </c>
      <c r="C145">
        <f>IFERROR(__xludf.DUMMYFUNCTION("""COMPUTED_VALUE"""),25.610113)</f>
        <v>25.610113</v>
      </c>
      <c r="H145">
        <v>5.0</v>
      </c>
      <c r="J145">
        <f t="shared" si="2"/>
        <v>5</v>
      </c>
    </row>
    <row r="146">
      <c r="A146" t="s">
        <v>538</v>
      </c>
      <c r="B146">
        <f t="shared" si="1"/>
        <v>33.47</v>
      </c>
      <c r="C146">
        <f>IFERROR(__xludf.DUMMYFUNCTION("""COMPUTED_VALUE"""),13.15)</f>
        <v>13.15</v>
      </c>
      <c r="H146">
        <v>41.0</v>
      </c>
      <c r="J146">
        <f t="shared" si="2"/>
        <v>41</v>
      </c>
    </row>
    <row r="147">
      <c r="A147" t="s">
        <v>541</v>
      </c>
      <c r="B147">
        <f t="shared" si="1"/>
        <v>33.503681</v>
      </c>
      <c r="C147">
        <f>IFERROR(__xludf.DUMMYFUNCTION("""COMPUTED_VALUE"""),11.11538)</f>
        <v>11.11538</v>
      </c>
      <c r="H147">
        <v>5.0</v>
      </c>
      <c r="J147">
        <f t="shared" si="2"/>
        <v>5</v>
      </c>
    </row>
    <row r="148">
      <c r="A148" t="s">
        <v>542</v>
      </c>
      <c r="B148">
        <f t="shared" si="1"/>
        <v>33.51</v>
      </c>
      <c r="C148">
        <f>IFERROR(__xludf.DUMMYFUNCTION("""COMPUTED_VALUE"""),12.8)</f>
        <v>12.8</v>
      </c>
      <c r="H148">
        <v>40.0</v>
      </c>
      <c r="J148">
        <f t="shared" si="2"/>
        <v>40</v>
      </c>
    </row>
    <row r="149">
      <c r="A149" t="s">
        <v>544</v>
      </c>
      <c r="B149">
        <f t="shared" si="1"/>
        <v>33.533333</v>
      </c>
      <c r="C149">
        <f>IFERROR(__xludf.DUMMYFUNCTION("""COMPUTED_VALUE"""),-7.583333)</f>
        <v>-7.583333</v>
      </c>
      <c r="H149">
        <v>7.0</v>
      </c>
      <c r="J149">
        <f t="shared" si="2"/>
        <v>7</v>
      </c>
    </row>
    <row r="150">
      <c r="A150" t="s">
        <v>546</v>
      </c>
      <c r="B150">
        <f t="shared" si="1"/>
        <v>33.6</v>
      </c>
      <c r="C150">
        <f>IFERROR(__xludf.DUMMYFUNCTION("""COMPUTED_VALUE"""),13.3)</f>
        <v>13.3</v>
      </c>
      <c r="H150">
        <v>90.0</v>
      </c>
      <c r="J150">
        <f t="shared" si="2"/>
        <v>90</v>
      </c>
    </row>
    <row r="151">
      <c r="A151" t="s">
        <v>548</v>
      </c>
      <c r="B151">
        <f t="shared" si="1"/>
        <v>33.641882</v>
      </c>
      <c r="C151">
        <f>IFERROR(__xludf.DUMMYFUNCTION("""COMPUTED_VALUE"""),12.847345)</f>
        <v>12.847345</v>
      </c>
      <c r="H151">
        <v>11.0</v>
      </c>
      <c r="J151">
        <f t="shared" si="2"/>
        <v>11</v>
      </c>
    </row>
    <row r="152">
      <c r="A152" t="s">
        <v>550</v>
      </c>
      <c r="B152">
        <f t="shared" si="1"/>
        <v>33.7</v>
      </c>
      <c r="C152">
        <f>IFERROR(__xludf.DUMMYFUNCTION("""COMPUTED_VALUE"""),13.6)</f>
        <v>13.6</v>
      </c>
      <c r="H152">
        <v>300.0</v>
      </c>
      <c r="J152">
        <f t="shared" si="2"/>
        <v>300</v>
      </c>
    </row>
    <row r="153">
      <c r="A153" t="s">
        <v>551</v>
      </c>
      <c r="B153">
        <f t="shared" si="1"/>
        <v>33.7</v>
      </c>
      <c r="C153">
        <f>IFERROR(__xludf.DUMMYFUNCTION("""COMPUTED_VALUE"""),14.05)</f>
        <v>14.05</v>
      </c>
      <c r="H153">
        <v>18.0</v>
      </c>
      <c r="J153">
        <f t="shared" si="2"/>
        <v>18</v>
      </c>
    </row>
    <row r="154">
      <c r="A154" t="s">
        <v>553</v>
      </c>
      <c r="B154">
        <f t="shared" si="1"/>
        <v>33.81445</v>
      </c>
      <c r="C154">
        <f>IFERROR(__xludf.DUMMYFUNCTION("""COMPUTED_VALUE"""),12.700195)</f>
        <v>12.700195</v>
      </c>
      <c r="H154">
        <v>111.0</v>
      </c>
      <c r="J154">
        <f t="shared" si="2"/>
        <v>111</v>
      </c>
    </row>
    <row r="155">
      <c r="A155" t="s">
        <v>555</v>
      </c>
      <c r="B155">
        <f t="shared" si="1"/>
        <v>33.85</v>
      </c>
      <c r="C155">
        <f>IFERROR(__xludf.DUMMYFUNCTION("""COMPUTED_VALUE"""),-7.03)</f>
        <v>-7.03</v>
      </c>
      <c r="H155">
        <v>10.0</v>
      </c>
      <c r="J155">
        <f t="shared" si="2"/>
        <v>10</v>
      </c>
    </row>
    <row r="156">
      <c r="A156" t="s">
        <v>556</v>
      </c>
      <c r="B156">
        <f t="shared" si="1"/>
        <v>33.867198</v>
      </c>
      <c r="C156">
        <f>IFERROR(__xludf.DUMMYFUNCTION("""COMPUTED_VALUE"""),12.279102)</f>
        <v>12.279102</v>
      </c>
      <c r="H156">
        <v>800.0</v>
      </c>
      <c r="J156">
        <f t="shared" si="2"/>
        <v>800</v>
      </c>
    </row>
    <row r="157">
      <c r="A157" t="s">
        <v>559</v>
      </c>
      <c r="B157">
        <f t="shared" si="1"/>
        <v>33.89</v>
      </c>
      <c r="C157">
        <f>IFERROR(__xludf.DUMMYFUNCTION("""COMPUTED_VALUE"""),12.61)</f>
        <v>12.61</v>
      </c>
      <c r="H157">
        <v>122.0</v>
      </c>
      <c r="J157">
        <f t="shared" si="2"/>
        <v>122</v>
      </c>
    </row>
    <row r="158">
      <c r="A158" t="s">
        <v>560</v>
      </c>
      <c r="B158">
        <f t="shared" si="1"/>
        <v>33.9</v>
      </c>
      <c r="C158">
        <f>IFERROR(__xludf.DUMMYFUNCTION("""COMPUTED_VALUE"""),13.44)</f>
        <v>13.44</v>
      </c>
      <c r="H158">
        <v>212.0</v>
      </c>
      <c r="J158">
        <f t="shared" si="2"/>
        <v>212</v>
      </c>
    </row>
    <row r="159">
      <c r="A159" t="s">
        <v>561</v>
      </c>
      <c r="B159">
        <f t="shared" si="1"/>
        <v>33.93911</v>
      </c>
      <c r="C159">
        <f>IFERROR(__xludf.DUMMYFUNCTION("""COMPUTED_VALUE"""),67.709953)</f>
        <v>67.709953</v>
      </c>
      <c r="H159">
        <v>1.0</v>
      </c>
      <c r="J159">
        <f t="shared" si="2"/>
        <v>1</v>
      </c>
    </row>
    <row r="160">
      <c r="A160" s="10" t="s">
        <v>562</v>
      </c>
      <c r="B160">
        <f t="shared" si="1"/>
        <v>34</v>
      </c>
      <c r="C160">
        <f>IFERROR(__xludf.DUMMYFUNCTION("""COMPUTED_VALUE"""),68.0)</f>
        <v>68</v>
      </c>
      <c r="E160">
        <v>1.0</v>
      </c>
      <c r="J160">
        <f t="shared" si="2"/>
        <v>1</v>
      </c>
    </row>
    <row r="161">
      <c r="A161" s="10" t="s">
        <v>565</v>
      </c>
      <c r="B161">
        <f t="shared" si="1"/>
        <v>34</v>
      </c>
      <c r="C161">
        <f>IFERROR(__xludf.DUMMYFUNCTION("""COMPUTED_VALUE"""),14.5)</f>
        <v>14.5</v>
      </c>
      <c r="E161">
        <v>1.0</v>
      </c>
      <c r="J161">
        <f t="shared" si="2"/>
        <v>1</v>
      </c>
    </row>
    <row r="162">
      <c r="A162" s="10" t="s">
        <v>567</v>
      </c>
      <c r="B162">
        <f t="shared" si="1"/>
        <v>34.1</v>
      </c>
      <c r="C162">
        <f>IFERROR(__xludf.DUMMYFUNCTION("""COMPUTED_VALUE"""),-6.8)</f>
        <v>-6.8</v>
      </c>
      <c r="D162">
        <v>1.0</v>
      </c>
      <c r="J162">
        <f t="shared" si="2"/>
        <v>1</v>
      </c>
    </row>
    <row r="163">
      <c r="A163" t="s">
        <v>568</v>
      </c>
      <c r="B163">
        <f t="shared" si="1"/>
        <v>34</v>
      </c>
      <c r="C163">
        <f>IFERROR(__xludf.DUMMYFUNCTION("""COMPUTED_VALUE"""),14.0)</f>
        <v>14</v>
      </c>
      <c r="H163">
        <v>85.0</v>
      </c>
      <c r="J163">
        <f t="shared" si="2"/>
        <v>85</v>
      </c>
    </row>
    <row r="164">
      <c r="A164" t="s">
        <v>569</v>
      </c>
      <c r="B164" t="str">
        <f t="shared" si="1"/>
        <v>#REF!</v>
      </c>
      <c r="H164">
        <v>14.0</v>
      </c>
      <c r="J164">
        <f t="shared" si="2"/>
        <v>14</v>
      </c>
    </row>
    <row r="165">
      <c r="A165" t="s">
        <v>571</v>
      </c>
      <c r="B165">
        <f t="shared" si="1"/>
        <v>34.015049</v>
      </c>
      <c r="C165">
        <f>IFERROR(__xludf.DUMMYFUNCTION("""COMPUTED_VALUE"""),-6.83272)</f>
        <v>-6.83272</v>
      </c>
      <c r="H165">
        <v>18.0</v>
      </c>
      <c r="J165">
        <f t="shared" si="2"/>
        <v>18</v>
      </c>
    </row>
    <row r="166">
      <c r="A166" t="s">
        <v>573</v>
      </c>
      <c r="B166">
        <f t="shared" si="1"/>
        <v>34.1</v>
      </c>
      <c r="C166">
        <f>IFERROR(__xludf.DUMMYFUNCTION("""COMPUTED_VALUE"""),12.3)</f>
        <v>12.3</v>
      </c>
      <c r="H166">
        <v>36.0</v>
      </c>
      <c r="J166">
        <f t="shared" si="2"/>
        <v>36</v>
      </c>
    </row>
    <row r="167">
      <c r="A167" t="s">
        <v>577</v>
      </c>
      <c r="B167">
        <f t="shared" si="1"/>
        <v>34.1</v>
      </c>
      <c r="C167">
        <f>IFERROR(__xludf.DUMMYFUNCTION("""COMPUTED_VALUE"""),15.7)</f>
        <v>15.7</v>
      </c>
      <c r="H167">
        <v>500.0</v>
      </c>
      <c r="J167">
        <f t="shared" si="2"/>
        <v>500</v>
      </c>
    </row>
    <row r="168">
      <c r="A168" t="s">
        <v>578</v>
      </c>
      <c r="B168">
        <f t="shared" si="1"/>
        <v>34.264061</v>
      </c>
      <c r="C168">
        <f>IFERROR(__xludf.DUMMYFUNCTION("""COMPUTED_VALUE"""),-6.578296)</f>
        <v>-6.578296</v>
      </c>
      <c r="H168">
        <v>203.0</v>
      </c>
      <c r="J168">
        <f t="shared" si="2"/>
        <v>203</v>
      </c>
    </row>
    <row r="169">
      <c r="A169" t="s">
        <v>579</v>
      </c>
      <c r="B169">
        <f t="shared" si="1"/>
        <v>34.528455</v>
      </c>
      <c r="C169">
        <f>IFERROR(__xludf.DUMMYFUNCTION("""COMPUTED_VALUE"""),69.171703)</f>
        <v>69.171703</v>
      </c>
      <c r="E169">
        <v>1.0</v>
      </c>
      <c r="H169">
        <v>0.0</v>
      </c>
      <c r="J169">
        <f t="shared" si="2"/>
        <v>1</v>
      </c>
    </row>
    <row r="170">
      <c r="A170" t="s">
        <v>580</v>
      </c>
      <c r="B170">
        <f t="shared" si="1"/>
        <v>34.542858</v>
      </c>
      <c r="C170">
        <f>IFERROR(__xludf.DUMMYFUNCTION("""COMPUTED_VALUE"""),13.704729)</f>
        <v>13.704729</v>
      </c>
      <c r="H170">
        <v>17.0</v>
      </c>
      <c r="J170">
        <f t="shared" si="2"/>
        <v>17</v>
      </c>
    </row>
    <row r="171">
      <c r="A171" t="s">
        <v>582</v>
      </c>
      <c r="B171">
        <f t="shared" si="1"/>
        <v>34.553128</v>
      </c>
      <c r="C171">
        <f>IFERROR(__xludf.DUMMYFUNCTION("""COMPUTED_VALUE"""),18.048011)</f>
        <v>18.048011</v>
      </c>
      <c r="H171">
        <v>30.0</v>
      </c>
      <c r="J171">
        <f t="shared" si="2"/>
        <v>30</v>
      </c>
    </row>
    <row r="172">
      <c r="A172" t="s">
        <v>584</v>
      </c>
      <c r="B172">
        <f t="shared" si="1"/>
        <v>34.574</v>
      </c>
      <c r="C172">
        <f>IFERROR(__xludf.DUMMYFUNCTION("""COMPUTED_VALUE"""),12.605)</f>
        <v>12.605</v>
      </c>
      <c r="H172">
        <v>217.0</v>
      </c>
      <c r="J172">
        <f t="shared" si="2"/>
        <v>217</v>
      </c>
    </row>
    <row r="173">
      <c r="A173" t="s">
        <v>585</v>
      </c>
      <c r="B173">
        <f t="shared" si="1"/>
        <v>34.658056</v>
      </c>
      <c r="C173">
        <f>IFERROR(__xludf.DUMMYFUNCTION("""COMPUTED_VALUE"""),11.068611)</f>
        <v>11.068611</v>
      </c>
      <c r="H173">
        <v>55.0</v>
      </c>
      <c r="J173">
        <f t="shared" si="2"/>
        <v>55</v>
      </c>
    </row>
    <row r="174">
      <c r="A174" t="s">
        <v>586</v>
      </c>
      <c r="B174">
        <f t="shared" si="1"/>
        <v>34.686667</v>
      </c>
      <c r="C174">
        <f>IFERROR(__xludf.DUMMYFUNCTION("""COMPUTED_VALUE"""),-1.911389)</f>
        <v>-1.911389</v>
      </c>
      <c r="H174">
        <v>10.0</v>
      </c>
      <c r="J174">
        <f t="shared" si="2"/>
        <v>10</v>
      </c>
    </row>
    <row r="175">
      <c r="A175" s="10" t="s">
        <v>589</v>
      </c>
      <c r="B175">
        <f t="shared" si="1"/>
        <v>34.7</v>
      </c>
      <c r="C175">
        <f>IFERROR(__xludf.DUMMYFUNCTION("""COMPUTED_VALUE"""),-1.9)</f>
        <v>-1.9</v>
      </c>
      <c r="E175">
        <v>7.0</v>
      </c>
      <c r="J175">
        <f t="shared" si="2"/>
        <v>7</v>
      </c>
    </row>
    <row r="176">
      <c r="A176" t="s">
        <v>592</v>
      </c>
      <c r="B176">
        <f t="shared" si="1"/>
        <v>34.7</v>
      </c>
      <c r="C176">
        <f>IFERROR(__xludf.DUMMYFUNCTION("""COMPUTED_VALUE"""),12.7)</f>
        <v>12.7</v>
      </c>
      <c r="H176">
        <v>27.0</v>
      </c>
      <c r="J176">
        <f t="shared" si="2"/>
        <v>27</v>
      </c>
    </row>
    <row r="177">
      <c r="A177" t="s">
        <v>593</v>
      </c>
      <c r="B177">
        <f t="shared" si="1"/>
        <v>34.7</v>
      </c>
      <c r="C177">
        <f>IFERROR(__xludf.DUMMYFUNCTION("""COMPUTED_VALUE"""),15.5)</f>
        <v>15.5</v>
      </c>
      <c r="H177">
        <v>12.0</v>
      </c>
      <c r="J177">
        <f t="shared" si="2"/>
        <v>12</v>
      </c>
    </row>
    <row r="178">
      <c r="A178" t="s">
        <v>594</v>
      </c>
      <c r="B178">
        <f t="shared" si="1"/>
        <v>34.745159</v>
      </c>
      <c r="C178">
        <f>IFERROR(__xludf.DUMMYFUNCTION("""COMPUTED_VALUE"""),10.7613)</f>
        <v>10.7613</v>
      </c>
      <c r="H178">
        <v>239.0</v>
      </c>
      <c r="J178">
        <f t="shared" si="2"/>
        <v>239</v>
      </c>
    </row>
    <row r="179">
      <c r="A179" t="s">
        <v>598</v>
      </c>
      <c r="B179">
        <f t="shared" si="1"/>
        <v>34.802075</v>
      </c>
      <c r="C179">
        <f>IFERROR(__xludf.DUMMYFUNCTION("""COMPUTED_VALUE"""),38.996815)</f>
        <v>38.996815</v>
      </c>
      <c r="D179">
        <v>6.0</v>
      </c>
      <c r="H179">
        <v>0.0</v>
      </c>
      <c r="J179">
        <f t="shared" si="2"/>
        <v>6</v>
      </c>
    </row>
    <row r="180">
      <c r="A180" s="10" t="s">
        <v>599</v>
      </c>
      <c r="B180">
        <f t="shared" si="1"/>
        <v>34.8</v>
      </c>
      <c r="C180">
        <f>IFERROR(__xludf.DUMMYFUNCTION("""COMPUTED_VALUE"""),39.0)</f>
        <v>39</v>
      </c>
      <c r="G180">
        <v>1.0</v>
      </c>
      <c r="J180">
        <f t="shared" si="2"/>
        <v>1</v>
      </c>
    </row>
    <row r="181">
      <c r="A181" t="s">
        <v>600</v>
      </c>
      <c r="B181">
        <f t="shared" si="1"/>
        <v>34.870244</v>
      </c>
      <c r="C181">
        <f>IFERROR(__xludf.DUMMYFUNCTION("""COMPUTED_VALUE"""),33.609009)</f>
        <v>33.609009</v>
      </c>
      <c r="H181">
        <v>1.0</v>
      </c>
      <c r="J181">
        <f t="shared" si="2"/>
        <v>1</v>
      </c>
    </row>
    <row r="182">
      <c r="A182" t="s">
        <v>603</v>
      </c>
      <c r="B182">
        <f t="shared" si="1"/>
        <v>34.9</v>
      </c>
      <c r="C182">
        <f>IFERROR(__xludf.DUMMYFUNCTION("""COMPUTED_VALUE"""),15.0)</f>
        <v>15</v>
      </c>
      <c r="H182">
        <v>1.0</v>
      </c>
      <c r="J182">
        <f t="shared" si="2"/>
        <v>1</v>
      </c>
    </row>
    <row r="183">
      <c r="A183" t="s">
        <v>605</v>
      </c>
      <c r="B183">
        <f t="shared" si="1"/>
        <v>34.916667</v>
      </c>
      <c r="C183">
        <f>IFERROR(__xludf.DUMMYFUNCTION("""COMPUTED_VALUE"""),33.633333)</f>
        <v>33.633333</v>
      </c>
      <c r="H183">
        <v>1.0</v>
      </c>
      <c r="J183">
        <f t="shared" si="2"/>
        <v>1</v>
      </c>
    </row>
    <row r="184">
      <c r="A184" t="s">
        <v>606</v>
      </c>
      <c r="B184">
        <f t="shared" si="1"/>
        <v>35</v>
      </c>
      <c r="C184">
        <f>IFERROR(__xludf.DUMMYFUNCTION("""COMPUTED_VALUE"""),15.0)</f>
        <v>15</v>
      </c>
      <c r="H184">
        <v>4.0</v>
      </c>
      <c r="J184">
        <f t="shared" si="2"/>
        <v>4</v>
      </c>
    </row>
    <row r="185">
      <c r="A185" t="s">
        <v>607</v>
      </c>
      <c r="B185">
        <f t="shared" si="1"/>
        <v>35</v>
      </c>
      <c r="C185">
        <f>IFERROR(__xludf.DUMMYFUNCTION("""COMPUTED_VALUE"""),15.1)</f>
        <v>15.1</v>
      </c>
      <c r="H185">
        <v>400.0</v>
      </c>
      <c r="J185">
        <f t="shared" si="2"/>
        <v>400</v>
      </c>
    </row>
    <row r="186">
      <c r="A186" t="s">
        <v>610</v>
      </c>
      <c r="B186">
        <f t="shared" si="1"/>
        <v>35</v>
      </c>
      <c r="C186">
        <f>IFERROR(__xludf.DUMMYFUNCTION("""COMPUTED_VALUE"""),15.7)</f>
        <v>15.7</v>
      </c>
      <c r="H186">
        <v>75.0</v>
      </c>
      <c r="J186">
        <f t="shared" si="2"/>
        <v>75</v>
      </c>
    </row>
    <row r="187">
      <c r="A187" t="s">
        <v>613</v>
      </c>
      <c r="B187">
        <f t="shared" si="1"/>
        <v>35</v>
      </c>
      <c r="C187">
        <f>IFERROR(__xludf.DUMMYFUNCTION("""COMPUTED_VALUE"""),16.0)</f>
        <v>16</v>
      </c>
      <c r="H187">
        <v>2.0</v>
      </c>
      <c r="J187">
        <f t="shared" si="2"/>
        <v>2</v>
      </c>
    </row>
    <row r="188">
      <c r="A188" t="s">
        <v>614</v>
      </c>
      <c r="B188">
        <f t="shared" si="1"/>
        <v>35.010802</v>
      </c>
      <c r="C188">
        <f>IFERROR(__xludf.DUMMYFUNCTION("""COMPUTED_VALUE"""),-7.514648)</f>
        <v>-7.514648</v>
      </c>
      <c r="H188">
        <v>103.0</v>
      </c>
      <c r="J188">
        <f t="shared" si="2"/>
        <v>103</v>
      </c>
    </row>
    <row r="189">
      <c r="A189" s="10" t="s">
        <v>615</v>
      </c>
      <c r="B189">
        <f t="shared" si="1"/>
        <v>35.01</v>
      </c>
      <c r="C189">
        <f>IFERROR(__xludf.DUMMYFUNCTION("""COMPUTED_VALUE"""),-7.5)</f>
        <v>-7.5</v>
      </c>
      <c r="E189">
        <v>13.0</v>
      </c>
      <c r="J189">
        <f t="shared" si="2"/>
        <v>13</v>
      </c>
    </row>
    <row r="190">
      <c r="A190" s="10" t="s">
        <v>617</v>
      </c>
      <c r="B190">
        <f t="shared" si="1"/>
        <v>35</v>
      </c>
      <c r="C190">
        <f>IFERROR(__xludf.DUMMYFUNCTION("""COMPUTED_VALUE"""),-7.6)</f>
        <v>-7.6</v>
      </c>
      <c r="G190">
        <v>1.0</v>
      </c>
      <c r="J190">
        <f t="shared" si="2"/>
        <v>1</v>
      </c>
    </row>
    <row r="191">
      <c r="A191" t="s">
        <v>619</v>
      </c>
      <c r="B191">
        <f t="shared" si="1"/>
        <v>35.1</v>
      </c>
      <c r="C191">
        <f>IFERROR(__xludf.DUMMYFUNCTION("""COMPUTED_VALUE"""),-1.85)</f>
        <v>-1.85</v>
      </c>
      <c r="H191">
        <v>7.0</v>
      </c>
      <c r="J191">
        <f t="shared" si="2"/>
        <v>7</v>
      </c>
    </row>
    <row r="192">
      <c r="A192" t="s">
        <v>621</v>
      </c>
      <c r="B192">
        <f t="shared" si="1"/>
        <v>35.11</v>
      </c>
      <c r="C192">
        <f>IFERROR(__xludf.DUMMYFUNCTION("""COMPUTED_VALUE"""),14.41)</f>
        <v>14.41</v>
      </c>
      <c r="H192">
        <v>5.0</v>
      </c>
      <c r="J192">
        <f t="shared" si="2"/>
        <v>5</v>
      </c>
    </row>
    <row r="193">
      <c r="A193" t="s">
        <v>624</v>
      </c>
      <c r="B193">
        <f t="shared" si="1"/>
        <v>35.126413</v>
      </c>
      <c r="C193">
        <f>IFERROR(__xludf.DUMMYFUNCTION("""COMPUTED_VALUE"""),33.429859)</f>
        <v>33.429859</v>
      </c>
      <c r="H193">
        <v>35.0</v>
      </c>
      <c r="J193">
        <f t="shared" si="2"/>
        <v>35</v>
      </c>
    </row>
    <row r="194">
      <c r="A194" s="10" t="s">
        <v>625</v>
      </c>
      <c r="B194">
        <f t="shared" si="1"/>
        <v>35.2</v>
      </c>
      <c r="C194">
        <f>IFERROR(__xludf.DUMMYFUNCTION("""COMPUTED_VALUE"""),33.4)</f>
        <v>33.4</v>
      </c>
      <c r="D194">
        <v>4.0</v>
      </c>
      <c r="J194">
        <f t="shared" si="2"/>
        <v>4</v>
      </c>
    </row>
    <row r="195">
      <c r="A195" s="10" t="s">
        <v>628</v>
      </c>
      <c r="B195">
        <f t="shared" si="1"/>
        <v>35.1</v>
      </c>
      <c r="C195">
        <f>IFERROR(__xludf.DUMMYFUNCTION("""COMPUTED_VALUE"""),33.5)</f>
        <v>33.5</v>
      </c>
      <c r="I195">
        <v>1.0</v>
      </c>
      <c r="J195">
        <f t="shared" si="2"/>
        <v>1</v>
      </c>
    </row>
    <row r="196">
      <c r="A196" t="s">
        <v>629</v>
      </c>
      <c r="B196">
        <f t="shared" si="1"/>
        <v>35.166667</v>
      </c>
      <c r="C196">
        <f>IFERROR(__xludf.DUMMYFUNCTION("""COMPUTED_VALUE"""),-2.933333)</f>
        <v>-2.933333</v>
      </c>
      <c r="D196">
        <v>1.0</v>
      </c>
      <c r="H196">
        <v>13.0</v>
      </c>
      <c r="J196">
        <f t="shared" si="2"/>
        <v>14</v>
      </c>
    </row>
    <row r="197">
      <c r="A197" t="s">
        <v>632</v>
      </c>
      <c r="B197">
        <f t="shared" si="1"/>
        <v>35.166667</v>
      </c>
      <c r="C197">
        <f>IFERROR(__xludf.DUMMYFUNCTION("""COMPUTED_VALUE"""),33.366667)</f>
        <v>33.366667</v>
      </c>
      <c r="H197">
        <v>1.0</v>
      </c>
      <c r="J197">
        <f t="shared" si="2"/>
        <v>1</v>
      </c>
    </row>
    <row r="198">
      <c r="A198" s="10" t="s">
        <v>634</v>
      </c>
      <c r="B198">
        <f t="shared" si="1"/>
        <v>35</v>
      </c>
      <c r="C198">
        <f>IFERROR(__xludf.DUMMYFUNCTION("""COMPUTED_VALUE"""),33.4)</f>
        <v>33.4</v>
      </c>
      <c r="I198">
        <v>2.0</v>
      </c>
    </row>
    <row r="199">
      <c r="A199" t="s">
        <v>635</v>
      </c>
      <c r="B199">
        <f t="shared" si="1"/>
        <v>35.183333</v>
      </c>
      <c r="C199">
        <f>IFERROR(__xludf.DUMMYFUNCTION("""COMPUTED_VALUE"""),-6.15)</f>
        <v>-6.15</v>
      </c>
      <c r="H199">
        <v>87.0</v>
      </c>
      <c r="J199">
        <f t="shared" ref="J199:J288" si="3">SUM(D199:I199)</f>
        <v>87</v>
      </c>
    </row>
    <row r="200">
      <c r="A200" t="s">
        <v>637</v>
      </c>
      <c r="B200">
        <f t="shared" si="1"/>
        <v>35.208889</v>
      </c>
      <c r="C200">
        <f>IFERROR(__xludf.DUMMYFUNCTION("""COMPUTED_VALUE"""),0.479722)</f>
        <v>0.479722</v>
      </c>
      <c r="H200">
        <v>16.0</v>
      </c>
      <c r="J200">
        <f t="shared" si="3"/>
        <v>16</v>
      </c>
    </row>
    <row r="201">
      <c r="A201" t="s">
        <v>639</v>
      </c>
      <c r="B201">
        <f t="shared" si="1"/>
        <v>35.235482</v>
      </c>
      <c r="C201">
        <f>IFERROR(__xludf.DUMMYFUNCTION("""COMPUTED_VALUE"""),-2.873268)</f>
        <v>-2.873268</v>
      </c>
      <c r="H201">
        <v>8.0</v>
      </c>
      <c r="J201">
        <f t="shared" si="3"/>
        <v>8</v>
      </c>
    </row>
    <row r="202">
      <c r="A202" t="s">
        <v>641</v>
      </c>
      <c r="B202">
        <f t="shared" si="1"/>
        <v>35.240117</v>
      </c>
      <c r="C202">
        <f>IFERROR(__xludf.DUMMYFUNCTION("""COMPUTED_VALUE"""),24.809269)</f>
        <v>24.809269</v>
      </c>
      <c r="H202">
        <v>84.0</v>
      </c>
      <c r="J202">
        <f t="shared" si="3"/>
        <v>84</v>
      </c>
    </row>
    <row r="203">
      <c r="A203" t="s">
        <v>642</v>
      </c>
      <c r="B203">
        <f t="shared" si="1"/>
        <v>35.249299</v>
      </c>
      <c r="C203">
        <f>IFERROR(__xludf.DUMMYFUNCTION("""COMPUTED_VALUE"""),-3.937112)</f>
        <v>-3.937112</v>
      </c>
      <c r="H203">
        <v>148.0</v>
      </c>
      <c r="J203">
        <f t="shared" si="3"/>
        <v>148</v>
      </c>
    </row>
    <row r="204">
      <c r="A204" s="10" t="s">
        <v>643</v>
      </c>
      <c r="B204">
        <f t="shared" si="1"/>
        <v>35.5</v>
      </c>
      <c r="C204">
        <f>IFERROR(__xludf.DUMMYFUNCTION("""COMPUTED_VALUE"""),-4.0)</f>
        <v>-4</v>
      </c>
      <c r="G204">
        <v>1.0</v>
      </c>
      <c r="J204">
        <f t="shared" si="3"/>
        <v>1</v>
      </c>
    </row>
    <row r="205">
      <c r="A205" t="s">
        <v>644</v>
      </c>
      <c r="B205">
        <f t="shared" si="1"/>
        <v>35.256944</v>
      </c>
      <c r="C205">
        <f>IFERROR(__xludf.DUMMYFUNCTION("""COMPUTED_VALUE"""),-2.934167)</f>
        <v>-2.934167</v>
      </c>
      <c r="H205">
        <v>1.0</v>
      </c>
      <c r="J205">
        <f t="shared" si="3"/>
        <v>1</v>
      </c>
    </row>
    <row r="206">
      <c r="A206" s="10" t="s">
        <v>645</v>
      </c>
      <c r="B206">
        <f t="shared" si="1"/>
        <v>35.3</v>
      </c>
      <c r="C206">
        <f>IFERROR(__xludf.DUMMYFUNCTION("""COMPUTED_VALUE"""),-3.0)</f>
        <v>-3</v>
      </c>
      <c r="I206">
        <v>10.0</v>
      </c>
      <c r="J206">
        <f t="shared" si="3"/>
        <v>10</v>
      </c>
    </row>
    <row r="207">
      <c r="A207" s="10" t="s">
        <v>646</v>
      </c>
      <c r="B207">
        <f t="shared" si="1"/>
        <v>35</v>
      </c>
      <c r="C207">
        <f>IFERROR(__xludf.DUMMYFUNCTION("""COMPUTED_VALUE"""),-2.9)</f>
        <v>-2.9</v>
      </c>
      <c r="D207">
        <v>12.0</v>
      </c>
      <c r="J207">
        <f t="shared" si="3"/>
        <v>12</v>
      </c>
    </row>
    <row r="208">
      <c r="A208" t="s">
        <v>649</v>
      </c>
      <c r="B208">
        <f t="shared" si="1"/>
        <v>35.292278</v>
      </c>
      <c r="C208">
        <f>IFERROR(__xludf.DUMMYFUNCTION("""COMPUTED_VALUE"""),-2.938097)</f>
        <v>-2.938097</v>
      </c>
      <c r="H208">
        <v>57.0</v>
      </c>
      <c r="J208">
        <f t="shared" si="3"/>
        <v>57</v>
      </c>
    </row>
    <row r="209">
      <c r="A209" t="s">
        <v>651</v>
      </c>
      <c r="B209">
        <f t="shared" si="1"/>
        <v>35.3</v>
      </c>
      <c r="C209">
        <f>IFERROR(__xludf.DUMMYFUNCTION("""COMPUTED_VALUE"""),14.3)</f>
        <v>14.3</v>
      </c>
      <c r="H209">
        <v>0.0</v>
      </c>
      <c r="I209">
        <v>10.0</v>
      </c>
      <c r="J209">
        <f t="shared" si="3"/>
        <v>10</v>
      </c>
    </row>
    <row r="210">
      <c r="A210" t="s">
        <v>652</v>
      </c>
      <c r="B210">
        <f t="shared" si="1"/>
        <v>35.30241</v>
      </c>
      <c r="C210">
        <f>IFERROR(__xludf.DUMMYFUNCTION("""COMPUTED_VALUE"""),-1.14489)</f>
        <v>-1.14489</v>
      </c>
      <c r="H210">
        <v>14.0</v>
      </c>
      <c r="J210">
        <f t="shared" si="3"/>
        <v>14</v>
      </c>
    </row>
    <row r="211">
      <c r="A211" t="s">
        <v>653</v>
      </c>
      <c r="B211">
        <f t="shared" si="1"/>
        <v>35.37849</v>
      </c>
      <c r="C211">
        <f>IFERROR(__xludf.DUMMYFUNCTION("""COMPUTED_VALUE"""),1.32569)</f>
        <v>1.32569</v>
      </c>
      <c r="H211">
        <v>1.0</v>
      </c>
      <c r="J211">
        <f t="shared" si="3"/>
        <v>1</v>
      </c>
    </row>
    <row r="212">
      <c r="A212" t="s">
        <v>657</v>
      </c>
      <c r="B212">
        <f t="shared" si="1"/>
        <v>35.394932</v>
      </c>
      <c r="C212">
        <f>IFERROR(__xludf.DUMMYFUNCTION("""COMPUTED_VALUE"""),-5.014345)</f>
        <v>-5.014345</v>
      </c>
      <c r="H212">
        <v>10.0</v>
      </c>
      <c r="J212">
        <f t="shared" si="3"/>
        <v>10</v>
      </c>
    </row>
    <row r="213">
      <c r="A213" t="s">
        <v>659</v>
      </c>
      <c r="B213">
        <f t="shared" si="1"/>
        <v>35.4</v>
      </c>
      <c r="C213">
        <f>IFERROR(__xludf.DUMMYFUNCTION("""COMPUTED_VALUE"""),12.6)</f>
        <v>12.6</v>
      </c>
      <c r="H213">
        <v>51.0</v>
      </c>
      <c r="J213">
        <f t="shared" si="3"/>
        <v>51</v>
      </c>
    </row>
    <row r="214">
      <c r="A214" t="s">
        <v>661</v>
      </c>
      <c r="B214">
        <f t="shared" si="1"/>
        <v>35.4</v>
      </c>
      <c r="C214">
        <f>IFERROR(__xludf.DUMMYFUNCTION("""COMPUTED_VALUE"""),14.0)</f>
        <v>14</v>
      </c>
      <c r="H214">
        <v>21.0</v>
      </c>
      <c r="J214">
        <f t="shared" si="3"/>
        <v>21</v>
      </c>
    </row>
    <row r="215">
      <c r="A215" t="s">
        <v>664</v>
      </c>
      <c r="B215">
        <f t="shared" si="1"/>
        <v>35.435</v>
      </c>
      <c r="C215">
        <f>IFERROR(__xludf.DUMMYFUNCTION("""COMPUTED_VALUE"""),-2.993611)</f>
        <v>-2.993611</v>
      </c>
      <c r="H215">
        <v>1.0</v>
      </c>
      <c r="J215">
        <f t="shared" si="3"/>
        <v>1</v>
      </c>
    </row>
    <row r="216">
      <c r="A216" t="s">
        <v>665</v>
      </c>
      <c r="B216">
        <f t="shared" si="1"/>
        <v>35.46883</v>
      </c>
      <c r="C216">
        <f>IFERROR(__xludf.DUMMYFUNCTION("""COMPUTED_VALUE"""),44.39098)</f>
        <v>44.39098</v>
      </c>
      <c r="H216">
        <v>0.0</v>
      </c>
      <c r="I216">
        <v>2.0</v>
      </c>
      <c r="J216">
        <f t="shared" si="3"/>
        <v>2</v>
      </c>
    </row>
    <row r="217">
      <c r="A217" t="s">
        <v>666</v>
      </c>
      <c r="B217">
        <f t="shared" si="1"/>
        <v>35.5</v>
      </c>
      <c r="C217">
        <f>IFERROR(__xludf.DUMMYFUNCTION("""COMPUTED_VALUE"""),12.6)</f>
        <v>12.6</v>
      </c>
      <c r="H217">
        <v>112.0</v>
      </c>
      <c r="J217">
        <f t="shared" si="3"/>
        <v>112</v>
      </c>
    </row>
    <row r="218">
      <c r="A218" t="s">
        <v>667</v>
      </c>
      <c r="B218">
        <f t="shared" si="1"/>
        <v>35.502446</v>
      </c>
      <c r="C218">
        <f>IFERROR(__xludf.DUMMYFUNCTION("""COMPUTED_VALUE"""),11.045721)</f>
        <v>11.045721</v>
      </c>
      <c r="H218">
        <v>17.0</v>
      </c>
      <c r="J218">
        <f t="shared" si="3"/>
        <v>17</v>
      </c>
    </row>
    <row r="219">
      <c r="A219" t="s">
        <v>668</v>
      </c>
      <c r="B219">
        <f t="shared" si="1"/>
        <v>35.5059</v>
      </c>
      <c r="C219">
        <f>IFERROR(__xludf.DUMMYFUNCTION("""COMPUTED_VALUE"""),12.6073)</f>
        <v>12.6073</v>
      </c>
      <c r="H219">
        <v>12.0</v>
      </c>
      <c r="J219">
        <f t="shared" si="3"/>
        <v>12</v>
      </c>
    </row>
    <row r="220">
      <c r="A220" t="s">
        <v>669</v>
      </c>
      <c r="B220">
        <f t="shared" si="1"/>
        <v>35.508622</v>
      </c>
      <c r="C220">
        <f>IFERROR(__xludf.DUMMYFUNCTION("""COMPUTED_VALUE"""),12.59292)</f>
        <v>12.59292</v>
      </c>
      <c r="H220">
        <v>3843.0</v>
      </c>
      <c r="J220">
        <f t="shared" si="3"/>
        <v>3843</v>
      </c>
    </row>
    <row r="221">
      <c r="A221" t="s">
        <v>672</v>
      </c>
      <c r="B221">
        <f t="shared" si="1"/>
        <v>35.52145</v>
      </c>
      <c r="C221">
        <f>IFERROR(__xludf.DUMMYFUNCTION("""COMPUTED_VALUE"""),35.7924)</f>
        <v>35.7924</v>
      </c>
      <c r="H221">
        <v>35.0</v>
      </c>
      <c r="J221">
        <f t="shared" si="3"/>
        <v>35</v>
      </c>
    </row>
    <row r="222">
      <c r="A222" t="s">
        <v>675</v>
      </c>
      <c r="B222">
        <f t="shared" si="1"/>
        <v>35.533333</v>
      </c>
      <c r="C222">
        <f>IFERROR(__xludf.DUMMYFUNCTION("""COMPUTED_VALUE"""),1.016667)</f>
        <v>1.016667</v>
      </c>
      <c r="H222">
        <v>1.0</v>
      </c>
      <c r="J222">
        <f t="shared" si="3"/>
        <v>1</v>
      </c>
    </row>
    <row r="223">
      <c r="A223" t="s">
        <v>676</v>
      </c>
      <c r="B223">
        <f t="shared" si="1"/>
        <v>35.55</v>
      </c>
      <c r="C223">
        <f>IFERROR(__xludf.DUMMYFUNCTION("""COMPUTED_VALUE"""),45.433333)</f>
        <v>45.433333</v>
      </c>
      <c r="G223">
        <v>1.0</v>
      </c>
      <c r="H223">
        <v>0.0</v>
      </c>
      <c r="J223">
        <f t="shared" si="3"/>
        <v>1</v>
      </c>
    </row>
    <row r="224">
      <c r="A224" t="s">
        <v>677</v>
      </c>
      <c r="B224">
        <f t="shared" si="1"/>
        <v>35.551211</v>
      </c>
      <c r="C224">
        <f>IFERROR(__xludf.DUMMYFUNCTION("""COMPUTED_VALUE"""),12.317398)</f>
        <v>12.317398</v>
      </c>
      <c r="H224">
        <v>1.0</v>
      </c>
      <c r="J224">
        <f t="shared" si="3"/>
        <v>1</v>
      </c>
    </row>
    <row r="225">
      <c r="A225" t="s">
        <v>680</v>
      </c>
      <c r="B225">
        <f t="shared" si="1"/>
        <v>35.57621</v>
      </c>
      <c r="C225">
        <f>IFERROR(__xludf.DUMMYFUNCTION("""COMPUTED_VALUE"""),-5.368435)</f>
        <v>-5.368435</v>
      </c>
      <c r="H225">
        <v>20.0</v>
      </c>
      <c r="J225">
        <f t="shared" si="3"/>
        <v>20</v>
      </c>
    </row>
    <row r="226">
      <c r="A226" t="s">
        <v>683</v>
      </c>
      <c r="B226">
        <f t="shared" si="1"/>
        <v>35.579544</v>
      </c>
      <c r="C226">
        <f>IFERROR(__xludf.DUMMYFUNCTION("""COMPUTED_VALUE"""),-1.142499)</f>
        <v>-1.142499</v>
      </c>
      <c r="H226">
        <v>1.0</v>
      </c>
      <c r="J226">
        <f t="shared" si="3"/>
        <v>1</v>
      </c>
    </row>
    <row r="227">
      <c r="A227" t="s">
        <v>684</v>
      </c>
      <c r="B227">
        <f t="shared" si="1"/>
        <v>35.616667</v>
      </c>
      <c r="C227">
        <f>IFERROR(__xludf.DUMMYFUNCTION("""COMPUTED_VALUE"""),5.133333)</f>
        <v>5.133333</v>
      </c>
      <c r="H227">
        <v>1.0</v>
      </c>
      <c r="J227">
        <f t="shared" si="3"/>
        <v>1</v>
      </c>
    </row>
    <row r="228">
      <c r="A228" t="s">
        <v>685</v>
      </c>
      <c r="B228">
        <f t="shared" si="1"/>
        <v>35.693271</v>
      </c>
      <c r="C228">
        <f>IFERROR(__xludf.DUMMYFUNCTION("""COMPUTED_VALUE"""),-0.647622)</f>
        <v>-0.647622</v>
      </c>
      <c r="H228">
        <v>9.0</v>
      </c>
      <c r="J228">
        <f t="shared" si="3"/>
        <v>9</v>
      </c>
    </row>
    <row r="229">
      <c r="A229" t="s">
        <v>687</v>
      </c>
      <c r="B229">
        <f t="shared" si="1"/>
        <v>35.696216</v>
      </c>
      <c r="C229">
        <f>IFERROR(__xludf.DUMMYFUNCTION("""COMPUTED_VALUE"""),51.422945)</f>
        <v>51.422945</v>
      </c>
      <c r="H229">
        <v>1.0</v>
      </c>
      <c r="J229">
        <f t="shared" si="3"/>
        <v>1</v>
      </c>
    </row>
    <row r="230">
      <c r="A230" t="s">
        <v>688</v>
      </c>
      <c r="B230">
        <f t="shared" si="1"/>
        <v>35.696508</v>
      </c>
      <c r="C230">
        <f>IFERROR(__xludf.DUMMYFUNCTION("""COMPUTED_VALUE"""),11.107726)</f>
        <v>11.107726</v>
      </c>
      <c r="H230">
        <v>5.0</v>
      </c>
      <c r="J230">
        <f t="shared" si="3"/>
        <v>5</v>
      </c>
    </row>
    <row r="231">
      <c r="A231" t="s">
        <v>690</v>
      </c>
      <c r="B231">
        <f t="shared" si="1"/>
        <v>35.696944</v>
      </c>
      <c r="C231">
        <f>IFERROR(__xludf.DUMMYFUNCTION("""COMPUTED_VALUE"""),-0.633056)</f>
        <v>-0.633056</v>
      </c>
      <c r="H231">
        <v>120.0</v>
      </c>
      <c r="J231">
        <f t="shared" si="3"/>
        <v>120</v>
      </c>
    </row>
    <row r="232">
      <c r="A232" s="10" t="s">
        <v>691</v>
      </c>
      <c r="B232">
        <f t="shared" si="1"/>
        <v>35.77</v>
      </c>
      <c r="C232">
        <f>IFERROR(__xludf.DUMMYFUNCTION("""COMPUTED_VALUE"""),-5.8)</f>
        <v>-5.8</v>
      </c>
      <c r="I232">
        <v>1.0</v>
      </c>
      <c r="J232">
        <f t="shared" si="3"/>
        <v>1</v>
      </c>
    </row>
    <row r="233">
      <c r="A233" s="10" t="s">
        <v>694</v>
      </c>
      <c r="B233">
        <f t="shared" si="1"/>
        <v>35.8</v>
      </c>
      <c r="C233">
        <f>IFERROR(__xludf.DUMMYFUNCTION("""COMPUTED_VALUE"""),-5.9)</f>
        <v>-5.9</v>
      </c>
      <c r="E233">
        <v>1.0</v>
      </c>
      <c r="J233">
        <f t="shared" si="3"/>
        <v>1</v>
      </c>
    </row>
    <row r="234">
      <c r="A234" t="s">
        <v>695</v>
      </c>
      <c r="B234">
        <f t="shared" si="1"/>
        <v>35.766667</v>
      </c>
      <c r="C234">
        <f>IFERROR(__xludf.DUMMYFUNCTION("""COMPUTED_VALUE"""),-5.8)</f>
        <v>-5.8</v>
      </c>
      <c r="H234">
        <v>188.0</v>
      </c>
      <c r="J234">
        <f t="shared" si="3"/>
        <v>188</v>
      </c>
    </row>
    <row r="235">
      <c r="A235" t="s">
        <v>696</v>
      </c>
      <c r="B235">
        <f t="shared" si="1"/>
        <v>35.77718</v>
      </c>
      <c r="C235">
        <f>IFERROR(__xludf.DUMMYFUNCTION("""COMPUTED_VALUE"""),10.8261)</f>
        <v>10.8261</v>
      </c>
      <c r="H235">
        <v>53.0</v>
      </c>
      <c r="J235">
        <f t="shared" si="3"/>
        <v>53</v>
      </c>
    </row>
    <row r="236">
      <c r="A236" t="s">
        <v>697</v>
      </c>
      <c r="B236">
        <f t="shared" si="1"/>
        <v>35.8</v>
      </c>
      <c r="C236">
        <f>IFERROR(__xludf.DUMMYFUNCTION("""COMPUTED_VALUE"""),-0.266667)</f>
        <v>-0.266667</v>
      </c>
      <c r="H236">
        <v>5.0</v>
      </c>
      <c r="J236">
        <f t="shared" si="3"/>
        <v>5</v>
      </c>
    </row>
    <row r="237">
      <c r="A237" t="s">
        <v>698</v>
      </c>
      <c r="B237">
        <f t="shared" si="1"/>
        <v>35.815</v>
      </c>
      <c r="C237">
        <f>IFERROR(__xludf.DUMMYFUNCTION("""COMPUTED_VALUE"""),14.51)</f>
        <v>14.51</v>
      </c>
      <c r="D237">
        <v>1.0</v>
      </c>
      <c r="H237">
        <v>0.0</v>
      </c>
      <c r="J237">
        <f t="shared" si="3"/>
        <v>1</v>
      </c>
    </row>
    <row r="238">
      <c r="A238" t="s">
        <v>701</v>
      </c>
      <c r="B238">
        <f t="shared" si="1"/>
        <v>35.825556</v>
      </c>
      <c r="C238">
        <f>IFERROR(__xludf.DUMMYFUNCTION("""COMPUTED_VALUE"""),14.528056)</f>
        <v>14.528056</v>
      </c>
      <c r="H238">
        <v>1.0</v>
      </c>
      <c r="J238">
        <f t="shared" si="3"/>
        <v>1</v>
      </c>
    </row>
    <row r="239">
      <c r="A239" t="s">
        <v>702</v>
      </c>
      <c r="B239">
        <f t="shared" si="1"/>
        <v>35.827006</v>
      </c>
      <c r="C239">
        <f>IFERROR(__xludf.DUMMYFUNCTION("""COMPUTED_VALUE"""),14.423533)</f>
        <v>14.423533</v>
      </c>
      <c r="H239">
        <v>1.0</v>
      </c>
      <c r="J239">
        <f t="shared" si="3"/>
        <v>1</v>
      </c>
    </row>
    <row r="240">
      <c r="A240" t="s">
        <v>704</v>
      </c>
      <c r="B240">
        <f t="shared" si="1"/>
        <v>35.834673</v>
      </c>
      <c r="C240">
        <f>IFERROR(__xludf.DUMMYFUNCTION("""COMPUTED_VALUE"""),14.552498)</f>
        <v>14.552498</v>
      </c>
      <c r="H240">
        <v>6.0</v>
      </c>
      <c r="J240">
        <f t="shared" si="3"/>
        <v>6</v>
      </c>
    </row>
    <row r="241">
      <c r="A241" t="s">
        <v>706</v>
      </c>
      <c r="B241">
        <f t="shared" si="1"/>
        <v>35.841667</v>
      </c>
      <c r="C241">
        <f>IFERROR(__xludf.DUMMYFUNCTION("""COMPUTED_VALUE"""),14.544722)</f>
        <v>14.544722</v>
      </c>
      <c r="H241">
        <v>1.0</v>
      </c>
      <c r="J241">
        <f t="shared" si="3"/>
        <v>1</v>
      </c>
    </row>
    <row r="242">
      <c r="A242" t="s">
        <v>707</v>
      </c>
      <c r="B242">
        <f t="shared" si="1"/>
        <v>35.844609</v>
      </c>
      <c r="C242">
        <f>IFERROR(__xludf.DUMMYFUNCTION("""COMPUTED_VALUE"""),-5.367784)</f>
        <v>-5.367784</v>
      </c>
      <c r="H242">
        <v>2.0</v>
      </c>
      <c r="J242">
        <f t="shared" si="3"/>
        <v>2</v>
      </c>
    </row>
    <row r="243">
      <c r="A243" t="s">
        <v>708</v>
      </c>
      <c r="B243">
        <f t="shared" si="1"/>
        <v>35.85</v>
      </c>
      <c r="C243">
        <f>IFERROR(__xludf.DUMMYFUNCTION("""COMPUTED_VALUE"""),-0.316667)</f>
        <v>-0.316667</v>
      </c>
      <c r="H243">
        <v>81.0</v>
      </c>
      <c r="J243">
        <f t="shared" si="3"/>
        <v>81</v>
      </c>
    </row>
    <row r="244">
      <c r="A244" t="s">
        <v>709</v>
      </c>
      <c r="B244">
        <f t="shared" si="1"/>
        <v>35.860278</v>
      </c>
      <c r="C244">
        <f>IFERROR(__xludf.DUMMYFUNCTION("""COMPUTED_VALUE"""),14.381389)</f>
        <v>14.381389</v>
      </c>
      <c r="H244">
        <v>1.0</v>
      </c>
      <c r="J244">
        <f t="shared" si="3"/>
        <v>1</v>
      </c>
    </row>
    <row r="245">
      <c r="A245" t="s">
        <v>710</v>
      </c>
      <c r="B245">
        <f t="shared" si="1"/>
        <v>35.861313</v>
      </c>
      <c r="C245">
        <f>IFERROR(__xludf.DUMMYFUNCTION("""COMPUTED_VALUE"""),14.565384)</f>
        <v>14.565384</v>
      </c>
      <c r="H245">
        <v>2.0</v>
      </c>
      <c r="J245">
        <f t="shared" si="3"/>
        <v>2</v>
      </c>
    </row>
    <row r="246">
      <c r="A246" t="s">
        <v>714</v>
      </c>
      <c r="B246">
        <f t="shared" si="1"/>
        <v>35.866074</v>
      </c>
      <c r="C246">
        <f>IFERROR(__xludf.DUMMYFUNCTION("""COMPUTED_VALUE"""),12.868741)</f>
        <v>12.868741</v>
      </c>
      <c r="H246">
        <v>5.0</v>
      </c>
      <c r="J246">
        <f t="shared" si="3"/>
        <v>5</v>
      </c>
    </row>
    <row r="247">
      <c r="A247" t="s">
        <v>715</v>
      </c>
      <c r="B247">
        <f t="shared" si="1"/>
        <v>35.869682</v>
      </c>
      <c r="C247">
        <f>IFERROR(__xludf.DUMMYFUNCTION("""COMPUTED_VALUE"""),14.566763)</f>
        <v>14.566763</v>
      </c>
      <c r="H247">
        <v>1.0</v>
      </c>
      <c r="J247">
        <f t="shared" si="3"/>
        <v>1</v>
      </c>
    </row>
    <row r="248">
      <c r="A248" t="s">
        <v>716</v>
      </c>
      <c r="B248">
        <f t="shared" si="1"/>
        <v>35.88301</v>
      </c>
      <c r="C248">
        <f>IFERROR(__xludf.DUMMYFUNCTION("""COMPUTED_VALUE"""),14.493757)</f>
        <v>14.493757</v>
      </c>
      <c r="H248">
        <v>11.0</v>
      </c>
      <c r="J248">
        <f t="shared" si="3"/>
        <v>11</v>
      </c>
    </row>
    <row r="249">
      <c r="A249" t="s">
        <v>717</v>
      </c>
      <c r="B249">
        <f t="shared" si="1"/>
        <v>35.888384</v>
      </c>
      <c r="C249">
        <f>IFERROR(__xludf.DUMMYFUNCTION("""COMPUTED_VALUE"""),-5.324636)</f>
        <v>-5.324636</v>
      </c>
      <c r="H249">
        <v>177.0</v>
      </c>
      <c r="J249">
        <f t="shared" si="3"/>
        <v>177</v>
      </c>
    </row>
    <row r="250">
      <c r="A250" s="10" t="s">
        <v>721</v>
      </c>
      <c r="B250">
        <f t="shared" si="1"/>
        <v>36</v>
      </c>
      <c r="C250">
        <f>IFERROR(__xludf.DUMMYFUNCTION("""COMPUTED_VALUE"""),-5.324636)</f>
        <v>-5.324636</v>
      </c>
      <c r="D250">
        <v>31.0</v>
      </c>
      <c r="J250">
        <f t="shared" si="3"/>
        <v>31</v>
      </c>
    </row>
    <row r="251">
      <c r="A251" s="10" t="s">
        <v>724</v>
      </c>
      <c r="B251">
        <f t="shared" si="1"/>
        <v>35.888384</v>
      </c>
      <c r="C251">
        <f>IFERROR(__xludf.DUMMYFUNCTION("""COMPUTED_VALUE"""),-5.0)</f>
        <v>-5</v>
      </c>
      <c r="F251">
        <v>2.0</v>
      </c>
      <c r="J251">
        <f t="shared" si="3"/>
        <v>2</v>
      </c>
    </row>
    <row r="252">
      <c r="A252" s="10" t="s">
        <v>725</v>
      </c>
      <c r="B252">
        <f t="shared" si="1"/>
        <v>35.9</v>
      </c>
      <c r="C252">
        <f>IFERROR(__xludf.DUMMYFUNCTION("""COMPUTED_VALUE"""),-5.2)</f>
        <v>-5.2</v>
      </c>
      <c r="I252">
        <v>3.0</v>
      </c>
      <c r="J252">
        <f t="shared" si="3"/>
        <v>3</v>
      </c>
    </row>
    <row r="253">
      <c r="A253" t="s">
        <v>726</v>
      </c>
      <c r="B253">
        <f t="shared" si="1"/>
        <v>35.89779</v>
      </c>
      <c r="C253">
        <f>IFERROR(__xludf.DUMMYFUNCTION("""COMPUTED_VALUE"""),14.514106)</f>
        <v>14.514106</v>
      </c>
      <c r="H253">
        <v>70.0</v>
      </c>
      <c r="J253">
        <f t="shared" si="3"/>
        <v>70</v>
      </c>
    </row>
    <row r="254">
      <c r="A254" s="10" t="s">
        <v>730</v>
      </c>
      <c r="B254">
        <f t="shared" si="1"/>
        <v>36</v>
      </c>
      <c r="C254">
        <f>IFERROR(__xludf.DUMMYFUNCTION("""COMPUTED_VALUE"""),14.5)</f>
        <v>14.5</v>
      </c>
      <c r="G254">
        <v>1.0</v>
      </c>
      <c r="J254">
        <f t="shared" si="3"/>
        <v>1</v>
      </c>
    </row>
    <row r="255">
      <c r="A255" t="s">
        <v>731</v>
      </c>
      <c r="B255">
        <f t="shared" si="1"/>
        <v>35.9</v>
      </c>
      <c r="C255">
        <f>IFERROR(__xludf.DUMMYFUNCTION("""COMPUTED_VALUE"""),12.37)</f>
        <v>12.37</v>
      </c>
      <c r="H255">
        <v>19.0</v>
      </c>
      <c r="J255">
        <f t="shared" si="3"/>
        <v>19</v>
      </c>
    </row>
    <row r="256">
      <c r="A256" t="s">
        <v>732</v>
      </c>
      <c r="B256">
        <f t="shared" si="1"/>
        <v>35.913676</v>
      </c>
      <c r="C256">
        <f>IFERROR(__xludf.DUMMYFUNCTION("""COMPUTED_VALUE"""),-5.418174)</f>
        <v>-5.418174</v>
      </c>
      <c r="H256">
        <v>28.0</v>
      </c>
      <c r="J256">
        <f t="shared" si="3"/>
        <v>28</v>
      </c>
    </row>
    <row r="257">
      <c r="A257" t="s">
        <v>733</v>
      </c>
      <c r="B257">
        <f t="shared" si="1"/>
        <v>35.91507</v>
      </c>
      <c r="C257">
        <f>IFERROR(__xludf.DUMMYFUNCTION("""COMPUTED_VALUE"""),10.560222)</f>
        <v>10.560222</v>
      </c>
      <c r="H257">
        <v>64.0</v>
      </c>
      <c r="J257">
        <f t="shared" si="3"/>
        <v>64</v>
      </c>
    </row>
    <row r="258">
      <c r="A258" t="s">
        <v>734</v>
      </c>
      <c r="B258">
        <f t="shared" si="1"/>
        <v>35.922273</v>
      </c>
      <c r="C258">
        <f>IFERROR(__xludf.DUMMYFUNCTION("""COMPUTED_VALUE"""),28.476563)</f>
        <v>28.476563</v>
      </c>
      <c r="H258">
        <v>1.0</v>
      </c>
      <c r="J258">
        <f t="shared" si="3"/>
        <v>1</v>
      </c>
    </row>
    <row r="259">
      <c r="A259" s="10" t="s">
        <v>737</v>
      </c>
      <c r="B259">
        <f t="shared" si="1"/>
        <v>36</v>
      </c>
      <c r="C259">
        <f>IFERROR(__xludf.DUMMYFUNCTION("""COMPUTED_VALUE"""),14.375416)</f>
        <v>14.375416</v>
      </c>
      <c r="E259">
        <v>1.0</v>
      </c>
      <c r="J259">
        <f t="shared" si="3"/>
        <v>1</v>
      </c>
    </row>
    <row r="260">
      <c r="A260" t="s">
        <v>740</v>
      </c>
      <c r="B260">
        <f t="shared" si="1"/>
        <v>35.937496</v>
      </c>
      <c r="C260">
        <f>IFERROR(__xludf.DUMMYFUNCTION("""COMPUTED_VALUE"""),14.375416)</f>
        <v>14.375416</v>
      </c>
      <c r="H260">
        <v>654.0</v>
      </c>
      <c r="J260">
        <f t="shared" si="3"/>
        <v>654</v>
      </c>
    </row>
    <row r="261">
      <c r="A261" t="s">
        <v>741</v>
      </c>
      <c r="B261">
        <f t="shared" si="1"/>
        <v>35.939838</v>
      </c>
      <c r="C261">
        <f>IFERROR(__xludf.DUMMYFUNCTION("""COMPUTED_VALUE"""),0.089767)</f>
        <v>0.089767</v>
      </c>
      <c r="H261">
        <v>38.0</v>
      </c>
      <c r="J261">
        <f t="shared" si="3"/>
        <v>38</v>
      </c>
    </row>
    <row r="262">
      <c r="A262" t="s">
        <v>742</v>
      </c>
      <c r="B262">
        <f t="shared" si="1"/>
        <v>35.94</v>
      </c>
      <c r="C262">
        <f>IFERROR(__xludf.DUMMYFUNCTION("""COMPUTED_VALUE"""),-5.38)</f>
        <v>-5.38</v>
      </c>
      <c r="H262">
        <v>8.0</v>
      </c>
      <c r="J262">
        <f t="shared" si="3"/>
        <v>8</v>
      </c>
    </row>
    <row r="263">
      <c r="A263" t="s">
        <v>743</v>
      </c>
      <c r="B263">
        <f t="shared" si="1"/>
        <v>35.950486</v>
      </c>
      <c r="C263">
        <f>IFERROR(__xludf.DUMMYFUNCTION("""COMPUTED_VALUE"""),-3.035088)</f>
        <v>-3.035088</v>
      </c>
      <c r="H263">
        <v>10.0</v>
      </c>
      <c r="J263">
        <f t="shared" si="3"/>
        <v>10</v>
      </c>
    </row>
    <row r="264">
      <c r="A264" t="s">
        <v>744</v>
      </c>
      <c r="B264">
        <f t="shared" si="1"/>
        <v>35.964373</v>
      </c>
      <c r="C264">
        <f>IFERROR(__xludf.DUMMYFUNCTION("""COMPUTED_VALUE"""),-5.196533)</f>
        <v>-5.196533</v>
      </c>
      <c r="H264">
        <v>62.0</v>
      </c>
      <c r="J264">
        <f t="shared" si="3"/>
        <v>62</v>
      </c>
    </row>
    <row r="265">
      <c r="A265" s="10" t="s">
        <v>748</v>
      </c>
      <c r="B265">
        <f t="shared" si="1"/>
        <v>36</v>
      </c>
      <c r="C265">
        <f>IFERROR(__xludf.DUMMYFUNCTION("""COMPUTED_VALUE"""),-5.2)</f>
        <v>-5.2</v>
      </c>
      <c r="I265">
        <v>1.0</v>
      </c>
      <c r="J265">
        <f t="shared" si="3"/>
        <v>1</v>
      </c>
    </row>
    <row r="266">
      <c r="A266" t="s">
        <v>749</v>
      </c>
      <c r="B266">
        <f t="shared" si="1"/>
        <v>35.97</v>
      </c>
      <c r="C266">
        <f>IFERROR(__xludf.DUMMYFUNCTION("""COMPUTED_VALUE"""),-5.84)</f>
        <v>-5.84</v>
      </c>
      <c r="H266">
        <v>9.0</v>
      </c>
      <c r="J266">
        <f t="shared" si="3"/>
        <v>9</v>
      </c>
    </row>
    <row r="267">
      <c r="A267" t="s">
        <v>750</v>
      </c>
      <c r="B267">
        <f t="shared" si="1"/>
        <v>35.976458</v>
      </c>
      <c r="C267">
        <f>IFERROR(__xludf.DUMMYFUNCTION("""COMPUTED_VALUE"""),14.346722)</f>
        <v>14.346722</v>
      </c>
      <c r="H267">
        <v>11.0</v>
      </c>
      <c r="J267">
        <f t="shared" si="3"/>
        <v>11</v>
      </c>
    </row>
    <row r="268">
      <c r="A268" t="s">
        <v>751</v>
      </c>
      <c r="B268">
        <f t="shared" si="1"/>
        <v>35.98</v>
      </c>
      <c r="C268">
        <f>IFERROR(__xludf.DUMMYFUNCTION("""COMPUTED_VALUE"""),-5.32)</f>
        <v>-5.32</v>
      </c>
      <c r="E268">
        <v>1.0</v>
      </c>
      <c r="H268">
        <v>0.0</v>
      </c>
      <c r="J268">
        <f t="shared" si="3"/>
        <v>1</v>
      </c>
    </row>
    <row r="269">
      <c r="A269" t="s">
        <v>753</v>
      </c>
      <c r="B269">
        <f t="shared" si="1"/>
        <v>36</v>
      </c>
      <c r="C269">
        <f>IFERROR(__xludf.DUMMYFUNCTION("""COMPUTED_VALUE"""),-0.3)</f>
        <v>-0.3</v>
      </c>
      <c r="H269">
        <v>4.0</v>
      </c>
      <c r="J269">
        <f t="shared" si="3"/>
        <v>4</v>
      </c>
    </row>
    <row r="270">
      <c r="A270" t="s">
        <v>754</v>
      </c>
      <c r="B270">
        <f t="shared" si="1"/>
        <v>36</v>
      </c>
      <c r="C270">
        <f>IFERROR(__xludf.DUMMYFUNCTION("""COMPUTED_VALUE"""),12.0)</f>
        <v>12</v>
      </c>
      <c r="H270">
        <v>1.0</v>
      </c>
      <c r="J270">
        <f t="shared" si="3"/>
        <v>1</v>
      </c>
    </row>
    <row r="271">
      <c r="A271" t="s">
        <v>755</v>
      </c>
      <c r="B271">
        <f t="shared" si="1"/>
        <v>36</v>
      </c>
      <c r="C271">
        <f>IFERROR(__xludf.DUMMYFUNCTION("""COMPUTED_VALUE"""),15.0)</f>
        <v>15</v>
      </c>
      <c r="H271">
        <v>30.0</v>
      </c>
      <c r="J271">
        <f t="shared" si="3"/>
        <v>30</v>
      </c>
    </row>
    <row r="272">
      <c r="A272" t="s">
        <v>756</v>
      </c>
      <c r="B272">
        <f t="shared" si="1"/>
        <v>36</v>
      </c>
      <c r="C272">
        <f>IFERROR(__xludf.DUMMYFUNCTION("""COMPUTED_VALUE"""),27.0)</f>
        <v>27</v>
      </c>
      <c r="H272">
        <v>4.0</v>
      </c>
      <c r="J272">
        <f t="shared" si="3"/>
        <v>4</v>
      </c>
    </row>
    <row r="273">
      <c r="A273" s="10" t="s">
        <v>757</v>
      </c>
      <c r="B273">
        <f t="shared" si="1"/>
        <v>36.1</v>
      </c>
      <c r="C273">
        <f>IFERROR(__xludf.DUMMYFUNCTION("""COMPUTED_VALUE"""),27.5)</f>
        <v>27.5</v>
      </c>
      <c r="I273">
        <v>1.0</v>
      </c>
      <c r="J273">
        <f t="shared" si="3"/>
        <v>1</v>
      </c>
    </row>
    <row r="274">
      <c r="A274" s="10" t="s">
        <v>759</v>
      </c>
      <c r="B274">
        <f t="shared" si="1"/>
        <v>36</v>
      </c>
      <c r="C274">
        <f>IFERROR(__xludf.DUMMYFUNCTION("""COMPUTED_VALUE"""),-5.8)</f>
        <v>-5.8</v>
      </c>
      <c r="I274">
        <v>7.0</v>
      </c>
      <c r="J274">
        <f t="shared" si="3"/>
        <v>7</v>
      </c>
    </row>
    <row r="275">
      <c r="A275" t="s">
        <v>761</v>
      </c>
      <c r="B275">
        <f t="shared" si="1"/>
        <v>36.018776</v>
      </c>
      <c r="C275">
        <f>IFERROR(__xludf.DUMMYFUNCTION("""COMPUTED_VALUE"""),-5.600819)</f>
        <v>-5.600819</v>
      </c>
      <c r="D275">
        <v>1.0</v>
      </c>
      <c r="H275">
        <v>484.0</v>
      </c>
      <c r="J275">
        <f t="shared" si="3"/>
        <v>485</v>
      </c>
    </row>
    <row r="276">
      <c r="A276" t="s">
        <v>762</v>
      </c>
      <c r="B276">
        <f t="shared" si="1"/>
        <v>36.0443</v>
      </c>
      <c r="C276">
        <f>IFERROR(__xludf.DUMMYFUNCTION("""COMPUTED_VALUE"""),14.251222)</f>
        <v>14.251222</v>
      </c>
      <c r="H276">
        <v>1.0</v>
      </c>
      <c r="J276">
        <f t="shared" si="3"/>
        <v>1</v>
      </c>
    </row>
    <row r="277">
      <c r="A277" t="s">
        <v>764</v>
      </c>
      <c r="B277">
        <f t="shared" si="1"/>
        <v>36.098208</v>
      </c>
      <c r="C277">
        <f>IFERROR(__xludf.DUMMYFUNCTION("""COMPUTED_VALUE"""),-5.820705)</f>
        <v>-5.820705</v>
      </c>
      <c r="H277">
        <v>1.0</v>
      </c>
      <c r="J277">
        <f t="shared" si="3"/>
        <v>1</v>
      </c>
    </row>
    <row r="278">
      <c r="A278" t="s">
        <v>766</v>
      </c>
      <c r="B278">
        <f t="shared" si="1"/>
        <v>36.1</v>
      </c>
      <c r="C278">
        <f>IFERROR(__xludf.DUMMYFUNCTION("""COMPUTED_VALUE"""),15.2)</f>
        <v>15.2</v>
      </c>
      <c r="H278">
        <v>50.0</v>
      </c>
      <c r="J278">
        <f t="shared" si="3"/>
        <v>50</v>
      </c>
    </row>
    <row r="279">
      <c r="A279" t="s">
        <v>768</v>
      </c>
      <c r="B279">
        <f t="shared" si="1"/>
        <v>36.1</v>
      </c>
      <c r="C279">
        <f>IFERROR(__xludf.DUMMYFUNCTION("""COMPUTED_VALUE"""),15.3)</f>
        <v>15.3</v>
      </c>
      <c r="H279">
        <v>45.0</v>
      </c>
      <c r="J279">
        <f t="shared" si="3"/>
        <v>45</v>
      </c>
    </row>
    <row r="280">
      <c r="A280" t="s">
        <v>769</v>
      </c>
      <c r="B280">
        <f t="shared" si="1"/>
        <v>36.105114</v>
      </c>
      <c r="C280">
        <f>IFERROR(__xludf.DUMMYFUNCTION("""COMPUTED_VALUE"""),-5.488268)</f>
        <v>-5.488268</v>
      </c>
      <c r="H280">
        <v>6.0</v>
      </c>
      <c r="J280">
        <f t="shared" si="3"/>
        <v>6</v>
      </c>
    </row>
    <row r="281">
      <c r="A281" t="s">
        <v>770</v>
      </c>
      <c r="B281">
        <f t="shared" si="1"/>
        <v>36.132977</v>
      </c>
      <c r="C281">
        <f>IFERROR(__xludf.DUMMYFUNCTION("""COMPUTED_VALUE"""),-5.453909)</f>
        <v>-5.453909</v>
      </c>
      <c r="H281">
        <v>24.0</v>
      </c>
      <c r="J281">
        <f t="shared" si="3"/>
        <v>24</v>
      </c>
    </row>
    <row r="282">
      <c r="A282" s="10" t="s">
        <v>773</v>
      </c>
      <c r="B282">
        <f t="shared" si="1"/>
        <v>36.2</v>
      </c>
      <c r="C282">
        <f>IFERROR(__xludf.DUMMYFUNCTION("""COMPUTED_VALUE"""),-5.5)</f>
        <v>-5.5</v>
      </c>
      <c r="I282">
        <v>5.0</v>
      </c>
      <c r="J282">
        <f t="shared" si="3"/>
        <v>5</v>
      </c>
    </row>
    <row r="283">
      <c r="A283" t="s">
        <v>774</v>
      </c>
      <c r="B283">
        <f t="shared" si="1"/>
        <v>36.140751</v>
      </c>
      <c r="C283">
        <f>IFERROR(__xludf.DUMMYFUNCTION("""COMPUTED_VALUE"""),-5.353585)</f>
        <v>-5.353585</v>
      </c>
      <c r="H283">
        <v>107.0</v>
      </c>
      <c r="J283">
        <f t="shared" si="3"/>
        <v>107</v>
      </c>
    </row>
    <row r="284">
      <c r="A284" t="s">
        <v>775</v>
      </c>
      <c r="B284">
        <f t="shared" si="1"/>
        <v>36.142015</v>
      </c>
      <c r="C284">
        <f>IFERROR(__xludf.DUMMYFUNCTION("""COMPUTED_VALUE"""),4.240723)</f>
        <v>4.240723</v>
      </c>
      <c r="H284">
        <v>1.0</v>
      </c>
      <c r="J284">
        <f t="shared" si="3"/>
        <v>1</v>
      </c>
    </row>
    <row r="285">
      <c r="A285" t="s">
        <v>776</v>
      </c>
      <c r="B285">
        <f t="shared" si="1"/>
        <v>36.146155</v>
      </c>
      <c r="C285">
        <f>IFERROR(__xludf.DUMMYFUNCTION("""COMPUTED_VALUE"""),-1.494141)</f>
        <v>-1.494141</v>
      </c>
      <c r="H285">
        <v>15.0</v>
      </c>
      <c r="J285">
        <f t="shared" si="3"/>
        <v>15</v>
      </c>
    </row>
    <row r="286">
      <c r="A286" t="s">
        <v>777</v>
      </c>
      <c r="B286">
        <f t="shared" si="1"/>
        <v>36.163149</v>
      </c>
      <c r="C286">
        <f>IFERROR(__xludf.DUMMYFUNCTION("""COMPUTED_VALUE"""),27.971761)</f>
        <v>27.971761</v>
      </c>
      <c r="H286">
        <v>51.0</v>
      </c>
      <c r="J286">
        <f t="shared" si="3"/>
        <v>51</v>
      </c>
    </row>
    <row r="287">
      <c r="A287" t="s">
        <v>778</v>
      </c>
      <c r="B287">
        <f t="shared" si="1"/>
        <v>36.19002</v>
      </c>
      <c r="C287">
        <f>IFERROR(__xludf.DUMMYFUNCTION("""COMPUTED_VALUE"""),-5.92248)</f>
        <v>-5.92248</v>
      </c>
      <c r="H287">
        <v>74.0</v>
      </c>
      <c r="J287">
        <f t="shared" si="3"/>
        <v>74</v>
      </c>
    </row>
    <row r="288">
      <c r="A288" t="s">
        <v>779</v>
      </c>
      <c r="B288">
        <f t="shared" si="1"/>
        <v>36.2</v>
      </c>
      <c r="C288">
        <f>IFERROR(__xludf.DUMMYFUNCTION("""COMPUTED_VALUE"""),12.5)</f>
        <v>12.5</v>
      </c>
      <c r="H288">
        <v>41.0</v>
      </c>
      <c r="J288">
        <f t="shared" si="3"/>
        <v>41</v>
      </c>
    </row>
    <row r="289">
      <c r="A289" s="10" t="s">
        <v>780</v>
      </c>
      <c r="B289">
        <f t="shared" si="1"/>
        <v>36.3</v>
      </c>
      <c r="C289">
        <f>IFERROR(__xludf.DUMMYFUNCTION("""COMPUTED_VALUE"""),13.0)</f>
        <v>13</v>
      </c>
      <c r="E289">
        <v>3.0</v>
      </c>
    </row>
    <row r="290">
      <c r="A290" t="s">
        <v>783</v>
      </c>
      <c r="B290">
        <f t="shared" si="1"/>
        <v>36.210462</v>
      </c>
      <c r="C290">
        <f>IFERROR(__xludf.DUMMYFUNCTION("""COMPUTED_VALUE"""),-5.384432)</f>
        <v>-5.384432</v>
      </c>
      <c r="H290">
        <v>0.0</v>
      </c>
      <c r="I290">
        <v>1.0</v>
      </c>
      <c r="J290">
        <f t="shared" ref="J290:J303" si="4">SUM(D290:I290)</f>
        <v>1</v>
      </c>
    </row>
    <row r="291">
      <c r="A291" t="s">
        <v>785</v>
      </c>
      <c r="B291">
        <f t="shared" si="1"/>
        <v>36.239546</v>
      </c>
      <c r="C291">
        <f>IFERROR(__xludf.DUMMYFUNCTION("""COMPUTED_VALUE"""),13.007813)</f>
        <v>13.007813</v>
      </c>
      <c r="H291">
        <v>45.0</v>
      </c>
      <c r="J291">
        <f t="shared" si="4"/>
        <v>45</v>
      </c>
    </row>
    <row r="292">
      <c r="A292" t="s">
        <v>786</v>
      </c>
      <c r="B292">
        <f t="shared" si="1"/>
        <v>36.263269</v>
      </c>
      <c r="C292">
        <f>IFERROR(__xludf.DUMMYFUNCTION("""COMPUTED_VALUE"""),22.97737)</f>
        <v>22.97737</v>
      </c>
      <c r="H292">
        <v>40.0</v>
      </c>
      <c r="J292">
        <f t="shared" si="4"/>
        <v>40</v>
      </c>
    </row>
    <row r="293">
      <c r="A293" t="s">
        <v>787</v>
      </c>
      <c r="B293">
        <f t="shared" si="1"/>
        <v>36.277685</v>
      </c>
      <c r="C293">
        <f>IFERROR(__xludf.DUMMYFUNCTION("""COMPUTED_VALUE"""),-6.087779)</f>
        <v>-6.087779</v>
      </c>
      <c r="H293">
        <v>17.0</v>
      </c>
      <c r="J293">
        <f t="shared" si="4"/>
        <v>17</v>
      </c>
    </row>
    <row r="294">
      <c r="A294" t="s">
        <v>788</v>
      </c>
      <c r="B294">
        <f t="shared" si="1"/>
        <v>36.2941</v>
      </c>
      <c r="C294">
        <f>IFERROR(__xludf.DUMMYFUNCTION("""COMPUTED_VALUE"""),35.793903)</f>
        <v>35.793903</v>
      </c>
      <c r="H294">
        <v>4.0</v>
      </c>
      <c r="J294">
        <f t="shared" si="4"/>
        <v>4</v>
      </c>
    </row>
    <row r="295">
      <c r="A295" t="s">
        <v>790</v>
      </c>
      <c r="B295">
        <f t="shared" si="1"/>
        <v>36.3</v>
      </c>
      <c r="C295">
        <f>IFERROR(__xludf.DUMMYFUNCTION("""COMPUTED_VALUE"""),-2.5)</f>
        <v>-2.5</v>
      </c>
      <c r="H295">
        <v>20.0</v>
      </c>
      <c r="J295">
        <f t="shared" si="4"/>
        <v>20</v>
      </c>
    </row>
    <row r="296">
      <c r="A296" t="s">
        <v>792</v>
      </c>
      <c r="B296">
        <f t="shared" si="1"/>
        <v>36.4</v>
      </c>
      <c r="C296">
        <f>IFERROR(__xludf.DUMMYFUNCTION("""COMPUTED_VALUE"""),-0.9)</f>
        <v>-0.9</v>
      </c>
      <c r="H296">
        <v>6.0</v>
      </c>
      <c r="J296">
        <f t="shared" si="4"/>
        <v>6</v>
      </c>
    </row>
    <row r="297">
      <c r="A297" t="s">
        <v>793</v>
      </c>
      <c r="B297">
        <f t="shared" si="1"/>
        <v>36.4</v>
      </c>
      <c r="C297">
        <f>IFERROR(__xludf.DUMMYFUNCTION("""COMPUTED_VALUE"""),-2.3)</f>
        <v>-2.3</v>
      </c>
      <c r="H297">
        <v>2.0</v>
      </c>
      <c r="J297">
        <f t="shared" si="4"/>
        <v>2</v>
      </c>
    </row>
    <row r="298">
      <c r="A298" t="s">
        <v>794</v>
      </c>
      <c r="B298">
        <f t="shared" si="1"/>
        <v>36.4</v>
      </c>
      <c r="C298">
        <f>IFERROR(__xludf.DUMMYFUNCTION("""COMPUTED_VALUE"""),13.1)</f>
        <v>13.1</v>
      </c>
      <c r="E298">
        <v>129.0</v>
      </c>
      <c r="H298">
        <v>0.0</v>
      </c>
      <c r="J298">
        <f t="shared" si="4"/>
        <v>129</v>
      </c>
    </row>
    <row r="299">
      <c r="A299" t="s">
        <v>798</v>
      </c>
      <c r="B299">
        <f t="shared" si="1"/>
        <v>36.418702</v>
      </c>
      <c r="C299">
        <f>IFERROR(__xludf.DUMMYFUNCTION("""COMPUTED_VALUE"""),-6.148541)</f>
        <v>-6.148541</v>
      </c>
      <c r="H299">
        <v>1.0</v>
      </c>
      <c r="J299">
        <f t="shared" si="4"/>
        <v>1</v>
      </c>
    </row>
    <row r="300">
      <c r="A300" t="s">
        <v>799</v>
      </c>
      <c r="B300">
        <f t="shared" si="1"/>
        <v>36.42985</v>
      </c>
      <c r="C300">
        <f>IFERROR(__xludf.DUMMYFUNCTION("""COMPUTED_VALUE"""),-5.149141)</f>
        <v>-5.149141</v>
      </c>
      <c r="H300">
        <v>6.0</v>
      </c>
      <c r="J300">
        <f t="shared" si="4"/>
        <v>6</v>
      </c>
    </row>
    <row r="301">
      <c r="A301" t="s">
        <v>800</v>
      </c>
      <c r="B301">
        <f t="shared" si="1"/>
        <v>36.434963</v>
      </c>
      <c r="C301">
        <f>IFERROR(__xludf.DUMMYFUNCTION("""COMPUTED_VALUE"""),28.217483)</f>
        <v>28.217483</v>
      </c>
      <c r="H301">
        <v>3.0</v>
      </c>
      <c r="J301">
        <f t="shared" si="4"/>
        <v>3</v>
      </c>
    </row>
    <row r="302">
      <c r="A302" t="s">
        <v>801</v>
      </c>
      <c r="B302">
        <f t="shared" si="1"/>
        <v>36.510071</v>
      </c>
      <c r="C302">
        <f>IFERROR(__xludf.DUMMYFUNCTION("""COMPUTED_VALUE"""),-4.882447)</f>
        <v>-4.882447</v>
      </c>
      <c r="H302">
        <v>2.0</v>
      </c>
      <c r="J302">
        <f t="shared" si="4"/>
        <v>2</v>
      </c>
    </row>
    <row r="303">
      <c r="A303" t="s">
        <v>802</v>
      </c>
      <c r="B303">
        <f t="shared" si="1"/>
        <v>36.527061</v>
      </c>
      <c r="C303">
        <f>IFERROR(__xludf.DUMMYFUNCTION("""COMPUTED_VALUE"""),-6.288596)</f>
        <v>-6.288596</v>
      </c>
      <c r="H303">
        <v>183.0</v>
      </c>
      <c r="J303">
        <f t="shared" si="4"/>
        <v>183</v>
      </c>
    </row>
    <row r="304">
      <c r="A304" s="10" t="s">
        <v>803</v>
      </c>
      <c r="B304">
        <f t="shared" si="1"/>
        <v>36.5</v>
      </c>
      <c r="C304">
        <f>IFERROR(__xludf.DUMMYFUNCTION("""COMPUTED_VALUE"""),-6.4)</f>
        <v>-6.4</v>
      </c>
      <c r="I304">
        <v>2.0</v>
      </c>
    </row>
    <row r="305">
      <c r="A305" t="s">
        <v>804</v>
      </c>
      <c r="B305">
        <f t="shared" si="1"/>
        <v>36.585572</v>
      </c>
      <c r="C305">
        <f>IFERROR(__xludf.DUMMYFUNCTION("""COMPUTED_VALUE"""),27.842865)</f>
        <v>27.842865</v>
      </c>
      <c r="H305">
        <v>12.0</v>
      </c>
      <c r="J305">
        <f t="shared" ref="J305:J331" si="5">SUM(D305:I305)</f>
        <v>12</v>
      </c>
    </row>
    <row r="306">
      <c r="A306" t="s">
        <v>805</v>
      </c>
      <c r="B306">
        <f t="shared" si="1"/>
        <v>36.6</v>
      </c>
      <c r="C306">
        <f>IFERROR(__xludf.DUMMYFUNCTION("""COMPUTED_VALUE"""),27.9)</f>
        <v>27.9</v>
      </c>
      <c r="H306">
        <v>11.0</v>
      </c>
      <c r="J306">
        <f t="shared" si="5"/>
        <v>11</v>
      </c>
    </row>
    <row r="307">
      <c r="A307" t="s">
        <v>808</v>
      </c>
      <c r="B307">
        <f t="shared" si="1"/>
        <v>36.60709</v>
      </c>
      <c r="C307">
        <f>IFERROR(__xludf.DUMMYFUNCTION("""COMPUTED_VALUE"""),2.196783)</f>
        <v>2.196783</v>
      </c>
      <c r="H307">
        <v>2.0</v>
      </c>
      <c r="J307">
        <f t="shared" si="5"/>
        <v>2</v>
      </c>
    </row>
    <row r="308">
      <c r="A308" t="s">
        <v>809</v>
      </c>
      <c r="B308">
        <f t="shared" si="1"/>
        <v>36.622554</v>
      </c>
      <c r="C308">
        <f>IFERROR(__xludf.DUMMYFUNCTION("""COMPUTED_VALUE"""),-4.499477)</f>
        <v>-4.499477</v>
      </c>
      <c r="H308">
        <v>1.0</v>
      </c>
      <c r="J308">
        <f t="shared" si="5"/>
        <v>1</v>
      </c>
    </row>
    <row r="309">
      <c r="A309" t="s">
        <v>810</v>
      </c>
      <c r="B309">
        <f t="shared" si="1"/>
        <v>36.623381</v>
      </c>
      <c r="C309">
        <f>IFERROR(__xludf.DUMMYFUNCTION("""COMPUTED_VALUE"""),2.654829)</f>
        <v>2.654829</v>
      </c>
      <c r="H309">
        <v>6.0</v>
      </c>
      <c r="J309">
        <f t="shared" si="5"/>
        <v>6</v>
      </c>
    </row>
    <row r="310">
      <c r="A310" t="s">
        <v>813</v>
      </c>
      <c r="B310">
        <f t="shared" si="1"/>
        <v>36.62629</v>
      </c>
      <c r="C310">
        <f>IFERROR(__xludf.DUMMYFUNCTION("""COMPUTED_VALUE"""),-6.362981)</f>
        <v>-6.362981</v>
      </c>
      <c r="H310">
        <v>37.0</v>
      </c>
      <c r="J310">
        <f t="shared" si="5"/>
        <v>37</v>
      </c>
    </row>
    <row r="311">
      <c r="A311" t="s">
        <v>814</v>
      </c>
      <c r="B311">
        <f t="shared" si="1"/>
        <v>36.666667</v>
      </c>
      <c r="C311">
        <f>IFERROR(__xludf.DUMMYFUNCTION("""COMPUTED_VALUE"""),2.75)</f>
        <v>2.75</v>
      </c>
      <c r="H311">
        <v>11.0</v>
      </c>
      <c r="J311">
        <f t="shared" si="5"/>
        <v>11</v>
      </c>
    </row>
    <row r="312">
      <c r="A312" t="s">
        <v>815</v>
      </c>
      <c r="B312">
        <f t="shared" si="1"/>
        <v>36.68169</v>
      </c>
      <c r="C312">
        <f>IFERROR(__xludf.DUMMYFUNCTION("""COMPUTED_VALUE"""),15.133875)</f>
        <v>15.133875</v>
      </c>
      <c r="H312">
        <v>17.0</v>
      </c>
      <c r="J312">
        <f t="shared" si="5"/>
        <v>17</v>
      </c>
    </row>
    <row r="313">
      <c r="A313" t="s">
        <v>818</v>
      </c>
      <c r="B313">
        <f t="shared" si="1"/>
        <v>36.695639</v>
      </c>
      <c r="C313">
        <f>IFERROR(__xludf.DUMMYFUNCTION("""COMPUTED_VALUE"""),-3.465102)</f>
        <v>-3.465102</v>
      </c>
      <c r="H313">
        <v>2.0</v>
      </c>
      <c r="J313">
        <f t="shared" si="5"/>
        <v>2</v>
      </c>
    </row>
    <row r="314">
      <c r="A314" t="s">
        <v>819</v>
      </c>
      <c r="B314">
        <f t="shared" si="1"/>
        <v>36.697645</v>
      </c>
      <c r="C314">
        <f>IFERROR(__xludf.DUMMYFUNCTION("""COMPUTED_VALUE"""),-4.443222)</f>
        <v>-4.443222</v>
      </c>
      <c r="H314">
        <v>27.0</v>
      </c>
      <c r="J314">
        <f t="shared" si="5"/>
        <v>27</v>
      </c>
    </row>
    <row r="315">
      <c r="A315" t="s">
        <v>820</v>
      </c>
      <c r="B315">
        <f t="shared" si="1"/>
        <v>36.704636</v>
      </c>
      <c r="C315">
        <f>IFERROR(__xludf.DUMMYFUNCTION("""COMPUTED_VALUE"""),-4.506699)</f>
        <v>-4.506699</v>
      </c>
      <c r="H315">
        <v>3.0</v>
      </c>
      <c r="J315">
        <f t="shared" si="5"/>
        <v>3</v>
      </c>
    </row>
    <row r="316">
      <c r="A316" t="s">
        <v>822</v>
      </c>
      <c r="B316">
        <f t="shared" si="1"/>
        <v>36.711697</v>
      </c>
      <c r="C316">
        <f>IFERROR(__xludf.DUMMYFUNCTION("""COMPUTED_VALUE"""),14.773094)</f>
        <v>14.773094</v>
      </c>
      <c r="H316">
        <v>2.0</v>
      </c>
      <c r="J316">
        <f t="shared" si="5"/>
        <v>2</v>
      </c>
    </row>
    <row r="317">
      <c r="A317" t="s">
        <v>823</v>
      </c>
      <c r="B317">
        <f t="shared" si="1"/>
        <v>36.721261</v>
      </c>
      <c r="C317">
        <f>IFERROR(__xludf.DUMMYFUNCTION("""COMPUTED_VALUE"""),-4.421266)</f>
        <v>-4.421266</v>
      </c>
      <c r="H317">
        <v>12.0</v>
      </c>
      <c r="J317">
        <f t="shared" si="5"/>
        <v>12</v>
      </c>
    </row>
    <row r="318">
      <c r="A318" s="10" t="s">
        <v>825</v>
      </c>
      <c r="B318">
        <f t="shared" si="1"/>
        <v>36.7</v>
      </c>
      <c r="C318">
        <f>IFERROR(__xludf.DUMMYFUNCTION("""COMPUTED_VALUE"""),-4.4)</f>
        <v>-4.4</v>
      </c>
      <c r="E318">
        <v>4.0</v>
      </c>
      <c r="J318">
        <f t="shared" si="5"/>
        <v>4</v>
      </c>
    </row>
    <row r="319">
      <c r="A319" s="10" t="s">
        <v>826</v>
      </c>
      <c r="B319">
        <f t="shared" si="1"/>
        <v>36.8</v>
      </c>
      <c r="C319">
        <f>IFERROR(__xludf.DUMMYFUNCTION("""COMPUTED_VALUE"""),-4.5)</f>
        <v>-4.5</v>
      </c>
      <c r="G319">
        <v>1.0</v>
      </c>
      <c r="J319">
        <f t="shared" si="5"/>
        <v>1</v>
      </c>
    </row>
    <row r="320">
      <c r="A320" t="s">
        <v>827</v>
      </c>
      <c r="B320">
        <f t="shared" si="1"/>
        <v>36.72986</v>
      </c>
      <c r="C320">
        <f>IFERROR(__xludf.DUMMYFUNCTION("""COMPUTED_VALUE"""),14.84911)</f>
        <v>14.84911</v>
      </c>
      <c r="H320">
        <v>45.0</v>
      </c>
      <c r="J320">
        <f t="shared" si="5"/>
        <v>45</v>
      </c>
    </row>
    <row r="321">
      <c r="A321" t="s">
        <v>828</v>
      </c>
      <c r="B321">
        <f t="shared" si="1"/>
        <v>36.729861</v>
      </c>
      <c r="C321">
        <f>IFERROR(__xludf.DUMMYFUNCTION("""COMPUTED_VALUE"""),14.849113)</f>
        <v>14.849113</v>
      </c>
      <c r="H321">
        <v>1.0</v>
      </c>
      <c r="J321">
        <f t="shared" si="5"/>
        <v>1</v>
      </c>
    </row>
    <row r="322">
      <c r="A322" t="s">
        <v>830</v>
      </c>
      <c r="B322">
        <f t="shared" si="1"/>
        <v>36.744421</v>
      </c>
      <c r="C322">
        <f>IFERROR(__xludf.DUMMYFUNCTION("""COMPUTED_VALUE"""),-4.092531)</f>
        <v>-4.092531</v>
      </c>
      <c r="H322">
        <v>3.0</v>
      </c>
      <c r="J322">
        <f t="shared" si="5"/>
        <v>3</v>
      </c>
    </row>
    <row r="323">
      <c r="A323" t="s">
        <v>832</v>
      </c>
      <c r="B323">
        <f t="shared" si="1"/>
        <v>36.748374</v>
      </c>
      <c r="C323">
        <f>IFERROR(__xludf.DUMMYFUNCTION("""COMPUTED_VALUE"""),-3.516861)</f>
        <v>-3.516861</v>
      </c>
      <c r="H323">
        <v>69.0</v>
      </c>
      <c r="J323">
        <f t="shared" si="5"/>
        <v>69</v>
      </c>
    </row>
    <row r="324">
      <c r="A324" t="s">
        <v>834</v>
      </c>
      <c r="B324">
        <f t="shared" si="1"/>
        <v>36.750191</v>
      </c>
      <c r="C324">
        <f>IFERROR(__xludf.DUMMYFUNCTION("""COMPUTED_VALUE"""),-3.017606)</f>
        <v>-3.017606</v>
      </c>
      <c r="H324">
        <v>28.0</v>
      </c>
      <c r="J324">
        <f t="shared" si="5"/>
        <v>28</v>
      </c>
    </row>
    <row r="325">
      <c r="A325" t="s">
        <v>835</v>
      </c>
      <c r="B325">
        <f t="shared" si="1"/>
        <v>36.752887</v>
      </c>
      <c r="C325">
        <f>IFERROR(__xludf.DUMMYFUNCTION("""COMPUTED_VALUE"""),3.042048)</f>
        <v>3.042048</v>
      </c>
      <c r="H325">
        <v>37.0</v>
      </c>
      <c r="J325">
        <f t="shared" si="5"/>
        <v>37</v>
      </c>
    </row>
    <row r="326">
      <c r="A326" s="10" t="s">
        <v>836</v>
      </c>
      <c r="B326">
        <f t="shared" si="1"/>
        <v>36.8</v>
      </c>
      <c r="C326">
        <f>IFERROR(__xludf.DUMMYFUNCTION("""COMPUTED_VALUE"""),3.4)</f>
        <v>3.4</v>
      </c>
      <c r="E326">
        <v>2.0</v>
      </c>
      <c r="J326">
        <f t="shared" si="5"/>
        <v>2</v>
      </c>
    </row>
    <row r="327">
      <c r="A327" s="10" t="s">
        <v>839</v>
      </c>
      <c r="B327">
        <f t="shared" si="1"/>
        <v>36.7</v>
      </c>
      <c r="C327">
        <f>IFERROR(__xludf.DUMMYFUNCTION("""COMPUTED_VALUE"""),-2.8)</f>
        <v>-2.8</v>
      </c>
      <c r="I327">
        <v>1.0</v>
      </c>
      <c r="J327">
        <f t="shared" si="5"/>
        <v>1</v>
      </c>
    </row>
    <row r="328">
      <c r="A328" t="s">
        <v>843</v>
      </c>
      <c r="B328">
        <f t="shared" si="1"/>
        <v>36.774063</v>
      </c>
      <c r="C328">
        <f>IFERROR(__xludf.DUMMYFUNCTION("""COMPUTED_VALUE"""),-2.815304)</f>
        <v>-2.815304</v>
      </c>
      <c r="H328">
        <v>3.0</v>
      </c>
      <c r="J328">
        <f t="shared" si="5"/>
        <v>3</v>
      </c>
    </row>
    <row r="329">
      <c r="A329" t="s">
        <v>846</v>
      </c>
      <c r="B329">
        <f t="shared" si="1"/>
        <v>36.779923</v>
      </c>
      <c r="C329">
        <f>IFERROR(__xludf.DUMMYFUNCTION("""COMPUTED_VALUE"""),-4.100559)</f>
        <v>-4.100559</v>
      </c>
      <c r="H329">
        <v>1.0</v>
      </c>
      <c r="J329">
        <f t="shared" si="5"/>
        <v>1</v>
      </c>
    </row>
    <row r="330">
      <c r="A330" t="s">
        <v>847</v>
      </c>
      <c r="B330">
        <f t="shared" si="1"/>
        <v>36.793212</v>
      </c>
      <c r="C330">
        <f>IFERROR(__xludf.DUMMYFUNCTION("""COMPUTED_VALUE"""),14.706973)</f>
        <v>14.706973</v>
      </c>
      <c r="H330">
        <v>12.0</v>
      </c>
      <c r="J330">
        <f t="shared" si="5"/>
        <v>12</v>
      </c>
    </row>
    <row r="331">
      <c r="A331" t="s">
        <v>848</v>
      </c>
      <c r="B331">
        <f t="shared" si="1"/>
        <v>36.799851</v>
      </c>
      <c r="C331">
        <f>IFERROR(__xludf.DUMMYFUNCTION("""COMPUTED_VALUE"""),27.102943)</f>
        <v>27.102943</v>
      </c>
      <c r="H331">
        <v>119.0</v>
      </c>
      <c r="J331">
        <f t="shared" si="5"/>
        <v>119</v>
      </c>
    </row>
    <row r="332">
      <c r="A332" s="10" t="s">
        <v>849</v>
      </c>
      <c r="B332">
        <f t="shared" si="1"/>
        <v>36.8</v>
      </c>
      <c r="C332">
        <f>IFERROR(__xludf.DUMMYFUNCTION("""COMPUTED_VALUE"""),10.0)</f>
        <v>10</v>
      </c>
      <c r="I332">
        <v>1.0</v>
      </c>
    </row>
    <row r="333">
      <c r="A333" s="10" t="s">
        <v>851</v>
      </c>
      <c r="B333">
        <f t="shared" si="1"/>
        <v>36.9</v>
      </c>
      <c r="C333">
        <f>IFERROR(__xludf.DUMMYFUNCTION("""COMPUTED_VALUE"""),10.2)</f>
        <v>10.2</v>
      </c>
      <c r="E333">
        <v>4.0</v>
      </c>
    </row>
    <row r="334">
      <c r="A334" t="s">
        <v>854</v>
      </c>
      <c r="B334">
        <f t="shared" si="1"/>
        <v>36.81881</v>
      </c>
      <c r="C334">
        <f>IFERROR(__xludf.DUMMYFUNCTION("""COMPUTED_VALUE"""),10.16596)</f>
        <v>10.16596</v>
      </c>
      <c r="H334">
        <v>535.0</v>
      </c>
      <c r="J334">
        <f t="shared" ref="J334:J335" si="6">SUM(D334:I334)</f>
        <v>535</v>
      </c>
    </row>
    <row r="335">
      <c r="A335" t="s">
        <v>857</v>
      </c>
      <c r="B335">
        <f t="shared" si="1"/>
        <v>36.828221</v>
      </c>
      <c r="C335">
        <f>IFERROR(__xludf.DUMMYFUNCTION("""COMPUTED_VALUE"""),11.940496)</f>
        <v>11.940496</v>
      </c>
      <c r="H335">
        <v>37.0</v>
      </c>
      <c r="J335">
        <f t="shared" si="6"/>
        <v>37</v>
      </c>
    </row>
    <row r="336">
      <c r="A336" s="10" t="s">
        <v>858</v>
      </c>
      <c r="B336">
        <f t="shared" si="1"/>
        <v>36.8</v>
      </c>
      <c r="C336">
        <f>IFERROR(__xludf.DUMMYFUNCTION("""COMPUTED_VALUE"""),-2.4)</f>
        <v>-2.4</v>
      </c>
      <c r="I336">
        <v>2.0</v>
      </c>
    </row>
    <row r="337">
      <c r="A337" s="10" t="s">
        <v>860</v>
      </c>
      <c r="B337">
        <f t="shared" si="1"/>
        <v>36.9</v>
      </c>
      <c r="C337">
        <f>IFERROR(__xludf.DUMMYFUNCTION("""COMPUTED_VALUE"""),-2.5)</f>
        <v>-2.5</v>
      </c>
      <c r="E337">
        <v>1.0</v>
      </c>
    </row>
    <row r="338">
      <c r="A338" t="s">
        <v>863</v>
      </c>
      <c r="B338">
        <f t="shared" si="1"/>
        <v>36.834047</v>
      </c>
      <c r="C338">
        <f>IFERROR(__xludf.DUMMYFUNCTION("""COMPUTED_VALUE"""),-2.463714)</f>
        <v>-2.463714</v>
      </c>
      <c r="H338">
        <v>205.0</v>
      </c>
      <c r="J338">
        <f t="shared" ref="J338:J385" si="7">SUM(D338:I338)</f>
        <v>205</v>
      </c>
    </row>
    <row r="339">
      <c r="A339" t="s">
        <v>866</v>
      </c>
      <c r="B339">
        <f t="shared" si="1"/>
        <v>36.85</v>
      </c>
      <c r="C339">
        <f>IFERROR(__xludf.DUMMYFUNCTION("""COMPUTED_VALUE"""),11.1)</f>
        <v>11.1</v>
      </c>
      <c r="H339">
        <v>5.0</v>
      </c>
      <c r="J339">
        <f t="shared" si="7"/>
        <v>5</v>
      </c>
    </row>
    <row r="340">
      <c r="A340" t="s">
        <v>867</v>
      </c>
      <c r="B340">
        <f t="shared" si="1"/>
        <v>36.850566</v>
      </c>
      <c r="C340">
        <f>IFERROR(__xludf.DUMMYFUNCTION("""COMPUTED_VALUE"""),28.255586)</f>
        <v>28.255586</v>
      </c>
      <c r="H340">
        <v>7.0</v>
      </c>
      <c r="J340">
        <f t="shared" si="7"/>
        <v>7</v>
      </c>
    </row>
    <row r="341">
      <c r="A341" t="s">
        <v>869</v>
      </c>
      <c r="B341">
        <f t="shared" si="1"/>
        <v>36.866667</v>
      </c>
      <c r="C341">
        <f>IFERROR(__xludf.DUMMYFUNCTION("""COMPUTED_VALUE"""),6.9)</f>
        <v>6.9</v>
      </c>
      <c r="H341">
        <v>18.0</v>
      </c>
      <c r="J341">
        <f t="shared" si="7"/>
        <v>18</v>
      </c>
    </row>
    <row r="342">
      <c r="A342" t="s">
        <v>871</v>
      </c>
      <c r="B342">
        <f t="shared" si="1"/>
        <v>36.868991</v>
      </c>
      <c r="C342">
        <f>IFERROR(__xludf.DUMMYFUNCTION("""COMPUTED_VALUE"""),15.135476)</f>
        <v>15.135476</v>
      </c>
      <c r="H342">
        <v>18.0</v>
      </c>
      <c r="J342">
        <f t="shared" si="7"/>
        <v>18</v>
      </c>
    </row>
    <row r="343">
      <c r="A343" t="s">
        <v>874</v>
      </c>
      <c r="B343">
        <f t="shared" si="1"/>
        <v>36.88414</v>
      </c>
      <c r="C343">
        <f>IFERROR(__xludf.DUMMYFUNCTION("""COMPUTED_VALUE"""),30.70563)</f>
        <v>30.70563</v>
      </c>
      <c r="H343">
        <v>31.0</v>
      </c>
      <c r="J343">
        <f t="shared" si="7"/>
        <v>31</v>
      </c>
    </row>
    <row r="344">
      <c r="A344" t="s">
        <v>875</v>
      </c>
      <c r="B344">
        <f t="shared" si="1"/>
        <v>36.893322</v>
      </c>
      <c r="C344">
        <f>IFERROR(__xludf.DUMMYFUNCTION("""COMPUTED_VALUE"""),14.42889)</f>
        <v>14.42889</v>
      </c>
      <c r="H344">
        <v>18.0</v>
      </c>
      <c r="J344">
        <f t="shared" si="7"/>
        <v>18</v>
      </c>
    </row>
    <row r="345">
      <c r="A345" t="s">
        <v>878</v>
      </c>
      <c r="B345">
        <f t="shared" si="1"/>
        <v>36.9</v>
      </c>
      <c r="C345">
        <f>IFERROR(__xludf.DUMMYFUNCTION("""COMPUTED_VALUE"""),27.4)</f>
        <v>27.4</v>
      </c>
      <c r="H345">
        <v>5.0</v>
      </c>
      <c r="J345">
        <f t="shared" si="7"/>
        <v>5</v>
      </c>
    </row>
    <row r="346">
      <c r="A346" t="s">
        <v>880</v>
      </c>
      <c r="B346">
        <f t="shared" si="1"/>
        <v>36.902859</v>
      </c>
      <c r="C346">
        <f>IFERROR(__xludf.DUMMYFUNCTION("""COMPUTED_VALUE"""),7.755543)</f>
        <v>7.755543</v>
      </c>
      <c r="H346">
        <v>107.0</v>
      </c>
      <c r="J346">
        <f t="shared" si="7"/>
        <v>107</v>
      </c>
    </row>
    <row r="347">
      <c r="A347" s="10" t="s">
        <v>881</v>
      </c>
      <c r="B347">
        <f t="shared" si="1"/>
        <v>36.9</v>
      </c>
      <c r="C347">
        <f>IFERROR(__xludf.DUMMYFUNCTION("""COMPUTED_VALUE"""),14.8)</f>
        <v>14.8</v>
      </c>
      <c r="I347">
        <v>1.0</v>
      </c>
      <c r="J347">
        <f t="shared" si="7"/>
        <v>1</v>
      </c>
    </row>
    <row r="348">
      <c r="A348" s="10" t="s">
        <v>883</v>
      </c>
      <c r="B348">
        <f t="shared" si="1"/>
        <v>37</v>
      </c>
      <c r="C348">
        <f>IFERROR(__xludf.DUMMYFUNCTION("""COMPUTED_VALUE"""),14.5)</f>
        <v>14.5</v>
      </c>
      <c r="E348">
        <v>9.0</v>
      </c>
      <c r="J348">
        <f t="shared" si="7"/>
        <v>9</v>
      </c>
    </row>
    <row r="349">
      <c r="A349" t="s">
        <v>887</v>
      </c>
      <c r="B349">
        <f t="shared" si="1"/>
        <v>36.926927</v>
      </c>
      <c r="C349">
        <f>IFERROR(__xludf.DUMMYFUNCTION("""COMPUTED_VALUE"""),14.725513)</f>
        <v>14.725513</v>
      </c>
      <c r="H349">
        <v>48.0</v>
      </c>
      <c r="J349">
        <f t="shared" si="7"/>
        <v>48</v>
      </c>
    </row>
    <row r="350">
      <c r="A350" t="s">
        <v>888</v>
      </c>
      <c r="B350">
        <f t="shared" si="1"/>
        <v>36.999117</v>
      </c>
      <c r="C350">
        <f>IFERROR(__xludf.DUMMYFUNCTION("""COMPUTED_VALUE"""),-1.892141)</f>
        <v>-1.892141</v>
      </c>
      <c r="H350">
        <v>12.0</v>
      </c>
      <c r="J350">
        <f t="shared" si="7"/>
        <v>12</v>
      </c>
    </row>
    <row r="351">
      <c r="A351" t="s">
        <v>889</v>
      </c>
      <c r="B351">
        <f t="shared" si="1"/>
        <v>37</v>
      </c>
      <c r="C351">
        <f>IFERROR(__xludf.DUMMYFUNCTION("""COMPUTED_VALUE"""),28.0)</f>
        <v>28</v>
      </c>
      <c r="H351">
        <v>6.0</v>
      </c>
      <c r="J351">
        <f t="shared" si="7"/>
        <v>6</v>
      </c>
    </row>
    <row r="352">
      <c r="A352" t="s">
        <v>892</v>
      </c>
      <c r="B352">
        <f t="shared" si="1"/>
        <v>37.035339</v>
      </c>
      <c r="C352">
        <f>IFERROR(__xludf.DUMMYFUNCTION("""COMPUTED_VALUE"""),27.43029)</f>
        <v>27.43029</v>
      </c>
      <c r="H352">
        <v>57.0</v>
      </c>
      <c r="J352">
        <f t="shared" si="7"/>
        <v>57</v>
      </c>
    </row>
    <row r="353">
      <c r="A353" t="s">
        <v>893</v>
      </c>
      <c r="B353">
        <f t="shared" si="1"/>
        <v>37.07</v>
      </c>
      <c r="C353">
        <f>IFERROR(__xludf.DUMMYFUNCTION("""COMPUTED_VALUE"""),36.25)</f>
        <v>36.25</v>
      </c>
      <c r="H353">
        <v>0.0</v>
      </c>
      <c r="I353">
        <v>42.0</v>
      </c>
      <c r="J353">
        <f t="shared" si="7"/>
        <v>42</v>
      </c>
    </row>
    <row r="354">
      <c r="A354" t="s">
        <v>894</v>
      </c>
      <c r="B354">
        <f t="shared" si="1"/>
        <v>37.074153</v>
      </c>
      <c r="C354">
        <f>IFERROR(__xludf.DUMMYFUNCTION("""COMPUTED_VALUE"""),14.240354)</f>
        <v>14.240354</v>
      </c>
      <c r="H354">
        <v>59.0</v>
      </c>
      <c r="J354">
        <f t="shared" si="7"/>
        <v>59</v>
      </c>
    </row>
    <row r="355">
      <c r="A355" t="s">
        <v>895</v>
      </c>
      <c r="B355">
        <f t="shared" si="1"/>
        <v>37.075474</v>
      </c>
      <c r="C355">
        <f>IFERROR(__xludf.DUMMYFUNCTION("""COMPUTED_VALUE"""),15.286586)</f>
        <v>15.286586</v>
      </c>
      <c r="H355">
        <v>14.0</v>
      </c>
      <c r="J355">
        <f t="shared" si="7"/>
        <v>14</v>
      </c>
    </row>
    <row r="356">
      <c r="A356" t="s">
        <v>899</v>
      </c>
      <c r="B356">
        <f t="shared" si="1"/>
        <v>37.075546</v>
      </c>
      <c r="C356">
        <f>IFERROR(__xludf.DUMMYFUNCTION("""COMPUTED_VALUE"""),25.520736)</f>
        <v>25.520736</v>
      </c>
      <c r="H356">
        <v>70.0</v>
      </c>
      <c r="J356">
        <f t="shared" si="7"/>
        <v>70</v>
      </c>
    </row>
    <row r="357">
      <c r="A357" t="s">
        <v>900</v>
      </c>
      <c r="B357">
        <f t="shared" si="1"/>
        <v>37.101709</v>
      </c>
      <c r="C357">
        <f>IFERROR(__xludf.DUMMYFUNCTION("""COMPUTED_VALUE"""),13.937331)</f>
        <v>13.937331</v>
      </c>
      <c r="H357">
        <v>1.0</v>
      </c>
      <c r="J357">
        <f t="shared" si="7"/>
        <v>1</v>
      </c>
    </row>
    <row r="358">
      <c r="A358" t="s">
        <v>901</v>
      </c>
      <c r="B358">
        <f t="shared" si="1"/>
        <v>37.102103</v>
      </c>
      <c r="C358">
        <f>IFERROR(__xludf.DUMMYFUNCTION("""COMPUTED_VALUE"""),25.376114)</f>
        <v>25.376114</v>
      </c>
      <c r="H358">
        <v>28.0</v>
      </c>
      <c r="J358">
        <f t="shared" si="7"/>
        <v>28</v>
      </c>
    </row>
    <row r="359">
      <c r="A359" t="s">
        <v>902</v>
      </c>
      <c r="B359">
        <f t="shared" si="1"/>
        <v>37.125836</v>
      </c>
      <c r="C359">
        <f>IFERROR(__xludf.DUMMYFUNCTION("""COMPUTED_VALUE"""),10.802826)</f>
        <v>10.802826</v>
      </c>
      <c r="H359">
        <v>5.0</v>
      </c>
      <c r="J359">
        <f t="shared" si="7"/>
        <v>5</v>
      </c>
    </row>
    <row r="360">
      <c r="A360" t="s">
        <v>904</v>
      </c>
      <c r="B360">
        <f t="shared" si="1"/>
        <v>37.140914</v>
      </c>
      <c r="C360">
        <f>IFERROR(__xludf.DUMMYFUNCTION("""COMPUTED_VALUE"""),26.848843)</f>
        <v>26.848843</v>
      </c>
      <c r="H360">
        <v>5.0</v>
      </c>
      <c r="J360">
        <f t="shared" si="7"/>
        <v>5</v>
      </c>
    </row>
    <row r="361">
      <c r="A361" t="s">
        <v>908</v>
      </c>
      <c r="B361">
        <f t="shared" si="1"/>
        <v>37.150437</v>
      </c>
      <c r="C361">
        <f>IFERROR(__xludf.DUMMYFUNCTION("""COMPUTED_VALUE"""),9.23422)</f>
        <v>9.23422</v>
      </c>
      <c r="H361">
        <v>6.0</v>
      </c>
      <c r="J361">
        <f t="shared" si="7"/>
        <v>6</v>
      </c>
    </row>
    <row r="362">
      <c r="A362" t="s">
        <v>909</v>
      </c>
      <c r="B362">
        <f t="shared" si="1"/>
        <v>37.177336</v>
      </c>
      <c r="C362">
        <f>IFERROR(__xludf.DUMMYFUNCTION("""COMPUTED_VALUE"""),-3.598557)</f>
        <v>-3.598557</v>
      </c>
      <c r="H362">
        <v>38.0</v>
      </c>
      <c r="J362">
        <f t="shared" si="7"/>
        <v>38</v>
      </c>
    </row>
    <row r="363">
      <c r="A363" t="s">
        <v>910</v>
      </c>
      <c r="B363">
        <f t="shared" si="1"/>
        <v>37.2</v>
      </c>
      <c r="C363">
        <f>IFERROR(__xludf.DUMMYFUNCTION("""COMPUTED_VALUE"""),11.199903)</f>
        <v>11.199903</v>
      </c>
      <c r="H363">
        <v>40.0</v>
      </c>
      <c r="J363">
        <f t="shared" si="7"/>
        <v>40</v>
      </c>
    </row>
    <row r="364">
      <c r="A364" t="s">
        <v>911</v>
      </c>
      <c r="B364">
        <f t="shared" si="1"/>
        <v>37.2</v>
      </c>
      <c r="C364">
        <f>IFERROR(__xludf.DUMMYFUNCTION("""COMPUTED_VALUE"""),16.0)</f>
        <v>16</v>
      </c>
      <c r="H364">
        <v>1.0</v>
      </c>
      <c r="J364">
        <f t="shared" si="7"/>
        <v>1</v>
      </c>
    </row>
    <row r="365">
      <c r="A365" t="s">
        <v>913</v>
      </c>
      <c r="B365">
        <f t="shared" si="1"/>
        <v>37.22813</v>
      </c>
      <c r="C365">
        <f>IFERROR(__xludf.DUMMYFUNCTION("""COMPUTED_VALUE"""),-6.890386)</f>
        <v>-6.890386</v>
      </c>
      <c r="H365">
        <v>13.0</v>
      </c>
      <c r="J365">
        <f t="shared" si="7"/>
        <v>13</v>
      </c>
    </row>
    <row r="366">
      <c r="A366" t="s">
        <v>919</v>
      </c>
      <c r="B366">
        <f t="shared" si="1"/>
        <v>37.27626</v>
      </c>
      <c r="C366">
        <f>IFERROR(__xludf.DUMMYFUNCTION("""COMPUTED_VALUE"""),9.873071)</f>
        <v>9.873071</v>
      </c>
      <c r="H366">
        <v>3.0</v>
      </c>
      <c r="J366">
        <f t="shared" si="7"/>
        <v>3</v>
      </c>
    </row>
    <row r="367">
      <c r="A367" t="s">
        <v>921</v>
      </c>
      <c r="B367">
        <f t="shared" si="1"/>
        <v>37.282956</v>
      </c>
      <c r="C367">
        <f>IFERROR(__xludf.DUMMYFUNCTION("""COMPUTED_VALUE"""),27.088338)</f>
        <v>27.088338</v>
      </c>
      <c r="H367">
        <v>15.0</v>
      </c>
      <c r="J367">
        <f t="shared" si="7"/>
        <v>15</v>
      </c>
    </row>
    <row r="368">
      <c r="A368" t="s">
        <v>922</v>
      </c>
      <c r="B368">
        <f t="shared" si="1"/>
        <v>37.291</v>
      </c>
      <c r="C368">
        <f>IFERROR(__xludf.DUMMYFUNCTION("""COMPUTED_VALUE"""),27.08)</f>
        <v>27.08</v>
      </c>
      <c r="H368">
        <v>16.0</v>
      </c>
      <c r="J368">
        <f t="shared" si="7"/>
        <v>16</v>
      </c>
    </row>
    <row r="369">
      <c r="A369" t="s">
        <v>923</v>
      </c>
      <c r="B369">
        <f t="shared" si="1"/>
        <v>37.31109</v>
      </c>
      <c r="C369">
        <f>IFERROR(__xludf.DUMMYFUNCTION("""COMPUTED_VALUE"""),13.576548)</f>
        <v>13.576548</v>
      </c>
      <c r="H369">
        <v>3.0</v>
      </c>
      <c r="J369">
        <f t="shared" si="7"/>
        <v>3</v>
      </c>
    </row>
    <row r="370">
      <c r="A370" t="s">
        <v>924</v>
      </c>
      <c r="B370">
        <f t="shared" si="1"/>
        <v>37.349722</v>
      </c>
      <c r="C370">
        <f>IFERROR(__xludf.DUMMYFUNCTION("""COMPUTED_VALUE"""),22.352222)</f>
        <v>22.352222</v>
      </c>
      <c r="H370">
        <v>1.0</v>
      </c>
      <c r="J370">
        <f t="shared" si="7"/>
        <v>1</v>
      </c>
    </row>
    <row r="371">
      <c r="A371" t="s">
        <v>928</v>
      </c>
      <c r="B371">
        <f t="shared" si="1"/>
        <v>37.349816</v>
      </c>
      <c r="C371">
        <f>IFERROR(__xludf.DUMMYFUNCTION("""COMPUTED_VALUE"""),-3.289259)</f>
        <v>-3.289259</v>
      </c>
      <c r="H371">
        <v>0.0</v>
      </c>
      <c r="I371">
        <v>1.0</v>
      </c>
      <c r="J371">
        <f t="shared" si="7"/>
        <v>1</v>
      </c>
    </row>
    <row r="372">
      <c r="A372" t="s">
        <v>931</v>
      </c>
      <c r="B372">
        <f t="shared" si="1"/>
        <v>37.369342</v>
      </c>
      <c r="C372">
        <f>IFERROR(__xludf.DUMMYFUNCTION("""COMPUTED_VALUE"""),27.27349)</f>
        <v>27.27349</v>
      </c>
      <c r="H372">
        <v>13.0</v>
      </c>
      <c r="J372">
        <f t="shared" si="7"/>
        <v>13</v>
      </c>
    </row>
    <row r="373">
      <c r="A373" t="s">
        <v>932</v>
      </c>
      <c r="B373">
        <f t="shared" si="1"/>
        <v>37.388096</v>
      </c>
      <c r="C373">
        <f>IFERROR(__xludf.DUMMYFUNCTION("""COMPUTED_VALUE"""),-5.98233)</f>
        <v>-5.98233</v>
      </c>
      <c r="H373">
        <v>7.0</v>
      </c>
      <c r="J373">
        <f t="shared" si="7"/>
        <v>7</v>
      </c>
    </row>
    <row r="374">
      <c r="A374" t="s">
        <v>933</v>
      </c>
      <c r="B374">
        <f t="shared" si="1"/>
        <v>37.411111</v>
      </c>
      <c r="C374">
        <f>IFERROR(__xludf.DUMMYFUNCTION("""COMPUTED_VALUE"""),25.568889)</f>
        <v>25.568889</v>
      </c>
      <c r="H374">
        <v>6.0</v>
      </c>
      <c r="J374">
        <f t="shared" si="7"/>
        <v>6</v>
      </c>
    </row>
    <row r="375">
      <c r="A375" t="s">
        <v>934</v>
      </c>
      <c r="B375">
        <f t="shared" si="1"/>
        <v>37.423411</v>
      </c>
      <c r="C375">
        <f>IFERROR(__xludf.DUMMYFUNCTION("""COMPUTED_VALUE"""),24.916088)</f>
        <v>24.916088</v>
      </c>
      <c r="H375">
        <v>1.0</v>
      </c>
      <c r="J375">
        <f t="shared" si="7"/>
        <v>1</v>
      </c>
    </row>
    <row r="376">
      <c r="A376" t="s">
        <v>936</v>
      </c>
      <c r="B376">
        <f t="shared" si="1"/>
        <v>37.446719</v>
      </c>
      <c r="C376">
        <f>IFERROR(__xludf.DUMMYFUNCTION("""COMPUTED_VALUE"""),25.328862)</f>
        <v>25.328862</v>
      </c>
      <c r="H376">
        <v>10.0</v>
      </c>
      <c r="J376">
        <f t="shared" si="7"/>
        <v>10</v>
      </c>
    </row>
    <row r="377">
      <c r="A377" t="s">
        <v>940</v>
      </c>
      <c r="B377">
        <f t="shared" si="1"/>
        <v>37.490112</v>
      </c>
      <c r="C377">
        <f>IFERROR(__xludf.DUMMYFUNCTION("""COMPUTED_VALUE"""),14.062893)</f>
        <v>14.062893</v>
      </c>
      <c r="H377">
        <v>3.0</v>
      </c>
      <c r="J377">
        <f t="shared" si="7"/>
        <v>3</v>
      </c>
    </row>
    <row r="378">
      <c r="A378" s="10" t="s">
        <v>942</v>
      </c>
      <c r="B378">
        <f t="shared" si="1"/>
        <v>37.5</v>
      </c>
      <c r="C378">
        <f>IFERROR(__xludf.DUMMYFUNCTION("""COMPUTED_VALUE"""),15.1)</f>
        <v>15.1</v>
      </c>
      <c r="E378">
        <v>1.0</v>
      </c>
      <c r="J378">
        <f t="shared" si="7"/>
        <v>1</v>
      </c>
    </row>
    <row r="379">
      <c r="A379" t="s">
        <v>943</v>
      </c>
      <c r="B379">
        <f t="shared" si="1"/>
        <v>37.508039</v>
      </c>
      <c r="C379">
        <f>IFERROR(__xludf.DUMMYFUNCTION("""COMPUTED_VALUE"""),15.082851)</f>
        <v>15.082851</v>
      </c>
      <c r="H379">
        <v>19.0</v>
      </c>
      <c r="J379">
        <f t="shared" si="7"/>
        <v>19</v>
      </c>
    </row>
    <row r="380">
      <c r="A380" t="s">
        <v>944</v>
      </c>
      <c r="B380">
        <f t="shared" si="1"/>
        <v>37.544271</v>
      </c>
      <c r="C380">
        <f>IFERROR(__xludf.DUMMYFUNCTION("""COMPUTED_VALUE"""),-4.727753)</f>
        <v>-4.727753</v>
      </c>
      <c r="H380">
        <v>30.0</v>
      </c>
      <c r="J380">
        <f t="shared" si="7"/>
        <v>30</v>
      </c>
    </row>
    <row r="381">
      <c r="A381" t="s">
        <v>945</v>
      </c>
      <c r="B381">
        <f t="shared" si="1"/>
        <v>37.583372</v>
      </c>
      <c r="C381">
        <f>IFERROR(__xludf.DUMMYFUNCTION("""COMPUTED_VALUE"""),12.825218)</f>
        <v>12.825218</v>
      </c>
      <c r="H381">
        <v>1.0</v>
      </c>
      <c r="J381">
        <f t="shared" si="7"/>
        <v>1</v>
      </c>
    </row>
    <row r="382">
      <c r="A382" t="s">
        <v>949</v>
      </c>
      <c r="B382">
        <f t="shared" si="1"/>
        <v>37.599994</v>
      </c>
      <c r="C382">
        <f>IFERROR(__xludf.DUMMYFUNCTION("""COMPUTED_VALUE"""),14.015356)</f>
        <v>14.015356</v>
      </c>
      <c r="H382">
        <v>363.0</v>
      </c>
      <c r="J382">
        <f t="shared" si="7"/>
        <v>363</v>
      </c>
    </row>
    <row r="383">
      <c r="A383" t="s">
        <v>952</v>
      </c>
      <c r="B383">
        <f t="shared" si="1"/>
        <v>37.617153</v>
      </c>
      <c r="C383">
        <f>IFERROR(__xludf.DUMMYFUNCTION("""COMPUTED_VALUE"""),-0.992914)</f>
        <v>-0.992914</v>
      </c>
      <c r="H383">
        <v>21.0</v>
      </c>
      <c r="J383">
        <f t="shared" si="7"/>
        <v>21</v>
      </c>
    </row>
    <row r="384">
      <c r="A384" t="s">
        <v>953</v>
      </c>
      <c r="B384">
        <f t="shared" si="1"/>
        <v>37.625683</v>
      </c>
      <c r="C384">
        <f>IFERROR(__xludf.DUMMYFUNCTION("""COMPUTED_VALUE"""),-0.996584)</f>
        <v>-0.996584</v>
      </c>
      <c r="H384">
        <v>8.0</v>
      </c>
      <c r="J384">
        <f t="shared" si="7"/>
        <v>8</v>
      </c>
    </row>
    <row r="385">
      <c r="A385" t="s">
        <v>954</v>
      </c>
      <c r="B385">
        <f t="shared" si="1"/>
        <v>37.667476</v>
      </c>
      <c r="C385">
        <f>IFERROR(__xludf.DUMMYFUNCTION("""COMPUTED_VALUE"""),-4.882537)</f>
        <v>-4.882537</v>
      </c>
      <c r="H385">
        <v>0.0</v>
      </c>
      <c r="I385">
        <v>1.0</v>
      </c>
      <c r="J385">
        <f t="shared" si="7"/>
        <v>1</v>
      </c>
    </row>
    <row r="386">
      <c r="A386" s="10" t="s">
        <v>955</v>
      </c>
      <c r="B386">
        <f t="shared" si="1"/>
        <v>37.8</v>
      </c>
      <c r="C386">
        <f>IFERROR(__xludf.DUMMYFUNCTION("""COMPUTED_VALUE"""),27.0)</f>
        <v>27</v>
      </c>
      <c r="I386">
        <v>3.0</v>
      </c>
    </row>
    <row r="387">
      <c r="A387" t="s">
        <v>956</v>
      </c>
      <c r="B387">
        <f t="shared" si="1"/>
        <v>37.743215</v>
      </c>
      <c r="C387">
        <f>IFERROR(__xludf.DUMMYFUNCTION("""COMPUTED_VALUE"""),26.820351)</f>
        <v>26.820351</v>
      </c>
      <c r="H387">
        <v>215.0</v>
      </c>
      <c r="J387">
        <f t="shared" ref="J387:J1006" si="8">SUM(D387:I387)</f>
        <v>215</v>
      </c>
    </row>
    <row r="388">
      <c r="A388" t="s">
        <v>959</v>
      </c>
      <c r="B388">
        <f t="shared" si="1"/>
        <v>37.754786</v>
      </c>
      <c r="C388">
        <f>IFERROR(__xludf.DUMMYFUNCTION("""COMPUTED_VALUE"""),26.97777)</f>
        <v>26.97777</v>
      </c>
      <c r="H388">
        <v>2.0</v>
      </c>
      <c r="J388">
        <f t="shared" si="8"/>
        <v>2</v>
      </c>
    </row>
    <row r="389">
      <c r="A389" t="s">
        <v>960</v>
      </c>
      <c r="B389">
        <f t="shared" si="1"/>
        <v>37.78816</v>
      </c>
      <c r="C389">
        <f>IFERROR(__xludf.DUMMYFUNCTION("""COMPUTED_VALUE"""),20.898827)</f>
        <v>20.898827</v>
      </c>
      <c r="H389">
        <v>3.0</v>
      </c>
      <c r="J389">
        <f t="shared" si="8"/>
        <v>3</v>
      </c>
    </row>
    <row r="390">
      <c r="A390" t="s">
        <v>961</v>
      </c>
      <c r="B390">
        <f t="shared" si="1"/>
        <v>37.909534</v>
      </c>
      <c r="C390">
        <f>IFERROR(__xludf.DUMMYFUNCTION("""COMPUTED_VALUE"""),40.232029)</f>
        <v>40.232029</v>
      </c>
      <c r="H390">
        <v>19.0</v>
      </c>
      <c r="J390">
        <f t="shared" si="8"/>
        <v>19</v>
      </c>
    </row>
    <row r="391">
      <c r="A391" t="s">
        <v>962</v>
      </c>
      <c r="B391">
        <f t="shared" si="1"/>
        <v>37.91441</v>
      </c>
      <c r="C391">
        <f>IFERROR(__xludf.DUMMYFUNCTION("""COMPUTED_VALUE"""),40.230629)</f>
        <v>40.230629</v>
      </c>
      <c r="H391">
        <v>0.0</v>
      </c>
      <c r="I391">
        <v>3.0</v>
      </c>
      <c r="J391">
        <f t="shared" si="8"/>
        <v>3</v>
      </c>
    </row>
    <row r="392">
      <c r="A392" t="s">
        <v>964</v>
      </c>
      <c r="B392">
        <f t="shared" si="1"/>
        <v>37.931706</v>
      </c>
      <c r="C392">
        <f>IFERROR(__xludf.DUMMYFUNCTION("""COMPUTED_VALUE"""),-0.660553)</f>
        <v>-0.660553</v>
      </c>
      <c r="H392">
        <v>19.0</v>
      </c>
      <c r="J392">
        <f t="shared" si="8"/>
        <v>19</v>
      </c>
    </row>
    <row r="393">
      <c r="A393" t="s">
        <v>966</v>
      </c>
      <c r="B393">
        <f t="shared" si="1"/>
        <v>37.938637</v>
      </c>
      <c r="C393">
        <f>IFERROR(__xludf.DUMMYFUNCTION("""COMPUTED_VALUE"""),22.932238)</f>
        <v>22.932238</v>
      </c>
      <c r="H393">
        <v>2.0</v>
      </c>
      <c r="J393">
        <f t="shared" si="8"/>
        <v>2</v>
      </c>
    </row>
    <row r="394">
      <c r="A394" t="s">
        <v>968</v>
      </c>
      <c r="B394">
        <f t="shared" si="1"/>
        <v>37.969674</v>
      </c>
      <c r="C394">
        <f>IFERROR(__xludf.DUMMYFUNCTION("""COMPUTED_VALUE"""),13.180775)</f>
        <v>13.180775</v>
      </c>
      <c r="H394">
        <v>100.0</v>
      </c>
      <c r="J394">
        <f t="shared" si="8"/>
        <v>100</v>
      </c>
    </row>
    <row r="395">
      <c r="A395" t="s">
        <v>969</v>
      </c>
      <c r="B395">
        <f t="shared" si="1"/>
        <v>37.970112</v>
      </c>
      <c r="C395">
        <f>IFERROR(__xludf.DUMMYFUNCTION("""COMPUTED_VALUE"""),23.642364)</f>
        <v>23.642364</v>
      </c>
      <c r="D395">
        <v>1.0</v>
      </c>
      <c r="H395">
        <v>0.0</v>
      </c>
      <c r="J395">
        <f t="shared" si="8"/>
        <v>1</v>
      </c>
    </row>
    <row r="396">
      <c r="A396" t="s">
        <v>970</v>
      </c>
      <c r="B396">
        <f t="shared" si="1"/>
        <v>37.973976</v>
      </c>
      <c r="C396">
        <f>IFERROR(__xludf.DUMMYFUNCTION("""COMPUTED_VALUE"""),12.054691)</f>
        <v>12.054691</v>
      </c>
      <c r="H396">
        <v>3.0</v>
      </c>
      <c r="J396">
        <f t="shared" si="8"/>
        <v>3</v>
      </c>
    </row>
    <row r="397">
      <c r="A397" t="s">
        <v>972</v>
      </c>
      <c r="B397">
        <f t="shared" si="1"/>
        <v>37.982394</v>
      </c>
      <c r="C397">
        <f>IFERROR(__xludf.DUMMYFUNCTION("""COMPUTED_VALUE"""),23.696198)</f>
        <v>23.696198</v>
      </c>
      <c r="H397">
        <v>2.0</v>
      </c>
      <c r="J397">
        <f t="shared" si="8"/>
        <v>2</v>
      </c>
    </row>
    <row r="398">
      <c r="A398" t="s">
        <v>974</v>
      </c>
      <c r="B398">
        <f t="shared" si="1"/>
        <v>37.983716</v>
      </c>
      <c r="C398">
        <f>IFERROR(__xludf.DUMMYFUNCTION("""COMPUTED_VALUE"""),23.72931)</f>
        <v>23.72931</v>
      </c>
      <c r="H398">
        <v>8.0</v>
      </c>
      <c r="J398">
        <f t="shared" si="8"/>
        <v>8</v>
      </c>
    </row>
    <row r="399">
      <c r="A399" s="10" t="s">
        <v>975</v>
      </c>
      <c r="B399">
        <f t="shared" si="1"/>
        <v>37</v>
      </c>
      <c r="C399">
        <f>IFERROR(__xludf.DUMMYFUNCTION("""COMPUTED_VALUE"""),23.73)</f>
        <v>23.73</v>
      </c>
      <c r="D399">
        <v>1.0</v>
      </c>
      <c r="J399">
        <f t="shared" si="8"/>
        <v>1</v>
      </c>
    </row>
    <row r="400">
      <c r="A400" s="10" t="s">
        <v>976</v>
      </c>
      <c r="B400">
        <f t="shared" si="1"/>
        <v>38</v>
      </c>
      <c r="C400">
        <f>IFERROR(__xludf.DUMMYFUNCTION("""COMPUTED_VALUE"""),23.72)</f>
        <v>23.72</v>
      </c>
      <c r="E400">
        <v>1.0</v>
      </c>
      <c r="J400">
        <f t="shared" si="8"/>
        <v>1</v>
      </c>
    </row>
    <row r="401">
      <c r="A401" s="10" t="s">
        <v>977</v>
      </c>
      <c r="B401">
        <f t="shared" si="1"/>
        <v>37.983716</v>
      </c>
      <c r="C401">
        <f>IFERROR(__xludf.DUMMYFUNCTION("""COMPUTED_VALUE"""),23.8)</f>
        <v>23.8</v>
      </c>
      <c r="F401">
        <v>1.0</v>
      </c>
      <c r="J401">
        <f t="shared" si="8"/>
        <v>1</v>
      </c>
    </row>
    <row r="402">
      <c r="A402" s="10" t="s">
        <v>978</v>
      </c>
      <c r="B402">
        <f t="shared" si="1"/>
        <v>38</v>
      </c>
      <c r="C402">
        <f>IFERROR(__xludf.DUMMYFUNCTION("""COMPUTED_VALUE"""),23.0)</f>
        <v>23</v>
      </c>
      <c r="I402">
        <v>2.0</v>
      </c>
      <c r="J402">
        <f t="shared" si="8"/>
        <v>2</v>
      </c>
    </row>
    <row r="403">
      <c r="A403" s="10" t="s">
        <v>980</v>
      </c>
      <c r="B403">
        <f t="shared" si="1"/>
        <v>38</v>
      </c>
      <c r="C403">
        <f>IFERROR(__xludf.DUMMYFUNCTION("""COMPUTED_VALUE"""),-1.0)</f>
        <v>-1</v>
      </c>
      <c r="H403">
        <v>2.0</v>
      </c>
      <c r="J403">
        <f t="shared" si="8"/>
        <v>2</v>
      </c>
    </row>
    <row r="404">
      <c r="A404" t="s">
        <v>982</v>
      </c>
      <c r="B404">
        <f t="shared" si="1"/>
        <v>37.992331</v>
      </c>
      <c r="C404">
        <f>IFERROR(__xludf.DUMMYFUNCTION("""COMPUTED_VALUE"""),-1.130458)</f>
        <v>-1.130458</v>
      </c>
      <c r="I404">
        <v>12.0</v>
      </c>
      <c r="J404">
        <f t="shared" si="8"/>
        <v>12</v>
      </c>
    </row>
    <row r="405">
      <c r="A405" t="s">
        <v>983</v>
      </c>
      <c r="B405">
        <f t="shared" si="1"/>
        <v>37.99462</v>
      </c>
      <c r="C405">
        <f>IFERROR(__xludf.DUMMYFUNCTION("""COMPUTED_VALUE"""),27.188235)</f>
        <v>27.188235</v>
      </c>
      <c r="H405">
        <v>61.0</v>
      </c>
      <c r="J405">
        <f t="shared" si="8"/>
        <v>61</v>
      </c>
    </row>
    <row r="406">
      <c r="A406" t="s">
        <v>984</v>
      </c>
      <c r="B406">
        <f t="shared" si="1"/>
        <v>38</v>
      </c>
      <c r="C406">
        <f>IFERROR(__xludf.DUMMYFUNCTION("""COMPUTED_VALUE"""),0.5)</f>
        <v>0.5</v>
      </c>
      <c r="H406">
        <v>13.0</v>
      </c>
      <c r="J406">
        <f t="shared" si="8"/>
        <v>13</v>
      </c>
    </row>
    <row r="407">
      <c r="A407" t="s">
        <v>986</v>
      </c>
      <c r="B407">
        <f t="shared" si="1"/>
        <v>38.002298</v>
      </c>
      <c r="C407">
        <f>IFERROR(__xludf.DUMMYFUNCTION("""COMPUTED_VALUE"""),22.524509)</f>
        <v>22.524509</v>
      </c>
      <c r="H407">
        <v>3.0</v>
      </c>
      <c r="J407">
        <f t="shared" si="8"/>
        <v>3</v>
      </c>
    </row>
    <row r="408">
      <c r="A408" t="s">
        <v>989</v>
      </c>
      <c r="B408">
        <f t="shared" si="1"/>
        <v>38.013999</v>
      </c>
      <c r="C408">
        <f>IFERROR(__xludf.DUMMYFUNCTION("""COMPUTED_VALUE"""),24.419899)</f>
        <v>24.419899</v>
      </c>
      <c r="H408">
        <v>5.0</v>
      </c>
      <c r="J408">
        <f t="shared" si="8"/>
        <v>5</v>
      </c>
    </row>
    <row r="409">
      <c r="A409" t="s">
        <v>991</v>
      </c>
      <c r="B409">
        <f t="shared" si="1"/>
        <v>38.017618</v>
      </c>
      <c r="C409">
        <f>IFERROR(__xludf.DUMMYFUNCTION("""COMPUTED_VALUE"""),12.537202)</f>
        <v>12.537202</v>
      </c>
      <c r="E409">
        <v>4.0</v>
      </c>
      <c r="J409">
        <f t="shared" si="8"/>
        <v>4</v>
      </c>
    </row>
    <row r="410">
      <c r="A410" s="10" t="s">
        <v>992</v>
      </c>
      <c r="B410">
        <f t="shared" si="1"/>
        <v>39</v>
      </c>
      <c r="C410">
        <f>IFERROR(__xludf.DUMMYFUNCTION("""COMPUTED_VALUE"""),12.53)</f>
        <v>12.53</v>
      </c>
      <c r="H410">
        <v>1.0</v>
      </c>
      <c r="J410">
        <f t="shared" si="8"/>
        <v>1</v>
      </c>
    </row>
    <row r="411">
      <c r="A411" t="s">
        <v>993</v>
      </c>
      <c r="B411">
        <f t="shared" si="1"/>
        <v>38.023446</v>
      </c>
      <c r="C411">
        <f>IFERROR(__xludf.DUMMYFUNCTION("""COMPUTED_VALUE"""),24.005924)</f>
        <v>24.005924</v>
      </c>
      <c r="H411">
        <v>19.0</v>
      </c>
      <c r="J411">
        <f t="shared" si="8"/>
        <v>19</v>
      </c>
    </row>
    <row r="412">
      <c r="A412" t="s">
        <v>994</v>
      </c>
      <c r="B412">
        <f t="shared" si="1"/>
        <v>38.041285</v>
      </c>
      <c r="C412">
        <f>IFERROR(__xludf.DUMMYFUNCTION("""COMPUTED_VALUE"""),23.541755)</f>
        <v>23.541755</v>
      </c>
      <c r="H412">
        <v>1.0</v>
      </c>
      <c r="J412">
        <f t="shared" si="8"/>
        <v>1</v>
      </c>
    </row>
    <row r="413">
      <c r="A413" t="s">
        <v>995</v>
      </c>
      <c r="B413">
        <f t="shared" si="1"/>
        <v>38.115688</v>
      </c>
      <c r="C413">
        <f>IFERROR(__xludf.DUMMYFUNCTION("""COMPUTED_VALUE"""),13.361267)</f>
        <v>13.361267</v>
      </c>
      <c r="H413">
        <v>2.0</v>
      </c>
      <c r="J413">
        <f t="shared" si="8"/>
        <v>2</v>
      </c>
    </row>
    <row r="414">
      <c r="A414" t="s">
        <v>996</v>
      </c>
      <c r="B414">
        <f t="shared" si="1"/>
        <v>38.1260386</v>
      </c>
      <c r="C414">
        <f>IFERROR(__xludf.DUMMYFUNCTION("""COMPUTED_VALUE"""),23.7367192)</f>
        <v>23.7367192</v>
      </c>
      <c r="H414">
        <v>1.0</v>
      </c>
      <c r="J414">
        <f t="shared" si="8"/>
        <v>1</v>
      </c>
    </row>
    <row r="415">
      <c r="A415" t="s">
        <v>1000</v>
      </c>
      <c r="B415">
        <f t="shared" si="1"/>
        <v>38.1262665</v>
      </c>
      <c r="C415">
        <f>IFERROR(__xludf.DUMMYFUNCTION("""COMPUTED_VALUE"""),23.7379745)</f>
        <v>23.7379745</v>
      </c>
      <c r="H415">
        <v>1.0</v>
      </c>
      <c r="J415">
        <f t="shared" si="8"/>
        <v>1</v>
      </c>
    </row>
    <row r="416">
      <c r="A416" t="s">
        <v>1001</v>
      </c>
      <c r="B416">
        <f t="shared" si="1"/>
        <v>38.158524</v>
      </c>
      <c r="C416">
        <f>IFERROR(__xludf.DUMMYFUNCTION("""COMPUTED_VALUE"""),14.742693)</f>
        <v>14.742693</v>
      </c>
      <c r="H416">
        <v>75.0</v>
      </c>
      <c r="J416">
        <f t="shared" si="8"/>
        <v>75</v>
      </c>
    </row>
    <row r="417">
      <c r="A417" t="s">
        <v>1002</v>
      </c>
      <c r="B417">
        <f t="shared" si="1"/>
        <v>38.177296</v>
      </c>
      <c r="C417">
        <f>IFERROR(__xludf.DUMMYFUNCTION("""COMPUTED_VALUE"""),41.493993)</f>
        <v>41.493993</v>
      </c>
      <c r="H417">
        <v>0.0</v>
      </c>
      <c r="I417">
        <v>1.0</v>
      </c>
      <c r="J417">
        <f t="shared" si="8"/>
        <v>1</v>
      </c>
    </row>
    <row r="418">
      <c r="A418" t="s">
        <v>1004</v>
      </c>
      <c r="B418">
        <f t="shared" si="1"/>
        <v>38.193814</v>
      </c>
      <c r="C418">
        <f>IFERROR(__xludf.DUMMYFUNCTION("""COMPUTED_VALUE"""),15.554015)</f>
        <v>15.554015</v>
      </c>
      <c r="H418">
        <v>1.0</v>
      </c>
      <c r="J418">
        <f t="shared" si="8"/>
        <v>1</v>
      </c>
    </row>
    <row r="419">
      <c r="A419" t="s">
        <v>1006</v>
      </c>
      <c r="B419">
        <f t="shared" si="1"/>
        <v>38.2</v>
      </c>
      <c r="C419">
        <f>IFERROR(__xludf.DUMMYFUNCTION("""COMPUTED_VALUE"""),26.833333)</f>
        <v>26.833333</v>
      </c>
      <c r="H419">
        <v>137.0</v>
      </c>
      <c r="J419">
        <f t="shared" si="8"/>
        <v>137</v>
      </c>
    </row>
    <row r="420">
      <c r="A420" t="s">
        <v>1009</v>
      </c>
      <c r="B420">
        <f t="shared" si="1"/>
        <v>38.244854</v>
      </c>
      <c r="C420">
        <f>IFERROR(__xludf.DUMMYFUNCTION("""COMPUTED_VALUE"""),27.13824)</f>
        <v>27.13824</v>
      </c>
      <c r="H420">
        <v>7.0</v>
      </c>
      <c r="J420">
        <f t="shared" si="8"/>
        <v>7</v>
      </c>
    </row>
    <row r="421">
      <c r="A421" t="s">
        <v>1010</v>
      </c>
      <c r="B421">
        <f t="shared" si="1"/>
        <v>38.24664</v>
      </c>
      <c r="C421">
        <f>IFERROR(__xludf.DUMMYFUNCTION("""COMPUTED_VALUE"""),21.734574)</f>
        <v>21.734574</v>
      </c>
      <c r="I421">
        <v>5.0</v>
      </c>
      <c r="J421">
        <f t="shared" si="8"/>
        <v>5</v>
      </c>
    </row>
    <row r="422">
      <c r="A422" s="10" t="s">
        <v>1011</v>
      </c>
      <c r="B422">
        <f t="shared" si="1"/>
        <v>38.24</v>
      </c>
      <c r="C422">
        <f>IFERROR(__xludf.DUMMYFUNCTION("""COMPUTED_VALUE"""),21.8)</f>
        <v>21.8</v>
      </c>
      <c r="H422">
        <v>2.0</v>
      </c>
      <c r="J422">
        <f t="shared" si="8"/>
        <v>2</v>
      </c>
    </row>
    <row r="423">
      <c r="A423" t="s">
        <v>1012</v>
      </c>
      <c r="B423">
        <f t="shared" si="1"/>
        <v>38.321027</v>
      </c>
      <c r="C423">
        <f>IFERROR(__xludf.DUMMYFUNCTION("""COMPUTED_VALUE"""),43.389597)</f>
        <v>43.389597</v>
      </c>
      <c r="H423">
        <v>1.0</v>
      </c>
      <c r="J423">
        <f t="shared" si="8"/>
        <v>1</v>
      </c>
    </row>
    <row r="424">
      <c r="A424" t="s">
        <v>1013</v>
      </c>
      <c r="B424">
        <f t="shared" si="1"/>
        <v>38.322579</v>
      </c>
      <c r="C424">
        <f>IFERROR(__xludf.DUMMYFUNCTION("""COMPUTED_VALUE"""),23.320431)</f>
        <v>23.320431</v>
      </c>
      <c r="H424">
        <v>1.0</v>
      </c>
      <c r="J424">
        <f t="shared" si="8"/>
        <v>1</v>
      </c>
    </row>
    <row r="425">
      <c r="A425" t="s">
        <v>1015</v>
      </c>
      <c r="B425">
        <f t="shared" si="1"/>
        <v>38.32981</v>
      </c>
      <c r="C425">
        <f>IFERROR(__xludf.DUMMYFUNCTION("""COMPUTED_VALUE"""),26.314921)</f>
        <v>26.314921</v>
      </c>
      <c r="H425">
        <v>66.0</v>
      </c>
      <c r="J425">
        <f t="shared" si="8"/>
        <v>66</v>
      </c>
    </row>
    <row r="426">
      <c r="A426" t="s">
        <v>1018</v>
      </c>
      <c r="B426">
        <f t="shared" si="1"/>
        <v>38.345996</v>
      </c>
      <c r="C426">
        <f>IFERROR(__xludf.DUMMYFUNCTION("""COMPUTED_VALUE"""),-0.490686)</f>
        <v>-0.490686</v>
      </c>
      <c r="H426">
        <v>9.0</v>
      </c>
      <c r="J426">
        <f t="shared" si="8"/>
        <v>9</v>
      </c>
    </row>
    <row r="427">
      <c r="A427" t="s">
        <v>1019</v>
      </c>
      <c r="B427">
        <f t="shared" si="1"/>
        <v>38.367942</v>
      </c>
      <c r="C427">
        <f>IFERROR(__xludf.DUMMYFUNCTION("""COMPUTED_VALUE"""),43.718279)</f>
        <v>43.718279</v>
      </c>
      <c r="H427">
        <v>2.0</v>
      </c>
      <c r="J427">
        <f t="shared" si="8"/>
        <v>2</v>
      </c>
    </row>
    <row r="428">
      <c r="A428" t="s">
        <v>1020</v>
      </c>
      <c r="B428">
        <f t="shared" si="1"/>
        <v>38.370981</v>
      </c>
      <c r="C428">
        <f>IFERROR(__xludf.DUMMYFUNCTION("""COMPUTED_VALUE"""),26.136346)</f>
        <v>26.136346</v>
      </c>
      <c r="H428">
        <v>29.0</v>
      </c>
      <c r="J428">
        <f t="shared" si="8"/>
        <v>29</v>
      </c>
    </row>
    <row r="429">
      <c r="A429" s="10" t="s">
        <v>1021</v>
      </c>
      <c r="B429">
        <f t="shared" si="1"/>
        <v>38.38</v>
      </c>
      <c r="C429">
        <f>IFERROR(__xludf.DUMMYFUNCTION("""COMPUTED_VALUE"""),26.14)</f>
        <v>26.14</v>
      </c>
      <c r="D429">
        <v>2.0</v>
      </c>
      <c r="J429">
        <f t="shared" si="8"/>
        <v>2</v>
      </c>
    </row>
    <row r="430">
      <c r="A430" t="s">
        <v>1022</v>
      </c>
      <c r="B430">
        <f t="shared" si="1"/>
        <v>38.41885</v>
      </c>
      <c r="C430">
        <f>IFERROR(__xludf.DUMMYFUNCTION("""COMPUTED_VALUE"""),27.12872)</f>
        <v>27.12872</v>
      </c>
      <c r="H430">
        <v>152.0</v>
      </c>
      <c r="J430">
        <f t="shared" si="8"/>
        <v>152</v>
      </c>
    </row>
    <row r="431">
      <c r="A431" t="s">
        <v>1023</v>
      </c>
      <c r="B431">
        <f t="shared" si="1"/>
        <v>38.42</v>
      </c>
      <c r="C431">
        <f>IFERROR(__xludf.DUMMYFUNCTION("""COMPUTED_VALUE"""),43.25)</f>
        <v>43.25</v>
      </c>
      <c r="H431">
        <v>5.0</v>
      </c>
      <c r="J431">
        <f t="shared" si="8"/>
        <v>5</v>
      </c>
    </row>
    <row r="432">
      <c r="A432" t="s">
        <v>1024</v>
      </c>
      <c r="B432">
        <f t="shared" si="1"/>
        <v>38.494167</v>
      </c>
      <c r="C432">
        <f>IFERROR(__xludf.DUMMYFUNCTION("""COMPUTED_VALUE"""),43.38)</f>
        <v>43.38</v>
      </c>
      <c r="D432">
        <v>1.0</v>
      </c>
      <c r="H432">
        <v>0.0</v>
      </c>
      <c r="J432">
        <f t="shared" si="8"/>
        <v>1</v>
      </c>
    </row>
    <row r="433">
      <c r="A433" t="s">
        <v>1026</v>
      </c>
      <c r="B433">
        <f t="shared" si="1"/>
        <v>38.50957</v>
      </c>
      <c r="C433">
        <f>IFERROR(__xludf.DUMMYFUNCTION("""COMPUTED_VALUE"""),-1.698922)</f>
        <v>-1.698922</v>
      </c>
      <c r="H433">
        <v>0.0</v>
      </c>
      <c r="I433">
        <v>5.0</v>
      </c>
      <c r="J433">
        <f t="shared" si="8"/>
        <v>5</v>
      </c>
    </row>
    <row r="434">
      <c r="A434" t="s">
        <v>1028</v>
      </c>
      <c r="B434">
        <f t="shared" si="1"/>
        <v>38.515435</v>
      </c>
      <c r="C434">
        <f>IFERROR(__xludf.DUMMYFUNCTION("""COMPUTED_VALUE"""),26.220492)</f>
        <v>26.220492</v>
      </c>
      <c r="H434">
        <v>1.0</v>
      </c>
      <c r="J434">
        <f t="shared" si="8"/>
        <v>1</v>
      </c>
    </row>
    <row r="435">
      <c r="A435" t="s">
        <v>1030</v>
      </c>
      <c r="B435">
        <f t="shared" si="1"/>
        <v>38.523604</v>
      </c>
      <c r="C435">
        <f>IFERROR(__xludf.DUMMYFUNCTION("""COMPUTED_VALUE"""),23.858474)</f>
        <v>23.858474</v>
      </c>
      <c r="H435">
        <v>70.0</v>
      </c>
      <c r="J435">
        <f t="shared" si="8"/>
        <v>70</v>
      </c>
    </row>
    <row r="436">
      <c r="A436" t="s">
        <v>1031</v>
      </c>
      <c r="B436">
        <f t="shared" si="1"/>
        <v>38.592861</v>
      </c>
      <c r="C436">
        <f>IFERROR(__xludf.DUMMYFUNCTION("""COMPUTED_VALUE"""),-2.549821)</f>
        <v>-2.549821</v>
      </c>
      <c r="H436">
        <v>10.0</v>
      </c>
      <c r="J436">
        <f t="shared" si="8"/>
        <v>10</v>
      </c>
    </row>
    <row r="437">
      <c r="A437" t="s">
        <v>1032</v>
      </c>
      <c r="B437">
        <f t="shared" si="1"/>
        <v>38.652771</v>
      </c>
      <c r="C437">
        <f>IFERROR(__xludf.DUMMYFUNCTION("""COMPUTED_VALUE"""),26.613007)</f>
        <v>26.613007</v>
      </c>
      <c r="H437">
        <v>65.0</v>
      </c>
      <c r="J437">
        <f t="shared" si="8"/>
        <v>65</v>
      </c>
    </row>
    <row r="438">
      <c r="A438" s="10" t="s">
        <v>1033</v>
      </c>
      <c r="B438">
        <f t="shared" si="1"/>
        <v>38.65</v>
      </c>
      <c r="C438">
        <f>IFERROR(__xludf.DUMMYFUNCTION("""COMPUTED_VALUE"""),26.65)</f>
        <v>26.65</v>
      </c>
      <c r="I438">
        <v>4.0</v>
      </c>
      <c r="J438">
        <f t="shared" si="8"/>
        <v>4</v>
      </c>
    </row>
    <row r="439">
      <c r="A439" t="s">
        <v>1034</v>
      </c>
      <c r="B439">
        <f t="shared" si="1"/>
        <v>38.725275</v>
      </c>
      <c r="C439">
        <f>IFERROR(__xludf.DUMMYFUNCTION("""COMPUTED_VALUE"""),-9.150049)</f>
        <v>-9.150049</v>
      </c>
      <c r="H439">
        <v>0.0</v>
      </c>
      <c r="I439">
        <v>1.0</v>
      </c>
      <c r="J439">
        <f t="shared" si="8"/>
        <v>1</v>
      </c>
    </row>
    <row r="440">
      <c r="A440" t="s">
        <v>1035</v>
      </c>
      <c r="B440">
        <f t="shared" si="1"/>
        <v>38.77474</v>
      </c>
      <c r="C440">
        <f>IFERROR(__xludf.DUMMYFUNCTION("""COMPUTED_VALUE"""),0.08519)</f>
        <v>0.08519</v>
      </c>
      <c r="H440">
        <v>52.0</v>
      </c>
      <c r="J440">
        <f t="shared" si="8"/>
        <v>52</v>
      </c>
    </row>
    <row r="441">
      <c r="A441" t="s">
        <v>1039</v>
      </c>
      <c r="B441">
        <f t="shared" si="1"/>
        <v>38.833366</v>
      </c>
      <c r="C441">
        <f>IFERROR(__xludf.DUMMYFUNCTION("""COMPUTED_VALUE"""),20.706911)</f>
        <v>20.706911</v>
      </c>
      <c r="H441">
        <v>12.0</v>
      </c>
      <c r="J441">
        <f t="shared" si="8"/>
        <v>12</v>
      </c>
    </row>
    <row r="442">
      <c r="A442" t="s">
        <v>1043</v>
      </c>
      <c r="B442">
        <f t="shared" si="1"/>
        <v>38.933622</v>
      </c>
      <c r="C442">
        <f>IFERROR(__xludf.DUMMYFUNCTION("""COMPUTED_VALUE"""),16.275751)</f>
        <v>16.275751</v>
      </c>
      <c r="H442">
        <v>2.0</v>
      </c>
      <c r="J442">
        <f t="shared" si="8"/>
        <v>2</v>
      </c>
    </row>
    <row r="443">
      <c r="A443" s="10" t="s">
        <v>1044</v>
      </c>
      <c r="B443">
        <f t="shared" si="1"/>
        <v>39</v>
      </c>
      <c r="C443">
        <f>IFERROR(__xludf.DUMMYFUNCTION("""COMPUTED_VALUE"""),16.275751)</f>
        <v>16.275751</v>
      </c>
      <c r="G443">
        <v>1.0</v>
      </c>
      <c r="J443">
        <f t="shared" si="8"/>
        <v>1</v>
      </c>
    </row>
    <row r="444">
      <c r="A444" t="s">
        <v>1045</v>
      </c>
      <c r="B444">
        <f t="shared" si="1"/>
        <v>38.959265</v>
      </c>
      <c r="C444">
        <f>IFERROR(__xludf.DUMMYFUNCTION("""COMPUTED_VALUE"""),20.751716)</f>
        <v>20.751716</v>
      </c>
      <c r="H444">
        <v>3.0</v>
      </c>
      <c r="J444">
        <f t="shared" si="8"/>
        <v>3</v>
      </c>
    </row>
    <row r="445">
      <c r="A445" s="10" t="s">
        <v>1046</v>
      </c>
      <c r="B445">
        <f t="shared" si="1"/>
        <v>38.963745</v>
      </c>
      <c r="C445">
        <f>IFERROR(__xludf.DUMMYFUNCTION("""COMPUTED_VALUE"""),35.0)</f>
        <v>35</v>
      </c>
      <c r="I445">
        <v>1.0</v>
      </c>
      <c r="J445">
        <f t="shared" si="8"/>
        <v>1</v>
      </c>
    </row>
    <row r="446">
      <c r="A446" s="10" t="s">
        <v>1047</v>
      </c>
      <c r="B446">
        <f t="shared" si="1"/>
        <v>39</v>
      </c>
      <c r="C446">
        <f>IFERROR(__xludf.DUMMYFUNCTION("""COMPUTED_VALUE"""),35.243322)</f>
        <v>35.243322</v>
      </c>
      <c r="G446">
        <v>1.0</v>
      </c>
      <c r="J446">
        <f t="shared" si="8"/>
        <v>1</v>
      </c>
    </row>
    <row r="447">
      <c r="A447" s="10" t="s">
        <v>1049</v>
      </c>
      <c r="B447">
        <f t="shared" si="1"/>
        <v>38.9</v>
      </c>
      <c r="C447">
        <f>IFERROR(__xludf.DUMMYFUNCTION("""COMPUTED_VALUE"""),35.2)</f>
        <v>35.2</v>
      </c>
      <c r="E447">
        <v>1.0</v>
      </c>
      <c r="J447">
        <f t="shared" si="8"/>
        <v>1</v>
      </c>
    </row>
    <row r="448">
      <c r="A448" t="s">
        <v>1051</v>
      </c>
      <c r="B448">
        <f t="shared" si="1"/>
        <v>38.963745</v>
      </c>
      <c r="C448">
        <f>IFERROR(__xludf.DUMMYFUNCTION("""COMPUTED_VALUE"""),35.243322)</f>
        <v>35.243322</v>
      </c>
      <c r="H448">
        <v>20.0</v>
      </c>
      <c r="J448">
        <f t="shared" si="8"/>
        <v>20</v>
      </c>
    </row>
    <row r="449">
      <c r="A449" t="s">
        <v>1053</v>
      </c>
      <c r="B449">
        <f t="shared" si="1"/>
        <v>38.994722</v>
      </c>
      <c r="C449">
        <f>IFERROR(__xludf.DUMMYFUNCTION("""COMPUTED_VALUE"""),43.768056)</f>
        <v>43.768056</v>
      </c>
      <c r="D449">
        <v>1.0</v>
      </c>
      <c r="H449">
        <v>0.0</v>
      </c>
      <c r="J449">
        <f t="shared" si="8"/>
        <v>1</v>
      </c>
    </row>
    <row r="450">
      <c r="A450" t="s">
        <v>1054</v>
      </c>
      <c r="B450">
        <f t="shared" si="1"/>
        <v>39</v>
      </c>
      <c r="C450">
        <f>IFERROR(__xludf.DUMMYFUNCTION("""COMPUTED_VALUE"""),25.0)</f>
        <v>25</v>
      </c>
      <c r="H450">
        <v>7.0</v>
      </c>
      <c r="J450">
        <f t="shared" si="8"/>
        <v>7</v>
      </c>
    </row>
    <row r="451">
      <c r="A451" t="s">
        <v>1055</v>
      </c>
      <c r="B451">
        <f t="shared" si="1"/>
        <v>39</v>
      </c>
      <c r="C451">
        <f>IFERROR(__xludf.DUMMYFUNCTION("""COMPUTED_VALUE"""),26.0)</f>
        <v>26</v>
      </c>
      <c r="H451">
        <v>6.0</v>
      </c>
      <c r="J451">
        <f t="shared" si="8"/>
        <v>6</v>
      </c>
    </row>
    <row r="452">
      <c r="A452" t="s">
        <v>1056</v>
      </c>
      <c r="B452">
        <f t="shared" si="1"/>
        <v>39.02001</v>
      </c>
      <c r="C452">
        <f>IFERROR(__xludf.DUMMYFUNCTION("""COMPUTED_VALUE"""),1.482148)</f>
        <v>1.482148</v>
      </c>
      <c r="H452">
        <v>5.0</v>
      </c>
      <c r="J452">
        <f t="shared" si="8"/>
        <v>5</v>
      </c>
    </row>
    <row r="453">
      <c r="A453" t="s">
        <v>1057</v>
      </c>
      <c r="B453">
        <f t="shared" si="1"/>
        <v>39.029381</v>
      </c>
      <c r="C453">
        <f>IFERROR(__xludf.DUMMYFUNCTION("""COMPUTED_VALUE"""),43.375381)</f>
        <v>43.375381</v>
      </c>
      <c r="H453">
        <v>1.0</v>
      </c>
      <c r="J453">
        <f t="shared" si="8"/>
        <v>1</v>
      </c>
    </row>
    <row r="454">
      <c r="A454" t="s">
        <v>1058</v>
      </c>
      <c r="B454">
        <f t="shared" si="1"/>
        <v>39.063264</v>
      </c>
      <c r="C454">
        <f>IFERROR(__xludf.DUMMYFUNCTION("""COMPUTED_VALUE"""),8.45407)</f>
        <v>8.45407</v>
      </c>
      <c r="H454">
        <v>3.0</v>
      </c>
      <c r="J454">
        <f t="shared" si="8"/>
        <v>3</v>
      </c>
    </row>
    <row r="455">
      <c r="A455" t="s">
        <v>1060</v>
      </c>
      <c r="B455">
        <f t="shared" si="1"/>
        <v>39.072097</v>
      </c>
      <c r="C455">
        <f>IFERROR(__xludf.DUMMYFUNCTION("""COMPUTED_VALUE"""),26.888203)</f>
        <v>26.888203</v>
      </c>
      <c r="H455">
        <v>2.0</v>
      </c>
      <c r="J455">
        <f t="shared" si="8"/>
        <v>2</v>
      </c>
    </row>
    <row r="456">
      <c r="A456" t="s">
        <v>1061</v>
      </c>
      <c r="B456">
        <f t="shared" si="1"/>
        <v>39.074208</v>
      </c>
      <c r="C456">
        <f>IFERROR(__xludf.DUMMYFUNCTION("""COMPUTED_VALUE"""),21.824312)</f>
        <v>21.824312</v>
      </c>
      <c r="H456">
        <v>12.0</v>
      </c>
      <c r="J456">
        <f t="shared" si="8"/>
        <v>12</v>
      </c>
    </row>
    <row r="457">
      <c r="A457" s="10" t="s">
        <v>1063</v>
      </c>
      <c r="B457">
        <f t="shared" si="1"/>
        <v>39.07</v>
      </c>
      <c r="C457">
        <f>IFERROR(__xludf.DUMMYFUNCTION("""COMPUTED_VALUE"""),21.9)</f>
        <v>21.9</v>
      </c>
      <c r="D457">
        <v>2.0</v>
      </c>
      <c r="J457">
        <f t="shared" si="8"/>
        <v>2</v>
      </c>
    </row>
    <row r="458">
      <c r="A458" s="10" t="s">
        <v>1064</v>
      </c>
      <c r="B458">
        <f t="shared" si="1"/>
        <v>38.9</v>
      </c>
      <c r="C458">
        <f>IFERROR(__xludf.DUMMYFUNCTION("""COMPUTED_VALUE"""),22.0)</f>
        <v>22</v>
      </c>
      <c r="I458">
        <v>6.0</v>
      </c>
      <c r="J458">
        <f t="shared" si="8"/>
        <v>6</v>
      </c>
    </row>
    <row r="459">
      <c r="A459" t="s">
        <v>1065</v>
      </c>
      <c r="B459">
        <f t="shared" si="1"/>
        <v>39.077771</v>
      </c>
      <c r="C459">
        <f>IFERROR(__xludf.DUMMYFUNCTION("""COMPUTED_VALUE"""),21.665039)</f>
        <v>21.665039</v>
      </c>
      <c r="H459">
        <v>2.0</v>
      </c>
      <c r="J459">
        <f t="shared" si="8"/>
        <v>2</v>
      </c>
    </row>
    <row r="460">
      <c r="A460" t="s">
        <v>1066</v>
      </c>
      <c r="B460">
        <f t="shared" si="1"/>
        <v>39.080793</v>
      </c>
      <c r="C460">
        <f>IFERROR(__xludf.DUMMYFUNCTION("""COMPUTED_VALUE"""),17.12711)</f>
        <v>17.12711</v>
      </c>
      <c r="H460">
        <v>2.0</v>
      </c>
      <c r="J460">
        <f t="shared" si="8"/>
        <v>2</v>
      </c>
    </row>
    <row r="461">
      <c r="A461" t="s">
        <v>1067</v>
      </c>
      <c r="B461">
        <f t="shared" si="1"/>
        <v>39.106738</v>
      </c>
      <c r="C461">
        <f>IFERROR(__xludf.DUMMYFUNCTION("""COMPUTED_VALUE"""),26.557275)</f>
        <v>26.557275</v>
      </c>
      <c r="H461">
        <v>9.0</v>
      </c>
      <c r="J461">
        <f t="shared" si="8"/>
        <v>9</v>
      </c>
    </row>
    <row r="462">
      <c r="A462" t="s">
        <v>1068</v>
      </c>
      <c r="B462">
        <f t="shared" si="1"/>
        <v>39.16408</v>
      </c>
      <c r="C462">
        <f>IFERROR(__xludf.DUMMYFUNCTION("""COMPUTED_VALUE"""),26.372171)</f>
        <v>26.372171</v>
      </c>
      <c r="H462">
        <v>101.0</v>
      </c>
      <c r="J462">
        <f t="shared" si="8"/>
        <v>101</v>
      </c>
    </row>
    <row r="463">
      <c r="A463" t="s">
        <v>1070</v>
      </c>
      <c r="B463">
        <f t="shared" si="1"/>
        <v>39.2</v>
      </c>
      <c r="C463">
        <f>IFERROR(__xludf.DUMMYFUNCTION("""COMPUTED_VALUE"""),19.7)</f>
        <v>19.7</v>
      </c>
      <c r="H463">
        <v>4.0</v>
      </c>
      <c r="J463">
        <f t="shared" si="8"/>
        <v>4</v>
      </c>
    </row>
    <row r="464">
      <c r="A464" t="s">
        <v>1072</v>
      </c>
      <c r="B464">
        <f t="shared" si="1"/>
        <v>39.203084</v>
      </c>
      <c r="C464">
        <f>IFERROR(__xludf.DUMMYFUNCTION("""COMPUTED_VALUE"""),16.311798)</f>
        <v>16.311798</v>
      </c>
      <c r="E464">
        <v>1.0</v>
      </c>
      <c r="H464">
        <v>0.0</v>
      </c>
      <c r="J464">
        <f t="shared" si="8"/>
        <v>1</v>
      </c>
    </row>
    <row r="465">
      <c r="A465" t="s">
        <v>1073</v>
      </c>
      <c r="B465">
        <f t="shared" si="1"/>
        <v>39.223841</v>
      </c>
      <c r="C465">
        <f>IFERROR(__xludf.DUMMYFUNCTION("""COMPUTED_VALUE"""),9.121661)</f>
        <v>9.121661</v>
      </c>
      <c r="G465">
        <v>1.0</v>
      </c>
      <c r="H465">
        <v>0.0</v>
      </c>
      <c r="J465">
        <f t="shared" si="8"/>
        <v>1</v>
      </c>
    </row>
    <row r="466">
      <c r="A466" t="s">
        <v>1074</v>
      </c>
      <c r="B466">
        <f t="shared" si="1"/>
        <v>39.26451</v>
      </c>
      <c r="C466">
        <f>IFERROR(__xludf.DUMMYFUNCTION("""COMPUTED_VALUE"""),26.277707)</f>
        <v>26.277707</v>
      </c>
      <c r="H466">
        <v>10.0</v>
      </c>
      <c r="J466">
        <f t="shared" si="8"/>
        <v>10</v>
      </c>
    </row>
    <row r="467">
      <c r="A467" t="s">
        <v>1075</v>
      </c>
      <c r="B467">
        <f t="shared" si="1"/>
        <v>39.308771</v>
      </c>
      <c r="C467">
        <f>IFERROR(__xludf.DUMMYFUNCTION("""COMPUTED_VALUE"""),16.346379)</f>
        <v>16.346379</v>
      </c>
      <c r="H467">
        <v>57.0</v>
      </c>
      <c r="J467">
        <f t="shared" si="8"/>
        <v>57</v>
      </c>
    </row>
    <row r="468">
      <c r="A468" t="s">
        <v>1077</v>
      </c>
      <c r="B468">
        <f t="shared" si="1"/>
        <v>39.309142</v>
      </c>
      <c r="C468">
        <f>IFERROR(__xludf.DUMMYFUNCTION("""COMPUTED_VALUE"""),26.437219)</f>
        <v>26.437219</v>
      </c>
      <c r="H468">
        <v>1.0</v>
      </c>
      <c r="J468">
        <f t="shared" si="8"/>
        <v>1</v>
      </c>
    </row>
    <row r="469">
      <c r="A469" t="s">
        <v>1082</v>
      </c>
      <c r="B469">
        <f t="shared" si="1"/>
        <v>39.33589</v>
      </c>
      <c r="C469">
        <f>IFERROR(__xludf.DUMMYFUNCTION("""COMPUTED_VALUE"""),26.71281)</f>
        <v>26.71281</v>
      </c>
      <c r="H469">
        <v>24.0</v>
      </c>
      <c r="J469">
        <f t="shared" si="8"/>
        <v>24</v>
      </c>
    </row>
    <row r="470">
      <c r="A470" t="s">
        <v>1085</v>
      </c>
      <c r="B470">
        <f t="shared" si="1"/>
        <v>39.469908</v>
      </c>
      <c r="C470">
        <f>IFERROR(__xludf.DUMMYFUNCTION("""COMPUTED_VALUE"""),-0.376288)</f>
        <v>-0.376288</v>
      </c>
      <c r="H470">
        <v>6.0</v>
      </c>
      <c r="J470">
        <f t="shared" si="8"/>
        <v>6</v>
      </c>
    </row>
    <row r="471">
      <c r="A471" t="s">
        <v>1086</v>
      </c>
      <c r="B471">
        <f t="shared" si="1"/>
        <v>39.50615</v>
      </c>
      <c r="C471">
        <f>IFERROR(__xludf.DUMMYFUNCTION("""COMPUTED_VALUE"""),20.265534)</f>
        <v>20.265534</v>
      </c>
      <c r="H471">
        <v>4.0</v>
      </c>
      <c r="J471">
        <f t="shared" si="8"/>
        <v>4</v>
      </c>
    </row>
    <row r="472">
      <c r="A472" s="10" t="s">
        <v>1087</v>
      </c>
      <c r="B472">
        <f t="shared" si="1"/>
        <v>39.5</v>
      </c>
      <c r="C472">
        <f>IFERROR(__xludf.DUMMYFUNCTION("""COMPUTED_VALUE"""),20.0)</f>
        <v>20</v>
      </c>
      <c r="D472">
        <v>1.0</v>
      </c>
      <c r="J472">
        <f t="shared" si="8"/>
        <v>1</v>
      </c>
    </row>
    <row r="473">
      <c r="A473" s="10" t="s">
        <v>1088</v>
      </c>
      <c r="B473">
        <f t="shared" si="1"/>
        <v>39.6</v>
      </c>
      <c r="C473">
        <f>IFERROR(__xludf.DUMMYFUNCTION("""COMPUTED_VALUE"""),20.3)</f>
        <v>20.3</v>
      </c>
      <c r="I473">
        <v>2.0</v>
      </c>
      <c r="J473">
        <f t="shared" si="8"/>
        <v>2</v>
      </c>
    </row>
    <row r="474">
      <c r="A474" t="s">
        <v>1090</v>
      </c>
      <c r="B474">
        <f t="shared" si="1"/>
        <v>39.54864</v>
      </c>
      <c r="C474">
        <f>IFERROR(__xludf.DUMMYFUNCTION("""COMPUTED_VALUE"""),44.074207)</f>
        <v>44.074207</v>
      </c>
      <c r="D474">
        <v>9.0</v>
      </c>
      <c r="H474">
        <v>0.0</v>
      </c>
      <c r="J474">
        <f t="shared" si="8"/>
        <v>9</v>
      </c>
    </row>
    <row r="475">
      <c r="A475" s="10" t="s">
        <v>1095</v>
      </c>
      <c r="B475">
        <f t="shared" si="1"/>
        <v>39.55</v>
      </c>
      <c r="C475">
        <f>IFERROR(__xludf.DUMMYFUNCTION("""COMPUTED_VALUE"""),44.1)</f>
        <v>44.1</v>
      </c>
      <c r="I475">
        <v>4.0</v>
      </c>
      <c r="J475">
        <f t="shared" si="8"/>
        <v>4</v>
      </c>
    </row>
    <row r="476">
      <c r="A476" t="s">
        <v>1096</v>
      </c>
      <c r="B476">
        <f t="shared" si="1"/>
        <v>39.557242</v>
      </c>
      <c r="C476">
        <f>IFERROR(__xludf.DUMMYFUNCTION("""COMPUTED_VALUE"""),2.75807)</f>
        <v>2.75807</v>
      </c>
      <c r="H476">
        <v>1.0</v>
      </c>
      <c r="J476">
        <f t="shared" si="8"/>
        <v>1</v>
      </c>
    </row>
    <row r="477">
      <c r="A477" t="s">
        <v>1097</v>
      </c>
      <c r="B477">
        <f t="shared" si="1"/>
        <v>39.587628</v>
      </c>
      <c r="C477">
        <f>IFERROR(__xludf.DUMMYFUNCTION("""COMPUTED_VALUE"""),18.94043)</f>
        <v>18.94043</v>
      </c>
      <c r="H477">
        <v>10.0</v>
      </c>
      <c r="J477">
        <f t="shared" si="8"/>
        <v>10</v>
      </c>
    </row>
    <row r="478">
      <c r="A478" s="10" t="s">
        <v>1098</v>
      </c>
      <c r="B478">
        <f t="shared" si="1"/>
        <v>39.6</v>
      </c>
      <c r="C478">
        <f>IFERROR(__xludf.DUMMYFUNCTION("""COMPUTED_VALUE"""),18.99)</f>
        <v>18.99</v>
      </c>
      <c r="I478">
        <v>2.0</v>
      </c>
      <c r="J478">
        <f t="shared" si="8"/>
        <v>2</v>
      </c>
    </row>
    <row r="479">
      <c r="A479" t="s">
        <v>1100</v>
      </c>
      <c r="B479">
        <f t="shared" si="1"/>
        <v>39.599541</v>
      </c>
      <c r="C479">
        <f>IFERROR(__xludf.DUMMYFUNCTION("""COMPUTED_VALUE"""),26.40086)</f>
        <v>26.40086</v>
      </c>
      <c r="H479">
        <v>11.0</v>
      </c>
      <c r="J479">
        <f t="shared" si="8"/>
        <v>11</v>
      </c>
    </row>
    <row r="480">
      <c r="A480" t="s">
        <v>1102</v>
      </c>
      <c r="B480">
        <f t="shared" si="1"/>
        <v>39.611839</v>
      </c>
      <c r="C480">
        <f>IFERROR(__xludf.DUMMYFUNCTION("""COMPUTED_VALUE"""),19.830605)</f>
        <v>19.830605</v>
      </c>
      <c r="H480">
        <v>35.0</v>
      </c>
      <c r="J480">
        <f t="shared" si="8"/>
        <v>35</v>
      </c>
    </row>
    <row r="481">
      <c r="A481" t="s">
        <v>1103</v>
      </c>
      <c r="B481">
        <f t="shared" si="1"/>
        <v>39.648369</v>
      </c>
      <c r="C481">
        <f>IFERROR(__xludf.DUMMYFUNCTION("""COMPUTED_VALUE"""),27.88261)</f>
        <v>27.88261</v>
      </c>
      <c r="H481">
        <v>31.0</v>
      </c>
      <c r="J481">
        <f t="shared" si="8"/>
        <v>31</v>
      </c>
    </row>
    <row r="482">
      <c r="A482" t="s">
        <v>1104</v>
      </c>
      <c r="B482">
        <f t="shared" si="1"/>
        <v>39.671689</v>
      </c>
      <c r="C482">
        <f>IFERROR(__xludf.DUMMYFUNCTION("""COMPUTED_VALUE"""),26.196498)</f>
        <v>26.196498</v>
      </c>
      <c r="H482">
        <v>24.0</v>
      </c>
      <c r="J482">
        <f t="shared" si="8"/>
        <v>24</v>
      </c>
    </row>
    <row r="483">
      <c r="A483" t="s">
        <v>1106</v>
      </c>
      <c r="B483">
        <f t="shared" si="1"/>
        <v>39.727177</v>
      </c>
      <c r="C483">
        <f>IFERROR(__xludf.DUMMYFUNCTION("""COMPUTED_VALUE"""),20.059855)</f>
        <v>20.059855</v>
      </c>
      <c r="H483">
        <v>6.0</v>
      </c>
      <c r="J483">
        <f t="shared" si="8"/>
        <v>6</v>
      </c>
    </row>
    <row r="484">
      <c r="A484" t="s">
        <v>1108</v>
      </c>
      <c r="B484">
        <f t="shared" si="1"/>
        <v>39.75425</v>
      </c>
      <c r="C484">
        <f>IFERROR(__xludf.DUMMYFUNCTION("""COMPUTED_VALUE"""),42.881542)</f>
        <v>42.881542</v>
      </c>
      <c r="D484">
        <v>4.0</v>
      </c>
      <c r="H484">
        <v>0.0</v>
      </c>
      <c r="J484">
        <f t="shared" si="8"/>
        <v>4</v>
      </c>
    </row>
    <row r="485">
      <c r="A485" t="s">
        <v>1110</v>
      </c>
      <c r="B485">
        <f t="shared" si="1"/>
        <v>39.801</v>
      </c>
      <c r="C485">
        <f>IFERROR(__xludf.DUMMYFUNCTION("""COMPUTED_VALUE"""),18.356944)</f>
        <v>18.356944</v>
      </c>
      <c r="H485">
        <v>88.0</v>
      </c>
      <c r="J485">
        <f t="shared" si="8"/>
        <v>88</v>
      </c>
    </row>
    <row r="486">
      <c r="A486" t="s">
        <v>1111</v>
      </c>
      <c r="B486">
        <f t="shared" si="1"/>
        <v>39.864207</v>
      </c>
      <c r="C486">
        <f>IFERROR(__xludf.DUMMYFUNCTION("""COMPUTED_VALUE"""),20.792365)</f>
        <v>20.792365</v>
      </c>
      <c r="H486">
        <v>2.0</v>
      </c>
      <c r="J486">
        <f t="shared" si="8"/>
        <v>2</v>
      </c>
    </row>
    <row r="487">
      <c r="A487" s="10" t="s">
        <v>1112</v>
      </c>
      <c r="B487">
        <f t="shared" si="1"/>
        <v>39.89</v>
      </c>
      <c r="C487">
        <f>IFERROR(__xludf.DUMMYFUNCTION("""COMPUTED_VALUE"""),20.8)</f>
        <v>20.8</v>
      </c>
      <c r="I487">
        <v>3.0</v>
      </c>
      <c r="J487">
        <f t="shared" si="8"/>
        <v>3</v>
      </c>
    </row>
    <row r="488">
      <c r="A488" t="s">
        <v>1113</v>
      </c>
      <c r="B488">
        <f t="shared" si="1"/>
        <v>39.9</v>
      </c>
      <c r="C488">
        <f>IFERROR(__xludf.DUMMYFUNCTION("""COMPUTED_VALUE"""),41.27)</f>
        <v>41.27</v>
      </c>
      <c r="H488">
        <v>0.0</v>
      </c>
      <c r="I488">
        <v>6.0</v>
      </c>
      <c r="J488">
        <f t="shared" si="8"/>
        <v>6</v>
      </c>
    </row>
    <row r="489">
      <c r="A489" t="s">
        <v>1118</v>
      </c>
      <c r="B489">
        <f t="shared" si="1"/>
        <v>39.968176</v>
      </c>
      <c r="C489">
        <f>IFERROR(__xludf.DUMMYFUNCTION("""COMPUTED_VALUE"""),41.870802)</f>
        <v>41.870802</v>
      </c>
      <c r="H489">
        <v>0.0</v>
      </c>
      <c r="I489">
        <v>1.0</v>
      </c>
      <c r="J489">
        <f t="shared" si="8"/>
        <v>1</v>
      </c>
    </row>
    <row r="490">
      <c r="A490" t="s">
        <v>1119</v>
      </c>
      <c r="B490">
        <f t="shared" si="1"/>
        <v>39.984458</v>
      </c>
      <c r="C490">
        <f>IFERROR(__xludf.DUMMYFUNCTION("""COMPUTED_VALUE"""),-0.04495)</f>
        <v>-0.04495</v>
      </c>
      <c r="G490">
        <v>1.0</v>
      </c>
      <c r="H490">
        <v>0.0</v>
      </c>
      <c r="J490">
        <f t="shared" si="8"/>
        <v>1</v>
      </c>
    </row>
    <row r="491">
      <c r="A491" t="s">
        <v>1120</v>
      </c>
      <c r="B491">
        <f t="shared" si="1"/>
        <v>40.120875</v>
      </c>
      <c r="C491">
        <f>IFERROR(__xludf.DUMMYFUNCTION("""COMPUTED_VALUE"""),9.012893)</f>
        <v>9.012893</v>
      </c>
      <c r="H491">
        <v>81.0</v>
      </c>
      <c r="J491">
        <f t="shared" si="8"/>
        <v>81</v>
      </c>
    </row>
    <row r="492">
      <c r="A492" t="s">
        <v>1121</v>
      </c>
      <c r="B492">
        <f t="shared" si="1"/>
        <v>40.143898</v>
      </c>
      <c r="C492">
        <f>IFERROR(__xludf.DUMMYFUNCTION("""COMPUTED_VALUE"""),18.491168)</f>
        <v>18.491168</v>
      </c>
      <c r="H492">
        <v>46.0</v>
      </c>
      <c r="J492">
        <f t="shared" si="8"/>
        <v>46</v>
      </c>
    </row>
    <row r="493">
      <c r="A493" s="10" t="s">
        <v>1124</v>
      </c>
      <c r="B493">
        <f t="shared" si="1"/>
        <v>40</v>
      </c>
      <c r="C493">
        <f>IFERROR(__xludf.DUMMYFUNCTION("""COMPUTED_VALUE"""),18.5)</f>
        <v>18.5</v>
      </c>
      <c r="I493">
        <v>2.0</v>
      </c>
      <c r="J493">
        <f t="shared" si="8"/>
        <v>2</v>
      </c>
    </row>
    <row r="494">
      <c r="A494" t="s">
        <v>1125</v>
      </c>
      <c r="B494">
        <f t="shared" si="1"/>
        <v>40.261643</v>
      </c>
      <c r="C494">
        <f>IFERROR(__xludf.DUMMYFUNCTION("""COMPUTED_VALUE"""),20.786133)</f>
        <v>20.786133</v>
      </c>
      <c r="H494">
        <v>3.0</v>
      </c>
      <c r="J494">
        <f t="shared" si="8"/>
        <v>3</v>
      </c>
    </row>
    <row r="495">
      <c r="A495" t="s">
        <v>1126</v>
      </c>
      <c r="B495">
        <f t="shared" si="1"/>
        <v>40.3</v>
      </c>
      <c r="C495">
        <f>IFERROR(__xludf.DUMMYFUNCTION("""COMPUTED_VALUE"""),35.883333)</f>
        <v>35.883333</v>
      </c>
      <c r="H495">
        <v>41.0</v>
      </c>
      <c r="J495">
        <f t="shared" si="8"/>
        <v>41</v>
      </c>
    </row>
    <row r="496">
      <c r="A496" t="s">
        <v>1129</v>
      </c>
      <c r="B496">
        <f t="shared" si="1"/>
        <v>40.346202</v>
      </c>
      <c r="C496">
        <f>IFERROR(__xludf.DUMMYFUNCTION("""COMPUTED_VALUE"""),43.470713)</f>
        <v>43.470713</v>
      </c>
      <c r="D496">
        <v>1.0</v>
      </c>
      <c r="H496">
        <v>0.0</v>
      </c>
      <c r="J496">
        <f t="shared" si="8"/>
        <v>1</v>
      </c>
    </row>
    <row r="497">
      <c r="A497" t="s">
        <v>1131</v>
      </c>
      <c r="B497">
        <f t="shared" si="1"/>
        <v>40.350451</v>
      </c>
      <c r="C497">
        <f>IFERROR(__xludf.DUMMYFUNCTION("""COMPUTED_VALUE"""),18.830566)</f>
        <v>18.830566</v>
      </c>
      <c r="H497">
        <v>15.0</v>
      </c>
      <c r="J497">
        <f t="shared" si="8"/>
        <v>15</v>
      </c>
    </row>
    <row r="498">
      <c r="A498" s="10" t="s">
        <v>1132</v>
      </c>
      <c r="B498">
        <f t="shared" si="1"/>
        <v>40.4</v>
      </c>
      <c r="C498">
        <f>IFERROR(__xludf.DUMMYFUNCTION("""COMPUTED_VALUE"""),18.17)</f>
        <v>18.17</v>
      </c>
      <c r="H498">
        <v>13.0</v>
      </c>
      <c r="J498">
        <f t="shared" si="8"/>
        <v>13</v>
      </c>
    </row>
    <row r="499">
      <c r="A499" t="s">
        <v>1133</v>
      </c>
      <c r="B499">
        <f t="shared" si="1"/>
        <v>40.351516</v>
      </c>
      <c r="C499">
        <f>IFERROR(__xludf.DUMMYFUNCTION("""COMPUTED_VALUE"""),18.175016)</f>
        <v>18.175016</v>
      </c>
      <c r="E499">
        <v>1.0</v>
      </c>
      <c r="J499">
        <f t="shared" si="8"/>
        <v>1</v>
      </c>
    </row>
    <row r="500">
      <c r="A500" s="10" t="s">
        <v>1136</v>
      </c>
      <c r="B500">
        <f t="shared" si="1"/>
        <v>40.3</v>
      </c>
      <c r="C500">
        <f>IFERROR(__xludf.DUMMYFUNCTION("""COMPUTED_VALUE"""),18.0)</f>
        <v>18</v>
      </c>
      <c r="I500">
        <v>1.0</v>
      </c>
      <c r="J500">
        <f t="shared" si="8"/>
        <v>1</v>
      </c>
    </row>
    <row r="501">
      <c r="A501" t="s">
        <v>1138</v>
      </c>
      <c r="B501">
        <f t="shared" si="1"/>
        <v>40.385629</v>
      </c>
      <c r="C501">
        <f>IFERROR(__xludf.DUMMYFUNCTION("""COMPUTED_VALUE"""),-3.76085)</f>
        <v>-3.76085</v>
      </c>
      <c r="H501">
        <v>1.0</v>
      </c>
      <c r="J501">
        <f t="shared" si="8"/>
        <v>1</v>
      </c>
    </row>
    <row r="502">
      <c r="A502" t="s">
        <v>1139</v>
      </c>
      <c r="B502">
        <f t="shared" si="1"/>
        <v>40.403712</v>
      </c>
      <c r="C502">
        <f>IFERROR(__xludf.DUMMYFUNCTION("""COMPUTED_VALUE"""),17.557323)</f>
        <v>17.557323</v>
      </c>
      <c r="H502">
        <v>39.0</v>
      </c>
      <c r="J502">
        <f t="shared" si="8"/>
        <v>39</v>
      </c>
    </row>
    <row r="503">
      <c r="A503" t="s">
        <v>1140</v>
      </c>
      <c r="B503">
        <f t="shared" si="1"/>
        <v>40.416775</v>
      </c>
      <c r="C503">
        <f>IFERROR(__xludf.DUMMYFUNCTION("""COMPUTED_VALUE"""),-3.70379)</f>
        <v>-3.70379</v>
      </c>
      <c r="G503">
        <v>1.0</v>
      </c>
      <c r="H503">
        <v>0.0</v>
      </c>
      <c r="J503">
        <f t="shared" si="8"/>
        <v>1</v>
      </c>
    </row>
    <row r="504">
      <c r="A504" t="s">
        <v>1142</v>
      </c>
      <c r="B504">
        <f t="shared" si="1"/>
        <v>40.463667</v>
      </c>
      <c r="C504">
        <f>IFERROR(__xludf.DUMMYFUNCTION("""COMPUTED_VALUE"""),-3.74922)</f>
        <v>-3.74922</v>
      </c>
      <c r="H504">
        <v>2.0</v>
      </c>
      <c r="J504">
        <f t="shared" si="8"/>
        <v>2</v>
      </c>
    </row>
    <row r="505">
      <c r="A505" s="10" t="s">
        <v>1143</v>
      </c>
      <c r="B505">
        <f t="shared" si="1"/>
        <v>40.46</v>
      </c>
      <c r="C505">
        <f>IFERROR(__xludf.DUMMYFUNCTION("""COMPUTED_VALUE"""),-3.8)</f>
        <v>-3.8</v>
      </c>
      <c r="G505">
        <v>1.0</v>
      </c>
      <c r="J505">
        <f t="shared" si="8"/>
        <v>1</v>
      </c>
    </row>
    <row r="506">
      <c r="A506" s="10" t="s">
        <v>1144</v>
      </c>
      <c r="B506">
        <f t="shared" si="1"/>
        <v>40.4</v>
      </c>
      <c r="C506">
        <f>IFERROR(__xludf.DUMMYFUNCTION("""COMPUTED_VALUE"""),-3.7)</f>
        <v>-3.7</v>
      </c>
      <c r="I506">
        <v>3.0</v>
      </c>
      <c r="J506">
        <f t="shared" si="8"/>
        <v>3</v>
      </c>
    </row>
    <row r="507">
      <c r="A507" t="s">
        <v>1145</v>
      </c>
      <c r="B507">
        <f t="shared" si="1"/>
        <v>40.471882</v>
      </c>
      <c r="C507">
        <f>IFERROR(__xludf.DUMMYFUNCTION("""COMPUTED_VALUE"""),19.490219)</f>
        <v>19.490219</v>
      </c>
      <c r="H507">
        <v>73.0</v>
      </c>
      <c r="J507">
        <f t="shared" si="8"/>
        <v>73</v>
      </c>
    </row>
    <row r="508">
      <c r="A508" t="s">
        <v>1150</v>
      </c>
      <c r="B508">
        <f t="shared" si="1"/>
        <v>40.519269</v>
      </c>
      <c r="C508">
        <f>IFERROR(__xludf.DUMMYFUNCTION("""COMPUTED_VALUE"""),21.268717)</f>
        <v>21.268717</v>
      </c>
      <c r="D508">
        <v>2.0</v>
      </c>
      <c r="H508">
        <v>2.0</v>
      </c>
      <c r="J508">
        <f t="shared" si="8"/>
        <v>4</v>
      </c>
    </row>
    <row r="509">
      <c r="A509" t="s">
        <v>1151</v>
      </c>
      <c r="B509">
        <f t="shared" si="1"/>
        <v>40.632728</v>
      </c>
      <c r="C509">
        <f>IFERROR(__xludf.DUMMYFUNCTION("""COMPUTED_VALUE"""),17.941762)</f>
        <v>17.941762</v>
      </c>
      <c r="H509">
        <v>70.0</v>
      </c>
      <c r="J509">
        <f t="shared" si="8"/>
        <v>70</v>
      </c>
    </row>
    <row r="510">
      <c r="A510" s="10" t="s">
        <v>1152</v>
      </c>
      <c r="B510">
        <f t="shared" si="1"/>
        <v>40.63</v>
      </c>
      <c r="C510">
        <f>IFERROR(__xludf.DUMMYFUNCTION("""COMPUTED_VALUE"""),17.99)</f>
        <v>17.99</v>
      </c>
      <c r="I510">
        <v>2.0</v>
      </c>
      <c r="J510">
        <f t="shared" si="8"/>
        <v>2</v>
      </c>
    </row>
    <row r="511">
      <c r="A511" t="s">
        <v>1154</v>
      </c>
      <c r="B511">
        <f t="shared" si="1"/>
        <v>40.634676</v>
      </c>
      <c r="C511">
        <f>IFERROR(__xludf.DUMMYFUNCTION("""COMPUTED_VALUE"""),22.943048)</f>
        <v>22.943048</v>
      </c>
      <c r="G511">
        <v>1.0</v>
      </c>
      <c r="H511">
        <v>0.0</v>
      </c>
      <c r="J511">
        <f t="shared" si="8"/>
        <v>1</v>
      </c>
    </row>
    <row r="512">
      <c r="A512" t="s">
        <v>1157</v>
      </c>
      <c r="B512">
        <f t="shared" si="1"/>
        <v>40.63935</v>
      </c>
      <c r="C512">
        <f>IFERROR(__xludf.DUMMYFUNCTION("""COMPUTED_VALUE"""),22.944606)</f>
        <v>22.944606</v>
      </c>
      <c r="H512">
        <v>0.0</v>
      </c>
      <c r="I512">
        <v>12.0</v>
      </c>
      <c r="J512">
        <f t="shared" si="8"/>
        <v>12</v>
      </c>
    </row>
    <row r="513">
      <c r="A513" t="s">
        <v>1158</v>
      </c>
      <c r="B513">
        <f t="shared" si="1"/>
        <v>40.754548</v>
      </c>
      <c r="C513">
        <f>IFERROR(__xludf.DUMMYFUNCTION("""COMPUTED_VALUE"""),-3.781521)</f>
        <v>-3.781521</v>
      </c>
      <c r="G513">
        <v>1.0</v>
      </c>
      <c r="H513">
        <v>0.0</v>
      </c>
      <c r="J513">
        <f t="shared" si="8"/>
        <v>1</v>
      </c>
    </row>
    <row r="514">
      <c r="A514" t="s">
        <v>1159</v>
      </c>
      <c r="B514">
        <f t="shared" si="1"/>
        <v>40.771667</v>
      </c>
      <c r="C514">
        <f>IFERROR(__xludf.DUMMYFUNCTION("""COMPUTED_VALUE"""),18.69873)</f>
        <v>18.69873</v>
      </c>
      <c r="H514">
        <v>3.0</v>
      </c>
      <c r="J514">
        <f t="shared" si="8"/>
        <v>3</v>
      </c>
    </row>
    <row r="515">
      <c r="A515" t="s">
        <v>1160</v>
      </c>
      <c r="B515">
        <f t="shared" si="1"/>
        <v>40.784526</v>
      </c>
      <c r="C515">
        <f>IFERROR(__xludf.DUMMYFUNCTION("""COMPUTED_VALUE"""),21.413122)</f>
        <v>21.413122</v>
      </c>
      <c r="D515">
        <v>1.0</v>
      </c>
      <c r="H515">
        <v>0.0</v>
      </c>
      <c r="J515">
        <f t="shared" si="8"/>
        <v>1</v>
      </c>
    </row>
    <row r="516">
      <c r="A516" t="s">
        <v>1163</v>
      </c>
      <c r="B516">
        <f t="shared" si="1"/>
        <v>40.792839</v>
      </c>
      <c r="C516">
        <f>IFERROR(__xludf.DUMMYFUNCTION("""COMPUTED_VALUE"""),17.101193)</f>
        <v>17.101193</v>
      </c>
      <c r="H516">
        <v>13.0</v>
      </c>
      <c r="J516">
        <f t="shared" si="8"/>
        <v>13</v>
      </c>
    </row>
    <row r="517">
      <c r="A517" t="s">
        <v>1167</v>
      </c>
      <c r="B517">
        <f t="shared" si="1"/>
        <v>40.845719</v>
      </c>
      <c r="C517">
        <f>IFERROR(__xludf.DUMMYFUNCTION("""COMPUTED_VALUE"""),25.873962)</f>
        <v>25.873962</v>
      </c>
      <c r="H517">
        <v>62.0</v>
      </c>
      <c r="J517">
        <f t="shared" si="8"/>
        <v>62</v>
      </c>
    </row>
    <row r="518">
      <c r="A518" s="10" t="s">
        <v>1168</v>
      </c>
      <c r="B518">
        <f t="shared" si="1"/>
        <v>40.9</v>
      </c>
      <c r="C518">
        <f>IFERROR(__xludf.DUMMYFUNCTION("""COMPUTED_VALUE"""),25.8)</f>
        <v>25.8</v>
      </c>
      <c r="I518">
        <v>1.0</v>
      </c>
      <c r="J518">
        <f t="shared" si="8"/>
        <v>1</v>
      </c>
    </row>
    <row r="519">
      <c r="A519" s="10" t="s">
        <v>1169</v>
      </c>
      <c r="B519">
        <f t="shared" si="1"/>
        <v>40.8</v>
      </c>
      <c r="C519">
        <f>IFERROR(__xludf.DUMMYFUNCTION("""COMPUTED_VALUE"""),14.3)</f>
        <v>14.3</v>
      </c>
      <c r="I519">
        <v>2.0</v>
      </c>
      <c r="J519">
        <f t="shared" si="8"/>
        <v>2</v>
      </c>
    </row>
    <row r="520">
      <c r="A520" t="s">
        <v>1170</v>
      </c>
      <c r="B520">
        <f t="shared" si="1"/>
        <v>40.851775</v>
      </c>
      <c r="C520">
        <f>IFERROR(__xludf.DUMMYFUNCTION("""COMPUTED_VALUE"""),14.268124)</f>
        <v>14.268124</v>
      </c>
      <c r="H520">
        <v>5.0</v>
      </c>
      <c r="J520">
        <f t="shared" si="8"/>
        <v>5</v>
      </c>
    </row>
    <row r="521">
      <c r="A521" t="s">
        <v>1172</v>
      </c>
      <c r="B521">
        <f t="shared" si="1"/>
        <v>40.894241</v>
      </c>
      <c r="C521">
        <f>IFERROR(__xludf.DUMMYFUNCTION("""COMPUTED_VALUE"""),26.172202)</f>
        <v>26.172202</v>
      </c>
      <c r="H521">
        <v>0.0</v>
      </c>
      <c r="I521">
        <v>2.0</v>
      </c>
      <c r="J521">
        <f t="shared" si="8"/>
        <v>2</v>
      </c>
    </row>
    <row r="522">
      <c r="A522" t="s">
        <v>1175</v>
      </c>
      <c r="B522">
        <f t="shared" si="1"/>
        <v>40.895168</v>
      </c>
      <c r="C522">
        <f>IFERROR(__xludf.DUMMYFUNCTION("""COMPUTED_VALUE"""),26.90943)</f>
        <v>26.90943</v>
      </c>
      <c r="H522">
        <v>0.0</v>
      </c>
      <c r="I522">
        <v>18.0</v>
      </c>
      <c r="J522">
        <f t="shared" si="8"/>
        <v>18</v>
      </c>
    </row>
    <row r="523">
      <c r="A523" t="s">
        <v>1178</v>
      </c>
      <c r="B523">
        <f t="shared" si="1"/>
        <v>40.914384</v>
      </c>
      <c r="C523">
        <f>IFERROR(__xludf.DUMMYFUNCTION("""COMPUTED_VALUE"""),14.79028)</f>
        <v>14.79028</v>
      </c>
      <c r="H523">
        <v>5.0</v>
      </c>
      <c r="J523">
        <f t="shared" si="8"/>
        <v>5</v>
      </c>
    </row>
    <row r="524">
      <c r="A524" t="s">
        <v>1179</v>
      </c>
      <c r="B524">
        <f t="shared" si="1"/>
        <v>40.962655</v>
      </c>
      <c r="C524">
        <f>IFERROR(__xludf.DUMMYFUNCTION("""COMPUTED_VALUE"""),26.330751)</f>
        <v>26.330751</v>
      </c>
      <c r="H524">
        <v>0.0</v>
      </c>
      <c r="I524">
        <v>5.0</v>
      </c>
      <c r="J524">
        <f t="shared" si="8"/>
        <v>5</v>
      </c>
    </row>
    <row r="525">
      <c r="A525" t="s">
        <v>1180</v>
      </c>
      <c r="B525">
        <f t="shared" si="1"/>
        <v>41.00527</v>
      </c>
      <c r="C525">
        <f>IFERROR(__xludf.DUMMYFUNCTION("""COMPUTED_VALUE"""),28.97696)</f>
        <v>28.97696</v>
      </c>
      <c r="H525">
        <v>47.0</v>
      </c>
      <c r="J525">
        <f t="shared" si="8"/>
        <v>47</v>
      </c>
    </row>
    <row r="526">
      <c r="A526" t="s">
        <v>1183</v>
      </c>
      <c r="B526">
        <f t="shared" si="1"/>
        <v>41.025869</v>
      </c>
      <c r="C526">
        <f>IFERROR(__xludf.DUMMYFUNCTION("""COMPUTED_VALUE"""),33.189515)</f>
        <v>33.189515</v>
      </c>
      <c r="H526">
        <v>0.0</v>
      </c>
      <c r="I526">
        <v>2.0</v>
      </c>
      <c r="J526">
        <f t="shared" si="8"/>
        <v>2</v>
      </c>
    </row>
    <row r="527">
      <c r="A527" t="s">
        <v>1186</v>
      </c>
      <c r="B527">
        <f t="shared" si="1"/>
        <v>41.036944</v>
      </c>
      <c r="C527">
        <f>IFERROR(__xludf.DUMMYFUNCTION("""COMPUTED_VALUE"""),28.9775)</f>
        <v>28.9775</v>
      </c>
      <c r="D527">
        <v>1.0</v>
      </c>
      <c r="H527">
        <v>0.0</v>
      </c>
      <c r="J527">
        <f t="shared" si="8"/>
        <v>1</v>
      </c>
    </row>
    <row r="528">
      <c r="A528" t="s">
        <v>1187</v>
      </c>
      <c r="B528">
        <f t="shared" si="1"/>
        <v>41.1</v>
      </c>
      <c r="C528">
        <f>IFERROR(__xludf.DUMMYFUNCTION("""COMPUTED_VALUE"""),26.3)</f>
        <v>26.3</v>
      </c>
      <c r="H528">
        <v>1.0</v>
      </c>
      <c r="J528">
        <f t="shared" si="8"/>
        <v>1</v>
      </c>
    </row>
    <row r="529">
      <c r="A529" t="s">
        <v>1188</v>
      </c>
      <c r="B529">
        <f t="shared" si="1"/>
        <v>41.117143</v>
      </c>
      <c r="C529">
        <f>IFERROR(__xludf.DUMMYFUNCTION("""COMPUTED_VALUE"""),16.871871)</f>
        <v>16.871871</v>
      </c>
      <c r="H529">
        <v>18.0</v>
      </c>
      <c r="J529">
        <f t="shared" si="8"/>
        <v>18</v>
      </c>
    </row>
    <row r="530">
      <c r="A530" s="10" t="s">
        <v>1192</v>
      </c>
      <c r="B530">
        <f t="shared" si="1"/>
        <v>41</v>
      </c>
      <c r="C530">
        <f>IFERROR(__xludf.DUMMYFUNCTION("""COMPUTED_VALUE"""),16.8)</f>
        <v>16.8</v>
      </c>
      <c r="E530">
        <v>13.0</v>
      </c>
      <c r="J530">
        <f t="shared" si="8"/>
        <v>13</v>
      </c>
    </row>
    <row r="531">
      <c r="A531" s="10" t="s">
        <v>1193</v>
      </c>
      <c r="B531">
        <f t="shared" si="1"/>
        <v>41.11</v>
      </c>
      <c r="C531">
        <f>IFERROR(__xludf.DUMMYFUNCTION("""COMPUTED_VALUE"""),17.0)</f>
        <v>17</v>
      </c>
      <c r="I531">
        <v>1.0</v>
      </c>
      <c r="J531">
        <f t="shared" si="8"/>
        <v>1</v>
      </c>
    </row>
    <row r="532">
      <c r="A532" t="s">
        <v>1196</v>
      </c>
      <c r="B532">
        <f t="shared" si="1"/>
        <v>41.119673</v>
      </c>
      <c r="C532">
        <f>IFERROR(__xludf.DUMMYFUNCTION("""COMPUTED_VALUE"""),26.288073)</f>
        <v>26.288073</v>
      </c>
      <c r="H532">
        <v>0.0</v>
      </c>
      <c r="I532">
        <v>2.0</v>
      </c>
      <c r="J532">
        <f t="shared" si="8"/>
        <v>2</v>
      </c>
    </row>
    <row r="533">
      <c r="A533" t="s">
        <v>1197</v>
      </c>
      <c r="B533">
        <f t="shared" si="1"/>
        <v>41.122439</v>
      </c>
      <c r="C533">
        <f>IFERROR(__xludf.DUMMYFUNCTION("""COMPUTED_VALUE"""),25.406558)</f>
        <v>25.406558</v>
      </c>
      <c r="H533">
        <v>6.0</v>
      </c>
      <c r="J533">
        <f t="shared" si="8"/>
        <v>6</v>
      </c>
    </row>
    <row r="534">
      <c r="A534" t="s">
        <v>1201</v>
      </c>
      <c r="B534">
        <f t="shared" si="1"/>
        <v>41.125526</v>
      </c>
      <c r="C534">
        <f>IFERROR(__xludf.DUMMYFUNCTION("""COMPUTED_VALUE"""),9.024635)</f>
        <v>9.024635</v>
      </c>
      <c r="H534">
        <v>13.0</v>
      </c>
      <c r="J534">
        <f t="shared" si="8"/>
        <v>13</v>
      </c>
    </row>
    <row r="535">
      <c r="A535" t="s">
        <v>1203</v>
      </c>
      <c r="B535">
        <f t="shared" si="1"/>
        <v>41.130036</v>
      </c>
      <c r="C535">
        <f>IFERROR(__xludf.DUMMYFUNCTION("""COMPUTED_VALUE"""),24.88649)</f>
        <v>24.88649</v>
      </c>
      <c r="H535">
        <v>0.0</v>
      </c>
      <c r="I535">
        <v>1.0</v>
      </c>
      <c r="J535">
        <f t="shared" si="8"/>
        <v>1</v>
      </c>
    </row>
    <row r="536">
      <c r="A536" t="s">
        <v>1204</v>
      </c>
      <c r="B536">
        <f t="shared" si="1"/>
        <v>41.140406</v>
      </c>
      <c r="C536">
        <f>IFERROR(__xludf.DUMMYFUNCTION("""COMPUTED_VALUE"""),28.465958)</f>
        <v>28.465958</v>
      </c>
      <c r="H536">
        <v>3.0</v>
      </c>
      <c r="J536">
        <f t="shared" si="8"/>
        <v>3</v>
      </c>
    </row>
    <row r="537">
      <c r="A537" t="s">
        <v>1205</v>
      </c>
      <c r="B537">
        <f t="shared" si="1"/>
        <v>41.14943</v>
      </c>
      <c r="C537">
        <f>IFERROR(__xludf.DUMMYFUNCTION("""COMPUTED_VALUE"""),22.071533)</f>
        <v>22.071533</v>
      </c>
      <c r="D537">
        <v>1.0</v>
      </c>
      <c r="H537">
        <v>0.0</v>
      </c>
      <c r="J537">
        <f t="shared" si="8"/>
        <v>1</v>
      </c>
    </row>
    <row r="538">
      <c r="A538" t="s">
        <v>1208</v>
      </c>
      <c r="B538">
        <f t="shared" si="1"/>
        <v>41.153332</v>
      </c>
      <c r="C538">
        <f>IFERROR(__xludf.DUMMYFUNCTION("""COMPUTED_VALUE"""),20.168331)</f>
        <v>20.168331</v>
      </c>
      <c r="D538">
        <v>2.0</v>
      </c>
      <c r="E538">
        <v>2.0</v>
      </c>
      <c r="H538">
        <v>4.0</v>
      </c>
      <c r="J538">
        <f t="shared" si="8"/>
        <v>8</v>
      </c>
    </row>
    <row r="539">
      <c r="A539" t="s">
        <v>1209</v>
      </c>
      <c r="B539">
        <f t="shared" si="1"/>
        <v>41.2</v>
      </c>
      <c r="C539">
        <f>IFERROR(__xludf.DUMMYFUNCTION("""COMPUTED_VALUE"""),26.0)</f>
        <v>26</v>
      </c>
      <c r="H539">
        <v>1.0</v>
      </c>
      <c r="J539">
        <f t="shared" si="8"/>
        <v>1</v>
      </c>
    </row>
    <row r="540">
      <c r="A540" t="s">
        <v>1210</v>
      </c>
      <c r="B540">
        <f t="shared" si="1"/>
        <v>41.24</v>
      </c>
      <c r="C540">
        <f>IFERROR(__xludf.DUMMYFUNCTION("""COMPUTED_VALUE"""),29.12)</f>
        <v>29.12</v>
      </c>
      <c r="H540">
        <v>30.0</v>
      </c>
      <c r="J540">
        <f t="shared" si="8"/>
        <v>30</v>
      </c>
    </row>
    <row r="541">
      <c r="A541" t="s">
        <v>1214</v>
      </c>
      <c r="B541">
        <f t="shared" si="1"/>
        <v>41.244376</v>
      </c>
      <c r="C541">
        <f>IFERROR(__xludf.DUMMYFUNCTION("""COMPUTED_VALUE"""),26.135943)</f>
        <v>26.135943</v>
      </c>
      <c r="H541">
        <v>135.0</v>
      </c>
      <c r="J541">
        <f t="shared" si="8"/>
        <v>135</v>
      </c>
    </row>
    <row r="542">
      <c r="A542" s="10" t="s">
        <v>1209</v>
      </c>
      <c r="B542">
        <f t="shared" si="1"/>
        <v>41.2</v>
      </c>
      <c r="C542">
        <f>IFERROR(__xludf.DUMMYFUNCTION("""COMPUTED_VALUE"""),26.0)</f>
        <v>26</v>
      </c>
      <c r="D542">
        <v>1.0</v>
      </c>
      <c r="J542">
        <f t="shared" si="8"/>
        <v>1</v>
      </c>
    </row>
    <row r="543">
      <c r="A543" s="10" t="s">
        <v>1216</v>
      </c>
      <c r="B543">
        <f t="shared" si="1"/>
        <v>41.4</v>
      </c>
      <c r="C543">
        <f>IFERROR(__xludf.DUMMYFUNCTION("""COMPUTED_VALUE"""),26.5)</f>
        <v>26.5</v>
      </c>
      <c r="I543">
        <v>52.0</v>
      </c>
      <c r="J543">
        <f t="shared" si="8"/>
        <v>52</v>
      </c>
    </row>
    <row r="544">
      <c r="A544" t="s">
        <v>1218</v>
      </c>
      <c r="B544">
        <f t="shared" si="1"/>
        <v>41.277486</v>
      </c>
      <c r="C544">
        <f>IFERROR(__xludf.DUMMYFUNCTION("""COMPUTED_VALUE"""),16.417833)</f>
        <v>16.417833</v>
      </c>
      <c r="H544">
        <v>12.0</v>
      </c>
      <c r="J544">
        <f t="shared" si="8"/>
        <v>12</v>
      </c>
    </row>
    <row r="545">
      <c r="A545" t="s">
        <v>1220</v>
      </c>
      <c r="B545">
        <f t="shared" si="1"/>
        <v>41.385064</v>
      </c>
      <c r="C545">
        <f>IFERROR(__xludf.DUMMYFUNCTION("""COMPUTED_VALUE"""),2.173403)</f>
        <v>2.173403</v>
      </c>
      <c r="G545">
        <v>3.0</v>
      </c>
      <c r="J545">
        <f t="shared" si="8"/>
        <v>3</v>
      </c>
    </row>
    <row r="546">
      <c r="A546" s="10" t="s">
        <v>1222</v>
      </c>
      <c r="B546">
        <f t="shared" si="1"/>
        <v>41.4</v>
      </c>
      <c r="C546">
        <f>IFERROR(__xludf.DUMMYFUNCTION("""COMPUTED_VALUE"""),2.1)</f>
        <v>2.1</v>
      </c>
      <c r="H546">
        <v>1.0</v>
      </c>
      <c r="J546">
        <f t="shared" si="8"/>
        <v>1</v>
      </c>
    </row>
    <row r="547">
      <c r="A547" t="s">
        <v>1225</v>
      </c>
      <c r="B547">
        <f t="shared" si="1"/>
        <v>41.462198</v>
      </c>
      <c r="C547">
        <f>IFERROR(__xludf.DUMMYFUNCTION("""COMPUTED_VALUE"""),15.54463)</f>
        <v>15.54463</v>
      </c>
      <c r="H547">
        <v>6.0</v>
      </c>
      <c r="J547">
        <f t="shared" si="8"/>
        <v>6</v>
      </c>
    </row>
    <row r="548">
      <c r="A548" s="10" t="s">
        <v>1226</v>
      </c>
      <c r="B548">
        <f t="shared" si="1"/>
        <v>41.4</v>
      </c>
      <c r="C548">
        <f>IFERROR(__xludf.DUMMYFUNCTION("""COMPUTED_VALUE"""),15.5)</f>
        <v>15.5</v>
      </c>
      <c r="I548">
        <v>2.0</v>
      </c>
      <c r="J548">
        <f t="shared" si="8"/>
        <v>2</v>
      </c>
    </row>
    <row r="549">
      <c r="A549" t="s">
        <v>1229</v>
      </c>
      <c r="B549">
        <f t="shared" si="1"/>
        <v>41.58738</v>
      </c>
      <c r="C549">
        <f>IFERROR(__xludf.DUMMYFUNCTION("""COMPUTED_VALUE"""),26.490198)</f>
        <v>26.490198</v>
      </c>
      <c r="H549">
        <v>0.0</v>
      </c>
      <c r="I549">
        <v>1.0</v>
      </c>
      <c r="J549">
        <f t="shared" si="8"/>
        <v>1</v>
      </c>
    </row>
    <row r="550">
      <c r="A550" t="s">
        <v>1230</v>
      </c>
      <c r="B550">
        <f t="shared" si="1"/>
        <v>41.608635</v>
      </c>
      <c r="C550">
        <f>IFERROR(__xludf.DUMMYFUNCTION("""COMPUTED_VALUE"""),21.745275)</f>
        <v>21.745275</v>
      </c>
      <c r="D550">
        <v>1.0</v>
      </c>
      <c r="H550">
        <v>0.0</v>
      </c>
      <c r="J550">
        <f t="shared" si="8"/>
        <v>1</v>
      </c>
    </row>
    <row r="551">
      <c r="A551" t="s">
        <v>1231</v>
      </c>
      <c r="B551">
        <f t="shared" si="1"/>
        <v>41.639601</v>
      </c>
      <c r="C551">
        <f>IFERROR(__xludf.DUMMYFUNCTION("""COMPUTED_VALUE"""),13.342634)</f>
        <v>13.342634</v>
      </c>
      <c r="G551">
        <v>1.0</v>
      </c>
      <c r="H551">
        <v>0.0</v>
      </c>
      <c r="J551">
        <f t="shared" si="8"/>
        <v>1</v>
      </c>
    </row>
    <row r="552">
      <c r="A552" t="s">
        <v>1232</v>
      </c>
      <c r="B552">
        <f t="shared" si="1"/>
        <v>41.645487</v>
      </c>
      <c r="C552">
        <f>IFERROR(__xludf.DUMMYFUNCTION("""COMPUTED_VALUE"""),26.476442)</f>
        <v>26.476442</v>
      </c>
      <c r="H552">
        <v>0.0</v>
      </c>
      <c r="I552">
        <v>4.0</v>
      </c>
      <c r="J552">
        <f t="shared" si="8"/>
        <v>4</v>
      </c>
    </row>
    <row r="553">
      <c r="A553" t="s">
        <v>1234</v>
      </c>
      <c r="B553">
        <f t="shared" si="1"/>
        <v>41.681808</v>
      </c>
      <c r="C553">
        <f>IFERROR(__xludf.DUMMYFUNCTION("""COMPUTED_VALUE"""),26.562269)</f>
        <v>26.562269</v>
      </c>
      <c r="H553">
        <v>2.0</v>
      </c>
      <c r="J553">
        <f t="shared" si="8"/>
        <v>2</v>
      </c>
    </row>
    <row r="554">
      <c r="A554" t="s">
        <v>1235</v>
      </c>
      <c r="B554">
        <f t="shared" si="1"/>
        <v>41.713846</v>
      </c>
      <c r="C554">
        <f>IFERROR(__xludf.DUMMYFUNCTION("""COMPUTED_VALUE"""),21.770409)</f>
        <v>21.770409</v>
      </c>
      <c r="H554">
        <v>0.0</v>
      </c>
      <c r="I554">
        <v>14.0</v>
      </c>
      <c r="J554">
        <f t="shared" si="8"/>
        <v>14</v>
      </c>
    </row>
    <row r="555">
      <c r="A555" t="s">
        <v>1236</v>
      </c>
      <c r="B555">
        <f t="shared" si="1"/>
        <v>41.733333</v>
      </c>
      <c r="C555">
        <f>IFERROR(__xludf.DUMMYFUNCTION("""COMPUTED_VALUE"""),27.216667)</f>
        <v>27.216667</v>
      </c>
      <c r="E555">
        <v>2.0</v>
      </c>
      <c r="H555">
        <v>0.0</v>
      </c>
      <c r="J555">
        <f t="shared" si="8"/>
        <v>2</v>
      </c>
    </row>
    <row r="556">
      <c r="A556" t="s">
        <v>1240</v>
      </c>
      <c r="B556">
        <f t="shared" si="1"/>
        <v>41.734495</v>
      </c>
      <c r="C556">
        <f>IFERROR(__xludf.DUMMYFUNCTION("""COMPUTED_VALUE"""),12.290967)</f>
        <v>12.290967</v>
      </c>
      <c r="H556">
        <v>1.0</v>
      </c>
      <c r="J556">
        <f t="shared" si="8"/>
        <v>1</v>
      </c>
    </row>
    <row r="557">
      <c r="A557" t="s">
        <v>1243</v>
      </c>
      <c r="B557">
        <f t="shared" si="1"/>
        <v>41.87194</v>
      </c>
      <c r="C557">
        <f>IFERROR(__xludf.DUMMYFUNCTION("""COMPUTED_VALUE"""),12.56738)</f>
        <v>12.56738</v>
      </c>
      <c r="H557">
        <v>62.0</v>
      </c>
      <c r="J557">
        <f t="shared" si="8"/>
        <v>62</v>
      </c>
    </row>
    <row r="558">
      <c r="A558" t="s">
        <v>1244</v>
      </c>
      <c r="B558">
        <f t="shared" si="1"/>
        <v>41.892916</v>
      </c>
      <c r="C558">
        <f>IFERROR(__xludf.DUMMYFUNCTION("""COMPUTED_VALUE"""),12.48252)</f>
        <v>12.48252</v>
      </c>
      <c r="E558">
        <v>1.0</v>
      </c>
      <c r="G558">
        <v>1.0</v>
      </c>
      <c r="H558">
        <v>0.0</v>
      </c>
      <c r="J558">
        <f t="shared" si="8"/>
        <v>2</v>
      </c>
    </row>
    <row r="559">
      <c r="A559" t="s">
        <v>1246</v>
      </c>
      <c r="B559">
        <f t="shared" si="1"/>
        <v>41.997346</v>
      </c>
      <c r="C559">
        <f>IFERROR(__xludf.DUMMYFUNCTION("""COMPUTED_VALUE"""),21.427996)</f>
        <v>21.427996</v>
      </c>
      <c r="D559">
        <v>8.0</v>
      </c>
      <c r="H559">
        <v>0.0</v>
      </c>
      <c r="J559">
        <f t="shared" si="8"/>
        <v>8</v>
      </c>
    </row>
    <row r="560">
      <c r="A560" t="s">
        <v>1248</v>
      </c>
      <c r="B560">
        <f t="shared" si="1"/>
        <v>42</v>
      </c>
      <c r="C560">
        <f>IFERROR(__xludf.DUMMYFUNCTION("""COMPUTED_VALUE"""),26.0)</f>
        <v>26</v>
      </c>
      <c r="H560">
        <v>6.0</v>
      </c>
      <c r="J560">
        <f t="shared" si="8"/>
        <v>6</v>
      </c>
    </row>
    <row r="561">
      <c r="A561" s="10" t="s">
        <v>1250</v>
      </c>
      <c r="B561">
        <f t="shared" si="1"/>
        <v>42.5</v>
      </c>
      <c r="C561">
        <f>IFERROR(__xludf.DUMMYFUNCTION("""COMPUTED_VALUE"""),26.3)</f>
        <v>26.3</v>
      </c>
      <c r="I561">
        <v>3.0</v>
      </c>
      <c r="J561">
        <f t="shared" si="8"/>
        <v>3</v>
      </c>
    </row>
    <row r="562">
      <c r="A562" t="s">
        <v>1251</v>
      </c>
      <c r="B562">
        <f t="shared" si="1"/>
        <v>42.039604</v>
      </c>
      <c r="C562">
        <f>IFERROR(__xludf.DUMMYFUNCTION("""COMPUTED_VALUE"""),9.012893)</f>
        <v>9.012893</v>
      </c>
      <c r="H562">
        <v>1.0</v>
      </c>
      <c r="J562">
        <f t="shared" si="8"/>
        <v>1</v>
      </c>
    </row>
    <row r="563">
      <c r="A563" t="s">
        <v>1253</v>
      </c>
      <c r="B563">
        <f t="shared" si="1"/>
        <v>42.434479</v>
      </c>
      <c r="C563">
        <f>IFERROR(__xludf.DUMMYFUNCTION("""COMPUTED_VALUE"""),9.137443)</f>
        <v>9.137443</v>
      </c>
      <c r="H563">
        <v>52.0</v>
      </c>
      <c r="J563">
        <f t="shared" si="8"/>
        <v>52</v>
      </c>
    </row>
    <row r="564">
      <c r="A564" t="s">
        <v>1255</v>
      </c>
      <c r="B564">
        <f t="shared" si="1"/>
        <v>42.602636</v>
      </c>
      <c r="C564">
        <f>IFERROR(__xludf.DUMMYFUNCTION("""COMPUTED_VALUE"""),20.902977)</f>
        <v>20.902977</v>
      </c>
      <c r="H564">
        <v>1.0</v>
      </c>
      <c r="J564">
        <f t="shared" si="8"/>
        <v>1</v>
      </c>
    </row>
    <row r="565">
      <c r="A565" t="s">
        <v>1256</v>
      </c>
      <c r="B565">
        <f t="shared" si="1"/>
        <v>42.672421</v>
      </c>
      <c r="C565">
        <f>IFERROR(__xludf.DUMMYFUNCTION("""COMPUTED_VALUE"""),21.164539)</f>
        <v>21.164539</v>
      </c>
      <c r="H565">
        <v>4.0</v>
      </c>
      <c r="J565">
        <f t="shared" si="8"/>
        <v>4</v>
      </c>
    </row>
    <row r="566">
      <c r="A566" t="s">
        <v>1260</v>
      </c>
      <c r="B566">
        <f t="shared" si="1"/>
        <v>42.675931</v>
      </c>
      <c r="C566">
        <f>IFERROR(__xludf.DUMMYFUNCTION("""COMPUTED_VALUE"""),23.433222)</f>
        <v>23.433222</v>
      </c>
      <c r="H566">
        <v>2.0</v>
      </c>
      <c r="J566">
        <f t="shared" si="8"/>
        <v>2</v>
      </c>
    </row>
    <row r="567">
      <c r="A567" t="s">
        <v>1261</v>
      </c>
      <c r="B567">
        <f t="shared" si="1"/>
        <v>42.733883</v>
      </c>
      <c r="C567">
        <f>IFERROR(__xludf.DUMMYFUNCTION("""COMPUTED_VALUE"""),25.48583)</f>
        <v>25.48583</v>
      </c>
      <c r="H567">
        <v>12.0</v>
      </c>
      <c r="J567">
        <f t="shared" si="8"/>
        <v>12</v>
      </c>
    </row>
    <row r="568">
      <c r="A568" s="10" t="s">
        <v>1262</v>
      </c>
      <c r="B568">
        <f t="shared" si="1"/>
        <v>42.7</v>
      </c>
      <c r="C568">
        <f>IFERROR(__xludf.DUMMYFUNCTION("""COMPUTED_VALUE"""),25.4)</f>
        <v>25.4</v>
      </c>
      <c r="D568">
        <v>1.0</v>
      </c>
      <c r="J568">
        <f t="shared" si="8"/>
        <v>1</v>
      </c>
    </row>
    <row r="569">
      <c r="A569" t="s">
        <v>1263</v>
      </c>
      <c r="B569">
        <f t="shared" si="1"/>
        <v>43.001693</v>
      </c>
      <c r="C569">
        <f>IFERROR(__xludf.DUMMYFUNCTION("""COMPUTED_VALUE"""),-7.85388)</f>
        <v>-7.85388</v>
      </c>
      <c r="H569">
        <v>8.0</v>
      </c>
      <c r="J569">
        <f t="shared" si="8"/>
        <v>8</v>
      </c>
    </row>
    <row r="570">
      <c r="A570" t="s">
        <v>1266</v>
      </c>
      <c r="B570">
        <f t="shared" si="1"/>
        <v>43.263013</v>
      </c>
      <c r="C570">
        <f>IFERROR(__xludf.DUMMYFUNCTION("""COMPUTED_VALUE"""),-2.934985)</f>
        <v>-2.934985</v>
      </c>
      <c r="G570">
        <v>2.0</v>
      </c>
      <c r="H570">
        <v>0.0</v>
      </c>
      <c r="J570">
        <f t="shared" si="8"/>
        <v>2</v>
      </c>
    </row>
    <row r="571">
      <c r="A571" t="s">
        <v>1268</v>
      </c>
      <c r="B571">
        <f t="shared" si="1"/>
        <v>43.296482</v>
      </c>
      <c r="C571">
        <f>IFERROR(__xludf.DUMMYFUNCTION("""COMPUTED_VALUE"""),5.36978)</f>
        <v>5.36978</v>
      </c>
      <c r="G571">
        <v>1.0</v>
      </c>
      <c r="H571">
        <v>0.0</v>
      </c>
      <c r="J571">
        <f t="shared" si="8"/>
        <v>1</v>
      </c>
    </row>
    <row r="572">
      <c r="A572" t="s">
        <v>1269</v>
      </c>
      <c r="B572">
        <f t="shared" si="1"/>
        <v>43.32547</v>
      </c>
      <c r="C572">
        <f>IFERROR(__xludf.DUMMYFUNCTION("""COMPUTED_VALUE"""),-1.93014)</f>
        <v>-1.93014</v>
      </c>
      <c r="H572">
        <v>3.0</v>
      </c>
      <c r="J572">
        <f t="shared" si="8"/>
        <v>3</v>
      </c>
    </row>
    <row r="573">
      <c r="A573" t="s">
        <v>1270</v>
      </c>
      <c r="B573">
        <f t="shared" si="1"/>
        <v>43.328128</v>
      </c>
      <c r="C573">
        <f>IFERROR(__xludf.DUMMYFUNCTION("""COMPUTED_VALUE"""),-3.033659)</f>
        <v>-3.033659</v>
      </c>
      <c r="H573">
        <v>0.0</v>
      </c>
      <c r="I573">
        <v>2.0</v>
      </c>
      <c r="J573">
        <f t="shared" si="8"/>
        <v>2</v>
      </c>
    </row>
    <row r="574">
      <c r="A574" t="s">
        <v>1271</v>
      </c>
      <c r="B574">
        <f t="shared" si="1"/>
        <v>43.342273</v>
      </c>
      <c r="C574">
        <f>IFERROR(__xludf.DUMMYFUNCTION("""COMPUTED_VALUE"""),17.812754)</f>
        <v>17.812754</v>
      </c>
      <c r="H574">
        <v>1.0</v>
      </c>
      <c r="J574">
        <f t="shared" si="8"/>
        <v>1</v>
      </c>
    </row>
    <row r="575">
      <c r="A575" t="s">
        <v>1275</v>
      </c>
      <c r="B575">
        <f t="shared" si="1"/>
        <v>43.351149</v>
      </c>
      <c r="C575">
        <f>IFERROR(__xludf.DUMMYFUNCTION("""COMPUTED_VALUE"""),-8.185424)</f>
        <v>-8.185424</v>
      </c>
      <c r="H575">
        <v>11.0</v>
      </c>
      <c r="J575">
        <f t="shared" si="8"/>
        <v>11</v>
      </c>
    </row>
    <row r="576">
      <c r="A576" s="10" t="s">
        <v>1277</v>
      </c>
      <c r="B576">
        <f t="shared" si="1"/>
        <v>43.4</v>
      </c>
      <c r="C576">
        <f>IFERROR(__xludf.DUMMYFUNCTION("""COMPUTED_VALUE"""),-8.1)</f>
        <v>-8.1</v>
      </c>
      <c r="I576">
        <v>1.0</v>
      </c>
      <c r="J576">
        <f t="shared" si="8"/>
        <v>1</v>
      </c>
    </row>
    <row r="577">
      <c r="A577" t="s">
        <v>1278</v>
      </c>
      <c r="B577">
        <f t="shared" si="1"/>
        <v>43.355524</v>
      </c>
      <c r="C577">
        <f>IFERROR(__xludf.DUMMYFUNCTION("""COMPUTED_VALUE"""),-8.255738)</f>
        <v>-8.255738</v>
      </c>
      <c r="H577">
        <v>57.0</v>
      </c>
      <c r="J577">
        <f t="shared" si="8"/>
        <v>57</v>
      </c>
    </row>
    <row r="578">
      <c r="A578" t="s">
        <v>1279</v>
      </c>
      <c r="B578">
        <f t="shared" si="1"/>
        <v>43.362344</v>
      </c>
      <c r="C578">
        <f>IFERROR(__xludf.DUMMYFUNCTION("""COMPUTED_VALUE"""),-8.41154)</f>
        <v>-8.41154</v>
      </c>
      <c r="H578">
        <v>6.0</v>
      </c>
      <c r="J578">
        <f t="shared" si="8"/>
        <v>6</v>
      </c>
    </row>
    <row r="579">
      <c r="A579" t="s">
        <v>1281</v>
      </c>
      <c r="B579">
        <f t="shared" si="1"/>
        <v>43.548473</v>
      </c>
      <c r="C579">
        <f>IFERROR(__xludf.DUMMYFUNCTION("""COMPUTED_VALUE"""),10.310567)</f>
        <v>10.310567</v>
      </c>
      <c r="H579">
        <v>14.0</v>
      </c>
      <c r="J579">
        <f t="shared" si="8"/>
        <v>14</v>
      </c>
    </row>
    <row r="580">
      <c r="A580" s="10" t="s">
        <v>1282</v>
      </c>
      <c r="B580">
        <f t="shared" si="1"/>
        <v>43.5</v>
      </c>
      <c r="C580">
        <f>IFERROR(__xludf.DUMMYFUNCTION("""COMPUTED_VALUE"""),10.3)</f>
        <v>10.3</v>
      </c>
      <c r="G580">
        <v>1.0</v>
      </c>
      <c r="J580">
        <f t="shared" si="8"/>
        <v>1</v>
      </c>
    </row>
    <row r="581">
      <c r="A581" t="s">
        <v>1284</v>
      </c>
      <c r="B581">
        <f t="shared" si="1"/>
        <v>43.61583</v>
      </c>
      <c r="C581">
        <f>IFERROR(__xludf.DUMMYFUNCTION("""COMPUTED_VALUE"""),13.518915)</f>
        <v>13.518915</v>
      </c>
      <c r="H581">
        <v>10.0</v>
      </c>
      <c r="J581">
        <f t="shared" si="8"/>
        <v>10</v>
      </c>
    </row>
    <row r="582">
      <c r="A582" s="10" t="s">
        <v>1286</v>
      </c>
      <c r="B582">
        <f t="shared" si="1"/>
        <v>43.6</v>
      </c>
      <c r="C582">
        <f>IFERROR(__xludf.DUMMYFUNCTION("""COMPUTED_VALUE"""),13.6)</f>
        <v>13.6</v>
      </c>
      <c r="I582">
        <v>6.0</v>
      </c>
      <c r="J582">
        <f t="shared" si="8"/>
        <v>6</v>
      </c>
    </row>
    <row r="583">
      <c r="A583" t="s">
        <v>1287</v>
      </c>
      <c r="B583">
        <f t="shared" si="1"/>
        <v>43.707408</v>
      </c>
      <c r="C583">
        <f>IFERROR(__xludf.DUMMYFUNCTION("""COMPUTED_VALUE"""),7.258543)</f>
        <v>7.258543</v>
      </c>
      <c r="E583">
        <v>1.0</v>
      </c>
      <c r="H583">
        <v>0.0</v>
      </c>
      <c r="J583">
        <f t="shared" si="8"/>
        <v>1</v>
      </c>
    </row>
    <row r="584">
      <c r="A584" t="s">
        <v>1288</v>
      </c>
      <c r="B584">
        <f t="shared" si="1"/>
        <v>43.77268</v>
      </c>
      <c r="C584">
        <f>IFERROR(__xludf.DUMMYFUNCTION("""COMPUTED_VALUE"""),11.253604)</f>
        <v>11.253604</v>
      </c>
      <c r="H584">
        <v>1.0</v>
      </c>
      <c r="J584">
        <f t="shared" si="8"/>
        <v>1</v>
      </c>
    </row>
    <row r="585">
      <c r="A585" t="s">
        <v>1289</v>
      </c>
      <c r="B585">
        <f t="shared" si="1"/>
        <v>44.171131</v>
      </c>
      <c r="C585">
        <f>IFERROR(__xludf.DUMMYFUNCTION("""COMPUTED_VALUE"""),12.161842)</f>
        <v>12.161842</v>
      </c>
      <c r="H585">
        <v>0.0</v>
      </c>
      <c r="I585">
        <v>1.0</v>
      </c>
      <c r="J585">
        <f t="shared" si="8"/>
        <v>1</v>
      </c>
    </row>
    <row r="586">
      <c r="A586" t="s">
        <v>1290</v>
      </c>
      <c r="B586">
        <f t="shared" si="1"/>
        <v>44.348399</v>
      </c>
      <c r="C586">
        <f>IFERROR(__xludf.DUMMYFUNCTION("""COMPUTED_VALUE"""),9.234647)</f>
        <v>9.234647</v>
      </c>
      <c r="H586">
        <v>52.0</v>
      </c>
      <c r="J586">
        <f t="shared" si="8"/>
        <v>52</v>
      </c>
    </row>
    <row r="587">
      <c r="A587" s="10" t="s">
        <v>1292</v>
      </c>
      <c r="B587">
        <f t="shared" si="1"/>
        <v>44.3</v>
      </c>
      <c r="C587">
        <f>IFERROR(__xludf.DUMMYFUNCTION("""COMPUTED_VALUE"""),9.1)</f>
        <v>9.1</v>
      </c>
      <c r="I587">
        <v>5.0</v>
      </c>
      <c r="J587">
        <f t="shared" si="8"/>
        <v>5</v>
      </c>
    </row>
    <row r="588">
      <c r="A588" t="s">
        <v>1293</v>
      </c>
      <c r="B588">
        <f t="shared" si="1"/>
        <v>44.36</v>
      </c>
      <c r="C588">
        <f>IFERROR(__xludf.DUMMYFUNCTION("""COMPUTED_VALUE"""),11.712429)</f>
        <v>11.712429</v>
      </c>
      <c r="H588">
        <v>1.0</v>
      </c>
      <c r="J588">
        <f t="shared" si="8"/>
        <v>1</v>
      </c>
    </row>
    <row r="589">
      <c r="A589" t="s">
        <v>1294</v>
      </c>
      <c r="B589">
        <f t="shared" si="1"/>
        <v>44.40565</v>
      </c>
      <c r="C589">
        <f>IFERROR(__xludf.DUMMYFUNCTION("""COMPUTED_VALUE"""),8.946256)</f>
        <v>8.946256</v>
      </c>
      <c r="H589">
        <v>4.0</v>
      </c>
      <c r="J589">
        <f t="shared" si="8"/>
        <v>4</v>
      </c>
    </row>
    <row r="590">
      <c r="A590" t="s">
        <v>1295</v>
      </c>
      <c r="B590">
        <f t="shared" si="1"/>
        <v>44.494887</v>
      </c>
      <c r="C590">
        <f>IFERROR(__xludf.DUMMYFUNCTION("""COMPUTED_VALUE"""),11.342616)</f>
        <v>11.342616</v>
      </c>
      <c r="H590">
        <v>4.0</v>
      </c>
      <c r="J590">
        <f t="shared" si="8"/>
        <v>4</v>
      </c>
    </row>
    <row r="591">
      <c r="A591" s="10" t="s">
        <v>1298</v>
      </c>
      <c r="B591">
        <f t="shared" si="1"/>
        <v>44.5</v>
      </c>
      <c r="C591">
        <f>IFERROR(__xludf.DUMMYFUNCTION("""COMPUTED_VALUE"""),11.3)</f>
        <v>11.3</v>
      </c>
      <c r="E591">
        <v>1.0</v>
      </c>
      <c r="J591">
        <f t="shared" si="8"/>
        <v>1</v>
      </c>
    </row>
    <row r="592">
      <c r="A592" s="10" t="s">
        <v>1300</v>
      </c>
      <c r="B592">
        <f t="shared" si="1"/>
        <v>44.4</v>
      </c>
      <c r="C592">
        <f>IFERROR(__xludf.DUMMYFUNCTION("""COMPUTED_VALUE"""),11.4)</f>
        <v>11.4</v>
      </c>
      <c r="I592">
        <v>1.0</v>
      </c>
      <c r="J592">
        <f t="shared" si="8"/>
        <v>1</v>
      </c>
    </row>
    <row r="593">
      <c r="A593" t="s">
        <v>1301</v>
      </c>
      <c r="B593">
        <f t="shared" si="1"/>
        <v>44.502292</v>
      </c>
      <c r="C593">
        <f>IFERROR(__xludf.DUMMYFUNCTION("""COMPUTED_VALUE"""),26.101538)</f>
        <v>26.101538</v>
      </c>
      <c r="G593">
        <v>1.0</v>
      </c>
      <c r="H593">
        <v>0.0</v>
      </c>
      <c r="J593">
        <f t="shared" si="8"/>
        <v>1</v>
      </c>
    </row>
    <row r="594">
      <c r="A594" t="s">
        <v>1302</v>
      </c>
      <c r="B594">
        <f t="shared" si="1"/>
        <v>44.648837</v>
      </c>
      <c r="C594">
        <f>IFERROR(__xludf.DUMMYFUNCTION("""COMPUTED_VALUE"""),10.920087)</f>
        <v>10.920087</v>
      </c>
      <c r="G594">
        <v>2.0</v>
      </c>
      <c r="H594">
        <v>0.0</v>
      </c>
      <c r="J594">
        <f t="shared" si="8"/>
        <v>2</v>
      </c>
    </row>
    <row r="595">
      <c r="A595" t="s">
        <v>1306</v>
      </c>
      <c r="B595">
        <f t="shared" si="1"/>
        <v>44.837789</v>
      </c>
      <c r="C595">
        <f>IFERROR(__xludf.DUMMYFUNCTION("""COMPUTED_VALUE"""),-0.57918)</f>
        <v>-0.57918</v>
      </c>
      <c r="G595">
        <v>1.0</v>
      </c>
      <c r="H595">
        <v>0.0</v>
      </c>
      <c r="J595">
        <f t="shared" si="8"/>
        <v>1</v>
      </c>
    </row>
    <row r="596">
      <c r="A596" t="s">
        <v>1308</v>
      </c>
      <c r="B596">
        <f t="shared" si="1"/>
        <v>45.1</v>
      </c>
      <c r="C596">
        <f>IFERROR(__xludf.DUMMYFUNCTION("""COMPUTED_VALUE"""),15.2)</f>
        <v>15.2</v>
      </c>
      <c r="H596">
        <v>8.0</v>
      </c>
      <c r="J596">
        <f t="shared" si="8"/>
        <v>8</v>
      </c>
    </row>
    <row r="597">
      <c r="A597" s="10" t="s">
        <v>1309</v>
      </c>
      <c r="B597">
        <f t="shared" si="1"/>
        <v>45</v>
      </c>
      <c r="C597">
        <f>IFERROR(__xludf.DUMMYFUNCTION("""COMPUTED_VALUE"""),15.3)</f>
        <v>15.3</v>
      </c>
      <c r="D597">
        <v>1.0</v>
      </c>
      <c r="J597">
        <f t="shared" si="8"/>
        <v>1</v>
      </c>
    </row>
    <row r="598">
      <c r="A598" t="s">
        <v>1312</v>
      </c>
      <c r="B598">
        <f t="shared" si="1"/>
        <v>45.217675</v>
      </c>
      <c r="C598">
        <f>IFERROR(__xludf.DUMMYFUNCTION("""COMPUTED_VALUE"""),6.47587)</f>
        <v>6.47587</v>
      </c>
      <c r="H598">
        <v>1.0</v>
      </c>
      <c r="J598">
        <f t="shared" si="8"/>
        <v>1</v>
      </c>
    </row>
    <row r="599">
      <c r="A599" t="s">
        <v>1315</v>
      </c>
      <c r="B599">
        <f t="shared" si="1"/>
        <v>45.320227</v>
      </c>
      <c r="C599">
        <f>IFERROR(__xludf.DUMMYFUNCTION("""COMPUTED_VALUE"""),8.418573)</f>
        <v>8.418573</v>
      </c>
      <c r="E599">
        <v>1.0</v>
      </c>
      <c r="H599">
        <v>0.0</v>
      </c>
      <c r="J599">
        <f t="shared" si="8"/>
        <v>1</v>
      </c>
    </row>
    <row r="600">
      <c r="A600" t="s">
        <v>1317</v>
      </c>
      <c r="B600">
        <f t="shared" si="1"/>
        <v>45.440847</v>
      </c>
      <c r="C600">
        <f>IFERROR(__xludf.DUMMYFUNCTION("""COMPUTED_VALUE"""),12.315515)</f>
        <v>12.315515</v>
      </c>
      <c r="H600">
        <v>9.0</v>
      </c>
      <c r="J600">
        <f t="shared" si="8"/>
        <v>9</v>
      </c>
    </row>
    <row r="601">
      <c r="A601" s="10" t="s">
        <v>1318</v>
      </c>
      <c r="B601">
        <f t="shared" si="1"/>
        <v>45.4</v>
      </c>
      <c r="C601">
        <f>IFERROR(__xludf.DUMMYFUNCTION("""COMPUTED_VALUE"""),12.3)</f>
        <v>12.3</v>
      </c>
      <c r="E601">
        <v>1.0</v>
      </c>
      <c r="J601">
        <f t="shared" si="8"/>
        <v>1</v>
      </c>
    </row>
    <row r="602">
      <c r="A602" s="10" t="s">
        <v>1319</v>
      </c>
      <c r="B602">
        <f t="shared" si="1"/>
        <v>45.3</v>
      </c>
      <c r="C602">
        <f>IFERROR(__xludf.DUMMYFUNCTION("""COMPUTED_VALUE"""),12.2)</f>
        <v>12.2</v>
      </c>
      <c r="I602">
        <v>3.0</v>
      </c>
      <c r="J602">
        <f t="shared" si="8"/>
        <v>3</v>
      </c>
    </row>
    <row r="603">
      <c r="A603" t="s">
        <v>1321</v>
      </c>
      <c r="B603">
        <f t="shared" si="1"/>
        <v>45.450072</v>
      </c>
      <c r="C603">
        <f>IFERROR(__xludf.DUMMYFUNCTION("""COMPUTED_VALUE"""),9.177592)</f>
        <v>9.177592</v>
      </c>
      <c r="H603">
        <v>1.0</v>
      </c>
      <c r="J603">
        <f t="shared" si="8"/>
        <v>1</v>
      </c>
    </row>
    <row r="604">
      <c r="A604" t="s">
        <v>1322</v>
      </c>
      <c r="B604">
        <f t="shared" si="1"/>
        <v>45.465454</v>
      </c>
      <c r="C604">
        <f>IFERROR(__xludf.DUMMYFUNCTION("""COMPUTED_VALUE"""),9.186516)</f>
        <v>9.186516</v>
      </c>
      <c r="G604">
        <v>2.0</v>
      </c>
      <c r="H604">
        <v>0.0</v>
      </c>
      <c r="J604">
        <f t="shared" si="8"/>
        <v>2</v>
      </c>
    </row>
    <row r="605">
      <c r="A605" s="10" t="s">
        <v>1323</v>
      </c>
      <c r="B605">
        <f t="shared" si="1"/>
        <v>45.4</v>
      </c>
      <c r="C605">
        <f>IFERROR(__xludf.DUMMYFUNCTION("""COMPUTED_VALUE"""),9.2)</f>
        <v>9.2</v>
      </c>
      <c r="I605">
        <v>1.0</v>
      </c>
      <c r="J605">
        <f t="shared" si="8"/>
        <v>1</v>
      </c>
    </row>
    <row r="606">
      <c r="A606" t="s">
        <v>1324</v>
      </c>
      <c r="B606">
        <f t="shared" si="1"/>
        <v>45.467276</v>
      </c>
      <c r="C606">
        <f>IFERROR(__xludf.DUMMYFUNCTION("""COMPUTED_VALUE"""),7.880059)</f>
        <v>7.880059</v>
      </c>
      <c r="G606">
        <v>1.0</v>
      </c>
      <c r="H606">
        <v>0.0</v>
      </c>
      <c r="J606">
        <f t="shared" si="8"/>
        <v>1</v>
      </c>
    </row>
    <row r="607">
      <c r="A607" t="s">
        <v>1325</v>
      </c>
      <c r="B607">
        <f t="shared" si="1"/>
        <v>45.472519</v>
      </c>
      <c r="C607">
        <f>IFERROR(__xludf.DUMMYFUNCTION("""COMPUTED_VALUE"""),10.531554)</f>
        <v>10.531554</v>
      </c>
      <c r="H607">
        <v>1.0</v>
      </c>
      <c r="J607">
        <f t="shared" si="8"/>
        <v>1</v>
      </c>
    </row>
    <row r="608">
      <c r="A608" t="s">
        <v>1329</v>
      </c>
      <c r="B608">
        <f t="shared" si="1"/>
        <v>45.493488</v>
      </c>
      <c r="C608">
        <f>IFERROR(__xludf.DUMMYFUNCTION("""COMPUTED_VALUE"""),12.246318)</f>
        <v>12.246318</v>
      </c>
      <c r="H608">
        <v>3.0</v>
      </c>
      <c r="J608">
        <f t="shared" si="8"/>
        <v>3</v>
      </c>
    </row>
    <row r="609">
      <c r="A609" t="s">
        <v>1330</v>
      </c>
      <c r="B609">
        <f t="shared" si="1"/>
        <v>45.545479</v>
      </c>
      <c r="C609">
        <f>IFERROR(__xludf.DUMMYFUNCTION("""COMPUTED_VALUE"""),11.535421)</f>
        <v>11.535421</v>
      </c>
      <c r="H609">
        <v>2.0</v>
      </c>
      <c r="J609">
        <f t="shared" si="8"/>
        <v>2</v>
      </c>
    </row>
    <row r="610">
      <c r="A610" t="s">
        <v>1331</v>
      </c>
      <c r="B610">
        <f t="shared" si="1"/>
        <v>45.59834</v>
      </c>
      <c r="C610">
        <f>IFERROR(__xludf.DUMMYFUNCTION("""COMPUTED_VALUE"""),8.914248)</f>
        <v>8.914248</v>
      </c>
      <c r="H610">
        <v>0.0</v>
      </c>
      <c r="I610">
        <v>5.0</v>
      </c>
      <c r="J610">
        <f t="shared" si="8"/>
        <v>5</v>
      </c>
    </row>
    <row r="611">
      <c r="A611" t="s">
        <v>1332</v>
      </c>
      <c r="B611">
        <f t="shared" si="1"/>
        <v>45.611892</v>
      </c>
      <c r="C611">
        <f>IFERROR(__xludf.DUMMYFUNCTION("""COMPUTED_VALUE"""),8.853127)</f>
        <v>8.853127</v>
      </c>
      <c r="G611">
        <v>1.0</v>
      </c>
      <c r="H611">
        <v>0.0</v>
      </c>
      <c r="J611">
        <f t="shared" si="8"/>
        <v>1</v>
      </c>
    </row>
    <row r="612">
      <c r="A612" t="s">
        <v>1334</v>
      </c>
      <c r="B612">
        <f t="shared" si="1"/>
        <v>45.649502</v>
      </c>
      <c r="C612">
        <f>IFERROR(__xludf.DUMMYFUNCTION("""COMPUTED_VALUE"""),0.12473)</f>
        <v>0.12473</v>
      </c>
      <c r="D612">
        <v>1.0</v>
      </c>
      <c r="H612">
        <v>0.0</v>
      </c>
      <c r="J612">
        <f t="shared" si="8"/>
        <v>1</v>
      </c>
    </row>
    <row r="613">
      <c r="A613" t="s">
        <v>1336</v>
      </c>
      <c r="B613">
        <f t="shared" si="1"/>
        <v>45.698264</v>
      </c>
      <c r="C613">
        <f>IFERROR(__xludf.DUMMYFUNCTION("""COMPUTED_VALUE"""),9.67727)</f>
        <v>9.67727</v>
      </c>
      <c r="G613">
        <v>1.0</v>
      </c>
      <c r="H613">
        <v>0.0</v>
      </c>
      <c r="J613">
        <f t="shared" si="8"/>
        <v>1</v>
      </c>
    </row>
    <row r="614">
      <c r="A614" t="s">
        <v>1337</v>
      </c>
      <c r="B614">
        <f t="shared" si="1"/>
        <v>45.7283752</v>
      </c>
      <c r="C614">
        <f>IFERROR(__xludf.DUMMYFUNCTION("""COMPUTED_VALUE"""),5.0131031)</f>
        <v>5.0131031</v>
      </c>
      <c r="H614">
        <v>1.0</v>
      </c>
      <c r="J614">
        <f t="shared" si="8"/>
        <v>1</v>
      </c>
    </row>
    <row r="615">
      <c r="A615" t="s">
        <v>1338</v>
      </c>
      <c r="B615">
        <f t="shared" si="1"/>
        <v>45.764898</v>
      </c>
      <c r="C615">
        <f>IFERROR(__xludf.DUMMYFUNCTION("""COMPUTED_VALUE"""),3.309457)</f>
        <v>3.309457</v>
      </c>
      <c r="H615">
        <v>17.0</v>
      </c>
      <c r="J615">
        <f t="shared" si="8"/>
        <v>17</v>
      </c>
    </row>
    <row r="616">
      <c r="A616" t="s">
        <v>1339</v>
      </c>
      <c r="B616">
        <f t="shared" si="1"/>
        <v>45.928847</v>
      </c>
      <c r="C616">
        <f>IFERROR(__xludf.DUMMYFUNCTION("""COMPUTED_VALUE"""),24.929615)</f>
        <v>24.929615</v>
      </c>
      <c r="H616">
        <v>4.0</v>
      </c>
      <c r="J616">
        <f t="shared" si="8"/>
        <v>4</v>
      </c>
    </row>
    <row r="617">
      <c r="A617" t="s">
        <v>1342</v>
      </c>
      <c r="B617">
        <f t="shared" si="1"/>
        <v>45.940181</v>
      </c>
      <c r="C617">
        <f>IFERROR(__xludf.DUMMYFUNCTION("""COMPUTED_VALUE"""),13.620175)</f>
        <v>13.620175</v>
      </c>
      <c r="H617">
        <v>2.0</v>
      </c>
      <c r="J617">
        <f t="shared" si="8"/>
        <v>2</v>
      </c>
    </row>
    <row r="618">
      <c r="A618" t="s">
        <v>1343</v>
      </c>
      <c r="B618">
        <f t="shared" si="1"/>
        <v>46.151241</v>
      </c>
      <c r="C618">
        <f>IFERROR(__xludf.DUMMYFUNCTION("""COMPUTED_VALUE"""),14.995463)</f>
        <v>14.995463</v>
      </c>
      <c r="H618">
        <v>1.0</v>
      </c>
      <c r="J618">
        <f t="shared" si="8"/>
        <v>1</v>
      </c>
    </row>
    <row r="619">
      <c r="A619" t="s">
        <v>1344</v>
      </c>
      <c r="B619">
        <f t="shared" si="1"/>
        <v>46.1861871</v>
      </c>
      <c r="C619">
        <f>IFERROR(__xludf.DUMMYFUNCTION("""COMPUTED_VALUE"""),20.0312352)</f>
        <v>20.0312352</v>
      </c>
      <c r="H619">
        <v>0.0</v>
      </c>
      <c r="I619">
        <v>1.0</v>
      </c>
      <c r="J619">
        <f t="shared" si="8"/>
        <v>1</v>
      </c>
    </row>
    <row r="620">
      <c r="A620" t="s">
        <v>1345</v>
      </c>
      <c r="B620">
        <f t="shared" si="1"/>
        <v>46.198392</v>
      </c>
      <c r="C620">
        <f>IFERROR(__xludf.DUMMYFUNCTION("""COMPUTED_VALUE"""),6.142296)</f>
        <v>6.142296</v>
      </c>
      <c r="H620">
        <v>2.0</v>
      </c>
      <c r="J620">
        <f t="shared" si="8"/>
        <v>2</v>
      </c>
    </row>
    <row r="621">
      <c r="A621" s="10" t="s">
        <v>1346</v>
      </c>
      <c r="B621">
        <f t="shared" si="1"/>
        <v>46.1</v>
      </c>
      <c r="C621">
        <f>IFERROR(__xludf.DUMMYFUNCTION("""COMPUTED_VALUE"""),6.1)</f>
        <v>6.1</v>
      </c>
      <c r="I621">
        <v>1.0</v>
      </c>
      <c r="J621">
        <f t="shared" si="8"/>
        <v>1</v>
      </c>
    </row>
    <row r="622">
      <c r="A622" t="s">
        <v>1350</v>
      </c>
      <c r="B622">
        <f t="shared" si="1"/>
        <v>46.198494</v>
      </c>
      <c r="C622">
        <f>IFERROR(__xludf.DUMMYFUNCTION("""COMPUTED_VALUE"""),9.026918)</f>
        <v>9.026918</v>
      </c>
      <c r="G622">
        <v>1.0</v>
      </c>
      <c r="H622">
        <v>0.0</v>
      </c>
      <c r="J622">
        <f t="shared" si="8"/>
        <v>1</v>
      </c>
    </row>
    <row r="623">
      <c r="A623" t="s">
        <v>1351</v>
      </c>
      <c r="B623">
        <f t="shared" si="1"/>
        <v>46.227638</v>
      </c>
      <c r="C623">
        <f>IFERROR(__xludf.DUMMYFUNCTION("""COMPUTED_VALUE"""),2.213749)</f>
        <v>2.213749</v>
      </c>
      <c r="H623">
        <v>3.0</v>
      </c>
      <c r="J623">
        <f t="shared" si="8"/>
        <v>3</v>
      </c>
    </row>
    <row r="624">
      <c r="A624" s="10" t="s">
        <v>1352</v>
      </c>
      <c r="B624">
        <f t="shared" si="1"/>
        <v>46.2</v>
      </c>
      <c r="C624">
        <f>IFERROR(__xludf.DUMMYFUNCTION("""COMPUTED_VALUE"""),2.3)</f>
        <v>2.3</v>
      </c>
      <c r="G624">
        <v>1.0</v>
      </c>
      <c r="J624">
        <f t="shared" si="8"/>
        <v>1</v>
      </c>
    </row>
    <row r="625">
      <c r="A625" s="10" t="s">
        <v>1356</v>
      </c>
      <c r="B625">
        <f t="shared" si="1"/>
        <v>46.1</v>
      </c>
      <c r="C625">
        <f>IFERROR(__xludf.DUMMYFUNCTION("""COMPUTED_VALUE"""),2.2)</f>
        <v>2.2</v>
      </c>
      <c r="I625">
        <v>4.0</v>
      </c>
      <c r="J625">
        <f t="shared" si="8"/>
        <v>4</v>
      </c>
    </row>
    <row r="626">
      <c r="A626" t="s">
        <v>1357</v>
      </c>
      <c r="B626">
        <f t="shared" si="1"/>
        <v>46.369718</v>
      </c>
      <c r="C626">
        <f>IFERROR(__xludf.DUMMYFUNCTION("""COMPUTED_VALUE"""),10.126025)</f>
        <v>10.126025</v>
      </c>
      <c r="H626">
        <v>1.0</v>
      </c>
      <c r="J626">
        <f t="shared" si="8"/>
        <v>1</v>
      </c>
    </row>
    <row r="627">
      <c r="A627" t="s">
        <v>1358</v>
      </c>
      <c r="B627">
        <f t="shared" si="1"/>
        <v>46.60856</v>
      </c>
      <c r="C627">
        <f>IFERROR(__xludf.DUMMYFUNCTION("""COMPUTED_VALUE"""),13.85062)</f>
        <v>13.85062</v>
      </c>
      <c r="G627">
        <v>1.0</v>
      </c>
      <c r="H627">
        <v>0.0</v>
      </c>
      <c r="J627">
        <f t="shared" si="8"/>
        <v>1</v>
      </c>
    </row>
    <row r="628">
      <c r="A628" t="s">
        <v>1359</v>
      </c>
      <c r="B628">
        <f t="shared" si="1"/>
        <v>46.62794</v>
      </c>
      <c r="C628">
        <f>IFERROR(__xludf.DUMMYFUNCTION("""COMPUTED_VALUE"""),14.30899)</f>
        <v>14.30899</v>
      </c>
      <c r="E628">
        <v>1.0</v>
      </c>
      <c r="H628">
        <v>0.0</v>
      </c>
      <c r="J628">
        <f t="shared" si="8"/>
        <v>1</v>
      </c>
    </row>
    <row r="629">
      <c r="A629" t="s">
        <v>1363</v>
      </c>
      <c r="B629">
        <f t="shared" si="1"/>
        <v>46.656987</v>
      </c>
      <c r="C629">
        <f>IFERROR(__xludf.DUMMYFUNCTION("""COMPUTED_VALUE"""),9.578026)</f>
        <v>9.578026</v>
      </c>
      <c r="G629">
        <v>1.0</v>
      </c>
      <c r="H629">
        <v>0.0</v>
      </c>
      <c r="J629">
        <f t="shared" si="8"/>
        <v>1</v>
      </c>
    </row>
    <row r="630">
      <c r="A630" t="s">
        <v>1365</v>
      </c>
      <c r="B630">
        <f t="shared" si="1"/>
        <v>46.7822</v>
      </c>
      <c r="C630">
        <f>IFERROR(__xludf.DUMMYFUNCTION("""COMPUTED_VALUE"""),8.56939)</f>
        <v>8.56939</v>
      </c>
      <c r="H630">
        <v>1.0</v>
      </c>
      <c r="J630">
        <f t="shared" si="8"/>
        <v>1</v>
      </c>
    </row>
    <row r="631">
      <c r="A631" t="s">
        <v>1366</v>
      </c>
      <c r="B631">
        <f t="shared" si="1"/>
        <v>46.784013</v>
      </c>
      <c r="C631">
        <f>IFERROR(__xludf.DUMMYFUNCTION("""COMPUTED_VALUE"""),21.401367)</f>
        <v>21.401367</v>
      </c>
      <c r="H631">
        <v>0.0</v>
      </c>
      <c r="I631">
        <v>3.0</v>
      </c>
      <c r="J631">
        <f t="shared" si="8"/>
        <v>3</v>
      </c>
    </row>
    <row r="632">
      <c r="A632" t="s">
        <v>1367</v>
      </c>
      <c r="B632">
        <f t="shared" si="1"/>
        <v>46.896129</v>
      </c>
      <c r="C632">
        <f>IFERROR(__xludf.DUMMYFUNCTION("""COMPUTED_VALUE"""),8.244838)</f>
        <v>8.244838</v>
      </c>
      <c r="G632">
        <v>1.0</v>
      </c>
      <c r="H632">
        <v>0.0</v>
      </c>
      <c r="J632">
        <f t="shared" si="8"/>
        <v>1</v>
      </c>
    </row>
    <row r="633">
      <c r="A633" t="s">
        <v>1368</v>
      </c>
      <c r="B633">
        <f t="shared" si="1"/>
        <v>46.99576</v>
      </c>
      <c r="C633">
        <f>IFERROR(__xludf.DUMMYFUNCTION("""COMPUTED_VALUE"""),7.08635)</f>
        <v>7.08635</v>
      </c>
      <c r="G633">
        <v>1.0</v>
      </c>
      <c r="H633">
        <v>0.0</v>
      </c>
      <c r="J633">
        <f t="shared" si="8"/>
        <v>1</v>
      </c>
    </row>
    <row r="634">
      <c r="A634" t="s">
        <v>1370</v>
      </c>
      <c r="B634">
        <f t="shared" si="1"/>
        <v>47.162494</v>
      </c>
      <c r="C634">
        <f>IFERROR(__xludf.DUMMYFUNCTION("""COMPUTED_VALUE"""),19.503304)</f>
        <v>19.503304</v>
      </c>
      <c r="H634">
        <v>1.0</v>
      </c>
      <c r="J634">
        <f t="shared" si="8"/>
        <v>1</v>
      </c>
    </row>
    <row r="635">
      <c r="A635" s="10" t="s">
        <v>1371</v>
      </c>
      <c r="B635">
        <f t="shared" si="1"/>
        <v>47.16</v>
      </c>
      <c r="C635">
        <f>IFERROR(__xludf.DUMMYFUNCTION("""COMPUTED_VALUE"""),19.4)</f>
        <v>19.4</v>
      </c>
      <c r="E635">
        <v>1.0</v>
      </c>
      <c r="J635">
        <f t="shared" si="8"/>
        <v>1</v>
      </c>
    </row>
    <row r="636">
      <c r="A636" s="10" t="s">
        <v>1372</v>
      </c>
      <c r="B636">
        <f t="shared" si="1"/>
        <v>47.2</v>
      </c>
      <c r="C636">
        <f>IFERROR(__xludf.DUMMYFUNCTION("""COMPUTED_VALUE"""),19.6)</f>
        <v>19.6</v>
      </c>
      <c r="G636">
        <v>1.0</v>
      </c>
      <c r="J636">
        <f t="shared" si="8"/>
        <v>1</v>
      </c>
    </row>
    <row r="637">
      <c r="A637" t="s">
        <v>1373</v>
      </c>
      <c r="B637">
        <f t="shared" si="1"/>
        <v>47.19133</v>
      </c>
      <c r="C637">
        <f>IFERROR(__xludf.DUMMYFUNCTION("""COMPUTED_VALUE"""),8.856004)</f>
        <v>8.856004</v>
      </c>
      <c r="G637">
        <v>1.0</v>
      </c>
      <c r="H637">
        <v>0.0</v>
      </c>
      <c r="J637">
        <f t="shared" si="8"/>
        <v>1</v>
      </c>
    </row>
    <row r="638">
      <c r="A638" t="s">
        <v>1374</v>
      </c>
      <c r="B638">
        <f t="shared" si="1"/>
        <v>47.225671</v>
      </c>
      <c r="C638">
        <f>IFERROR(__xludf.DUMMYFUNCTION("""COMPUTED_VALUE"""),8.982832)</f>
        <v>8.982832</v>
      </c>
      <c r="H638">
        <v>1.0</v>
      </c>
      <c r="J638">
        <f t="shared" si="8"/>
        <v>1</v>
      </c>
    </row>
    <row r="639">
      <c r="A639" t="s">
        <v>1375</v>
      </c>
      <c r="B639">
        <f t="shared" si="1"/>
        <v>47.230685</v>
      </c>
      <c r="C639">
        <f>IFERROR(__xludf.DUMMYFUNCTION("""COMPUTED_VALUE"""),16.621844)</f>
        <v>16.621844</v>
      </c>
      <c r="H639">
        <v>1.0</v>
      </c>
      <c r="J639">
        <f t="shared" si="8"/>
        <v>1</v>
      </c>
    </row>
    <row r="640">
      <c r="A640" t="s">
        <v>1377</v>
      </c>
      <c r="B640">
        <f t="shared" si="1"/>
        <v>47.36865</v>
      </c>
      <c r="C640">
        <f>IFERROR(__xludf.DUMMYFUNCTION("""COMPUTED_VALUE"""),8.539183)</f>
        <v>8.539183</v>
      </c>
      <c r="G640">
        <v>8.0</v>
      </c>
      <c r="J640">
        <f t="shared" si="8"/>
        <v>8</v>
      </c>
    </row>
    <row r="641">
      <c r="A641" s="10" t="s">
        <v>1378</v>
      </c>
      <c r="B641">
        <f t="shared" si="1"/>
        <v>47.39</v>
      </c>
      <c r="C641">
        <f>IFERROR(__xludf.DUMMYFUNCTION("""COMPUTED_VALUE"""),8.5)</f>
        <v>8.5</v>
      </c>
      <c r="H641">
        <v>2.0</v>
      </c>
      <c r="J641">
        <f t="shared" si="8"/>
        <v>2</v>
      </c>
    </row>
    <row r="642">
      <c r="A642" t="s">
        <v>1379</v>
      </c>
      <c r="B642">
        <f t="shared" si="1"/>
        <v>47.43235</v>
      </c>
      <c r="C642">
        <f>IFERROR(__xludf.DUMMYFUNCTION("""COMPUTED_VALUE"""),8.76459)</f>
        <v>8.76459</v>
      </c>
      <c r="H642">
        <v>0.0</v>
      </c>
      <c r="I642">
        <v>1.0</v>
      </c>
      <c r="J642">
        <f t="shared" si="8"/>
        <v>1</v>
      </c>
    </row>
    <row r="643">
      <c r="A643" t="s">
        <v>1380</v>
      </c>
      <c r="B643">
        <f t="shared" si="1"/>
        <v>47.433177</v>
      </c>
      <c r="C643">
        <f>IFERROR(__xludf.DUMMYFUNCTION("""COMPUTED_VALUE"""),19.26214)</f>
        <v>19.26214</v>
      </c>
      <c r="H643">
        <v>1.0</v>
      </c>
      <c r="J643">
        <f t="shared" si="8"/>
        <v>1</v>
      </c>
    </row>
    <row r="644">
      <c r="A644" t="s">
        <v>1382</v>
      </c>
      <c r="B644">
        <f t="shared" si="1"/>
        <v>47.45149</v>
      </c>
      <c r="C644">
        <f>IFERROR(__xludf.DUMMYFUNCTION("""COMPUTED_VALUE"""),9.16126)</f>
        <v>9.16126</v>
      </c>
      <c r="H644">
        <v>1.0</v>
      </c>
      <c r="J644">
        <f t="shared" si="8"/>
        <v>1</v>
      </c>
    </row>
    <row r="645">
      <c r="A645" t="s">
        <v>1384</v>
      </c>
      <c r="B645">
        <f t="shared" si="1"/>
        <v>47.516231</v>
      </c>
      <c r="C645">
        <f>IFERROR(__xludf.DUMMYFUNCTION("""COMPUTED_VALUE"""),14.550072)</f>
        <v>14.550072</v>
      </c>
      <c r="E645">
        <v>2.0</v>
      </c>
      <c r="H645">
        <v>0.0</v>
      </c>
      <c r="J645">
        <f t="shared" si="8"/>
        <v>2</v>
      </c>
    </row>
    <row r="646">
      <c r="A646" s="10" t="s">
        <v>1385</v>
      </c>
      <c r="B646">
        <f t="shared" si="1"/>
        <v>47.5</v>
      </c>
      <c r="C646">
        <f>IFERROR(__xludf.DUMMYFUNCTION("""COMPUTED_VALUE"""),14.6)</f>
        <v>14.6</v>
      </c>
      <c r="D646">
        <v>1.0</v>
      </c>
      <c r="J646">
        <f t="shared" si="8"/>
        <v>1</v>
      </c>
    </row>
    <row r="647">
      <c r="A647" s="10" t="s">
        <v>1386</v>
      </c>
      <c r="B647">
        <f t="shared" si="1"/>
        <v>47.4</v>
      </c>
      <c r="C647">
        <f>IFERROR(__xludf.DUMMYFUNCTION("""COMPUTED_VALUE"""),14.5)</f>
        <v>14.5</v>
      </c>
      <c r="G647">
        <v>1.0</v>
      </c>
      <c r="J647">
        <f t="shared" si="8"/>
        <v>1</v>
      </c>
    </row>
    <row r="648">
      <c r="A648" t="s">
        <v>1388</v>
      </c>
      <c r="B648">
        <f t="shared" si="1"/>
        <v>47.557421</v>
      </c>
      <c r="C648">
        <f>IFERROR(__xludf.DUMMYFUNCTION("""COMPUTED_VALUE"""),7.592573)</f>
        <v>7.592573</v>
      </c>
      <c r="H648">
        <v>1.0</v>
      </c>
      <c r="J648">
        <f t="shared" si="8"/>
        <v>1</v>
      </c>
    </row>
    <row r="649">
      <c r="A649" t="s">
        <v>1390</v>
      </c>
      <c r="B649">
        <f t="shared" si="1"/>
        <v>47.594657</v>
      </c>
      <c r="C649">
        <f>IFERROR(__xludf.DUMMYFUNCTION("""COMPUTED_VALUE"""),8.136299)</f>
        <v>8.136299</v>
      </c>
      <c r="G649">
        <v>2.0</v>
      </c>
      <c r="H649">
        <v>0.0</v>
      </c>
      <c r="J649">
        <f t="shared" si="8"/>
        <v>2</v>
      </c>
    </row>
    <row r="650">
      <c r="A650" t="s">
        <v>1392</v>
      </c>
      <c r="B650">
        <f t="shared" si="1"/>
        <v>47.687457</v>
      </c>
      <c r="C650">
        <f>IFERROR(__xludf.DUMMYFUNCTION("""COMPUTED_VALUE"""),17.650397)</f>
        <v>17.650397</v>
      </c>
      <c r="H650">
        <v>0.0</v>
      </c>
      <c r="I650">
        <v>1.0</v>
      </c>
      <c r="J650">
        <f t="shared" si="8"/>
        <v>1</v>
      </c>
    </row>
    <row r="651">
      <c r="A651" s="10" t="s">
        <v>1393</v>
      </c>
      <c r="B651">
        <f t="shared" si="1"/>
        <v>47.6</v>
      </c>
      <c r="C651">
        <f>IFERROR(__xludf.DUMMYFUNCTION("""COMPUTED_VALUE"""),17.7)</f>
        <v>17.7</v>
      </c>
      <c r="E651">
        <v>1.0</v>
      </c>
      <c r="J651">
        <f t="shared" si="8"/>
        <v>1</v>
      </c>
    </row>
    <row r="652">
      <c r="A652" t="s">
        <v>1394</v>
      </c>
      <c r="B652">
        <f t="shared" si="1"/>
        <v>47.7</v>
      </c>
      <c r="C652">
        <f>IFERROR(__xludf.DUMMYFUNCTION("""COMPUTED_VALUE"""),17.6)</f>
        <v>17.6</v>
      </c>
      <c r="H652">
        <v>0.0</v>
      </c>
      <c r="I652">
        <v>1.0</v>
      </c>
      <c r="J652">
        <f t="shared" si="8"/>
        <v>1</v>
      </c>
    </row>
    <row r="653">
      <c r="A653" t="s">
        <v>1395</v>
      </c>
      <c r="B653">
        <f t="shared" si="1"/>
        <v>47.707766</v>
      </c>
      <c r="C653">
        <f>IFERROR(__xludf.DUMMYFUNCTION("""COMPUTED_VALUE"""),8.641442)</f>
        <v>8.641442</v>
      </c>
      <c r="G653">
        <v>1.0</v>
      </c>
      <c r="H653">
        <v>0.0</v>
      </c>
      <c r="J653">
        <f t="shared" si="8"/>
        <v>1</v>
      </c>
    </row>
    <row r="654">
      <c r="A654" t="s">
        <v>1397</v>
      </c>
      <c r="B654">
        <f t="shared" si="1"/>
        <v>47.764064</v>
      </c>
      <c r="C654">
        <f>IFERROR(__xludf.DUMMYFUNCTION("""COMPUTED_VALUE"""),8.853396)</f>
        <v>8.853396</v>
      </c>
      <c r="G654">
        <v>1.0</v>
      </c>
      <c r="H654">
        <v>0.0</v>
      </c>
      <c r="J654">
        <f t="shared" si="8"/>
        <v>1</v>
      </c>
    </row>
    <row r="655">
      <c r="A655" t="s">
        <v>1398</v>
      </c>
      <c r="B655">
        <f t="shared" si="1"/>
        <v>47.84637</v>
      </c>
      <c r="C655">
        <f>IFERROR(__xludf.DUMMYFUNCTION("""COMPUTED_VALUE"""),16.52796)</f>
        <v>16.52796</v>
      </c>
      <c r="H655">
        <v>1.0</v>
      </c>
      <c r="J655">
        <f t="shared" si="8"/>
        <v>1</v>
      </c>
    </row>
    <row r="656">
      <c r="A656" t="s">
        <v>1399</v>
      </c>
      <c r="B656">
        <f t="shared" si="1"/>
        <v>47.899011</v>
      </c>
      <c r="C656">
        <f>IFERROR(__xludf.DUMMYFUNCTION("""COMPUTED_VALUE"""),16.909332)</f>
        <v>16.909332</v>
      </c>
      <c r="H656">
        <v>1.0</v>
      </c>
      <c r="J656">
        <f t="shared" si="8"/>
        <v>1</v>
      </c>
    </row>
    <row r="657">
      <c r="A657" t="s">
        <v>1400</v>
      </c>
      <c r="B657">
        <f t="shared" si="1"/>
        <v>48.016043</v>
      </c>
      <c r="C657">
        <f>IFERROR(__xludf.DUMMYFUNCTION("""COMPUTED_VALUE"""),16.293962)</f>
        <v>16.293962</v>
      </c>
      <c r="E657">
        <v>1.0</v>
      </c>
      <c r="H657">
        <v>0.0</v>
      </c>
      <c r="J657">
        <f t="shared" si="8"/>
        <v>1</v>
      </c>
    </row>
    <row r="658">
      <c r="A658" t="s">
        <v>1402</v>
      </c>
      <c r="B658">
        <f t="shared" si="1"/>
        <v>48.066823</v>
      </c>
      <c r="C658">
        <f>IFERROR(__xludf.DUMMYFUNCTION("""COMPUTED_VALUE"""),19.193115)</f>
        <v>19.193115</v>
      </c>
      <c r="D658">
        <v>2.0</v>
      </c>
      <c r="H658">
        <v>0.0</v>
      </c>
      <c r="J658">
        <f t="shared" si="8"/>
        <v>2</v>
      </c>
    </row>
    <row r="659">
      <c r="A659" t="s">
        <v>1407</v>
      </c>
      <c r="B659">
        <f t="shared" si="1"/>
        <v>48.09033</v>
      </c>
      <c r="C659">
        <f>IFERROR(__xludf.DUMMYFUNCTION("""COMPUTED_VALUE"""),14.61606)</f>
        <v>14.61606</v>
      </c>
      <c r="G659">
        <v>1.0</v>
      </c>
      <c r="H659">
        <v>0.0</v>
      </c>
      <c r="J659">
        <f t="shared" si="8"/>
        <v>1</v>
      </c>
    </row>
    <row r="660">
      <c r="A660" t="s">
        <v>1408</v>
      </c>
      <c r="B660">
        <f t="shared" si="1"/>
        <v>48.113475</v>
      </c>
      <c r="C660">
        <f>IFERROR(__xludf.DUMMYFUNCTION("""COMPUTED_VALUE"""),-1.675708)</f>
        <v>-1.675708</v>
      </c>
      <c r="H660">
        <v>1.0</v>
      </c>
      <c r="J660">
        <f t="shared" si="8"/>
        <v>1</v>
      </c>
    </row>
    <row r="661">
      <c r="A661" t="s">
        <v>1409</v>
      </c>
      <c r="B661">
        <f t="shared" si="1"/>
        <v>48.132108</v>
      </c>
      <c r="C661">
        <f>IFERROR(__xludf.DUMMYFUNCTION("""COMPUTED_VALUE"""),15.137272)</f>
        <v>15.137272</v>
      </c>
      <c r="E661">
        <v>1.0</v>
      </c>
      <c r="H661">
        <v>0.0</v>
      </c>
      <c r="J661">
        <f t="shared" si="8"/>
        <v>1</v>
      </c>
    </row>
    <row r="662">
      <c r="A662" t="s">
        <v>1410</v>
      </c>
      <c r="B662">
        <f t="shared" si="1"/>
        <v>48.208174</v>
      </c>
      <c r="C662">
        <f>IFERROR(__xludf.DUMMYFUNCTION("""COMPUTED_VALUE"""),16.373819)</f>
        <v>16.373819</v>
      </c>
      <c r="H662">
        <v>2.0</v>
      </c>
      <c r="J662">
        <f t="shared" si="8"/>
        <v>2</v>
      </c>
    </row>
    <row r="663">
      <c r="A663" s="10" t="s">
        <v>1411</v>
      </c>
      <c r="B663">
        <f t="shared" si="1"/>
        <v>48.2</v>
      </c>
      <c r="C663">
        <f>IFERROR(__xludf.DUMMYFUNCTION("""COMPUTED_VALUE"""),16.4)</f>
        <v>16.4</v>
      </c>
      <c r="D663">
        <v>1.0</v>
      </c>
      <c r="J663">
        <f t="shared" si="8"/>
        <v>1</v>
      </c>
    </row>
    <row r="664">
      <c r="A664" s="10" t="s">
        <v>1413</v>
      </c>
      <c r="B664">
        <f t="shared" si="1"/>
        <v>48.2</v>
      </c>
      <c r="C664">
        <f>IFERROR(__xludf.DUMMYFUNCTION("""COMPUTED_VALUE"""),16.3)</f>
        <v>16.3</v>
      </c>
      <c r="E664">
        <v>1.0</v>
      </c>
      <c r="J664">
        <f t="shared" si="8"/>
        <v>1</v>
      </c>
    </row>
    <row r="665">
      <c r="A665" s="10" t="s">
        <v>1415</v>
      </c>
      <c r="B665">
        <f t="shared" si="1"/>
        <v>48.1</v>
      </c>
      <c r="C665">
        <f>IFERROR(__xludf.DUMMYFUNCTION("""COMPUTED_VALUE"""),16.37)</f>
        <v>16.37</v>
      </c>
      <c r="G665">
        <v>2.0</v>
      </c>
      <c r="J665">
        <f t="shared" si="8"/>
        <v>2</v>
      </c>
    </row>
    <row r="666">
      <c r="A666" t="s">
        <v>1416</v>
      </c>
      <c r="B666">
        <f t="shared" si="1"/>
        <v>48.217686</v>
      </c>
      <c r="C666">
        <f>IFERROR(__xludf.DUMMYFUNCTION("""COMPUTED_VALUE"""),21.506965)</f>
        <v>21.506965</v>
      </c>
      <c r="H666">
        <v>3.0</v>
      </c>
      <c r="J666">
        <f t="shared" si="8"/>
        <v>3</v>
      </c>
    </row>
    <row r="667">
      <c r="A667" s="10" t="s">
        <v>1417</v>
      </c>
      <c r="B667">
        <f t="shared" si="1"/>
        <v>48.2</v>
      </c>
      <c r="C667">
        <f>IFERROR(__xludf.DUMMYFUNCTION("""COMPUTED_VALUE"""),21.5)</f>
        <v>21.5</v>
      </c>
      <c r="I667">
        <v>1.0</v>
      </c>
      <c r="J667">
        <f t="shared" si="8"/>
        <v>1</v>
      </c>
    </row>
    <row r="668">
      <c r="A668" t="s">
        <v>1418</v>
      </c>
      <c r="B668">
        <f t="shared" si="1"/>
        <v>48.241408</v>
      </c>
      <c r="C668">
        <f>IFERROR(__xludf.DUMMYFUNCTION("""COMPUTED_VALUE"""),22.415221)</f>
        <v>22.415221</v>
      </c>
      <c r="H668">
        <v>16.0</v>
      </c>
      <c r="J668">
        <f t="shared" si="8"/>
        <v>16</v>
      </c>
    </row>
    <row r="669">
      <c r="A669" t="s">
        <v>1419</v>
      </c>
      <c r="B669">
        <f t="shared" si="1"/>
        <v>48.30694</v>
      </c>
      <c r="C669">
        <f>IFERROR(__xludf.DUMMYFUNCTION("""COMPUTED_VALUE"""),14.28583)</f>
        <v>14.28583</v>
      </c>
      <c r="G669">
        <v>1.0</v>
      </c>
      <c r="H669">
        <v>0.0</v>
      </c>
      <c r="J669">
        <f t="shared" si="8"/>
        <v>1</v>
      </c>
    </row>
    <row r="670">
      <c r="A670" t="s">
        <v>1420</v>
      </c>
      <c r="B670">
        <f t="shared" si="1"/>
        <v>48.379433</v>
      </c>
      <c r="C670">
        <f>IFERROR(__xludf.DUMMYFUNCTION("""COMPUTED_VALUE"""),31.16558)</f>
        <v>31.16558</v>
      </c>
      <c r="H670">
        <v>1.0</v>
      </c>
      <c r="J670">
        <f t="shared" si="8"/>
        <v>1</v>
      </c>
    </row>
    <row r="671">
      <c r="A671" t="s">
        <v>1423</v>
      </c>
      <c r="B671">
        <f t="shared" si="1"/>
        <v>48.539225</v>
      </c>
      <c r="C671">
        <f>IFERROR(__xludf.DUMMYFUNCTION("""COMPUTED_VALUE"""),12.145922)</f>
        <v>12.145922</v>
      </c>
      <c r="G671">
        <v>1.0</v>
      </c>
      <c r="H671">
        <v>0.0</v>
      </c>
      <c r="J671">
        <f t="shared" si="8"/>
        <v>1</v>
      </c>
    </row>
    <row r="672">
      <c r="A672" t="s">
        <v>1424</v>
      </c>
      <c r="B672">
        <f t="shared" si="1"/>
        <v>48.583148</v>
      </c>
      <c r="C672">
        <f>IFERROR(__xludf.DUMMYFUNCTION("""COMPUTED_VALUE"""),7.747882)</f>
        <v>7.747882</v>
      </c>
      <c r="H672">
        <v>1.0</v>
      </c>
      <c r="J672">
        <f t="shared" si="8"/>
        <v>1</v>
      </c>
    </row>
    <row r="673">
      <c r="A673" t="s">
        <v>1425</v>
      </c>
      <c r="B673">
        <f t="shared" si="1"/>
        <v>48.60192</v>
      </c>
      <c r="C673">
        <f>IFERROR(__xludf.DUMMYFUNCTION("""COMPUTED_VALUE"""),17.666016)</f>
        <v>17.666016</v>
      </c>
      <c r="H673">
        <v>1.0</v>
      </c>
      <c r="J673">
        <f t="shared" si="8"/>
        <v>1</v>
      </c>
    </row>
    <row r="674">
      <c r="A674" t="s">
        <v>1431</v>
      </c>
      <c r="B674">
        <f t="shared" si="1"/>
        <v>48.669026</v>
      </c>
      <c r="C674">
        <f>IFERROR(__xludf.DUMMYFUNCTION("""COMPUTED_VALUE"""),19.699024)</f>
        <v>19.699024</v>
      </c>
      <c r="H674">
        <v>16.0</v>
      </c>
      <c r="J674">
        <f t="shared" si="8"/>
        <v>16</v>
      </c>
    </row>
    <row r="675">
      <c r="A675" t="s">
        <v>1432</v>
      </c>
      <c r="B675">
        <f t="shared" si="1"/>
        <v>48.793521</v>
      </c>
      <c r="C675">
        <f>IFERROR(__xludf.DUMMYFUNCTION("""COMPUTED_VALUE"""),17.089663)</f>
        <v>17.089663</v>
      </c>
      <c r="H675">
        <v>17.0</v>
      </c>
      <c r="J675">
        <f t="shared" si="8"/>
        <v>17</v>
      </c>
    </row>
    <row r="676">
      <c r="A676" t="s">
        <v>1433</v>
      </c>
      <c r="B676">
        <f t="shared" si="1"/>
        <v>48.847759</v>
      </c>
      <c r="C676">
        <f>IFERROR(__xludf.DUMMYFUNCTION("""COMPUTED_VALUE"""),2.439497)</f>
        <v>2.439497</v>
      </c>
      <c r="H676">
        <v>1.0</v>
      </c>
      <c r="J676">
        <f t="shared" si="8"/>
        <v>1</v>
      </c>
    </row>
    <row r="677">
      <c r="A677" t="s">
        <v>1437</v>
      </c>
      <c r="B677">
        <f t="shared" si="1"/>
        <v>48.856614</v>
      </c>
      <c r="C677">
        <f>IFERROR(__xludf.DUMMYFUNCTION("""COMPUTED_VALUE"""),2.352)</f>
        <v>2.352</v>
      </c>
      <c r="E677">
        <v>1.0</v>
      </c>
      <c r="H677">
        <v>0.0</v>
      </c>
      <c r="J677">
        <f t="shared" si="8"/>
        <v>1</v>
      </c>
    </row>
    <row r="678">
      <c r="A678" s="10" t="s">
        <v>1440</v>
      </c>
      <c r="B678">
        <f t="shared" si="1"/>
        <v>48.9</v>
      </c>
      <c r="C678">
        <f>IFERROR(__xludf.DUMMYFUNCTION("""COMPUTED_VALUE"""),2.3)</f>
        <v>2.3</v>
      </c>
      <c r="H678">
        <v>16.0</v>
      </c>
      <c r="J678">
        <f t="shared" si="8"/>
        <v>16</v>
      </c>
    </row>
    <row r="679">
      <c r="A679" s="10" t="s">
        <v>1441</v>
      </c>
      <c r="B679">
        <f t="shared" si="1"/>
        <v>48.85</v>
      </c>
      <c r="C679">
        <f>IFERROR(__xludf.DUMMYFUNCTION("""COMPUTED_VALUE"""),2.4)</f>
        <v>2.4</v>
      </c>
      <c r="I679">
        <v>9.0</v>
      </c>
      <c r="J679">
        <f t="shared" si="8"/>
        <v>9</v>
      </c>
    </row>
    <row r="680">
      <c r="A680" s="10" t="s">
        <v>1442</v>
      </c>
      <c r="B680">
        <f t="shared" si="1"/>
        <v>48.8</v>
      </c>
      <c r="C680">
        <f>IFERROR(__xludf.DUMMYFUNCTION("""COMPUTED_VALUE"""),2.3)</f>
        <v>2.3</v>
      </c>
      <c r="G680">
        <v>3.0</v>
      </c>
      <c r="J680">
        <f t="shared" si="8"/>
        <v>3</v>
      </c>
    </row>
    <row r="681">
      <c r="A681" s="10" t="s">
        <v>1444</v>
      </c>
      <c r="B681">
        <f t="shared" si="1"/>
        <v>48.89</v>
      </c>
      <c r="C681">
        <f>IFERROR(__xludf.DUMMYFUNCTION("""COMPUTED_VALUE"""),2.39)</f>
        <v>2.39</v>
      </c>
      <c r="E681">
        <v>1.0</v>
      </c>
      <c r="J681">
        <f t="shared" si="8"/>
        <v>1</v>
      </c>
    </row>
    <row r="682">
      <c r="A682" s="10" t="s">
        <v>1445</v>
      </c>
      <c r="B682">
        <f t="shared" si="1"/>
        <v>48.9</v>
      </c>
      <c r="C682">
        <f>IFERROR(__xludf.DUMMYFUNCTION("""COMPUTED_VALUE"""),2.2)</f>
        <v>2.2</v>
      </c>
      <c r="D682">
        <v>1.0</v>
      </c>
      <c r="J682">
        <f t="shared" si="8"/>
        <v>1</v>
      </c>
    </row>
    <row r="683">
      <c r="A683" t="s">
        <v>1448</v>
      </c>
      <c r="B683">
        <f t="shared" si="1"/>
        <v>48.858</v>
      </c>
      <c r="C683">
        <f>IFERROR(__xludf.DUMMYFUNCTION("""COMPUTED_VALUE"""),2.2946)</f>
        <v>2.2946</v>
      </c>
      <c r="H683">
        <v>0.0</v>
      </c>
      <c r="I683">
        <v>1.0</v>
      </c>
      <c r="J683">
        <f t="shared" si="8"/>
        <v>1</v>
      </c>
    </row>
    <row r="684">
      <c r="A684" t="s">
        <v>1449</v>
      </c>
      <c r="B684">
        <f t="shared" si="1"/>
        <v>48.9</v>
      </c>
      <c r="C684">
        <f>IFERROR(__xludf.DUMMYFUNCTION("""COMPUTED_VALUE"""),2.4)</f>
        <v>2.4</v>
      </c>
      <c r="H684">
        <v>1.0</v>
      </c>
      <c r="J684">
        <f t="shared" si="8"/>
        <v>1</v>
      </c>
    </row>
    <row r="685">
      <c r="A685" t="s">
        <v>1451</v>
      </c>
      <c r="B685">
        <f t="shared" si="1"/>
        <v>48.922062</v>
      </c>
      <c r="C685">
        <f>IFERROR(__xludf.DUMMYFUNCTION("""COMPUTED_VALUE"""),2.253331)</f>
        <v>2.253331</v>
      </c>
      <c r="D685">
        <v>1.0</v>
      </c>
      <c r="H685">
        <v>0.0</v>
      </c>
      <c r="J685">
        <f t="shared" si="8"/>
        <v>1</v>
      </c>
    </row>
    <row r="686">
      <c r="A686" t="s">
        <v>1454</v>
      </c>
      <c r="B686">
        <f t="shared" si="1"/>
        <v>48.941106</v>
      </c>
      <c r="C686">
        <f>IFERROR(__xludf.DUMMYFUNCTION("""COMPUTED_VALUE"""),2.158431)</f>
        <v>2.158431</v>
      </c>
      <c r="H686">
        <v>0.0</v>
      </c>
      <c r="I686">
        <v>1.0</v>
      </c>
      <c r="J686">
        <f t="shared" si="8"/>
        <v>1</v>
      </c>
    </row>
    <row r="687">
      <c r="A687" t="s">
        <v>1455</v>
      </c>
      <c r="B687">
        <f t="shared" si="1"/>
        <v>48.975751</v>
      </c>
      <c r="C687">
        <f>IFERROR(__xludf.DUMMYFUNCTION("""COMPUTED_VALUE"""),2.327234)</f>
        <v>2.327234</v>
      </c>
      <c r="H687">
        <v>0.0</v>
      </c>
      <c r="I687">
        <v>1.0</v>
      </c>
      <c r="J687">
        <f t="shared" si="8"/>
        <v>1</v>
      </c>
    </row>
    <row r="688">
      <c r="A688" t="s">
        <v>1456</v>
      </c>
      <c r="B688">
        <f t="shared" si="1"/>
        <v>49.06159</v>
      </c>
      <c r="C688">
        <f>IFERROR(__xludf.DUMMYFUNCTION("""COMPUTED_VALUE"""),2.158135)</f>
        <v>2.158135</v>
      </c>
      <c r="H688">
        <v>0.0</v>
      </c>
      <c r="I688">
        <v>1.0</v>
      </c>
      <c r="J688">
        <f t="shared" si="8"/>
        <v>1</v>
      </c>
    </row>
    <row r="689">
      <c r="A689" t="s">
        <v>1457</v>
      </c>
      <c r="B689">
        <f t="shared" si="1"/>
        <v>49.195098</v>
      </c>
      <c r="C689">
        <f>IFERROR(__xludf.DUMMYFUNCTION("""COMPUTED_VALUE"""),16.60673)</f>
        <v>16.60673</v>
      </c>
      <c r="H689">
        <v>2.0</v>
      </c>
      <c r="J689">
        <f t="shared" si="8"/>
        <v>2</v>
      </c>
    </row>
    <row r="690">
      <c r="A690" t="s">
        <v>1459</v>
      </c>
      <c r="B690">
        <f t="shared" si="1"/>
        <v>49.328575</v>
      </c>
      <c r="C690">
        <f>IFERROR(__xludf.DUMMYFUNCTION("""COMPUTED_VALUE"""),6.771879)</f>
        <v>6.771879</v>
      </c>
      <c r="H690">
        <v>1.0</v>
      </c>
      <c r="J690">
        <f t="shared" si="8"/>
        <v>1</v>
      </c>
    </row>
    <row r="691">
      <c r="A691" t="s">
        <v>1463</v>
      </c>
      <c r="B691">
        <f t="shared" si="1"/>
        <v>49.439453</v>
      </c>
      <c r="C691">
        <f>IFERROR(__xludf.DUMMYFUNCTION("""COMPUTED_VALUE"""),11.107278)</f>
        <v>11.107278</v>
      </c>
      <c r="H691">
        <v>1.0</v>
      </c>
      <c r="J691">
        <f t="shared" si="8"/>
        <v>1</v>
      </c>
    </row>
    <row r="692">
      <c r="A692" t="s">
        <v>1464</v>
      </c>
      <c r="B692">
        <f t="shared" si="1"/>
        <v>49.44032</v>
      </c>
      <c r="C692">
        <f>IFERROR(__xludf.DUMMYFUNCTION("""COMPUTED_VALUE"""),11.863345)</f>
        <v>11.863345</v>
      </c>
      <c r="G692">
        <v>1.0</v>
      </c>
      <c r="H692">
        <v>0.0</v>
      </c>
      <c r="J692">
        <f t="shared" si="8"/>
        <v>1</v>
      </c>
    </row>
    <row r="693">
      <c r="A693" t="s">
        <v>1465</v>
      </c>
      <c r="B693">
        <f t="shared" si="1"/>
        <v>49.45203</v>
      </c>
      <c r="C693">
        <f>IFERROR(__xludf.DUMMYFUNCTION("""COMPUTED_VALUE"""),11.07675)</f>
        <v>11.07675</v>
      </c>
      <c r="G693">
        <v>2.0</v>
      </c>
      <c r="H693">
        <v>0.0</v>
      </c>
      <c r="J693">
        <f t="shared" si="8"/>
        <v>2</v>
      </c>
    </row>
    <row r="694">
      <c r="A694" t="s">
        <v>1466</v>
      </c>
      <c r="B694">
        <f t="shared" si="1"/>
        <v>49.487459</v>
      </c>
      <c r="C694">
        <f>IFERROR(__xludf.DUMMYFUNCTION("""COMPUTED_VALUE"""),8.466039)</f>
        <v>8.466039</v>
      </c>
      <c r="H694">
        <v>1.0</v>
      </c>
      <c r="J694">
        <f t="shared" si="8"/>
        <v>1</v>
      </c>
    </row>
    <row r="695">
      <c r="A695" t="s">
        <v>1468</v>
      </c>
      <c r="B695">
        <f t="shared" si="1"/>
        <v>49.49437</v>
      </c>
      <c r="C695">
        <f>IFERROR(__xludf.DUMMYFUNCTION("""COMPUTED_VALUE"""),0.107929)</f>
        <v>0.107929</v>
      </c>
      <c r="H695">
        <v>6.0</v>
      </c>
      <c r="J695">
        <f t="shared" si="8"/>
        <v>6</v>
      </c>
    </row>
    <row r="696">
      <c r="A696" t="s">
        <v>1469</v>
      </c>
      <c r="B696">
        <f t="shared" si="1"/>
        <v>49.61001</v>
      </c>
      <c r="C696">
        <f>IFERROR(__xludf.DUMMYFUNCTION("""COMPUTED_VALUE"""),6.2588)</f>
        <v>6.2588</v>
      </c>
      <c r="E696">
        <v>1.0</v>
      </c>
      <c r="H696">
        <v>0.0</v>
      </c>
      <c r="J696">
        <f t="shared" si="8"/>
        <v>1</v>
      </c>
    </row>
    <row r="697">
      <c r="A697" t="s">
        <v>1470</v>
      </c>
      <c r="B697">
        <f t="shared" si="1"/>
        <v>49.63675</v>
      </c>
      <c r="C697">
        <f>IFERROR(__xludf.DUMMYFUNCTION("""COMPUTED_VALUE"""),14.839266)</f>
        <v>14.839266</v>
      </c>
      <c r="H697">
        <v>2.0</v>
      </c>
      <c r="J697">
        <f t="shared" si="8"/>
        <v>2</v>
      </c>
    </row>
    <row r="698">
      <c r="A698" t="s">
        <v>1471</v>
      </c>
      <c r="B698">
        <f t="shared" si="1"/>
        <v>49.651244</v>
      </c>
      <c r="C698">
        <f>IFERROR(__xludf.DUMMYFUNCTION("""COMPUTED_VALUE"""),7.163161)</f>
        <v>7.163161</v>
      </c>
      <c r="G698">
        <v>1.0</v>
      </c>
      <c r="H698">
        <v>0.0</v>
      </c>
      <c r="J698">
        <f t="shared" si="8"/>
        <v>1</v>
      </c>
    </row>
    <row r="699">
      <c r="A699" t="s">
        <v>1473</v>
      </c>
      <c r="B699">
        <f t="shared" si="1"/>
        <v>49.791595</v>
      </c>
      <c r="C699">
        <f>IFERROR(__xludf.DUMMYFUNCTION("""COMPUTED_VALUE"""),9.953571)</f>
        <v>9.953571</v>
      </c>
      <c r="G699">
        <v>2.0</v>
      </c>
      <c r="H699">
        <v>0.0</v>
      </c>
      <c r="J699">
        <f t="shared" si="8"/>
        <v>2</v>
      </c>
    </row>
    <row r="700">
      <c r="A700" t="s">
        <v>1475</v>
      </c>
      <c r="B700">
        <f t="shared" si="1"/>
        <v>49.815273</v>
      </c>
      <c r="C700">
        <f>IFERROR(__xludf.DUMMYFUNCTION("""COMPUTED_VALUE"""),6.129583)</f>
        <v>6.129583</v>
      </c>
      <c r="G700">
        <v>1.0</v>
      </c>
      <c r="H700">
        <v>0.0</v>
      </c>
      <c r="J700">
        <f t="shared" si="8"/>
        <v>1</v>
      </c>
    </row>
    <row r="701">
      <c r="A701" t="s">
        <v>1476</v>
      </c>
      <c r="B701">
        <f t="shared" si="1"/>
        <v>49.817492</v>
      </c>
      <c r="C701">
        <f>IFERROR(__xludf.DUMMYFUNCTION("""COMPUTED_VALUE"""),15.472962)</f>
        <v>15.472962</v>
      </c>
      <c r="H701">
        <v>1.0</v>
      </c>
      <c r="J701">
        <f t="shared" si="8"/>
        <v>1</v>
      </c>
    </row>
    <row r="702">
      <c r="A702" t="s">
        <v>1479</v>
      </c>
      <c r="B702">
        <f t="shared" si="1"/>
        <v>49.913334</v>
      </c>
      <c r="C702">
        <f>IFERROR(__xludf.DUMMYFUNCTION("""COMPUTED_VALUE"""),9.292279)</f>
        <v>9.292279</v>
      </c>
      <c r="G702">
        <v>1.0</v>
      </c>
      <c r="H702">
        <v>0.0</v>
      </c>
      <c r="J702">
        <f t="shared" si="8"/>
        <v>1</v>
      </c>
    </row>
    <row r="703">
      <c r="A703" t="s">
        <v>1480</v>
      </c>
      <c r="B703">
        <f t="shared" si="1"/>
        <v>49.98875</v>
      </c>
      <c r="C703">
        <f>IFERROR(__xludf.DUMMYFUNCTION("""COMPUTED_VALUE"""),8.421698)</f>
        <v>8.421698</v>
      </c>
      <c r="G703">
        <v>1.0</v>
      </c>
      <c r="H703">
        <v>0.0</v>
      </c>
      <c r="J703">
        <f t="shared" si="8"/>
        <v>1</v>
      </c>
    </row>
    <row r="704">
      <c r="A704" t="s">
        <v>1481</v>
      </c>
      <c r="B704">
        <f t="shared" si="1"/>
        <v>50.079533</v>
      </c>
      <c r="C704">
        <f>IFERROR(__xludf.DUMMYFUNCTION("""COMPUTED_VALUE"""),12.369864)</f>
        <v>12.369864</v>
      </c>
      <c r="H704">
        <v>0.0</v>
      </c>
      <c r="I704">
        <v>1.0</v>
      </c>
      <c r="J704">
        <f t="shared" si="8"/>
        <v>1</v>
      </c>
    </row>
    <row r="705">
      <c r="A705" t="s">
        <v>1483</v>
      </c>
      <c r="B705">
        <f t="shared" si="1"/>
        <v>50.083558</v>
      </c>
      <c r="C705">
        <f>IFERROR(__xludf.DUMMYFUNCTION("""COMPUTED_VALUE"""),8.469386)</f>
        <v>8.469386</v>
      </c>
      <c r="G705">
        <v>1.0</v>
      </c>
      <c r="H705">
        <v>0.0</v>
      </c>
      <c r="J705">
        <f t="shared" si="8"/>
        <v>1</v>
      </c>
    </row>
    <row r="706">
      <c r="A706" t="s">
        <v>1485</v>
      </c>
      <c r="B706">
        <f t="shared" si="1"/>
        <v>50.110922</v>
      </c>
      <c r="C706">
        <f>IFERROR(__xludf.DUMMYFUNCTION("""COMPUTED_VALUE"""),8.682127)</f>
        <v>8.682127</v>
      </c>
      <c r="H706">
        <v>3.0</v>
      </c>
      <c r="J706">
        <f t="shared" si="8"/>
        <v>3</v>
      </c>
    </row>
    <row r="707">
      <c r="A707" s="10" t="s">
        <v>1487</v>
      </c>
      <c r="B707">
        <f t="shared" si="1"/>
        <v>50.1</v>
      </c>
      <c r="C707">
        <f>IFERROR(__xludf.DUMMYFUNCTION("""COMPUTED_VALUE"""),8.7)</f>
        <v>8.7</v>
      </c>
      <c r="G707">
        <v>3.0</v>
      </c>
      <c r="J707">
        <f t="shared" si="8"/>
        <v>3</v>
      </c>
    </row>
    <row r="708">
      <c r="A708" t="s">
        <v>1488</v>
      </c>
      <c r="B708">
        <f t="shared" si="1"/>
        <v>50.155257</v>
      </c>
      <c r="C708">
        <f>IFERROR(__xludf.DUMMYFUNCTION("""COMPUTED_VALUE"""),7.783938)</f>
        <v>7.783938</v>
      </c>
      <c r="H708">
        <v>0.0</v>
      </c>
      <c r="I708">
        <v>1.0</v>
      </c>
      <c r="J708">
        <f t="shared" si="8"/>
        <v>1</v>
      </c>
    </row>
    <row r="709">
      <c r="A709" t="s">
        <v>1489</v>
      </c>
      <c r="B709">
        <f t="shared" si="1"/>
        <v>50.394047</v>
      </c>
      <c r="C709">
        <f>IFERROR(__xludf.DUMMYFUNCTION("""COMPUTED_VALUE"""),49.21875)</f>
        <v>49.21875</v>
      </c>
      <c r="H709">
        <v>1.0</v>
      </c>
      <c r="J709">
        <f t="shared" si="8"/>
        <v>1</v>
      </c>
    </row>
    <row r="710">
      <c r="A710" t="s">
        <v>1491</v>
      </c>
      <c r="B710">
        <f t="shared" si="1"/>
        <v>50.409626</v>
      </c>
      <c r="C710">
        <f>IFERROR(__xludf.DUMMYFUNCTION("""COMPUTED_VALUE"""),4.446211)</f>
        <v>4.446211</v>
      </c>
      <c r="E710">
        <v>1.0</v>
      </c>
      <c r="H710">
        <v>0.0</v>
      </c>
      <c r="J710">
        <f t="shared" si="8"/>
        <v>1</v>
      </c>
    </row>
    <row r="711">
      <c r="A711" t="s">
        <v>1492</v>
      </c>
      <c r="B711">
        <f t="shared" si="1"/>
        <v>50.41081</v>
      </c>
      <c r="C711">
        <f>IFERROR(__xludf.DUMMYFUNCTION("""COMPUTED_VALUE"""),4.444643)</f>
        <v>4.444643</v>
      </c>
      <c r="H711">
        <v>1.0</v>
      </c>
      <c r="J711">
        <f t="shared" si="8"/>
        <v>1</v>
      </c>
    </row>
    <row r="712">
      <c r="A712" t="s">
        <v>1493</v>
      </c>
      <c r="B712">
        <f t="shared" si="1"/>
        <v>50.413333</v>
      </c>
      <c r="C712">
        <f>IFERROR(__xludf.DUMMYFUNCTION("""COMPUTED_VALUE"""),12.451111)</f>
        <v>12.451111</v>
      </c>
      <c r="G712">
        <v>2.0</v>
      </c>
      <c r="H712">
        <v>0.0</v>
      </c>
      <c r="J712">
        <f t="shared" si="8"/>
        <v>2</v>
      </c>
    </row>
    <row r="713">
      <c r="A713" t="s">
        <v>1494</v>
      </c>
      <c r="B713">
        <f t="shared" si="1"/>
        <v>50.414585</v>
      </c>
      <c r="C713">
        <f>IFERROR(__xludf.DUMMYFUNCTION("""COMPUTED_VALUE"""),13.007813)</f>
        <v>13.007813</v>
      </c>
      <c r="H713">
        <v>0.0</v>
      </c>
      <c r="I713">
        <v>5.0</v>
      </c>
      <c r="J713">
        <f t="shared" si="8"/>
        <v>5</v>
      </c>
    </row>
    <row r="714">
      <c r="A714" t="s">
        <v>1495</v>
      </c>
      <c r="B714">
        <f t="shared" si="1"/>
        <v>50.482286</v>
      </c>
      <c r="C714">
        <f>IFERROR(__xludf.DUMMYFUNCTION("""COMPUTED_VALUE"""),17.329586)</f>
        <v>17.329586</v>
      </c>
      <c r="H714">
        <v>5.0</v>
      </c>
      <c r="J714">
        <f t="shared" si="8"/>
        <v>5</v>
      </c>
    </row>
    <row r="715">
      <c r="A715" t="s">
        <v>1499</v>
      </c>
      <c r="B715">
        <f t="shared" si="1"/>
        <v>50.503887</v>
      </c>
      <c r="C715">
        <f>IFERROR(__xludf.DUMMYFUNCTION("""COMPUTED_VALUE"""),4.469936)</f>
        <v>4.469936</v>
      </c>
      <c r="H715">
        <v>9.0</v>
      </c>
      <c r="J715">
        <f t="shared" si="8"/>
        <v>9</v>
      </c>
    </row>
    <row r="716">
      <c r="A716" s="10" t="s">
        <v>1500</v>
      </c>
      <c r="B716">
        <f t="shared" si="1"/>
        <v>50.5</v>
      </c>
      <c r="C716">
        <f>IFERROR(__xludf.DUMMYFUNCTION("""COMPUTED_VALUE"""),4.5)</f>
        <v>4.5</v>
      </c>
      <c r="G716">
        <v>2.0</v>
      </c>
      <c r="J716">
        <f t="shared" si="8"/>
        <v>2</v>
      </c>
    </row>
    <row r="717">
      <c r="A717" t="s">
        <v>1501</v>
      </c>
      <c r="B717">
        <f t="shared" si="1"/>
        <v>50.55581</v>
      </c>
      <c r="C717">
        <f>IFERROR(__xludf.DUMMYFUNCTION("""COMPUTED_VALUE"""),9.680845)</f>
        <v>9.680845</v>
      </c>
      <c r="H717">
        <v>2.0</v>
      </c>
      <c r="J717">
        <f t="shared" si="8"/>
        <v>2</v>
      </c>
    </row>
    <row r="718">
      <c r="A718" t="s">
        <v>1502</v>
      </c>
      <c r="B718">
        <f t="shared" si="1"/>
        <v>50.656873</v>
      </c>
      <c r="C718">
        <f>IFERROR(__xludf.DUMMYFUNCTION("""COMPUTED_VALUE"""),13.341127)</f>
        <v>13.341127</v>
      </c>
      <c r="H718">
        <v>1.0</v>
      </c>
      <c r="J718">
        <f t="shared" si="8"/>
        <v>1</v>
      </c>
    </row>
    <row r="719">
      <c r="A719" t="s">
        <v>1503</v>
      </c>
      <c r="B719">
        <f t="shared" si="1"/>
        <v>50.658799</v>
      </c>
      <c r="C719">
        <f>IFERROR(__xludf.DUMMYFUNCTION("""COMPUTED_VALUE"""),10.664964)</f>
        <v>10.664964</v>
      </c>
      <c r="H719">
        <v>1.0</v>
      </c>
      <c r="J719">
        <f t="shared" si="8"/>
        <v>1</v>
      </c>
    </row>
    <row r="720">
      <c r="A720" t="s">
        <v>1505</v>
      </c>
      <c r="B720">
        <f t="shared" si="1"/>
        <v>50.671046</v>
      </c>
      <c r="C720">
        <f>IFERROR(__xludf.DUMMYFUNCTION("""COMPUTED_VALUE"""),5.57847)</f>
        <v>5.57847</v>
      </c>
      <c r="H720">
        <v>1.0</v>
      </c>
      <c r="J720">
        <f t="shared" si="8"/>
        <v>1</v>
      </c>
    </row>
    <row r="721">
      <c r="A721" s="10" t="s">
        <v>1507</v>
      </c>
      <c r="B721">
        <f t="shared" si="1"/>
        <v>50.7</v>
      </c>
      <c r="C721">
        <f>IFERROR(__xludf.DUMMYFUNCTION("""COMPUTED_VALUE"""),5.58)</f>
        <v>5.58</v>
      </c>
      <c r="G721">
        <v>1.0</v>
      </c>
      <c r="J721">
        <f t="shared" si="8"/>
        <v>1</v>
      </c>
    </row>
    <row r="722">
      <c r="A722" t="s">
        <v>1508</v>
      </c>
      <c r="B722">
        <f t="shared" si="1"/>
        <v>50.728872</v>
      </c>
      <c r="C722">
        <f>IFERROR(__xludf.DUMMYFUNCTION("""COMPUTED_VALUE"""),12.375184)</f>
        <v>12.375184</v>
      </c>
      <c r="H722">
        <v>0.0</v>
      </c>
      <c r="I722">
        <v>1.0</v>
      </c>
      <c r="J722">
        <f t="shared" si="8"/>
        <v>1</v>
      </c>
    </row>
    <row r="723">
      <c r="A723" t="s">
        <v>1509</v>
      </c>
      <c r="B723">
        <f t="shared" si="1"/>
        <v>50.746259</v>
      </c>
      <c r="C723">
        <f>IFERROR(__xludf.DUMMYFUNCTION("""COMPUTED_VALUE"""),-2.21973)</f>
        <v>-2.21973</v>
      </c>
      <c r="G723">
        <v>1.0</v>
      </c>
      <c r="H723">
        <v>0.0</v>
      </c>
      <c r="J723">
        <f t="shared" si="8"/>
        <v>1</v>
      </c>
    </row>
    <row r="724">
      <c r="A724" t="s">
        <v>1511</v>
      </c>
      <c r="B724">
        <f t="shared" si="1"/>
        <v>50.767197</v>
      </c>
      <c r="C724">
        <f>IFERROR(__xludf.DUMMYFUNCTION("""COMPUTED_VALUE"""),13.532895)</f>
        <v>13.532895</v>
      </c>
      <c r="H724">
        <v>1.0</v>
      </c>
      <c r="J724">
        <f t="shared" si="8"/>
        <v>1</v>
      </c>
    </row>
    <row r="725">
      <c r="A725" t="s">
        <v>1513</v>
      </c>
      <c r="B725">
        <f t="shared" si="1"/>
        <v>50.768035</v>
      </c>
      <c r="C725">
        <f>IFERROR(__xludf.DUMMYFUNCTION("""COMPUTED_VALUE"""),0.290472)</f>
        <v>0.290472</v>
      </c>
      <c r="H725">
        <v>1.0</v>
      </c>
      <c r="J725">
        <f t="shared" si="8"/>
        <v>1</v>
      </c>
    </row>
    <row r="726">
      <c r="A726" t="s">
        <v>1515</v>
      </c>
      <c r="B726">
        <f t="shared" si="1"/>
        <v>50.769517</v>
      </c>
      <c r="C726">
        <f>IFERROR(__xludf.DUMMYFUNCTION("""COMPUTED_VALUE"""),1.610207)</f>
        <v>1.610207</v>
      </c>
      <c r="H726">
        <v>1.0</v>
      </c>
      <c r="J726">
        <f t="shared" si="8"/>
        <v>1</v>
      </c>
    </row>
    <row r="727">
      <c r="A727" t="s">
        <v>1516</v>
      </c>
      <c r="B727">
        <f t="shared" si="1"/>
        <v>50.787551</v>
      </c>
      <c r="C727">
        <f>IFERROR(__xludf.DUMMYFUNCTION("""COMPUTED_VALUE"""),-1.124062)</f>
        <v>-1.124062</v>
      </c>
      <c r="G727">
        <v>1.0</v>
      </c>
      <c r="J727">
        <f t="shared" si="8"/>
        <v>1</v>
      </c>
    </row>
    <row r="728">
      <c r="A728" s="10" t="s">
        <v>1518</v>
      </c>
      <c r="B728">
        <f t="shared" si="1"/>
        <v>50.7</v>
      </c>
      <c r="C728">
        <f>IFERROR(__xludf.DUMMYFUNCTION("""COMPUTED_VALUE"""),-1.1)</f>
        <v>-1.1</v>
      </c>
      <c r="H728">
        <v>1.0</v>
      </c>
      <c r="J728">
        <f t="shared" si="8"/>
        <v>1</v>
      </c>
    </row>
    <row r="729">
      <c r="A729" t="s">
        <v>1521</v>
      </c>
      <c r="B729">
        <f t="shared" si="1"/>
        <v>50.81451</v>
      </c>
      <c r="C729">
        <f>IFERROR(__xludf.DUMMYFUNCTION("""COMPUTED_VALUE"""),1.704929)</f>
        <v>1.704929</v>
      </c>
      <c r="H729">
        <v>0.0</v>
      </c>
      <c r="I729">
        <v>1.0</v>
      </c>
      <c r="J729">
        <f t="shared" si="8"/>
        <v>1</v>
      </c>
    </row>
    <row r="730">
      <c r="A730" t="s">
        <v>1523</v>
      </c>
      <c r="B730">
        <f t="shared" si="1"/>
        <v>50.821854</v>
      </c>
      <c r="C730">
        <f>IFERROR(__xludf.DUMMYFUNCTION("""COMPUTED_VALUE"""),9.020215)</f>
        <v>9.020215</v>
      </c>
      <c r="G730">
        <v>1.0</v>
      </c>
      <c r="H730">
        <v>0.0</v>
      </c>
      <c r="J730">
        <f t="shared" si="8"/>
        <v>1</v>
      </c>
    </row>
    <row r="731">
      <c r="A731" t="s">
        <v>1524</v>
      </c>
      <c r="B731">
        <f t="shared" si="1"/>
        <v>50.832793</v>
      </c>
      <c r="C731">
        <f>IFERROR(__xludf.DUMMYFUNCTION("""COMPUTED_VALUE"""),9.572866)</f>
        <v>9.572866</v>
      </c>
      <c r="G731">
        <v>2.0</v>
      </c>
      <c r="H731">
        <v>0.0</v>
      </c>
      <c r="J731">
        <f t="shared" si="8"/>
        <v>2</v>
      </c>
    </row>
    <row r="732">
      <c r="A732" t="s">
        <v>1525</v>
      </c>
      <c r="B732">
        <f t="shared" si="1"/>
        <v>50.85</v>
      </c>
      <c r="C732">
        <f>IFERROR(__xludf.DUMMYFUNCTION("""COMPUTED_VALUE"""),4.33)</f>
        <v>4.33</v>
      </c>
      <c r="E732">
        <v>1.0</v>
      </c>
      <c r="H732">
        <v>0.0</v>
      </c>
      <c r="J732">
        <f t="shared" si="8"/>
        <v>1</v>
      </c>
    </row>
    <row r="733">
      <c r="A733" t="s">
        <v>1526</v>
      </c>
      <c r="B733">
        <f t="shared" si="1"/>
        <v>50.85034</v>
      </c>
      <c r="C733">
        <f>IFERROR(__xludf.DUMMYFUNCTION("""COMPUTED_VALUE"""),4.35171)</f>
        <v>4.35171</v>
      </c>
      <c r="I733">
        <v>3.0</v>
      </c>
      <c r="J733">
        <f t="shared" si="8"/>
        <v>3</v>
      </c>
    </row>
    <row r="734">
      <c r="A734" s="10" t="s">
        <v>1527</v>
      </c>
      <c r="B734">
        <f t="shared" si="1"/>
        <v>50.85</v>
      </c>
      <c r="C734">
        <f>IFERROR(__xludf.DUMMYFUNCTION("""COMPUTED_VALUE"""),4.4)</f>
        <v>4.4</v>
      </c>
      <c r="G734">
        <v>1.0</v>
      </c>
      <c r="J734">
        <f t="shared" si="8"/>
        <v>1</v>
      </c>
    </row>
    <row r="735">
      <c r="A735" s="10" t="s">
        <v>1529</v>
      </c>
      <c r="B735">
        <f t="shared" si="1"/>
        <v>50.86</v>
      </c>
      <c r="C735">
        <f>IFERROR(__xludf.DUMMYFUNCTION("""COMPUTED_VALUE"""),4.3)</f>
        <v>4.3</v>
      </c>
      <c r="H735">
        <v>1.0</v>
      </c>
      <c r="J735">
        <f t="shared" si="8"/>
        <v>1</v>
      </c>
    </row>
    <row r="736">
      <c r="A736" t="s">
        <v>1530</v>
      </c>
      <c r="B736">
        <f t="shared" si="1"/>
        <v>50.871818</v>
      </c>
      <c r="C736">
        <f>IFERROR(__xludf.DUMMYFUNCTION("""COMPUTED_VALUE"""),-0.005832)</f>
        <v>-0.005832</v>
      </c>
      <c r="G736">
        <v>1.0</v>
      </c>
      <c r="H736">
        <v>0.0</v>
      </c>
      <c r="J736">
        <f t="shared" si="8"/>
        <v>1</v>
      </c>
    </row>
    <row r="737">
      <c r="A737" t="s">
        <v>1532</v>
      </c>
      <c r="B737">
        <f t="shared" si="1"/>
        <v>50.887047</v>
      </c>
      <c r="C737">
        <f>IFERROR(__xludf.DUMMYFUNCTION("""COMPUTED_VALUE"""),14.828072)</f>
        <v>14.828072</v>
      </c>
      <c r="H737">
        <v>1.0</v>
      </c>
      <c r="J737">
        <f t="shared" si="8"/>
        <v>1</v>
      </c>
    </row>
    <row r="738">
      <c r="A738" t="s">
        <v>1533</v>
      </c>
      <c r="B738">
        <f t="shared" si="1"/>
        <v>50.9</v>
      </c>
      <c r="C738">
        <f>IFERROR(__xludf.DUMMYFUNCTION("""COMPUTED_VALUE"""),1.86)</f>
        <v>1.86</v>
      </c>
      <c r="H738">
        <v>0.0</v>
      </c>
      <c r="I738">
        <v>3.0</v>
      </c>
      <c r="J738">
        <f t="shared" si="8"/>
        <v>3</v>
      </c>
    </row>
    <row r="739">
      <c r="A739" t="s">
        <v>1534</v>
      </c>
      <c r="B739">
        <f t="shared" si="1"/>
        <v>50.9</v>
      </c>
      <c r="C739">
        <f>IFERROR(__xludf.DUMMYFUNCTION("""COMPUTED_VALUE"""),4.38)</f>
        <v>4.38</v>
      </c>
      <c r="G739">
        <v>1.0</v>
      </c>
      <c r="H739">
        <v>0.0</v>
      </c>
      <c r="J739">
        <f t="shared" si="8"/>
        <v>1</v>
      </c>
    </row>
    <row r="740">
      <c r="A740" t="s">
        <v>1535</v>
      </c>
      <c r="B740">
        <f t="shared" si="1"/>
        <v>50.900875</v>
      </c>
      <c r="C740">
        <f>IFERROR(__xludf.DUMMYFUNCTION("""COMPUTED_VALUE"""),12.765471)</f>
        <v>12.765471</v>
      </c>
      <c r="E740">
        <v>1.0</v>
      </c>
      <c r="H740">
        <v>0.0</v>
      </c>
      <c r="J740">
        <f t="shared" si="8"/>
        <v>1</v>
      </c>
    </row>
    <row r="741">
      <c r="A741" t="s">
        <v>1536</v>
      </c>
      <c r="B741">
        <f t="shared" si="1"/>
        <v>50.90793</v>
      </c>
      <c r="C741">
        <f>IFERROR(__xludf.DUMMYFUNCTION("""COMPUTED_VALUE"""),4.51349)</f>
        <v>4.51349</v>
      </c>
      <c r="H741">
        <v>1.0</v>
      </c>
      <c r="J741">
        <f t="shared" si="8"/>
        <v>1</v>
      </c>
    </row>
    <row r="742">
      <c r="A742" t="s">
        <v>1538</v>
      </c>
      <c r="B742">
        <f t="shared" si="1"/>
        <v>50.912151</v>
      </c>
      <c r="C742">
        <f>IFERROR(__xludf.DUMMYFUNCTION("""COMPUTED_VALUE"""),8.530123)</f>
        <v>8.530123</v>
      </c>
      <c r="G742">
        <v>1.0</v>
      </c>
      <c r="H742">
        <v>0.0</v>
      </c>
      <c r="J742">
        <f t="shared" si="8"/>
        <v>1</v>
      </c>
    </row>
    <row r="743">
      <c r="A743" t="s">
        <v>1541</v>
      </c>
      <c r="B743">
        <f t="shared" si="1"/>
        <v>50.917288</v>
      </c>
      <c r="C743">
        <f>IFERROR(__xludf.DUMMYFUNCTION("""COMPUTED_VALUE"""),1.824342)</f>
        <v>1.824342</v>
      </c>
      <c r="F743">
        <v>1.0</v>
      </c>
      <c r="H743">
        <v>0.0</v>
      </c>
      <c r="J743">
        <f t="shared" si="8"/>
        <v>1</v>
      </c>
    </row>
    <row r="744">
      <c r="A744" t="s">
        <v>1544</v>
      </c>
      <c r="B744">
        <f t="shared" si="1"/>
        <v>50.9247443</v>
      </c>
      <c r="C744">
        <f>IFERROR(__xludf.DUMMYFUNCTION("""COMPUTED_VALUE"""),1.8000638)</f>
        <v>1.8000638</v>
      </c>
      <c r="H744">
        <v>0.0</v>
      </c>
      <c r="I744">
        <v>1.0</v>
      </c>
      <c r="J744">
        <f t="shared" si="8"/>
        <v>1</v>
      </c>
    </row>
    <row r="745">
      <c r="A745" t="s">
        <v>1546</v>
      </c>
      <c r="B745">
        <f t="shared" si="1"/>
        <v>50.937531</v>
      </c>
      <c r="C745">
        <f>IFERROR(__xludf.DUMMYFUNCTION("""COMPUTED_VALUE"""),6.960279)</f>
        <v>6.960279</v>
      </c>
      <c r="G745">
        <v>1.0</v>
      </c>
      <c r="H745">
        <v>0.0</v>
      </c>
      <c r="J745">
        <f t="shared" si="8"/>
        <v>1</v>
      </c>
    </row>
    <row r="746">
      <c r="A746" t="s">
        <v>1547</v>
      </c>
      <c r="B746">
        <f t="shared" si="1"/>
        <v>50.946071</v>
      </c>
      <c r="C746">
        <f>IFERROR(__xludf.DUMMYFUNCTION("""COMPUTED_VALUE"""),-1.004294)</f>
        <v>-1.004294</v>
      </c>
      <c r="H746">
        <v>0.0</v>
      </c>
      <c r="I746">
        <v>1.0</v>
      </c>
      <c r="J746">
        <f t="shared" si="8"/>
        <v>1</v>
      </c>
    </row>
    <row r="747">
      <c r="A747" t="s">
        <v>1549</v>
      </c>
      <c r="B747">
        <f t="shared" si="1"/>
        <v>50.95</v>
      </c>
      <c r="C747">
        <f>IFERROR(__xludf.DUMMYFUNCTION("""COMPUTED_VALUE"""),1.95)</f>
        <v>1.95</v>
      </c>
      <c r="H747">
        <v>0.0</v>
      </c>
      <c r="I747">
        <v>1.0</v>
      </c>
      <c r="J747">
        <f t="shared" si="8"/>
        <v>1</v>
      </c>
    </row>
    <row r="748">
      <c r="A748" t="s">
        <v>1551</v>
      </c>
      <c r="B748">
        <f t="shared" si="1"/>
        <v>50.95129</v>
      </c>
      <c r="C748">
        <f>IFERROR(__xludf.DUMMYFUNCTION("""COMPUTED_VALUE"""),1.858686)</f>
        <v>1.858686</v>
      </c>
      <c r="I748">
        <v>14.0</v>
      </c>
      <c r="J748">
        <f t="shared" si="8"/>
        <v>14</v>
      </c>
    </row>
    <row r="749">
      <c r="A749" s="10" t="s">
        <v>1553</v>
      </c>
      <c r="B749">
        <f t="shared" si="1"/>
        <v>50.9</v>
      </c>
      <c r="C749">
        <f>IFERROR(__xludf.DUMMYFUNCTION("""COMPUTED_VALUE"""),1.8)</f>
        <v>1.8</v>
      </c>
      <c r="H749">
        <v>9.0</v>
      </c>
      <c r="J749">
        <f t="shared" si="8"/>
        <v>9</v>
      </c>
    </row>
    <row r="750">
      <c r="A750" s="10" t="s">
        <v>1554</v>
      </c>
      <c r="B750">
        <f t="shared" si="1"/>
        <v>50.95</v>
      </c>
      <c r="C750">
        <f>IFERROR(__xludf.DUMMYFUNCTION("""COMPUTED_VALUE"""),1.9)</f>
        <v>1.9</v>
      </c>
      <c r="F750">
        <v>2.0</v>
      </c>
      <c r="J750">
        <f t="shared" si="8"/>
        <v>2</v>
      </c>
    </row>
    <row r="751">
      <c r="A751" s="10" t="s">
        <v>1556</v>
      </c>
      <c r="B751">
        <f t="shared" si="1"/>
        <v>50.93</v>
      </c>
      <c r="C751">
        <f>IFERROR(__xludf.DUMMYFUNCTION("""COMPUTED_VALUE"""),1.85)</f>
        <v>1.85</v>
      </c>
      <c r="E751">
        <v>3.0</v>
      </c>
      <c r="J751">
        <f t="shared" si="8"/>
        <v>3</v>
      </c>
    </row>
    <row r="752">
      <c r="A752" t="s">
        <v>1558</v>
      </c>
      <c r="B752">
        <f t="shared" si="1"/>
        <v>50.954468</v>
      </c>
      <c r="C752">
        <f>IFERROR(__xludf.DUMMYFUNCTION("""COMPUTED_VALUE"""),1.862801)</f>
        <v>1.862801</v>
      </c>
      <c r="I752">
        <v>3.0</v>
      </c>
      <c r="J752">
        <f t="shared" si="8"/>
        <v>3</v>
      </c>
    </row>
    <row r="753">
      <c r="A753" s="10" t="s">
        <v>1561</v>
      </c>
      <c r="B753">
        <f t="shared" si="1"/>
        <v>50.96</v>
      </c>
      <c r="C753">
        <f>IFERROR(__xludf.DUMMYFUNCTION("""COMPUTED_VALUE"""),1.9)</f>
        <v>1.9</v>
      </c>
      <c r="H753">
        <v>1.0</v>
      </c>
      <c r="J753">
        <f t="shared" si="8"/>
        <v>1</v>
      </c>
    </row>
    <row r="754">
      <c r="A754" t="s">
        <v>1562</v>
      </c>
      <c r="B754">
        <f t="shared" si="1"/>
        <v>50.963579</v>
      </c>
      <c r="C754">
        <f>IFERROR(__xludf.DUMMYFUNCTION("""COMPUTED_VALUE"""),10.067171)</f>
        <v>10.067171</v>
      </c>
      <c r="H754">
        <v>1.0</v>
      </c>
      <c r="J754">
        <f t="shared" si="8"/>
        <v>1</v>
      </c>
    </row>
    <row r="755">
      <c r="A755" t="s">
        <v>1564</v>
      </c>
      <c r="B755">
        <f t="shared" si="1"/>
        <v>50.985315</v>
      </c>
      <c r="C755">
        <f>IFERROR(__xludf.DUMMYFUNCTION("""COMPUTED_VALUE"""),12.974056)</f>
        <v>12.974056</v>
      </c>
      <c r="G755">
        <v>1.0</v>
      </c>
      <c r="H755">
        <v>0.0</v>
      </c>
      <c r="J755">
        <f t="shared" si="8"/>
        <v>1</v>
      </c>
    </row>
    <row r="756">
      <c r="A756" t="s">
        <v>1567</v>
      </c>
      <c r="B756">
        <f t="shared" si="1"/>
        <v>51</v>
      </c>
      <c r="C756">
        <f>IFERROR(__xludf.DUMMYFUNCTION("""COMPUTED_VALUE"""),1.0)</f>
        <v>1</v>
      </c>
      <c r="H756">
        <v>0.0</v>
      </c>
      <c r="I756">
        <v>1.0</v>
      </c>
      <c r="J756">
        <f t="shared" si="8"/>
        <v>1</v>
      </c>
    </row>
    <row r="757">
      <c r="A757" t="s">
        <v>1569</v>
      </c>
      <c r="B757">
        <f t="shared" si="1"/>
        <v>51.01792</v>
      </c>
      <c r="C757">
        <f>IFERROR(__xludf.DUMMYFUNCTION("""COMPUTED_VALUE"""),2.440483)</f>
        <v>2.440483</v>
      </c>
      <c r="H757">
        <v>0.0</v>
      </c>
      <c r="I757">
        <v>1.0</v>
      </c>
      <c r="J757">
        <f t="shared" si="8"/>
        <v>1</v>
      </c>
    </row>
    <row r="758">
      <c r="A758" t="s">
        <v>1570</v>
      </c>
      <c r="B758">
        <f t="shared" si="1"/>
        <v>51.027979</v>
      </c>
      <c r="C758">
        <f>IFERROR(__xludf.DUMMYFUNCTION("""COMPUTED_VALUE"""),1.543579)</f>
        <v>1.543579</v>
      </c>
      <c r="H758">
        <v>2.0</v>
      </c>
      <c r="J758">
        <f t="shared" si="8"/>
        <v>2</v>
      </c>
    </row>
    <row r="759">
      <c r="A759" t="s">
        <v>1571</v>
      </c>
      <c r="B759">
        <f t="shared" si="1"/>
        <v>51.03</v>
      </c>
      <c r="C759">
        <f>IFERROR(__xludf.DUMMYFUNCTION("""COMPUTED_VALUE"""),2.38)</f>
        <v>2.38</v>
      </c>
      <c r="H759">
        <v>0.0</v>
      </c>
      <c r="I759">
        <v>2.0</v>
      </c>
      <c r="J759">
        <f t="shared" si="8"/>
        <v>2</v>
      </c>
    </row>
    <row r="760">
      <c r="A760" t="s">
        <v>1575</v>
      </c>
      <c r="B760">
        <f t="shared" si="1"/>
        <v>51.03456</v>
      </c>
      <c r="C760">
        <f>IFERROR(__xludf.DUMMYFUNCTION("""COMPUTED_VALUE"""),2.375202)</f>
        <v>2.375202</v>
      </c>
      <c r="I760">
        <v>2.0</v>
      </c>
      <c r="J760">
        <f t="shared" si="8"/>
        <v>2</v>
      </c>
    </row>
    <row r="761">
      <c r="A761" s="10" t="s">
        <v>1577</v>
      </c>
      <c r="B761">
        <f t="shared" si="1"/>
        <v>51</v>
      </c>
      <c r="C761">
        <f>IFERROR(__xludf.DUMMYFUNCTION("""COMPUTED_VALUE"""),2.4)</f>
        <v>2.4</v>
      </c>
      <c r="H761">
        <v>1.0</v>
      </c>
      <c r="J761">
        <f t="shared" si="8"/>
        <v>1</v>
      </c>
    </row>
    <row r="762">
      <c r="A762" t="s">
        <v>1578</v>
      </c>
      <c r="B762">
        <f t="shared" si="1"/>
        <v>51.060229</v>
      </c>
      <c r="C762">
        <f>IFERROR(__xludf.DUMMYFUNCTION("""COMPUTED_VALUE"""),-0.343955)</f>
        <v>-0.343955</v>
      </c>
      <c r="H762">
        <v>1.0</v>
      </c>
      <c r="J762">
        <f t="shared" si="8"/>
        <v>1</v>
      </c>
    </row>
    <row r="763">
      <c r="A763" t="s">
        <v>1579</v>
      </c>
      <c r="B763">
        <f t="shared" si="1"/>
        <v>51.081397</v>
      </c>
      <c r="C763">
        <f>IFERROR(__xludf.DUMMYFUNCTION("""COMPUTED_VALUE"""),1.169456)</f>
        <v>1.169456</v>
      </c>
      <c r="H763">
        <v>0.0</v>
      </c>
      <c r="I763">
        <v>1.0</v>
      </c>
      <c r="J763">
        <f t="shared" si="8"/>
        <v>1</v>
      </c>
    </row>
    <row r="764">
      <c r="A764" t="s">
        <v>1580</v>
      </c>
      <c r="B764">
        <f t="shared" si="1"/>
        <v>51.081398</v>
      </c>
      <c r="C764">
        <f>IFERROR(__xludf.DUMMYFUNCTION("""COMPUTED_VALUE"""),1.169456)</f>
        <v>1.169456</v>
      </c>
      <c r="H764">
        <v>2.0</v>
      </c>
      <c r="J764">
        <f t="shared" si="8"/>
        <v>2</v>
      </c>
    </row>
    <row r="765">
      <c r="A765" t="s">
        <v>1583</v>
      </c>
      <c r="B765">
        <f t="shared" si="1"/>
        <v>51.103951</v>
      </c>
      <c r="C765">
        <f>IFERROR(__xludf.DUMMYFUNCTION("""COMPUTED_VALUE"""),14.235404)</f>
        <v>14.235404</v>
      </c>
      <c r="H765">
        <v>1.0</v>
      </c>
      <c r="J765">
        <f t="shared" si="8"/>
        <v>1</v>
      </c>
    </row>
    <row r="766">
      <c r="A766" t="s">
        <v>1585</v>
      </c>
      <c r="B766">
        <f t="shared" si="1"/>
        <v>51.12509</v>
      </c>
      <c r="C766">
        <f>IFERROR(__xludf.DUMMYFUNCTION("""COMPUTED_VALUE"""),5.367066)</f>
        <v>5.367066</v>
      </c>
      <c r="G766">
        <v>1.0</v>
      </c>
      <c r="H766">
        <v>0.0</v>
      </c>
      <c r="J766">
        <f t="shared" si="8"/>
        <v>1</v>
      </c>
    </row>
    <row r="767">
      <c r="A767" t="s">
        <v>1586</v>
      </c>
      <c r="B767">
        <f t="shared" si="1"/>
        <v>51.127876</v>
      </c>
      <c r="C767">
        <f>IFERROR(__xludf.DUMMYFUNCTION("""COMPUTED_VALUE"""),1.313403)</f>
        <v>1.313403</v>
      </c>
      <c r="H767">
        <v>3.0</v>
      </c>
      <c r="J767">
        <f t="shared" si="8"/>
        <v>3</v>
      </c>
    </row>
    <row r="768">
      <c r="A768" s="10" t="s">
        <v>1589</v>
      </c>
      <c r="B768">
        <f t="shared" si="1"/>
        <v>51.13</v>
      </c>
      <c r="C768">
        <f>IFERROR(__xludf.DUMMYFUNCTION("""COMPUTED_VALUE"""),1.3)</f>
        <v>1.3</v>
      </c>
      <c r="E768">
        <v>1.0</v>
      </c>
      <c r="J768">
        <f t="shared" si="8"/>
        <v>1</v>
      </c>
    </row>
    <row r="769">
      <c r="A769" s="10" t="s">
        <v>1590</v>
      </c>
      <c r="B769">
        <f t="shared" si="1"/>
        <v>51.12</v>
      </c>
      <c r="C769">
        <f>IFERROR(__xludf.DUMMYFUNCTION("""COMPUTED_VALUE"""),1.35)</f>
        <v>1.35</v>
      </c>
      <c r="I769">
        <v>2.0</v>
      </c>
      <c r="J769">
        <f t="shared" si="8"/>
        <v>2</v>
      </c>
    </row>
    <row r="770">
      <c r="A770" t="s">
        <v>1591</v>
      </c>
      <c r="B770">
        <f t="shared" si="1"/>
        <v>51.127876</v>
      </c>
      <c r="C770">
        <f>IFERROR(__xludf.DUMMYFUNCTION("""COMPUTED_VALUE"""),3.1)</f>
        <v>3.1</v>
      </c>
      <c r="H770">
        <v>58.0</v>
      </c>
      <c r="J770">
        <f t="shared" si="8"/>
        <v>58</v>
      </c>
    </row>
    <row r="771">
      <c r="A771" t="s">
        <v>1592</v>
      </c>
      <c r="B771">
        <f t="shared" si="1"/>
        <v>51.155455</v>
      </c>
      <c r="C771">
        <f>IFERROR(__xludf.DUMMYFUNCTION("""COMPUTED_VALUE"""),-0.165058)</f>
        <v>-0.165058</v>
      </c>
      <c r="H771">
        <v>0.0</v>
      </c>
      <c r="I771">
        <v>6.0</v>
      </c>
      <c r="J771">
        <f t="shared" si="8"/>
        <v>6</v>
      </c>
    </row>
    <row r="772">
      <c r="A772" t="s">
        <v>1596</v>
      </c>
      <c r="B772">
        <f t="shared" si="1"/>
        <v>51.156388</v>
      </c>
      <c r="C772">
        <f>IFERROR(__xludf.DUMMYFUNCTION("""COMPUTED_VALUE"""),-0.160135)</f>
        <v>-0.160135</v>
      </c>
      <c r="H772">
        <v>0.0</v>
      </c>
      <c r="I772">
        <v>1.0</v>
      </c>
      <c r="J772">
        <f t="shared" si="8"/>
        <v>1</v>
      </c>
    </row>
    <row r="773">
      <c r="A773" t="s">
        <v>1599</v>
      </c>
      <c r="B773">
        <f t="shared" si="1"/>
        <v>51.165691</v>
      </c>
      <c r="C773">
        <f>IFERROR(__xludf.DUMMYFUNCTION("""COMPUTED_VALUE"""),10.451526)</f>
        <v>10.451526</v>
      </c>
      <c r="H773">
        <v>2.0</v>
      </c>
      <c r="J773">
        <f t="shared" si="8"/>
        <v>2</v>
      </c>
    </row>
    <row r="774">
      <c r="A774" s="10" t="s">
        <v>1600</v>
      </c>
      <c r="B774">
        <f t="shared" si="1"/>
        <v>51.16</v>
      </c>
      <c r="C774">
        <f>IFERROR(__xludf.DUMMYFUNCTION("""COMPUTED_VALUE"""),10.44)</f>
        <v>10.44</v>
      </c>
      <c r="D774">
        <v>1.0</v>
      </c>
      <c r="J774">
        <f t="shared" si="8"/>
        <v>1</v>
      </c>
    </row>
    <row r="775">
      <c r="A775" s="10" t="s">
        <v>1601</v>
      </c>
      <c r="B775">
        <f t="shared" si="1"/>
        <v>51.166</v>
      </c>
      <c r="C775">
        <f>IFERROR(__xludf.DUMMYFUNCTION("""COMPUTED_VALUE"""),10.45)</f>
        <v>10.45</v>
      </c>
      <c r="G775">
        <v>4.0</v>
      </c>
      <c r="J775">
        <f t="shared" si="8"/>
        <v>4</v>
      </c>
    </row>
    <row r="776">
      <c r="A776" s="10" t="s">
        <v>1605</v>
      </c>
      <c r="B776">
        <f t="shared" si="1"/>
        <v>51.2</v>
      </c>
      <c r="C776">
        <f>IFERROR(__xludf.DUMMYFUNCTION("""COMPUTED_VALUE"""),10.5)</f>
        <v>10.5</v>
      </c>
      <c r="I776">
        <v>1.0</v>
      </c>
      <c r="J776">
        <f t="shared" si="8"/>
        <v>1</v>
      </c>
    </row>
    <row r="777">
      <c r="A777" t="s">
        <v>1607</v>
      </c>
      <c r="B777">
        <f t="shared" si="1"/>
        <v>51.16809</v>
      </c>
      <c r="C777">
        <f>IFERROR(__xludf.DUMMYFUNCTION("""COMPUTED_VALUE"""),7.126517)</f>
        <v>7.126517</v>
      </c>
      <c r="H777">
        <v>1.0</v>
      </c>
      <c r="J777">
        <f t="shared" si="8"/>
        <v>1</v>
      </c>
    </row>
    <row r="778">
      <c r="A778" t="s">
        <v>1608</v>
      </c>
      <c r="B778">
        <f t="shared" si="1"/>
        <v>51.182293</v>
      </c>
      <c r="C778">
        <f>IFERROR(__xludf.DUMMYFUNCTION("""COMPUTED_VALUE"""),14.423775)</f>
        <v>14.423775</v>
      </c>
      <c r="G778">
        <v>1.0</v>
      </c>
      <c r="H778">
        <v>0.0</v>
      </c>
      <c r="J778">
        <f t="shared" si="8"/>
        <v>1</v>
      </c>
    </row>
    <row r="779">
      <c r="A779" t="s">
        <v>1609</v>
      </c>
      <c r="B779">
        <f t="shared" si="1"/>
        <v>51.187666</v>
      </c>
      <c r="C779">
        <f>IFERROR(__xludf.DUMMYFUNCTION("""COMPUTED_VALUE"""),10.039773)</f>
        <v>10.039773</v>
      </c>
      <c r="H779">
        <v>0.0</v>
      </c>
      <c r="I779">
        <v>1.0</v>
      </c>
      <c r="J779">
        <f t="shared" si="8"/>
        <v>1</v>
      </c>
    </row>
    <row r="780">
      <c r="A780" t="s">
        <v>1610</v>
      </c>
      <c r="B780">
        <f t="shared" si="1"/>
        <v>51.204197</v>
      </c>
      <c r="C780">
        <f>IFERROR(__xludf.DUMMYFUNCTION("""COMPUTED_VALUE"""),6.687951)</f>
        <v>6.687951</v>
      </c>
      <c r="G780">
        <v>1.0</v>
      </c>
      <c r="H780">
        <v>0.0</v>
      </c>
      <c r="J780">
        <f t="shared" si="8"/>
        <v>1</v>
      </c>
    </row>
    <row r="781">
      <c r="A781" t="s">
        <v>1614</v>
      </c>
      <c r="B781">
        <f t="shared" si="1"/>
        <v>51.227741</v>
      </c>
      <c r="C781">
        <f>IFERROR(__xludf.DUMMYFUNCTION("""COMPUTED_VALUE"""),6.773456)</f>
        <v>6.773456</v>
      </c>
      <c r="H781">
        <v>0.0</v>
      </c>
      <c r="I781">
        <v>1.0</v>
      </c>
      <c r="J781">
        <f t="shared" si="8"/>
        <v>1</v>
      </c>
    </row>
    <row r="782">
      <c r="A782" t="s">
        <v>1616</v>
      </c>
      <c r="B782">
        <f t="shared" si="1"/>
        <v>51.302229</v>
      </c>
      <c r="C782">
        <f>IFERROR(__xludf.DUMMYFUNCTION("""COMPUTED_VALUE"""),-3.867187)</f>
        <v>-3.867187</v>
      </c>
      <c r="H782">
        <v>1.0</v>
      </c>
      <c r="J782">
        <f t="shared" si="8"/>
        <v>1</v>
      </c>
    </row>
    <row r="783">
      <c r="A783" t="s">
        <v>1617</v>
      </c>
      <c r="B783">
        <f t="shared" si="1"/>
        <v>51.35819</v>
      </c>
      <c r="C783">
        <f>IFERROR(__xludf.DUMMYFUNCTION("""COMPUTED_VALUE"""),4.863547)</f>
        <v>4.863547</v>
      </c>
      <c r="G783">
        <v>4.0</v>
      </c>
      <c r="H783">
        <v>0.0</v>
      </c>
      <c r="J783">
        <f t="shared" si="8"/>
        <v>4</v>
      </c>
    </row>
    <row r="784">
      <c r="A784" t="s">
        <v>1618</v>
      </c>
      <c r="B784">
        <f t="shared" si="1"/>
        <v>51.389646</v>
      </c>
      <c r="C784">
        <f>IFERROR(__xludf.DUMMYFUNCTION("""COMPUTED_VALUE"""),1.386834)</f>
        <v>1.386834</v>
      </c>
      <c r="G784">
        <v>1.0</v>
      </c>
      <c r="H784">
        <v>0.0</v>
      </c>
      <c r="J784">
        <f t="shared" si="8"/>
        <v>1</v>
      </c>
    </row>
    <row r="785">
      <c r="A785" t="s">
        <v>1619</v>
      </c>
      <c r="B785">
        <f t="shared" si="1"/>
        <v>51.4025</v>
      </c>
      <c r="C785">
        <f>IFERROR(__xludf.DUMMYFUNCTION("""COMPUTED_VALUE"""),8.641667)</f>
        <v>8.641667</v>
      </c>
      <c r="H785">
        <v>8.0</v>
      </c>
      <c r="J785">
        <f t="shared" si="8"/>
        <v>8</v>
      </c>
    </row>
    <row r="786">
      <c r="A786" t="s">
        <v>1620</v>
      </c>
      <c r="B786">
        <f t="shared" si="1"/>
        <v>51.409994</v>
      </c>
      <c r="C786">
        <f>IFERROR(__xludf.DUMMYFUNCTION("""COMPUTED_VALUE"""),-0.687312)</f>
        <v>-0.687312</v>
      </c>
      <c r="G786">
        <v>1.0</v>
      </c>
      <c r="H786">
        <v>0.0</v>
      </c>
      <c r="J786">
        <f t="shared" si="8"/>
        <v>1</v>
      </c>
    </row>
    <row r="787">
      <c r="A787" t="s">
        <v>1623</v>
      </c>
      <c r="B787">
        <f t="shared" si="1"/>
        <v>51.441642</v>
      </c>
      <c r="C787">
        <f>IFERROR(__xludf.DUMMYFUNCTION("""COMPUTED_VALUE"""),5.469722)</f>
        <v>5.469722</v>
      </c>
      <c r="H787">
        <v>1.0</v>
      </c>
      <c r="J787">
        <f t="shared" si="8"/>
        <v>1</v>
      </c>
    </row>
    <row r="788">
      <c r="A788" t="s">
        <v>1625</v>
      </c>
      <c r="B788">
        <f t="shared" si="1"/>
        <v>51.453667</v>
      </c>
      <c r="C788">
        <f>IFERROR(__xludf.DUMMYFUNCTION("""COMPUTED_VALUE"""),3.570912)</f>
        <v>3.570912</v>
      </c>
      <c r="G788">
        <v>1.0</v>
      </c>
      <c r="H788">
        <v>0.0</v>
      </c>
      <c r="J788">
        <f t="shared" si="8"/>
        <v>1</v>
      </c>
    </row>
    <row r="789">
      <c r="A789" t="s">
        <v>1626</v>
      </c>
      <c r="B789">
        <f t="shared" si="1"/>
        <v>51.454513</v>
      </c>
      <c r="C789">
        <f>IFERROR(__xludf.DUMMYFUNCTION("""COMPUTED_VALUE"""),-2.58791)</f>
        <v>-2.58791</v>
      </c>
      <c r="G789">
        <v>2.0</v>
      </c>
      <c r="H789">
        <v>0.0</v>
      </c>
      <c r="J789">
        <f t="shared" si="8"/>
        <v>2</v>
      </c>
    </row>
    <row r="790">
      <c r="A790" t="s">
        <v>1627</v>
      </c>
      <c r="B790">
        <f t="shared" si="1"/>
        <v>51.455643</v>
      </c>
      <c r="C790">
        <f>IFERROR(__xludf.DUMMYFUNCTION("""COMPUTED_VALUE"""),7.011555)</f>
        <v>7.011555</v>
      </c>
      <c r="H790">
        <v>1.0</v>
      </c>
      <c r="J790">
        <f t="shared" si="8"/>
        <v>1</v>
      </c>
    </row>
    <row r="791">
      <c r="A791" t="s">
        <v>1628</v>
      </c>
      <c r="B791">
        <f t="shared" si="1"/>
        <v>51.457072</v>
      </c>
      <c r="C791">
        <f>IFERROR(__xludf.DUMMYFUNCTION("""COMPUTED_VALUE"""),-0.181782)</f>
        <v>-0.181782</v>
      </c>
      <c r="G791">
        <v>1.0</v>
      </c>
      <c r="H791">
        <v>0.0</v>
      </c>
      <c r="J791">
        <f t="shared" si="8"/>
        <v>1</v>
      </c>
    </row>
    <row r="792">
      <c r="A792" t="s">
        <v>1630</v>
      </c>
      <c r="B792">
        <f t="shared" si="1"/>
        <v>51.458832</v>
      </c>
      <c r="C792">
        <f>IFERROR(__xludf.DUMMYFUNCTION("""COMPUTED_VALUE"""),-0.10972)</f>
        <v>-0.10972</v>
      </c>
      <c r="D792">
        <v>1.0</v>
      </c>
      <c r="H792">
        <v>0.0</v>
      </c>
      <c r="J792">
        <f t="shared" si="8"/>
        <v>1</v>
      </c>
    </row>
    <row r="793">
      <c r="A793" t="s">
        <v>1634</v>
      </c>
      <c r="B793">
        <f t="shared" si="1"/>
        <v>51.46046</v>
      </c>
      <c r="C793">
        <f>IFERROR(__xludf.DUMMYFUNCTION("""COMPUTED_VALUE"""),0.344943)</f>
        <v>0.344943</v>
      </c>
      <c r="H793">
        <v>1.0</v>
      </c>
      <c r="J793">
        <f t="shared" si="8"/>
        <v>1</v>
      </c>
    </row>
    <row r="794">
      <c r="A794" t="s">
        <v>1635</v>
      </c>
      <c r="B794">
        <f t="shared" si="1"/>
        <v>51.47238</v>
      </c>
      <c r="C794">
        <f>IFERROR(__xludf.DUMMYFUNCTION("""COMPUTED_VALUE"""),-0.45094)</f>
        <v>-0.45094</v>
      </c>
      <c r="H794">
        <v>5.0</v>
      </c>
      <c r="J794">
        <f t="shared" si="8"/>
        <v>5</v>
      </c>
    </row>
    <row r="795">
      <c r="A795" s="10" t="s">
        <v>1641</v>
      </c>
      <c r="B795">
        <f t="shared" si="1"/>
        <v>51.4</v>
      </c>
      <c r="C795">
        <f>IFERROR(__xludf.DUMMYFUNCTION("""COMPUTED_VALUE"""),-0.4)</f>
        <v>-0.4</v>
      </c>
      <c r="I795">
        <v>7.0</v>
      </c>
      <c r="J795">
        <f t="shared" si="8"/>
        <v>7</v>
      </c>
    </row>
    <row r="796">
      <c r="A796" s="10" t="s">
        <v>1642</v>
      </c>
      <c r="B796">
        <f t="shared" si="1"/>
        <v>51.5</v>
      </c>
      <c r="C796">
        <f>IFERROR(__xludf.DUMMYFUNCTION("""COMPUTED_VALUE"""),-0.45)</f>
        <v>-0.45</v>
      </c>
      <c r="G796">
        <v>1.0</v>
      </c>
      <c r="J796">
        <f t="shared" si="8"/>
        <v>1</v>
      </c>
    </row>
    <row r="797">
      <c r="A797" t="s">
        <v>1645</v>
      </c>
      <c r="B797">
        <f t="shared" si="1"/>
        <v>51.481969</v>
      </c>
      <c r="C797">
        <f>IFERROR(__xludf.DUMMYFUNCTION("""COMPUTED_VALUE"""),-0.526243)</f>
        <v>-0.526243</v>
      </c>
      <c r="H797">
        <v>2.0</v>
      </c>
      <c r="J797">
        <f t="shared" si="8"/>
        <v>2</v>
      </c>
    </row>
    <row r="798">
      <c r="A798" s="10" t="s">
        <v>1647</v>
      </c>
      <c r="B798">
        <f t="shared" si="1"/>
        <v>51.48</v>
      </c>
      <c r="C798">
        <f>IFERROR(__xludf.DUMMYFUNCTION("""COMPUTED_VALUE"""),-0.5)</f>
        <v>-0.5</v>
      </c>
      <c r="G798">
        <v>1.0</v>
      </c>
      <c r="J798">
        <f t="shared" si="8"/>
        <v>1</v>
      </c>
    </row>
    <row r="799">
      <c r="A799" t="s">
        <v>1648</v>
      </c>
      <c r="B799">
        <f t="shared" si="1"/>
        <v>51.48309</v>
      </c>
      <c r="C799">
        <f>IFERROR(__xludf.DUMMYFUNCTION("""COMPUTED_VALUE"""),-0.483529)</f>
        <v>-0.483529</v>
      </c>
      <c r="H799">
        <v>1.0</v>
      </c>
      <c r="J799">
        <f t="shared" si="8"/>
        <v>1</v>
      </c>
    </row>
    <row r="800">
      <c r="A800" s="10" t="s">
        <v>1649</v>
      </c>
      <c r="B800">
        <f t="shared" si="1"/>
        <v>51.48</v>
      </c>
      <c r="C800">
        <f>IFERROR(__xludf.DUMMYFUNCTION("""COMPUTED_VALUE"""),-0.49)</f>
        <v>-0.49</v>
      </c>
      <c r="E800">
        <v>1.0</v>
      </c>
      <c r="J800">
        <f t="shared" si="8"/>
        <v>1</v>
      </c>
    </row>
    <row r="801">
      <c r="A801" t="s">
        <v>1654</v>
      </c>
      <c r="B801">
        <f t="shared" si="1"/>
        <v>51.484807</v>
      </c>
      <c r="C801">
        <f>IFERROR(__xludf.DUMMYFUNCTION("""COMPUTED_VALUE"""),0.087142)</f>
        <v>0.087142</v>
      </c>
      <c r="H801">
        <v>0.0</v>
      </c>
      <c r="I801">
        <v>1.0</v>
      </c>
      <c r="J801">
        <f t="shared" si="8"/>
        <v>1</v>
      </c>
    </row>
    <row r="802">
      <c r="A802" t="s">
        <v>1655</v>
      </c>
      <c r="B802">
        <f t="shared" si="1"/>
        <v>51.487453</v>
      </c>
      <c r="C802">
        <f>IFERROR(__xludf.DUMMYFUNCTION("""COMPUTED_VALUE"""),-0.475554)</f>
        <v>-0.475554</v>
      </c>
      <c r="G802">
        <v>3.0</v>
      </c>
      <c r="H802">
        <v>0.0</v>
      </c>
      <c r="J802">
        <f t="shared" si="8"/>
        <v>3</v>
      </c>
    </row>
    <row r="803">
      <c r="A803" s="10" t="s">
        <v>1656</v>
      </c>
      <c r="B803">
        <f t="shared" si="1"/>
        <v>51.49</v>
      </c>
      <c r="C803">
        <f>IFERROR(__xludf.DUMMYFUNCTION("""COMPUTED_VALUE"""),-0.47)</f>
        <v>-0.47</v>
      </c>
      <c r="E803">
        <v>1.0</v>
      </c>
      <c r="J803">
        <f t="shared" si="8"/>
        <v>1</v>
      </c>
    </row>
    <row r="804">
      <c r="A804" t="s">
        <v>1659</v>
      </c>
      <c r="B804">
        <f t="shared" si="1"/>
        <v>51.488623</v>
      </c>
      <c r="C804">
        <f>IFERROR(__xludf.DUMMYFUNCTION("""COMPUTED_VALUE"""),0.461426)</f>
        <v>0.461426</v>
      </c>
      <c r="G804">
        <v>2.0</v>
      </c>
      <c r="H804">
        <v>0.0</v>
      </c>
      <c r="J804">
        <f t="shared" si="8"/>
        <v>2</v>
      </c>
    </row>
    <row r="805">
      <c r="A805" t="s">
        <v>1660</v>
      </c>
      <c r="B805">
        <f t="shared" si="1"/>
        <v>51.497303</v>
      </c>
      <c r="C805">
        <f>IFERROR(__xludf.DUMMYFUNCTION("""COMPUTED_VALUE"""),0.0899)</f>
        <v>0.0899</v>
      </c>
      <c r="G805">
        <v>1.0</v>
      </c>
      <c r="H805">
        <v>0.0</v>
      </c>
      <c r="J805">
        <f t="shared" si="8"/>
        <v>1</v>
      </c>
    </row>
    <row r="806">
      <c r="A806" t="s">
        <v>1662</v>
      </c>
      <c r="B806">
        <f t="shared" si="1"/>
        <v>51.511214</v>
      </c>
      <c r="C806">
        <f>IFERROR(__xludf.DUMMYFUNCTION("""COMPUTED_VALUE"""),-0.119824)</f>
        <v>-0.119824</v>
      </c>
      <c r="H806">
        <v>4.0</v>
      </c>
      <c r="J806">
        <f t="shared" si="8"/>
        <v>4</v>
      </c>
    </row>
    <row r="807">
      <c r="A807" s="10" t="s">
        <v>1664</v>
      </c>
      <c r="B807">
        <f t="shared" si="1"/>
        <v>51.511</v>
      </c>
      <c r="C807">
        <f>IFERROR(__xludf.DUMMYFUNCTION("""COMPUTED_VALUE"""),-0.119)</f>
        <v>-0.119</v>
      </c>
      <c r="G807">
        <v>3.0</v>
      </c>
      <c r="J807">
        <f t="shared" si="8"/>
        <v>3</v>
      </c>
    </row>
    <row r="808">
      <c r="A808" s="10" t="s">
        <v>1665</v>
      </c>
      <c r="B808">
        <f t="shared" si="1"/>
        <v>51.52</v>
      </c>
      <c r="C808">
        <f>IFERROR(__xludf.DUMMYFUNCTION("""COMPUTED_VALUE"""),-0.16)</f>
        <v>-0.16</v>
      </c>
      <c r="I808">
        <v>2.0</v>
      </c>
      <c r="J808">
        <f t="shared" si="8"/>
        <v>2</v>
      </c>
    </row>
    <row r="809">
      <c r="A809" t="s">
        <v>1669</v>
      </c>
      <c r="B809">
        <f t="shared" si="1"/>
        <v>51.519411</v>
      </c>
      <c r="C809">
        <f>IFERROR(__xludf.DUMMYFUNCTION("""COMPUTED_VALUE"""),-0.126966)</f>
        <v>-0.126966</v>
      </c>
      <c r="G809">
        <v>1.0</v>
      </c>
      <c r="H809">
        <v>0.0</v>
      </c>
      <c r="J809">
        <f t="shared" si="8"/>
        <v>1</v>
      </c>
    </row>
    <row r="810">
      <c r="A810" t="s">
        <v>1672</v>
      </c>
      <c r="B810">
        <f t="shared" si="1"/>
        <v>51.590352</v>
      </c>
      <c r="C810">
        <f>IFERROR(__xludf.DUMMYFUNCTION("""COMPUTED_VALUE"""),-0.119725)</f>
        <v>-0.119725</v>
      </c>
      <c r="G810">
        <v>3.0</v>
      </c>
      <c r="H810">
        <v>0.0</v>
      </c>
      <c r="J810">
        <f t="shared" si="8"/>
        <v>3</v>
      </c>
    </row>
    <row r="811">
      <c r="A811" t="s">
        <v>1673</v>
      </c>
      <c r="B811">
        <f t="shared" si="1"/>
        <v>51.645269</v>
      </c>
      <c r="C811">
        <f>IFERROR(__xludf.DUMMYFUNCTION("""COMPUTED_VALUE"""),5.956666)</f>
        <v>5.956666</v>
      </c>
      <c r="H811">
        <v>1.0</v>
      </c>
      <c r="J811">
        <f t="shared" si="8"/>
        <v>1</v>
      </c>
    </row>
    <row r="812">
      <c r="A812" t="s">
        <v>1675</v>
      </c>
      <c r="B812">
        <f t="shared" si="1"/>
        <v>51.653306</v>
      </c>
      <c r="C812">
        <f>IFERROR(__xludf.DUMMYFUNCTION("""COMPUTED_VALUE"""),5.294347)</f>
        <v>5.294347</v>
      </c>
      <c r="H812">
        <v>1.0</v>
      </c>
      <c r="J812">
        <f t="shared" si="8"/>
        <v>1</v>
      </c>
    </row>
    <row r="813">
      <c r="A813" t="s">
        <v>1678</v>
      </c>
      <c r="B813">
        <f t="shared" si="1"/>
        <v>51.687568</v>
      </c>
      <c r="C813">
        <f>IFERROR(__xludf.DUMMYFUNCTION("""COMPUTED_VALUE"""),5.298033)</f>
        <v>5.298033</v>
      </c>
      <c r="G813">
        <v>1.0</v>
      </c>
      <c r="H813">
        <v>0.0</v>
      </c>
      <c r="J813">
        <f t="shared" si="8"/>
        <v>1</v>
      </c>
    </row>
    <row r="814">
      <c r="A814" t="s">
        <v>1679</v>
      </c>
      <c r="B814">
        <f t="shared" si="1"/>
        <v>51.7</v>
      </c>
      <c r="C814">
        <f>IFERROR(__xludf.DUMMYFUNCTION("""COMPUTED_VALUE"""),-0.15)</f>
        <v>-0.15</v>
      </c>
      <c r="H814">
        <v>0.0</v>
      </c>
      <c r="I814">
        <v>1.0</v>
      </c>
      <c r="J814">
        <f t="shared" si="8"/>
        <v>1</v>
      </c>
    </row>
    <row r="815">
      <c r="A815" t="s">
        <v>1680</v>
      </c>
      <c r="B815">
        <f t="shared" si="1"/>
        <v>51.735587</v>
      </c>
      <c r="C815">
        <f>IFERROR(__xludf.DUMMYFUNCTION("""COMPUTED_VALUE"""),0.46855)</f>
        <v>0.46855</v>
      </c>
      <c r="G815">
        <v>1.0</v>
      </c>
      <c r="H815">
        <v>0.0</v>
      </c>
      <c r="J815">
        <f t="shared" si="8"/>
        <v>1</v>
      </c>
    </row>
    <row r="816">
      <c r="A816" t="s">
        <v>1681</v>
      </c>
      <c r="B816">
        <f t="shared" si="1"/>
        <v>51.765908</v>
      </c>
      <c r="C816">
        <f>IFERROR(__xludf.DUMMYFUNCTION("""COMPUTED_VALUE"""),0.667367)</f>
        <v>0.667367</v>
      </c>
      <c r="H816">
        <v>4.0</v>
      </c>
      <c r="J816">
        <f t="shared" si="8"/>
        <v>4</v>
      </c>
    </row>
    <row r="817">
      <c r="A817" t="s">
        <v>1685</v>
      </c>
      <c r="B817">
        <f t="shared" si="1"/>
        <v>51.767787</v>
      </c>
      <c r="C817">
        <f>IFERROR(__xludf.DUMMYFUNCTION("""COMPUTED_VALUE"""),0.087806)</f>
        <v>0.087806</v>
      </c>
      <c r="H817">
        <v>0.0</v>
      </c>
      <c r="I817">
        <v>1.0</v>
      </c>
      <c r="J817">
        <f t="shared" si="8"/>
        <v>1</v>
      </c>
    </row>
    <row r="818">
      <c r="A818" t="s">
        <v>1686</v>
      </c>
      <c r="B818">
        <f t="shared" si="1"/>
        <v>51.822244</v>
      </c>
      <c r="C818">
        <f>IFERROR(__xludf.DUMMYFUNCTION("""COMPUTED_VALUE"""),12.242452)</f>
        <v>12.242452</v>
      </c>
      <c r="H818">
        <v>0.0</v>
      </c>
      <c r="I818">
        <v>1.0</v>
      </c>
      <c r="J818">
        <f t="shared" si="8"/>
        <v>1</v>
      </c>
    </row>
    <row r="819">
      <c r="A819" t="s">
        <v>1688</v>
      </c>
      <c r="B819">
        <f t="shared" si="1"/>
        <v>51.871292</v>
      </c>
      <c r="C819">
        <f>IFERROR(__xludf.DUMMYFUNCTION("""COMPUTED_VALUE"""),8.647819)</f>
        <v>8.647819</v>
      </c>
      <c r="G819">
        <v>1.0</v>
      </c>
      <c r="H819">
        <v>0.0</v>
      </c>
      <c r="J819">
        <f t="shared" si="8"/>
        <v>1</v>
      </c>
    </row>
    <row r="820">
      <c r="A820" t="s">
        <v>1690</v>
      </c>
      <c r="B820">
        <f t="shared" si="1"/>
        <v>51.89439</v>
      </c>
      <c r="C820">
        <f>IFERROR(__xludf.DUMMYFUNCTION("""COMPUTED_VALUE"""),11.053734)</f>
        <v>11.053734</v>
      </c>
      <c r="H820">
        <v>1.0</v>
      </c>
      <c r="J820">
        <f t="shared" si="8"/>
        <v>1</v>
      </c>
    </row>
    <row r="821">
      <c r="A821" t="s">
        <v>1691</v>
      </c>
      <c r="B821">
        <f t="shared" si="1"/>
        <v>51.903238</v>
      </c>
      <c r="C821">
        <f>IFERROR(__xludf.DUMMYFUNCTION("""COMPUTED_VALUE"""),8.385753)</f>
        <v>8.385753</v>
      </c>
      <c r="G821">
        <v>1.0</v>
      </c>
      <c r="H821">
        <v>0.0</v>
      </c>
      <c r="J821">
        <f t="shared" si="8"/>
        <v>1</v>
      </c>
    </row>
    <row r="822">
      <c r="A822" t="s">
        <v>1692</v>
      </c>
      <c r="B822">
        <f t="shared" si="1"/>
        <v>51.919438</v>
      </c>
      <c r="C822">
        <f>IFERROR(__xludf.DUMMYFUNCTION("""COMPUTED_VALUE"""),19.145136)</f>
        <v>19.145136</v>
      </c>
      <c r="H822">
        <v>4.0</v>
      </c>
      <c r="J822">
        <f t="shared" si="8"/>
        <v>4</v>
      </c>
    </row>
    <row r="823">
      <c r="A823" t="s">
        <v>1695</v>
      </c>
      <c r="B823">
        <f t="shared" si="1"/>
        <v>51.924</v>
      </c>
      <c r="C823">
        <f>IFERROR(__xludf.DUMMYFUNCTION("""COMPUTED_VALUE"""),1.44)</f>
        <v>1.44</v>
      </c>
      <c r="H823">
        <v>2.0</v>
      </c>
      <c r="J823">
        <f t="shared" si="8"/>
        <v>2</v>
      </c>
    </row>
    <row r="824">
      <c r="A824" t="s">
        <v>1697</v>
      </c>
      <c r="B824">
        <f t="shared" si="1"/>
        <v>51.924216</v>
      </c>
      <c r="C824">
        <f>IFERROR(__xludf.DUMMYFUNCTION("""COMPUTED_VALUE"""),4.481776)</f>
        <v>4.481776</v>
      </c>
      <c r="G824">
        <v>1.0</v>
      </c>
      <c r="H824">
        <v>1.0</v>
      </c>
      <c r="J824">
        <f t="shared" si="8"/>
        <v>2</v>
      </c>
    </row>
    <row r="825">
      <c r="A825" t="s">
        <v>1698</v>
      </c>
      <c r="B825">
        <f t="shared" si="1"/>
        <v>51.942889</v>
      </c>
      <c r="C825">
        <f>IFERROR(__xludf.DUMMYFUNCTION("""COMPUTED_VALUE"""),4.447575)</f>
        <v>4.447575</v>
      </c>
      <c r="G825">
        <v>1.0</v>
      </c>
      <c r="H825">
        <v>0.0</v>
      </c>
      <c r="J825">
        <f t="shared" si="8"/>
        <v>1</v>
      </c>
    </row>
    <row r="826">
      <c r="A826" t="s">
        <v>1699</v>
      </c>
      <c r="B826">
        <f t="shared" si="1"/>
        <v>51.974449</v>
      </c>
      <c r="C826">
        <f>IFERROR(__xludf.DUMMYFUNCTION("""COMPUTED_VALUE"""),4.251163)</f>
        <v>4.251163</v>
      </c>
      <c r="G826">
        <v>1.0</v>
      </c>
      <c r="H826">
        <v>0.0</v>
      </c>
      <c r="J826">
        <f t="shared" si="8"/>
        <v>1</v>
      </c>
    </row>
    <row r="827">
      <c r="A827" t="s">
        <v>1704</v>
      </c>
      <c r="B827">
        <f t="shared" si="1"/>
        <v>52.012058</v>
      </c>
      <c r="C827">
        <f>IFERROR(__xludf.DUMMYFUNCTION("""COMPUTED_VALUE"""),5.429548)</f>
        <v>5.429548</v>
      </c>
      <c r="H827">
        <v>1.0</v>
      </c>
      <c r="J827">
        <f t="shared" si="8"/>
        <v>1</v>
      </c>
    </row>
    <row r="828">
      <c r="A828" t="s">
        <v>1706</v>
      </c>
      <c r="B828">
        <f t="shared" si="1"/>
        <v>52.031297</v>
      </c>
      <c r="C828">
        <f>IFERROR(__xludf.DUMMYFUNCTION("""COMPUTED_VALUE"""),4.659132)</f>
        <v>4.659132</v>
      </c>
      <c r="H828">
        <v>1.0</v>
      </c>
      <c r="J828">
        <f t="shared" si="8"/>
        <v>1</v>
      </c>
    </row>
    <row r="829">
      <c r="A829" t="s">
        <v>1707</v>
      </c>
      <c r="B829">
        <f t="shared" si="1"/>
        <v>52.070498</v>
      </c>
      <c r="C829">
        <f>IFERROR(__xludf.DUMMYFUNCTION("""COMPUTED_VALUE"""),4.3007)</f>
        <v>4.3007</v>
      </c>
      <c r="H829">
        <v>0.0</v>
      </c>
      <c r="I829">
        <v>1.0</v>
      </c>
      <c r="J829">
        <f t="shared" si="8"/>
        <v>1</v>
      </c>
    </row>
    <row r="830">
      <c r="A830" t="s">
        <v>1708</v>
      </c>
      <c r="B830">
        <f t="shared" si="1"/>
        <v>52.091667</v>
      </c>
      <c r="C830">
        <f>IFERROR(__xludf.DUMMYFUNCTION("""COMPUTED_VALUE"""),5.117778)</f>
        <v>5.117778</v>
      </c>
      <c r="H830">
        <v>1.0</v>
      </c>
      <c r="J830">
        <f t="shared" si="8"/>
        <v>1</v>
      </c>
    </row>
    <row r="831">
      <c r="A831" t="s">
        <v>1713</v>
      </c>
      <c r="B831">
        <f t="shared" si="1"/>
        <v>52.118759</v>
      </c>
      <c r="C831">
        <f>IFERROR(__xludf.DUMMYFUNCTION("""COMPUTED_VALUE"""),5.40633)</f>
        <v>5.40633</v>
      </c>
      <c r="H831">
        <v>1.0</v>
      </c>
      <c r="J831">
        <f t="shared" si="8"/>
        <v>1</v>
      </c>
    </row>
    <row r="832">
      <c r="A832" t="s">
        <v>1714</v>
      </c>
      <c r="B832">
        <f t="shared" si="1"/>
        <v>52.132633</v>
      </c>
      <c r="C832">
        <f>IFERROR(__xludf.DUMMYFUNCTION("""COMPUTED_VALUE"""),5.291266)</f>
        <v>5.291266</v>
      </c>
      <c r="G832">
        <v>1.0</v>
      </c>
      <c r="H832">
        <v>0.0</v>
      </c>
      <c r="J832">
        <f t="shared" si="8"/>
        <v>1</v>
      </c>
    </row>
    <row r="833">
      <c r="A833" s="10" t="s">
        <v>1716</v>
      </c>
      <c r="B833">
        <f t="shared" si="1"/>
        <v>52.14</v>
      </c>
      <c r="C833">
        <f>IFERROR(__xludf.DUMMYFUNCTION("""COMPUTED_VALUE"""),5.3)</f>
        <v>5.3</v>
      </c>
      <c r="E833">
        <v>1.0</v>
      </c>
      <c r="J833">
        <f t="shared" si="8"/>
        <v>1</v>
      </c>
    </row>
    <row r="834">
      <c r="A834" t="s">
        <v>1720</v>
      </c>
      <c r="B834">
        <f t="shared" si="1"/>
        <v>52.135973</v>
      </c>
      <c r="C834">
        <f>IFERROR(__xludf.DUMMYFUNCTION("""COMPUTED_VALUE"""),-0.466655)</f>
        <v>-0.466655</v>
      </c>
      <c r="G834">
        <v>2.0</v>
      </c>
      <c r="H834">
        <v>0.0</v>
      </c>
      <c r="J834">
        <f t="shared" si="8"/>
        <v>2</v>
      </c>
    </row>
    <row r="835">
      <c r="A835" t="s">
        <v>1721</v>
      </c>
      <c r="B835">
        <f t="shared" si="1"/>
        <v>52.143662</v>
      </c>
      <c r="C835">
        <f>IFERROR(__xludf.DUMMYFUNCTION("""COMPUTED_VALUE"""),14.641902)</f>
        <v>14.641902</v>
      </c>
      <c r="G835">
        <v>1.0</v>
      </c>
      <c r="H835">
        <v>0.0</v>
      </c>
      <c r="J835">
        <f t="shared" si="8"/>
        <v>1</v>
      </c>
    </row>
    <row r="836">
      <c r="A836" t="s">
        <v>1722</v>
      </c>
      <c r="B836">
        <f t="shared" si="1"/>
        <v>52.169628</v>
      </c>
      <c r="C836">
        <f>IFERROR(__xludf.DUMMYFUNCTION("""COMPUTED_VALUE"""),-0.503644)</f>
        <v>-0.503644</v>
      </c>
      <c r="H836">
        <v>1.0</v>
      </c>
      <c r="J836">
        <f t="shared" si="8"/>
        <v>1</v>
      </c>
    </row>
    <row r="837">
      <c r="A837" t="s">
        <v>1724</v>
      </c>
      <c r="B837">
        <f t="shared" si="1"/>
        <v>52.193566</v>
      </c>
      <c r="C837">
        <f>IFERROR(__xludf.DUMMYFUNCTION("""COMPUTED_VALUE"""),-0.482377)</f>
        <v>-0.482377</v>
      </c>
      <c r="G837">
        <v>1.0</v>
      </c>
      <c r="H837">
        <v>0.0</v>
      </c>
      <c r="J837">
        <f t="shared" si="8"/>
        <v>1</v>
      </c>
    </row>
    <row r="838">
      <c r="A838" t="s">
        <v>1729</v>
      </c>
      <c r="B838">
        <f t="shared" si="1"/>
        <v>52.218</v>
      </c>
      <c r="C838">
        <f>IFERROR(__xludf.DUMMYFUNCTION("""COMPUTED_VALUE"""),13.224975)</f>
        <v>13.224975</v>
      </c>
      <c r="G838">
        <v>1.0</v>
      </c>
      <c r="H838">
        <v>0.0</v>
      </c>
      <c r="J838">
        <f t="shared" si="8"/>
        <v>1</v>
      </c>
    </row>
    <row r="839">
      <c r="A839" t="s">
        <v>1730</v>
      </c>
      <c r="B839">
        <f t="shared" si="1"/>
        <v>52.260094</v>
      </c>
      <c r="C839">
        <f>IFERROR(__xludf.DUMMYFUNCTION("""COMPUTED_VALUE"""),0.064304)</f>
        <v>0.064304</v>
      </c>
      <c r="H839">
        <v>1.0</v>
      </c>
      <c r="J839">
        <f t="shared" si="8"/>
        <v>1</v>
      </c>
    </row>
    <row r="840">
      <c r="A840" t="s">
        <v>1731</v>
      </c>
      <c r="B840">
        <f t="shared" si="1"/>
        <v>52.276193</v>
      </c>
      <c r="C840">
        <f>IFERROR(__xludf.DUMMYFUNCTION("""COMPUTED_VALUE"""),0.096538)</f>
        <v>0.096538</v>
      </c>
      <c r="H840">
        <v>0.0</v>
      </c>
      <c r="I840">
        <v>1.0</v>
      </c>
      <c r="J840">
        <f t="shared" si="8"/>
        <v>1</v>
      </c>
    </row>
    <row r="841">
      <c r="A841" t="s">
        <v>1735</v>
      </c>
      <c r="B841">
        <f t="shared" si="1"/>
        <v>52.278385</v>
      </c>
      <c r="C841">
        <f>IFERROR(__xludf.DUMMYFUNCTION("""COMPUTED_VALUE"""),7.920044)</f>
        <v>7.920044</v>
      </c>
      <c r="G841">
        <v>1.0</v>
      </c>
      <c r="H841">
        <v>0.0</v>
      </c>
      <c r="J841">
        <f t="shared" si="8"/>
        <v>1</v>
      </c>
    </row>
    <row r="842">
      <c r="A842" t="s">
        <v>1737</v>
      </c>
      <c r="B842">
        <f t="shared" si="1"/>
        <v>52.283056</v>
      </c>
      <c r="C842">
        <f>IFERROR(__xludf.DUMMYFUNCTION("""COMPUTED_VALUE"""),13.8)</f>
        <v>13.8</v>
      </c>
      <c r="H842">
        <v>0.0</v>
      </c>
      <c r="I842">
        <v>3.0</v>
      </c>
      <c r="J842">
        <f t="shared" si="8"/>
        <v>3</v>
      </c>
    </row>
    <row r="843">
      <c r="A843" t="s">
        <v>1738</v>
      </c>
      <c r="B843">
        <f t="shared" si="1"/>
        <v>52.295891</v>
      </c>
      <c r="C843">
        <f>IFERROR(__xludf.DUMMYFUNCTION("""COMPUTED_VALUE"""),13.622838)</f>
        <v>13.622838</v>
      </c>
      <c r="H843">
        <v>6.0</v>
      </c>
      <c r="J843">
        <f t="shared" si="8"/>
        <v>6</v>
      </c>
    </row>
    <row r="844">
      <c r="A844" t="s">
        <v>1739</v>
      </c>
      <c r="B844">
        <f t="shared" si="1"/>
        <v>52.311057</v>
      </c>
      <c r="C844">
        <f>IFERROR(__xludf.DUMMYFUNCTION("""COMPUTED_VALUE"""),4.952201)</f>
        <v>4.952201</v>
      </c>
      <c r="H844">
        <v>1.0</v>
      </c>
      <c r="J844">
        <f t="shared" si="8"/>
        <v>1</v>
      </c>
    </row>
    <row r="845">
      <c r="A845" t="s">
        <v>1741</v>
      </c>
      <c r="B845">
        <f t="shared" si="1"/>
        <v>52.313025</v>
      </c>
      <c r="C845">
        <f>IFERROR(__xludf.DUMMYFUNCTION("""COMPUTED_VALUE"""),4.772477)</f>
        <v>4.772477</v>
      </c>
      <c r="H845">
        <v>0.0</v>
      </c>
      <c r="I845">
        <v>2.0</v>
      </c>
      <c r="J845">
        <f t="shared" si="8"/>
        <v>2</v>
      </c>
    </row>
    <row r="846">
      <c r="A846" s="10" t="s">
        <v>1742</v>
      </c>
      <c r="B846">
        <f t="shared" si="1"/>
        <v>52.32</v>
      </c>
      <c r="C846">
        <f>IFERROR(__xludf.DUMMYFUNCTION("""COMPUTED_VALUE"""),4.8)</f>
        <v>4.8</v>
      </c>
      <c r="G846">
        <v>2.0</v>
      </c>
      <c r="J846">
        <f t="shared" si="8"/>
        <v>2</v>
      </c>
    </row>
    <row r="847">
      <c r="A847" t="s">
        <v>1743</v>
      </c>
      <c r="B847">
        <f t="shared" si="1"/>
        <v>52.314079</v>
      </c>
      <c r="C847">
        <f>IFERROR(__xludf.DUMMYFUNCTION("""COMPUTED_VALUE"""),4.975107)</f>
        <v>4.975107</v>
      </c>
      <c r="H847">
        <v>1.0</v>
      </c>
      <c r="J847">
        <f t="shared" si="8"/>
        <v>1</v>
      </c>
    </row>
    <row r="848">
      <c r="A848" t="s">
        <v>1746</v>
      </c>
      <c r="B848">
        <f t="shared" si="1"/>
        <v>52.355518</v>
      </c>
      <c r="C848">
        <f>IFERROR(__xludf.DUMMYFUNCTION("""COMPUTED_VALUE"""),-1.17432)</f>
        <v>-1.17432</v>
      </c>
      <c r="H848">
        <v>3.0</v>
      </c>
      <c r="J848">
        <f t="shared" si="8"/>
        <v>3</v>
      </c>
    </row>
    <row r="849">
      <c r="A849" s="10" t="s">
        <v>1751</v>
      </c>
      <c r="B849">
        <f t="shared" si="1"/>
        <v>52.35</v>
      </c>
      <c r="C849">
        <f>IFERROR(__xludf.DUMMYFUNCTION("""COMPUTED_VALUE"""),-1.2)</f>
        <v>-1.2</v>
      </c>
      <c r="F849">
        <v>1.0</v>
      </c>
      <c r="J849">
        <f t="shared" si="8"/>
        <v>1</v>
      </c>
    </row>
    <row r="850">
      <c r="A850" s="10" t="s">
        <v>1752</v>
      </c>
      <c r="B850">
        <f t="shared" si="1"/>
        <v>52.36</v>
      </c>
      <c r="C850">
        <f>IFERROR(__xludf.DUMMYFUNCTION("""COMPUTED_VALUE"""),-1.1)</f>
        <v>-1.1</v>
      </c>
      <c r="I850">
        <v>2.0</v>
      </c>
      <c r="J850">
        <f t="shared" si="8"/>
        <v>2</v>
      </c>
    </row>
    <row r="851">
      <c r="A851" t="s">
        <v>1753</v>
      </c>
      <c r="B851">
        <f t="shared" si="1"/>
        <v>52.370216</v>
      </c>
      <c r="C851">
        <f>IFERROR(__xludf.DUMMYFUNCTION("""COMPUTED_VALUE"""),4.895168)</f>
        <v>4.895168</v>
      </c>
      <c r="I851">
        <v>10.0</v>
      </c>
      <c r="J851">
        <f t="shared" si="8"/>
        <v>10</v>
      </c>
    </row>
    <row r="852">
      <c r="A852" s="10" t="s">
        <v>1758</v>
      </c>
      <c r="B852">
        <f t="shared" si="1"/>
        <v>52.37</v>
      </c>
      <c r="C852">
        <f>IFERROR(__xludf.DUMMYFUNCTION("""COMPUTED_VALUE"""),4.9)</f>
        <v>4.9</v>
      </c>
      <c r="H852">
        <v>3.0</v>
      </c>
      <c r="J852">
        <f t="shared" si="8"/>
        <v>3</v>
      </c>
    </row>
    <row r="853">
      <c r="A853" s="10" t="s">
        <v>1759</v>
      </c>
      <c r="B853">
        <f t="shared" si="1"/>
        <v>52.4</v>
      </c>
      <c r="C853">
        <f>IFERROR(__xludf.DUMMYFUNCTION("""COMPUTED_VALUE"""),4.8)</f>
        <v>4.8</v>
      </c>
      <c r="G853">
        <v>1.0</v>
      </c>
      <c r="J853">
        <f t="shared" si="8"/>
        <v>1</v>
      </c>
    </row>
    <row r="854">
      <c r="A854" t="s">
        <v>1760</v>
      </c>
      <c r="B854">
        <f t="shared" si="1"/>
        <v>52.406822</v>
      </c>
      <c r="C854">
        <f>IFERROR(__xludf.DUMMYFUNCTION("""COMPUTED_VALUE"""),-1.519693)</f>
        <v>-1.519693</v>
      </c>
      <c r="G854">
        <v>1.0</v>
      </c>
      <c r="H854">
        <v>0.0</v>
      </c>
      <c r="J854">
        <f t="shared" si="8"/>
        <v>1</v>
      </c>
    </row>
    <row r="855">
      <c r="A855" t="s">
        <v>1765</v>
      </c>
      <c r="B855">
        <f t="shared" si="1"/>
        <v>52.447828</v>
      </c>
      <c r="C855">
        <f>IFERROR(__xludf.DUMMYFUNCTION("""COMPUTED_VALUE"""),9.744931)</f>
        <v>9.744931</v>
      </c>
      <c r="G855">
        <v>2.0</v>
      </c>
      <c r="H855">
        <v>0.0</v>
      </c>
      <c r="J855">
        <f t="shared" si="8"/>
        <v>2</v>
      </c>
    </row>
    <row r="856">
      <c r="A856" t="s">
        <v>1766</v>
      </c>
      <c r="B856">
        <f t="shared" si="1"/>
        <v>52.477116</v>
      </c>
      <c r="C856">
        <f>IFERROR(__xludf.DUMMYFUNCTION("""COMPUTED_VALUE"""),10.549576)</f>
        <v>10.549576</v>
      </c>
      <c r="G856">
        <v>1.0</v>
      </c>
      <c r="H856">
        <v>0.0</v>
      </c>
      <c r="J856">
        <f t="shared" si="8"/>
        <v>1</v>
      </c>
    </row>
    <row r="857">
      <c r="A857" t="s">
        <v>1767</v>
      </c>
      <c r="B857">
        <f t="shared" si="1"/>
        <v>52.486243</v>
      </c>
      <c r="C857">
        <f>IFERROR(__xludf.DUMMYFUNCTION("""COMPUTED_VALUE"""),-1.890401)</f>
        <v>-1.890401</v>
      </c>
      <c r="G857">
        <v>1.0</v>
      </c>
      <c r="H857">
        <v>1.0</v>
      </c>
      <c r="J857">
        <f t="shared" si="8"/>
        <v>2</v>
      </c>
    </row>
    <row r="858">
      <c r="A858" t="s">
        <v>1770</v>
      </c>
      <c r="B858">
        <f t="shared" si="1"/>
        <v>52.514382</v>
      </c>
      <c r="C858">
        <f>IFERROR(__xludf.DUMMYFUNCTION("""COMPUTED_VALUE"""),4.964061)</f>
        <v>4.964061</v>
      </c>
      <c r="D858">
        <v>1.0</v>
      </c>
      <c r="H858">
        <v>0.0</v>
      </c>
      <c r="J858">
        <f t="shared" si="8"/>
        <v>1</v>
      </c>
    </row>
    <row r="859">
      <c r="A859" t="s">
        <v>1771</v>
      </c>
      <c r="B859">
        <f t="shared" si="1"/>
        <v>52.516775</v>
      </c>
      <c r="C859">
        <f>IFERROR(__xludf.DUMMYFUNCTION("""COMPUTED_VALUE"""),6.083022)</f>
        <v>6.083022</v>
      </c>
      <c r="G859">
        <v>1.0</v>
      </c>
      <c r="H859">
        <v>0.0</v>
      </c>
      <c r="J859">
        <f t="shared" si="8"/>
        <v>1</v>
      </c>
    </row>
    <row r="860">
      <c r="A860" t="s">
        <v>1772</v>
      </c>
      <c r="B860">
        <f t="shared" si="1"/>
        <v>52.517664</v>
      </c>
      <c r="C860">
        <f>IFERROR(__xludf.DUMMYFUNCTION("""COMPUTED_VALUE"""),-1.995159)</f>
        <v>-1.995159</v>
      </c>
      <c r="H860">
        <v>1.0</v>
      </c>
      <c r="J860">
        <f t="shared" si="8"/>
        <v>1</v>
      </c>
    </row>
    <row r="861">
      <c r="A861" t="s">
        <v>1774</v>
      </c>
      <c r="B861">
        <f t="shared" si="1"/>
        <v>52.520007</v>
      </c>
      <c r="C861">
        <f>IFERROR(__xludf.DUMMYFUNCTION("""COMPUTED_VALUE"""),13.404954)</f>
        <v>13.404954</v>
      </c>
      <c r="G861">
        <v>4.0</v>
      </c>
      <c r="J861">
        <f t="shared" si="8"/>
        <v>4</v>
      </c>
    </row>
    <row r="862">
      <c r="A862" s="10" t="s">
        <v>1777</v>
      </c>
      <c r="B862">
        <f t="shared" si="1"/>
        <v>52.51</v>
      </c>
      <c r="C862">
        <f>IFERROR(__xludf.DUMMYFUNCTION("""COMPUTED_VALUE"""),13.4)</f>
        <v>13.4</v>
      </c>
      <c r="H862">
        <v>1.0</v>
      </c>
      <c r="J862">
        <f t="shared" si="8"/>
        <v>1</v>
      </c>
    </row>
    <row r="863">
      <c r="A863" s="10" t="s">
        <v>1780</v>
      </c>
      <c r="B863">
        <f t="shared" si="1"/>
        <v>52.52</v>
      </c>
      <c r="C863">
        <f>IFERROR(__xludf.DUMMYFUNCTION("""COMPUTED_VALUE"""),13.5)</f>
        <v>13.5</v>
      </c>
      <c r="I863">
        <v>1.0</v>
      </c>
      <c r="J863">
        <f t="shared" si="8"/>
        <v>1</v>
      </c>
    </row>
    <row r="864">
      <c r="A864" t="s">
        <v>1781</v>
      </c>
      <c r="B864">
        <f t="shared" si="1"/>
        <v>52.534682</v>
      </c>
      <c r="C864">
        <f>IFERROR(__xludf.DUMMYFUNCTION("""COMPUTED_VALUE"""),5.721809)</f>
        <v>5.721809</v>
      </c>
      <c r="H864">
        <v>0.0</v>
      </c>
      <c r="I864">
        <v>1.0</v>
      </c>
      <c r="J864">
        <f t="shared" si="8"/>
        <v>1</v>
      </c>
    </row>
    <row r="865">
      <c r="A865" t="s">
        <v>1782</v>
      </c>
      <c r="B865">
        <f t="shared" si="1"/>
        <v>52.618489</v>
      </c>
      <c r="C865">
        <f>IFERROR(__xludf.DUMMYFUNCTION("""COMPUTED_VALUE"""),14.545038)</f>
        <v>14.545038</v>
      </c>
      <c r="H865">
        <v>1.0</v>
      </c>
      <c r="J865">
        <f t="shared" si="8"/>
        <v>1</v>
      </c>
    </row>
    <row r="866">
      <c r="A866" t="s">
        <v>1786</v>
      </c>
      <c r="B866">
        <f t="shared" si="1"/>
        <v>52.630886</v>
      </c>
      <c r="C866">
        <f>IFERROR(__xludf.DUMMYFUNCTION("""COMPUTED_VALUE"""),1.297355)</f>
        <v>1.297355</v>
      </c>
      <c r="G866">
        <v>1.0</v>
      </c>
      <c r="H866">
        <v>0.0</v>
      </c>
      <c r="J866">
        <f t="shared" si="8"/>
        <v>1</v>
      </c>
    </row>
    <row r="867">
      <c r="A867" t="s">
        <v>1788</v>
      </c>
      <c r="B867">
        <f t="shared" si="1"/>
        <v>52.636878</v>
      </c>
      <c r="C867">
        <f>IFERROR(__xludf.DUMMYFUNCTION("""COMPUTED_VALUE"""),-1.139759)</f>
        <v>-1.139759</v>
      </c>
      <c r="G867">
        <v>2.0</v>
      </c>
      <c r="H867">
        <v>0.0</v>
      </c>
      <c r="J867">
        <f t="shared" si="8"/>
        <v>2</v>
      </c>
    </row>
    <row r="868">
      <c r="A868" t="s">
        <v>1789</v>
      </c>
      <c r="B868">
        <f t="shared" si="1"/>
        <v>52.643661</v>
      </c>
      <c r="C868">
        <f>IFERROR(__xludf.DUMMYFUNCTION("""COMPUTED_VALUE"""),14.361496)</f>
        <v>14.361496</v>
      </c>
      <c r="H868">
        <v>2.0</v>
      </c>
      <c r="J868">
        <f t="shared" si="8"/>
        <v>2</v>
      </c>
    </row>
    <row r="869">
      <c r="A869" t="s">
        <v>1790</v>
      </c>
      <c r="B869">
        <f t="shared" si="1"/>
        <v>52.745242</v>
      </c>
      <c r="C869">
        <f>IFERROR(__xludf.DUMMYFUNCTION("""COMPUTED_VALUE"""),5.85333)</f>
        <v>5.85333</v>
      </c>
      <c r="H869">
        <v>1.0</v>
      </c>
      <c r="J869">
        <f t="shared" si="8"/>
        <v>1</v>
      </c>
    </row>
    <row r="870">
      <c r="A870" t="s">
        <v>1792</v>
      </c>
      <c r="B870">
        <f t="shared" si="1"/>
        <v>52.785804</v>
      </c>
      <c r="C870">
        <f>IFERROR(__xludf.DUMMYFUNCTION("""COMPUTED_VALUE"""),6.897585)</f>
        <v>6.897585</v>
      </c>
      <c r="G870">
        <v>1.0</v>
      </c>
      <c r="H870">
        <v>0.0</v>
      </c>
      <c r="J870">
        <f t="shared" si="8"/>
        <v>1</v>
      </c>
    </row>
    <row r="871">
      <c r="A871" t="s">
        <v>1795</v>
      </c>
      <c r="B871">
        <f t="shared" si="1"/>
        <v>52.8</v>
      </c>
      <c r="C871">
        <f>IFERROR(__xludf.DUMMYFUNCTION("""COMPUTED_VALUE"""),-2.0)</f>
        <v>-2</v>
      </c>
      <c r="H871">
        <v>1.0</v>
      </c>
      <c r="J871">
        <f t="shared" si="8"/>
        <v>1</v>
      </c>
    </row>
    <row r="872">
      <c r="A872" t="s">
        <v>1796</v>
      </c>
      <c r="B872">
        <f t="shared" si="1"/>
        <v>52.825559</v>
      </c>
      <c r="C872">
        <f>IFERROR(__xludf.DUMMYFUNCTION("""COMPUTED_VALUE"""),14.197083)</f>
        <v>14.197083</v>
      </c>
      <c r="H872">
        <v>6.0</v>
      </c>
      <c r="J872">
        <f t="shared" si="8"/>
        <v>6</v>
      </c>
    </row>
    <row r="873">
      <c r="A873" t="s">
        <v>1797</v>
      </c>
      <c r="B873">
        <f t="shared" si="1"/>
        <v>52.853126</v>
      </c>
      <c r="C873">
        <f>IFERROR(__xludf.DUMMYFUNCTION("""COMPUTED_VALUE"""),11.157355)</f>
        <v>11.157355</v>
      </c>
      <c r="G873">
        <v>1.0</v>
      </c>
      <c r="H873">
        <v>0.0</v>
      </c>
      <c r="J873">
        <f t="shared" si="8"/>
        <v>1</v>
      </c>
    </row>
    <row r="874">
      <c r="A874" t="s">
        <v>1798</v>
      </c>
      <c r="B874">
        <f t="shared" si="1"/>
        <v>52.854738</v>
      </c>
      <c r="C874">
        <f>IFERROR(__xludf.DUMMYFUNCTION("""COMPUTED_VALUE"""),6.317742)</f>
        <v>6.317742</v>
      </c>
      <c r="G874">
        <v>1.0</v>
      </c>
      <c r="H874">
        <v>0.0</v>
      </c>
      <c r="J874">
        <f t="shared" si="8"/>
        <v>1</v>
      </c>
    </row>
    <row r="875">
      <c r="A875" t="s">
        <v>1799</v>
      </c>
      <c r="B875">
        <f t="shared" si="1"/>
        <v>52.873165</v>
      </c>
      <c r="C875">
        <f>IFERROR(__xludf.DUMMYFUNCTION("""COMPUTED_VALUE"""),6.369422)</f>
        <v>6.369422</v>
      </c>
      <c r="H875">
        <v>1.0</v>
      </c>
      <c r="J875">
        <f t="shared" si="8"/>
        <v>1</v>
      </c>
    </row>
    <row r="876">
      <c r="A876" t="s">
        <v>1803</v>
      </c>
      <c r="B876">
        <f t="shared" si="1"/>
        <v>52.912679</v>
      </c>
      <c r="C876">
        <f>IFERROR(__xludf.DUMMYFUNCTION("""COMPUTED_VALUE"""),8.818135)</f>
        <v>8.818135</v>
      </c>
      <c r="G876">
        <v>1.0</v>
      </c>
      <c r="H876">
        <v>0.0</v>
      </c>
      <c r="J876">
        <f t="shared" si="8"/>
        <v>1</v>
      </c>
    </row>
    <row r="877">
      <c r="A877" t="s">
        <v>1806</v>
      </c>
      <c r="B877">
        <f t="shared" si="1"/>
        <v>52.9524</v>
      </c>
      <c r="C877">
        <f>IFERROR(__xludf.DUMMYFUNCTION("""COMPUTED_VALUE"""),6.356303)</f>
        <v>6.356303</v>
      </c>
      <c r="H877">
        <v>1.0</v>
      </c>
      <c r="J877">
        <f t="shared" si="8"/>
        <v>1</v>
      </c>
    </row>
    <row r="878">
      <c r="A878" t="s">
        <v>1807</v>
      </c>
      <c r="B878">
        <f t="shared" si="1"/>
        <v>52.954783</v>
      </c>
      <c r="C878">
        <f>IFERROR(__xludf.DUMMYFUNCTION("""COMPUTED_VALUE"""),-1.158109)</f>
        <v>-1.158109</v>
      </c>
      <c r="G878">
        <v>1.0</v>
      </c>
      <c r="H878">
        <v>0.0</v>
      </c>
      <c r="J878">
        <f t="shared" si="8"/>
        <v>1</v>
      </c>
    </row>
    <row r="879">
      <c r="A879" t="s">
        <v>1808</v>
      </c>
      <c r="B879">
        <f t="shared" si="1"/>
        <v>52.958346</v>
      </c>
      <c r="C879">
        <f>IFERROR(__xludf.DUMMYFUNCTION("""COMPUTED_VALUE"""),3.867188)</f>
        <v>3.867188</v>
      </c>
      <c r="H879">
        <v>1.0</v>
      </c>
      <c r="J879">
        <f t="shared" si="8"/>
        <v>1</v>
      </c>
    </row>
    <row r="880">
      <c r="A880" t="s">
        <v>1810</v>
      </c>
      <c r="B880">
        <f t="shared" si="1"/>
        <v>52.988024</v>
      </c>
      <c r="C880">
        <f>IFERROR(__xludf.DUMMYFUNCTION("""COMPUTED_VALUE"""),-2.20218)</f>
        <v>-2.20218</v>
      </c>
      <c r="H880">
        <v>0.0</v>
      </c>
      <c r="I880">
        <v>1.0</v>
      </c>
      <c r="J880">
        <f t="shared" si="8"/>
        <v>1</v>
      </c>
    </row>
    <row r="881">
      <c r="A881" t="s">
        <v>1811</v>
      </c>
      <c r="B881">
        <f t="shared" si="1"/>
        <v>53.018822</v>
      </c>
      <c r="C881">
        <f>IFERROR(__xludf.DUMMYFUNCTION("""COMPUTED_VALUE"""),-2.189053)</f>
        <v>-2.189053</v>
      </c>
      <c r="G881">
        <v>1.0</v>
      </c>
      <c r="H881">
        <v>0.0</v>
      </c>
      <c r="J881">
        <f t="shared" si="8"/>
        <v>1</v>
      </c>
    </row>
    <row r="882">
      <c r="A882" t="s">
        <v>1812</v>
      </c>
      <c r="B882">
        <f t="shared" si="1"/>
        <v>53.079296</v>
      </c>
      <c r="C882">
        <f>IFERROR(__xludf.DUMMYFUNCTION("""COMPUTED_VALUE"""),8.801694)</f>
        <v>8.801694</v>
      </c>
      <c r="D882">
        <v>1.0</v>
      </c>
      <c r="H882">
        <v>0.0</v>
      </c>
      <c r="J882">
        <f t="shared" si="8"/>
        <v>1</v>
      </c>
    </row>
    <row r="883">
      <c r="A883" t="s">
        <v>1813</v>
      </c>
      <c r="B883">
        <f t="shared" si="1"/>
        <v>53.171826</v>
      </c>
      <c r="C883">
        <f>IFERROR(__xludf.DUMMYFUNCTION("""COMPUTED_VALUE"""),6.605243)</f>
        <v>6.605243</v>
      </c>
      <c r="G883">
        <v>1.0</v>
      </c>
      <c r="H883">
        <v>0.0</v>
      </c>
      <c r="J883">
        <f t="shared" si="8"/>
        <v>1</v>
      </c>
    </row>
    <row r="884">
      <c r="A884" t="s">
        <v>1815</v>
      </c>
      <c r="B884">
        <f t="shared" si="1"/>
        <v>53.174638</v>
      </c>
      <c r="C884">
        <f>IFERROR(__xludf.DUMMYFUNCTION("""COMPUTED_VALUE"""),5.425152)</f>
        <v>5.425152</v>
      </c>
      <c r="H884">
        <v>2.0</v>
      </c>
      <c r="J884">
        <f t="shared" si="8"/>
        <v>2</v>
      </c>
    </row>
    <row r="885">
      <c r="A885" s="10" t="s">
        <v>1816</v>
      </c>
      <c r="B885">
        <f t="shared" si="1"/>
        <v>53.18</v>
      </c>
      <c r="C885">
        <f>IFERROR(__xludf.DUMMYFUNCTION("""COMPUTED_VALUE"""),5.41)</f>
        <v>5.41</v>
      </c>
      <c r="E885">
        <v>1.0</v>
      </c>
      <c r="J885">
        <f t="shared" si="8"/>
        <v>1</v>
      </c>
    </row>
    <row r="886">
      <c r="A886" t="s">
        <v>1817</v>
      </c>
      <c r="B886">
        <f t="shared" si="1"/>
        <v>53.349805</v>
      </c>
      <c r="C886">
        <f>IFERROR(__xludf.DUMMYFUNCTION("""COMPUTED_VALUE"""),-6.26031)</f>
        <v>-6.26031</v>
      </c>
      <c r="G886">
        <v>1.0</v>
      </c>
      <c r="J886">
        <f t="shared" si="8"/>
        <v>1</v>
      </c>
    </row>
    <row r="887">
      <c r="A887" s="10" t="s">
        <v>1821</v>
      </c>
      <c r="B887">
        <f t="shared" si="1"/>
        <v>53.35</v>
      </c>
      <c r="C887">
        <f>IFERROR(__xludf.DUMMYFUNCTION("""COMPUTED_VALUE"""),-6.3)</f>
        <v>-6.3</v>
      </c>
      <c r="H887">
        <v>1.0</v>
      </c>
      <c r="J887">
        <f t="shared" si="8"/>
        <v>1</v>
      </c>
    </row>
    <row r="888">
      <c r="A888" t="s">
        <v>1824</v>
      </c>
      <c r="B888">
        <f t="shared" si="1"/>
        <v>53.366786</v>
      </c>
      <c r="C888">
        <f>IFERROR(__xludf.DUMMYFUNCTION("""COMPUTED_VALUE"""),-2.279768)</f>
        <v>-2.279768</v>
      </c>
      <c r="H888">
        <v>1.0</v>
      </c>
      <c r="J888">
        <f t="shared" si="8"/>
        <v>1</v>
      </c>
    </row>
    <row r="889">
      <c r="A889" t="s">
        <v>1826</v>
      </c>
      <c r="B889">
        <f t="shared" si="1"/>
        <v>53.381129</v>
      </c>
      <c r="C889">
        <f>IFERROR(__xludf.DUMMYFUNCTION("""COMPUTED_VALUE"""),-1.470085)</f>
        <v>-1.470085</v>
      </c>
      <c r="G889">
        <v>1.0</v>
      </c>
      <c r="H889">
        <v>0.0</v>
      </c>
      <c r="J889">
        <f t="shared" si="8"/>
        <v>1</v>
      </c>
    </row>
    <row r="890">
      <c r="A890" t="s">
        <v>1827</v>
      </c>
      <c r="B890">
        <f t="shared" si="1"/>
        <v>53.406754</v>
      </c>
      <c r="C890">
        <f>IFERROR(__xludf.DUMMYFUNCTION("""COMPUTED_VALUE"""),-2.158843)</f>
        <v>-2.158843</v>
      </c>
      <c r="H890">
        <v>0.0</v>
      </c>
      <c r="I890">
        <v>1.0</v>
      </c>
      <c r="J890">
        <f t="shared" si="8"/>
        <v>1</v>
      </c>
    </row>
    <row r="891">
      <c r="A891" t="s">
        <v>1828</v>
      </c>
      <c r="B891">
        <f t="shared" si="1"/>
        <v>53.408371</v>
      </c>
      <c r="C891">
        <f>IFERROR(__xludf.DUMMYFUNCTION("""COMPUTED_VALUE"""),-2.991573)</f>
        <v>-2.991573</v>
      </c>
      <c r="G891">
        <v>2.0</v>
      </c>
      <c r="H891">
        <v>0.0</v>
      </c>
      <c r="J891">
        <f t="shared" si="8"/>
        <v>2</v>
      </c>
    </row>
    <row r="892">
      <c r="A892" t="s">
        <v>1832</v>
      </c>
      <c r="B892">
        <f t="shared" si="1"/>
        <v>53.41291</v>
      </c>
      <c r="C892">
        <f>IFERROR(__xludf.DUMMYFUNCTION("""COMPUTED_VALUE"""),-8.24389)</f>
        <v>-8.24389</v>
      </c>
      <c r="H892">
        <v>8.0</v>
      </c>
      <c r="J892">
        <f t="shared" si="8"/>
        <v>8</v>
      </c>
    </row>
    <row r="893">
      <c r="A893" t="s">
        <v>1835</v>
      </c>
      <c r="B893">
        <f t="shared" si="1"/>
        <v>53.449038</v>
      </c>
      <c r="C893">
        <f>IFERROR(__xludf.DUMMYFUNCTION("""COMPUTED_VALUE"""),-1.2996)</f>
        <v>-1.2996</v>
      </c>
      <c r="G893">
        <v>1.0</v>
      </c>
      <c r="H893">
        <v>0.0</v>
      </c>
      <c r="J893">
        <f t="shared" si="8"/>
        <v>1</v>
      </c>
    </row>
    <row r="894">
      <c r="A894" t="s">
        <v>1836</v>
      </c>
      <c r="B894">
        <f t="shared" si="1"/>
        <v>53.474021</v>
      </c>
      <c r="C894">
        <f>IFERROR(__xludf.DUMMYFUNCTION("""COMPUTED_VALUE"""),-2.290393)</f>
        <v>-2.290393</v>
      </c>
      <c r="H894">
        <v>1.0</v>
      </c>
      <c r="J894">
        <f t="shared" si="8"/>
        <v>1</v>
      </c>
    </row>
    <row r="895">
      <c r="A895" t="s">
        <v>1837</v>
      </c>
      <c r="B895">
        <f t="shared" si="1"/>
        <v>53.479324</v>
      </c>
      <c r="C895">
        <f>IFERROR(__xludf.DUMMYFUNCTION("""COMPUTED_VALUE"""),-2.248485)</f>
        <v>-2.248485</v>
      </c>
      <c r="G895">
        <v>1.0</v>
      </c>
      <c r="H895">
        <v>0.0</v>
      </c>
      <c r="J895">
        <f t="shared" si="8"/>
        <v>1</v>
      </c>
    </row>
    <row r="896">
      <c r="A896" t="s">
        <v>1839</v>
      </c>
      <c r="B896">
        <f t="shared" si="1"/>
        <v>53.527039</v>
      </c>
      <c r="C896">
        <f>IFERROR(__xludf.DUMMYFUNCTION("""COMPUTED_VALUE"""),-2.28064)</f>
        <v>-2.28064</v>
      </c>
      <c r="H896">
        <v>1.0</v>
      </c>
      <c r="J896">
        <f t="shared" si="8"/>
        <v>1</v>
      </c>
    </row>
    <row r="897">
      <c r="A897" t="s">
        <v>1844</v>
      </c>
      <c r="B897">
        <f t="shared" si="1"/>
        <v>53.54368</v>
      </c>
      <c r="C897">
        <f>IFERROR(__xludf.DUMMYFUNCTION("""COMPUTED_VALUE"""),-0.974168)</f>
        <v>-0.974168</v>
      </c>
      <c r="H897">
        <v>1.0</v>
      </c>
      <c r="J897">
        <f t="shared" si="8"/>
        <v>1</v>
      </c>
    </row>
    <row r="898">
      <c r="A898" t="s">
        <v>1845</v>
      </c>
      <c r="B898">
        <f t="shared" si="1"/>
        <v>53.545921</v>
      </c>
      <c r="C898">
        <f>IFERROR(__xludf.DUMMYFUNCTION("""COMPUTED_VALUE"""),-2.201948)</f>
        <v>-2.201948</v>
      </c>
      <c r="G898">
        <v>2.0</v>
      </c>
      <c r="H898">
        <v>0.0</v>
      </c>
      <c r="J898">
        <f t="shared" si="8"/>
        <v>2</v>
      </c>
    </row>
    <row r="899">
      <c r="A899" t="s">
        <v>1846</v>
      </c>
      <c r="B899">
        <f t="shared" si="1"/>
        <v>53.551085</v>
      </c>
      <c r="C899">
        <f>IFERROR(__xludf.DUMMYFUNCTION("""COMPUTED_VALUE"""),9.993682)</f>
        <v>9.993682</v>
      </c>
      <c r="G899">
        <v>5.0</v>
      </c>
      <c r="H899">
        <v>0.0</v>
      </c>
      <c r="J899">
        <f t="shared" si="8"/>
        <v>5</v>
      </c>
    </row>
    <row r="900">
      <c r="A900" s="10" t="s">
        <v>1847</v>
      </c>
      <c r="B900">
        <f t="shared" si="1"/>
        <v>53.56</v>
      </c>
      <c r="C900">
        <f>IFERROR(__xludf.DUMMYFUNCTION("""COMPUTED_VALUE"""),9.9)</f>
        <v>9.9</v>
      </c>
      <c r="I900">
        <v>2.0</v>
      </c>
      <c r="J900">
        <f t="shared" si="8"/>
        <v>2</v>
      </c>
    </row>
    <row r="901">
      <c r="A901" t="s">
        <v>1848</v>
      </c>
      <c r="B901">
        <f t="shared" si="1"/>
        <v>53.614086</v>
      </c>
      <c r="C901">
        <f>IFERROR(__xludf.DUMMYFUNCTION("""COMPUTED_VALUE"""),-2.161814)</f>
        <v>-2.161814</v>
      </c>
      <c r="G901">
        <v>1.0</v>
      </c>
      <c r="H901">
        <v>0.0</v>
      </c>
      <c r="J901">
        <f t="shared" si="8"/>
        <v>1</v>
      </c>
    </row>
    <row r="902">
      <c r="A902" t="s">
        <v>1849</v>
      </c>
      <c r="B902">
        <f t="shared" si="1"/>
        <v>53.629738</v>
      </c>
      <c r="C902">
        <f>IFERROR(__xludf.DUMMYFUNCTION("""COMPUTED_VALUE"""),13.163799)</f>
        <v>13.163799</v>
      </c>
      <c r="H902">
        <v>1.0</v>
      </c>
      <c r="J902">
        <f t="shared" si="8"/>
        <v>1</v>
      </c>
    </row>
    <row r="903">
      <c r="A903" t="s">
        <v>1852</v>
      </c>
      <c r="B903">
        <f t="shared" si="1"/>
        <v>53.63459</v>
      </c>
      <c r="C903">
        <f>IFERROR(__xludf.DUMMYFUNCTION("""COMPUTED_VALUE"""),10.01608)</f>
        <v>10.01608</v>
      </c>
      <c r="G903">
        <v>1.0</v>
      </c>
      <c r="H903">
        <v>0.0</v>
      </c>
      <c r="J903">
        <f t="shared" si="8"/>
        <v>1</v>
      </c>
    </row>
    <row r="904">
      <c r="A904" t="s">
        <v>1855</v>
      </c>
      <c r="B904">
        <f t="shared" si="1"/>
        <v>53.645792</v>
      </c>
      <c r="C904">
        <f>IFERROR(__xludf.DUMMYFUNCTION("""COMPUTED_VALUE"""),-1.785035)</f>
        <v>-1.785035</v>
      </c>
      <c r="G904">
        <v>1.0</v>
      </c>
      <c r="H904">
        <v>0.0</v>
      </c>
      <c r="J904">
        <f t="shared" si="8"/>
        <v>1</v>
      </c>
    </row>
    <row r="905">
      <c r="A905" t="s">
        <v>1856</v>
      </c>
      <c r="B905">
        <f t="shared" si="1"/>
        <v>53.661998</v>
      </c>
      <c r="C905">
        <f>IFERROR(__xludf.DUMMYFUNCTION("""COMPUTED_VALUE"""),-1.79723)</f>
        <v>-1.79723</v>
      </c>
      <c r="G905">
        <v>1.0</v>
      </c>
      <c r="H905">
        <v>0.0</v>
      </c>
      <c r="J905">
        <f t="shared" si="8"/>
        <v>1</v>
      </c>
    </row>
    <row r="906">
      <c r="A906" t="s">
        <v>1859</v>
      </c>
      <c r="B906">
        <f t="shared" si="1"/>
        <v>53.748575</v>
      </c>
      <c r="C906">
        <f>IFERROR(__xludf.DUMMYFUNCTION("""COMPUTED_VALUE"""),-2.487529)</f>
        <v>-2.487529</v>
      </c>
      <c r="G906">
        <v>1.0</v>
      </c>
      <c r="H906">
        <v>0.0</v>
      </c>
      <c r="J906">
        <f t="shared" si="8"/>
        <v>1</v>
      </c>
    </row>
    <row r="907">
      <c r="A907" t="s">
        <v>1862</v>
      </c>
      <c r="B907">
        <f t="shared" si="1"/>
        <v>53.763201</v>
      </c>
      <c r="C907">
        <f>IFERROR(__xludf.DUMMYFUNCTION("""COMPUTED_VALUE"""),-2.70309)</f>
        <v>-2.70309</v>
      </c>
      <c r="G907">
        <v>1.0</v>
      </c>
      <c r="H907">
        <v>0.0</v>
      </c>
      <c r="J907">
        <f t="shared" si="8"/>
        <v>1</v>
      </c>
    </row>
    <row r="908">
      <c r="A908" t="s">
        <v>1865</v>
      </c>
      <c r="B908">
        <f t="shared" si="1"/>
        <v>53.795984</v>
      </c>
      <c r="C908">
        <f>IFERROR(__xludf.DUMMYFUNCTION("""COMPUTED_VALUE"""),-1.759398)</f>
        <v>-1.759398</v>
      </c>
      <c r="G908">
        <v>2.0</v>
      </c>
      <c r="H908">
        <v>0.0</v>
      </c>
      <c r="J908">
        <f t="shared" si="8"/>
        <v>2</v>
      </c>
    </row>
    <row r="909">
      <c r="A909" t="s">
        <v>1866</v>
      </c>
      <c r="B909">
        <f t="shared" si="1"/>
        <v>53.835187</v>
      </c>
      <c r="C909">
        <f>IFERROR(__xludf.DUMMYFUNCTION("""COMPUTED_VALUE"""),-2.219377)</f>
        <v>-2.219377</v>
      </c>
      <c r="G909">
        <v>3.0</v>
      </c>
      <c r="H909">
        <v>0.0</v>
      </c>
      <c r="J909">
        <f t="shared" si="8"/>
        <v>3</v>
      </c>
    </row>
    <row r="910">
      <c r="A910" t="s">
        <v>1867</v>
      </c>
      <c r="B910">
        <f t="shared" si="1"/>
        <v>54.083419</v>
      </c>
      <c r="C910">
        <f>IFERROR(__xludf.DUMMYFUNCTION("""COMPUTED_VALUE"""),12.100429)</f>
        <v>12.100429</v>
      </c>
      <c r="G910">
        <v>1.0</v>
      </c>
      <c r="H910">
        <v>0.0</v>
      </c>
      <c r="J910">
        <f t="shared" si="8"/>
        <v>1</v>
      </c>
    </row>
    <row r="911">
      <c r="A911" t="s">
        <v>1868</v>
      </c>
      <c r="B911">
        <f t="shared" si="1"/>
        <v>54.77525</v>
      </c>
      <c r="C911">
        <f>IFERROR(__xludf.DUMMYFUNCTION("""COMPUTED_VALUE"""),-1.584852)</f>
        <v>-1.584852</v>
      </c>
      <c r="G911">
        <v>1.0</v>
      </c>
      <c r="H911">
        <v>0.0</v>
      </c>
      <c r="J911">
        <f t="shared" si="8"/>
        <v>1</v>
      </c>
    </row>
    <row r="912">
      <c r="A912" t="s">
        <v>1869</v>
      </c>
      <c r="B912">
        <f t="shared" si="1"/>
        <v>54.90116</v>
      </c>
      <c r="C912">
        <f>IFERROR(__xludf.DUMMYFUNCTION("""COMPUTED_VALUE"""),-1.450343)</f>
        <v>-1.450343</v>
      </c>
      <c r="G912">
        <v>1.0</v>
      </c>
      <c r="H912">
        <v>0.0</v>
      </c>
      <c r="J912">
        <f t="shared" si="8"/>
        <v>1</v>
      </c>
    </row>
    <row r="913">
      <c r="A913" t="s">
        <v>1872</v>
      </c>
      <c r="B913">
        <f t="shared" si="1"/>
        <v>54.906869</v>
      </c>
      <c r="C913">
        <f>IFERROR(__xludf.DUMMYFUNCTION("""COMPUTED_VALUE"""),-1.383801)</f>
        <v>-1.383801</v>
      </c>
      <c r="E913">
        <v>2.0</v>
      </c>
      <c r="H913">
        <v>0.0</v>
      </c>
      <c r="J913">
        <f t="shared" si="8"/>
        <v>2</v>
      </c>
    </row>
    <row r="914">
      <c r="A914" t="s">
        <v>1873</v>
      </c>
      <c r="B914">
        <f t="shared" si="1"/>
        <v>54.977732</v>
      </c>
      <c r="C914">
        <f>IFERROR(__xludf.DUMMYFUNCTION("""COMPUTED_VALUE"""),-1.604519)</f>
        <v>-1.604519</v>
      </c>
      <c r="G914">
        <v>1.0</v>
      </c>
      <c r="H914">
        <v>0.0</v>
      </c>
      <c r="J914">
        <f t="shared" si="8"/>
        <v>1</v>
      </c>
    </row>
    <row r="915">
      <c r="A915" t="s">
        <v>1874</v>
      </c>
      <c r="B915">
        <f t="shared" si="1"/>
        <v>54.978133</v>
      </c>
      <c r="C915">
        <f>IFERROR(__xludf.DUMMYFUNCTION("""COMPUTED_VALUE"""),25.762997)</f>
        <v>25.762997</v>
      </c>
      <c r="G915">
        <v>1.0</v>
      </c>
      <c r="H915">
        <v>0.0</v>
      </c>
      <c r="J915">
        <f t="shared" si="8"/>
        <v>1</v>
      </c>
    </row>
    <row r="916">
      <c r="A916" t="s">
        <v>1875</v>
      </c>
      <c r="B916">
        <f t="shared" si="1"/>
        <v>54.978252</v>
      </c>
      <c r="C916">
        <f>IFERROR(__xludf.DUMMYFUNCTION("""COMPUTED_VALUE"""),-1.61778)</f>
        <v>-1.61778</v>
      </c>
      <c r="G916">
        <v>2.0</v>
      </c>
      <c r="H916">
        <v>0.0</v>
      </c>
      <c r="J916">
        <f t="shared" si="8"/>
        <v>2</v>
      </c>
    </row>
    <row r="917">
      <c r="A917" t="s">
        <v>1876</v>
      </c>
      <c r="B917">
        <f t="shared" si="1"/>
        <v>54.986843</v>
      </c>
      <c r="C917">
        <f>IFERROR(__xludf.DUMMYFUNCTION("""COMPUTED_VALUE"""),-1.461896)</f>
        <v>-1.461896</v>
      </c>
      <c r="H917">
        <v>1.0</v>
      </c>
      <c r="J917">
        <f t="shared" si="8"/>
        <v>1</v>
      </c>
    </row>
    <row r="918">
      <c r="A918" t="s">
        <v>1878</v>
      </c>
      <c r="B918">
        <f t="shared" si="1"/>
        <v>54.999424</v>
      </c>
      <c r="C918">
        <f>IFERROR(__xludf.DUMMYFUNCTION("""COMPUTED_VALUE"""),-1.427406)</f>
        <v>-1.427406</v>
      </c>
      <c r="G918">
        <v>1.0</v>
      </c>
      <c r="H918">
        <v>0.0</v>
      </c>
      <c r="J918">
        <f t="shared" si="8"/>
        <v>1</v>
      </c>
    </row>
    <row r="919">
      <c r="A919" t="s">
        <v>1881</v>
      </c>
      <c r="B919">
        <f t="shared" si="1"/>
        <v>55.201389</v>
      </c>
      <c r="C919">
        <f>IFERROR(__xludf.DUMMYFUNCTION("""COMPUTED_VALUE"""),11.401944)</f>
        <v>11.401944</v>
      </c>
      <c r="E919">
        <v>1.0</v>
      </c>
      <c r="H919">
        <v>0.0</v>
      </c>
      <c r="J919">
        <f t="shared" si="8"/>
        <v>1</v>
      </c>
    </row>
    <row r="920">
      <c r="A920" t="s">
        <v>1882</v>
      </c>
      <c r="B920">
        <f t="shared" si="1"/>
        <v>55.378051</v>
      </c>
      <c r="C920">
        <f>IFERROR(__xludf.DUMMYFUNCTION("""COMPUTED_VALUE"""),-3.435973)</f>
        <v>-3.435973</v>
      </c>
      <c r="G920">
        <v>12.0</v>
      </c>
      <c r="J920">
        <f t="shared" si="8"/>
        <v>12</v>
      </c>
    </row>
    <row r="921">
      <c r="A921" s="10" t="s">
        <v>1883</v>
      </c>
      <c r="B921">
        <f t="shared" si="1"/>
        <v>55.38</v>
      </c>
      <c r="C921">
        <f>IFERROR(__xludf.DUMMYFUNCTION("""COMPUTED_VALUE"""),-3.44)</f>
        <v>-3.44</v>
      </c>
      <c r="E921">
        <v>2.0</v>
      </c>
      <c r="J921">
        <f t="shared" si="8"/>
        <v>2</v>
      </c>
    </row>
    <row r="922">
      <c r="A922" s="10" t="s">
        <v>1885</v>
      </c>
      <c r="B922">
        <f t="shared" si="1"/>
        <v>55.37</v>
      </c>
      <c r="C922">
        <f>IFERROR(__xludf.DUMMYFUNCTION("""COMPUTED_VALUE"""),-3.45)</f>
        <v>-3.45</v>
      </c>
      <c r="H922">
        <v>5.0</v>
      </c>
      <c r="J922">
        <f t="shared" si="8"/>
        <v>5</v>
      </c>
    </row>
    <row r="923">
      <c r="A923" s="10" t="s">
        <v>1887</v>
      </c>
      <c r="B923">
        <f t="shared" si="1"/>
        <v>55.36</v>
      </c>
      <c r="C923">
        <f>IFERROR(__xludf.DUMMYFUNCTION("""COMPUTED_VALUE"""),-3.43)</f>
        <v>-3.43</v>
      </c>
      <c r="I923">
        <v>4.0</v>
      </c>
      <c r="J923">
        <f t="shared" si="8"/>
        <v>4</v>
      </c>
    </row>
    <row r="924">
      <c r="A924" t="s">
        <v>1888</v>
      </c>
      <c r="B924">
        <f t="shared" si="1"/>
        <v>55.57156</v>
      </c>
      <c r="C924">
        <f>IFERROR(__xludf.DUMMYFUNCTION("""COMPUTED_VALUE"""),-4.410332)</f>
        <v>-4.410332</v>
      </c>
      <c r="G924">
        <v>7.0</v>
      </c>
      <c r="J924">
        <f t="shared" si="8"/>
        <v>7</v>
      </c>
    </row>
    <row r="925">
      <c r="A925" s="10" t="s">
        <v>1889</v>
      </c>
      <c r="B925">
        <f t="shared" si="1"/>
        <v>55.57</v>
      </c>
      <c r="C925">
        <f>IFERROR(__xludf.DUMMYFUNCTION("""COMPUTED_VALUE"""),-4.42)</f>
        <v>-4.42</v>
      </c>
      <c r="E925">
        <v>2.0</v>
      </c>
      <c r="J925">
        <f t="shared" si="8"/>
        <v>2</v>
      </c>
    </row>
    <row r="926">
      <c r="A926" s="10" t="s">
        <v>1890</v>
      </c>
      <c r="B926">
        <f t="shared" si="1"/>
        <v>55.58</v>
      </c>
      <c r="C926">
        <f>IFERROR(__xludf.DUMMYFUNCTION("""COMPUTED_VALUE"""),-4.41)</f>
        <v>-4.41</v>
      </c>
      <c r="H926">
        <v>2.0</v>
      </c>
      <c r="J926">
        <f t="shared" si="8"/>
        <v>2</v>
      </c>
    </row>
    <row r="927">
      <c r="A927" t="s">
        <v>1892</v>
      </c>
      <c r="B927">
        <f t="shared" si="1"/>
        <v>55.676097</v>
      </c>
      <c r="C927">
        <f>IFERROR(__xludf.DUMMYFUNCTION("""COMPUTED_VALUE"""),12.568337)</f>
        <v>12.568337</v>
      </c>
      <c r="G927">
        <v>1.0</v>
      </c>
      <c r="H927">
        <v>0.0</v>
      </c>
      <c r="J927">
        <f t="shared" si="8"/>
        <v>1</v>
      </c>
    </row>
    <row r="928">
      <c r="A928" t="s">
        <v>1895</v>
      </c>
      <c r="B928">
        <f t="shared" si="1"/>
        <v>55.864237</v>
      </c>
      <c r="C928">
        <f>IFERROR(__xludf.DUMMYFUNCTION("""COMPUTED_VALUE"""),-4.251806)</f>
        <v>-4.251806</v>
      </c>
      <c r="G928">
        <v>6.0</v>
      </c>
      <c r="H928">
        <v>0.0</v>
      </c>
      <c r="J928">
        <f t="shared" si="8"/>
        <v>6</v>
      </c>
    </row>
    <row r="929">
      <c r="A929" t="s">
        <v>1897</v>
      </c>
      <c r="B929">
        <f t="shared" si="1"/>
        <v>55.899608</v>
      </c>
      <c r="C929">
        <f>IFERROR(__xludf.DUMMYFUNCTION("""COMPUTED_VALUE"""),-4.360736)</f>
        <v>-4.360736</v>
      </c>
      <c r="G929">
        <v>1.0</v>
      </c>
      <c r="H929">
        <v>0.0</v>
      </c>
      <c r="J929">
        <f t="shared" si="8"/>
        <v>1</v>
      </c>
    </row>
    <row r="930">
      <c r="A930" t="s">
        <v>1898</v>
      </c>
      <c r="B930">
        <f t="shared" si="1"/>
        <v>55.982071</v>
      </c>
      <c r="C930">
        <f>IFERROR(__xludf.DUMMYFUNCTION("""COMPUTED_VALUE"""),-3.728159)</f>
        <v>-3.728159</v>
      </c>
      <c r="G930">
        <v>1.0</v>
      </c>
      <c r="H930">
        <v>0.0</v>
      </c>
      <c r="J930">
        <f t="shared" si="8"/>
        <v>1</v>
      </c>
    </row>
    <row r="931">
      <c r="A931" t="s">
        <v>1899</v>
      </c>
      <c r="B931">
        <f t="shared" si="1"/>
        <v>56.067227</v>
      </c>
      <c r="C931">
        <f>IFERROR(__xludf.DUMMYFUNCTION("""COMPUTED_VALUE"""),12.230939)</f>
        <v>12.230939</v>
      </c>
      <c r="G931">
        <v>1.0</v>
      </c>
      <c r="H931">
        <v>0.0</v>
      </c>
      <c r="J931">
        <f t="shared" si="8"/>
        <v>1</v>
      </c>
    </row>
    <row r="932">
      <c r="A932" t="s">
        <v>1901</v>
      </c>
      <c r="B932">
        <f t="shared" si="1"/>
        <v>56.26392</v>
      </c>
      <c r="C932">
        <f>IFERROR(__xludf.DUMMYFUNCTION("""COMPUTED_VALUE"""),9.501785)</f>
        <v>9.501785</v>
      </c>
      <c r="H932">
        <v>3.0</v>
      </c>
      <c r="J932">
        <f t="shared" si="8"/>
        <v>3</v>
      </c>
    </row>
    <row r="933">
      <c r="A933" t="s">
        <v>1903</v>
      </c>
      <c r="B933">
        <f t="shared" si="1"/>
        <v>56.490671</v>
      </c>
      <c r="C933">
        <f>IFERROR(__xludf.DUMMYFUNCTION("""COMPUTED_VALUE"""),-4.202646)</f>
        <v>-4.202646</v>
      </c>
      <c r="G933">
        <v>2.0</v>
      </c>
      <c r="H933">
        <v>0.0</v>
      </c>
      <c r="J933">
        <f t="shared" si="8"/>
        <v>2</v>
      </c>
    </row>
    <row r="934">
      <c r="A934" t="s">
        <v>1905</v>
      </c>
      <c r="B934">
        <f t="shared" si="1"/>
        <v>56.89921</v>
      </c>
      <c r="C934">
        <f>IFERROR(__xludf.DUMMYFUNCTION("""COMPUTED_VALUE"""),14.556001)</f>
        <v>14.556001</v>
      </c>
      <c r="E934">
        <v>1.0</v>
      </c>
      <c r="H934">
        <v>0.0</v>
      </c>
      <c r="J934">
        <f t="shared" si="8"/>
        <v>1</v>
      </c>
    </row>
    <row r="935">
      <c r="A935" t="s">
        <v>1906</v>
      </c>
      <c r="B935">
        <f t="shared" si="1"/>
        <v>57.10269</v>
      </c>
      <c r="C935">
        <f>IFERROR(__xludf.DUMMYFUNCTION("""COMPUTED_VALUE"""),8.624268)</f>
        <v>8.624268</v>
      </c>
      <c r="G935">
        <v>1.0</v>
      </c>
      <c r="H935">
        <v>0.0</v>
      </c>
      <c r="J935">
        <f t="shared" si="8"/>
        <v>1</v>
      </c>
    </row>
    <row r="936">
      <c r="A936" t="s">
        <v>1907</v>
      </c>
      <c r="B936">
        <f t="shared" si="1"/>
        <v>57.782614</v>
      </c>
      <c r="C936">
        <f>IFERROR(__xludf.DUMMYFUNCTION("""COMPUTED_VALUE"""),14.161788)</f>
        <v>14.161788</v>
      </c>
      <c r="D936">
        <v>2.0</v>
      </c>
      <c r="H936">
        <v>0.0</v>
      </c>
      <c r="J936">
        <f t="shared" si="8"/>
        <v>2</v>
      </c>
    </row>
    <row r="937">
      <c r="A937" t="s">
        <v>1908</v>
      </c>
      <c r="B937">
        <f t="shared" si="1"/>
        <v>59.32893</v>
      </c>
      <c r="C937">
        <f>IFERROR(__xludf.DUMMYFUNCTION("""COMPUTED_VALUE"""),18.06491)</f>
        <v>18.06491</v>
      </c>
      <c r="H937">
        <v>0.0</v>
      </c>
      <c r="I937">
        <v>3.0</v>
      </c>
      <c r="J937">
        <f t="shared" si="8"/>
        <v>3</v>
      </c>
    </row>
    <row r="938">
      <c r="A938" s="10" t="s">
        <v>1910</v>
      </c>
      <c r="B938">
        <f t="shared" si="1"/>
        <v>59.34</v>
      </c>
      <c r="C938">
        <f>IFERROR(__xludf.DUMMYFUNCTION("""COMPUTED_VALUE"""),18.06)</f>
        <v>18.06</v>
      </c>
      <c r="G938">
        <v>2.0</v>
      </c>
      <c r="J938">
        <f t="shared" si="8"/>
        <v>2</v>
      </c>
    </row>
    <row r="939">
      <c r="A939" t="s">
        <v>1912</v>
      </c>
      <c r="B939">
        <f t="shared" si="1"/>
        <v>59.729407</v>
      </c>
      <c r="C939">
        <f>IFERROR(__xludf.DUMMYFUNCTION("""COMPUTED_VALUE"""),13.235402)</f>
        <v>13.235402</v>
      </c>
      <c r="G939">
        <v>1.0</v>
      </c>
      <c r="H939">
        <v>0.0</v>
      </c>
      <c r="J939">
        <f t="shared" si="8"/>
        <v>1</v>
      </c>
    </row>
    <row r="940">
      <c r="A940" t="s">
        <v>1914</v>
      </c>
      <c r="B940">
        <f t="shared" si="1"/>
        <v>59.858564</v>
      </c>
      <c r="C940">
        <f>IFERROR(__xludf.DUMMYFUNCTION("""COMPUTED_VALUE"""),17.638927)</f>
        <v>17.638927</v>
      </c>
      <c r="G940">
        <v>1.0</v>
      </c>
      <c r="H940">
        <v>0.0</v>
      </c>
      <c r="J940">
        <f t="shared" si="8"/>
        <v>1</v>
      </c>
    </row>
    <row r="941">
      <c r="A941" t="s">
        <v>1915</v>
      </c>
      <c r="B941">
        <f t="shared" si="1"/>
        <v>60.128161</v>
      </c>
      <c r="C941">
        <f>IFERROR(__xludf.DUMMYFUNCTION("""COMPUTED_VALUE"""),18.643501)</f>
        <v>18.643501</v>
      </c>
      <c r="H941">
        <v>3.0</v>
      </c>
      <c r="J941">
        <f t="shared" si="8"/>
        <v>3</v>
      </c>
    </row>
    <row r="942">
      <c r="A942" s="10" t="s">
        <v>1916</v>
      </c>
      <c r="B942">
        <f t="shared" si="1"/>
        <v>60.128</v>
      </c>
      <c r="C942">
        <f>IFERROR(__xludf.DUMMYFUNCTION("""COMPUTED_VALUE"""),18.64)</f>
        <v>18.64</v>
      </c>
      <c r="E942">
        <v>1.0</v>
      </c>
      <c r="J942">
        <f t="shared" si="8"/>
        <v>1</v>
      </c>
    </row>
    <row r="943">
      <c r="A943" s="10" t="s">
        <v>1917</v>
      </c>
      <c r="B943">
        <f t="shared" si="1"/>
        <v>60.13</v>
      </c>
      <c r="C943">
        <f>IFERROR(__xludf.DUMMYFUNCTION("""COMPUTED_VALUE"""),18.65)</f>
        <v>18.65</v>
      </c>
      <c r="G943">
        <v>1.0</v>
      </c>
      <c r="J943">
        <f t="shared" si="8"/>
        <v>1</v>
      </c>
    </row>
    <row r="944">
      <c r="A944" t="s">
        <v>1920</v>
      </c>
      <c r="B944">
        <f t="shared" si="1"/>
        <v>60.171536</v>
      </c>
      <c r="C944">
        <f>IFERROR(__xludf.DUMMYFUNCTION("""COMPUTED_VALUE"""),18.185188)</f>
        <v>18.185188</v>
      </c>
      <c r="G944">
        <v>1.0</v>
      </c>
      <c r="H944">
        <v>0.0</v>
      </c>
      <c r="J944">
        <f t="shared" si="8"/>
        <v>1</v>
      </c>
    </row>
    <row r="945">
      <c r="A945" t="s">
        <v>1922</v>
      </c>
      <c r="B945">
        <f t="shared" si="1"/>
        <v>60.472024</v>
      </c>
      <c r="C945">
        <f>IFERROR(__xludf.DUMMYFUNCTION("""COMPUTED_VALUE"""),8.468946)</f>
        <v>8.468946</v>
      </c>
      <c r="H945">
        <v>1.0</v>
      </c>
      <c r="J945">
        <f t="shared" si="8"/>
        <v>1</v>
      </c>
    </row>
    <row r="946">
      <c r="A946" t="s">
        <v>1923</v>
      </c>
      <c r="B946">
        <f t="shared" si="1"/>
        <v>60.67488</v>
      </c>
      <c r="C946">
        <f>IFERROR(__xludf.DUMMYFUNCTION("""COMPUTED_VALUE"""),17.141273)</f>
        <v>17.141273</v>
      </c>
      <c r="G946">
        <v>1.0</v>
      </c>
      <c r="H946">
        <v>0.0</v>
      </c>
      <c r="J946">
        <f t="shared" si="8"/>
        <v>1</v>
      </c>
    </row>
    <row r="947">
      <c r="A947" t="s">
        <v>1924</v>
      </c>
      <c r="B947">
        <f t="shared" si="1"/>
        <v>61.52401</v>
      </c>
      <c r="C947">
        <f>IFERROR(__xludf.DUMMYFUNCTION("""COMPUTED_VALUE"""),105.318756)</f>
        <v>105.318756</v>
      </c>
      <c r="H947">
        <v>1.0</v>
      </c>
      <c r="J947">
        <f t="shared" si="8"/>
        <v>1</v>
      </c>
    </row>
    <row r="948">
      <c r="A948" t="s">
        <v>1928</v>
      </c>
      <c r="B948">
        <f t="shared" si="1"/>
        <v>63.430515</v>
      </c>
      <c r="C948">
        <f>IFERROR(__xludf.DUMMYFUNCTION("""COMPUTED_VALUE"""),10.395053)</f>
        <v>10.395053</v>
      </c>
      <c r="D948">
        <v>1.0</v>
      </c>
      <c r="H948">
        <v>0.0</v>
      </c>
      <c r="J948">
        <f t="shared" si="8"/>
        <v>1</v>
      </c>
    </row>
    <row r="949">
      <c r="A949" t="s">
        <v>1930</v>
      </c>
      <c r="B949">
        <f t="shared" si="1"/>
        <v>7.369722</v>
      </c>
      <c r="C949">
        <f>IFERROR(__xludf.DUMMYFUNCTION("""COMPUTED_VALUE"""),12.354722)</f>
        <v>12.354722</v>
      </c>
      <c r="H949">
        <v>1.0</v>
      </c>
      <c r="J949">
        <f t="shared" si="8"/>
        <v>1</v>
      </c>
    </row>
    <row r="950">
      <c r="A950" t="s">
        <v>1931</v>
      </c>
      <c r="B950">
        <f t="shared" si="1"/>
        <v>7.946527</v>
      </c>
      <c r="C950">
        <f>IFERROR(__xludf.DUMMYFUNCTION("""COMPUTED_VALUE"""),-1.023194)</f>
        <v>-1.023194</v>
      </c>
      <c r="H950">
        <v>5.0</v>
      </c>
      <c r="J950">
        <f t="shared" si="8"/>
        <v>5</v>
      </c>
    </row>
    <row r="951">
      <c r="A951" t="s">
        <v>1932</v>
      </c>
      <c r="B951">
        <f t="shared" si="1"/>
        <v>9.224</v>
      </c>
      <c r="C951">
        <f>IFERROR(__xludf.DUMMYFUNCTION("""COMPUTED_VALUE"""),-13.538)</f>
        <v>-13.538</v>
      </c>
      <c r="H951">
        <v>38.0</v>
      </c>
      <c r="J951">
        <f t="shared" si="8"/>
        <v>38</v>
      </c>
    </row>
    <row r="952">
      <c r="A952" t="s">
        <v>213</v>
      </c>
      <c r="D952">
        <v>325.0</v>
      </c>
      <c r="E952">
        <v>289.0</v>
      </c>
      <c r="F952">
        <v>8.0</v>
      </c>
      <c r="G952">
        <v>246.0</v>
      </c>
      <c r="H952">
        <v>28663.0</v>
      </c>
      <c r="I952">
        <v>712.0</v>
      </c>
      <c r="J952">
        <f t="shared" si="8"/>
        <v>30243</v>
      </c>
    </row>
    <row r="953">
      <c r="H953">
        <v>0.0</v>
      </c>
      <c r="J953">
        <f t="shared" si="8"/>
        <v>0</v>
      </c>
    </row>
    <row r="954">
      <c r="H954">
        <v>0.0</v>
      </c>
      <c r="J954">
        <f t="shared" si="8"/>
        <v>0</v>
      </c>
    </row>
    <row r="955">
      <c r="H955">
        <v>0.0</v>
      </c>
      <c r="J955">
        <f t="shared" si="8"/>
        <v>0</v>
      </c>
    </row>
    <row r="956">
      <c r="H956">
        <v>0.0</v>
      </c>
      <c r="J956">
        <f t="shared" si="8"/>
        <v>0</v>
      </c>
    </row>
    <row r="957">
      <c r="H957">
        <v>0.0</v>
      </c>
      <c r="J957">
        <f t="shared" si="8"/>
        <v>0</v>
      </c>
    </row>
    <row r="958">
      <c r="H958">
        <v>0.0</v>
      </c>
      <c r="J958">
        <f t="shared" si="8"/>
        <v>0</v>
      </c>
    </row>
    <row r="959">
      <c r="H959">
        <v>0.0</v>
      </c>
      <c r="J959">
        <f t="shared" si="8"/>
        <v>0</v>
      </c>
    </row>
    <row r="960">
      <c r="H960">
        <v>0.0</v>
      </c>
      <c r="J960">
        <f t="shared" si="8"/>
        <v>0</v>
      </c>
    </row>
    <row r="961">
      <c r="H961">
        <v>0.0</v>
      </c>
      <c r="J961">
        <f t="shared" si="8"/>
        <v>0</v>
      </c>
    </row>
    <row r="962">
      <c r="H962">
        <v>0.0</v>
      </c>
      <c r="J962">
        <f t="shared" si="8"/>
        <v>0</v>
      </c>
    </row>
    <row r="963">
      <c r="H963">
        <v>0.0</v>
      </c>
      <c r="J963">
        <f t="shared" si="8"/>
        <v>0</v>
      </c>
    </row>
    <row r="964">
      <c r="H964">
        <v>0.0</v>
      </c>
      <c r="J964">
        <f t="shared" si="8"/>
        <v>0</v>
      </c>
    </row>
    <row r="965">
      <c r="H965">
        <v>0.0</v>
      </c>
      <c r="J965">
        <f t="shared" si="8"/>
        <v>0</v>
      </c>
    </row>
    <row r="966">
      <c r="H966">
        <v>0.0</v>
      </c>
      <c r="J966">
        <f t="shared" si="8"/>
        <v>0</v>
      </c>
    </row>
    <row r="967">
      <c r="H967">
        <v>0.0</v>
      </c>
      <c r="J967">
        <f t="shared" si="8"/>
        <v>0</v>
      </c>
    </row>
    <row r="968">
      <c r="H968">
        <v>0.0</v>
      </c>
      <c r="J968">
        <f t="shared" si="8"/>
        <v>0</v>
      </c>
    </row>
    <row r="969">
      <c r="H969">
        <v>0.0</v>
      </c>
      <c r="J969">
        <f t="shared" si="8"/>
        <v>0</v>
      </c>
    </row>
    <row r="970">
      <c r="H970">
        <v>0.0</v>
      </c>
      <c r="J970">
        <f t="shared" si="8"/>
        <v>0</v>
      </c>
    </row>
    <row r="971">
      <c r="H971">
        <v>0.0</v>
      </c>
      <c r="J971">
        <f t="shared" si="8"/>
        <v>0</v>
      </c>
    </row>
    <row r="972">
      <c r="H972">
        <v>0.0</v>
      </c>
      <c r="J972">
        <f t="shared" si="8"/>
        <v>0</v>
      </c>
    </row>
    <row r="973">
      <c r="H973">
        <v>0.0</v>
      </c>
      <c r="J973">
        <f t="shared" si="8"/>
        <v>0</v>
      </c>
    </row>
    <row r="974">
      <c r="H974">
        <v>0.0</v>
      </c>
      <c r="J974">
        <f t="shared" si="8"/>
        <v>0</v>
      </c>
    </row>
    <row r="975">
      <c r="H975">
        <v>0.0</v>
      </c>
      <c r="J975">
        <f t="shared" si="8"/>
        <v>0</v>
      </c>
    </row>
    <row r="976">
      <c r="H976">
        <v>0.0</v>
      </c>
      <c r="J976">
        <f t="shared" si="8"/>
        <v>0</v>
      </c>
    </row>
    <row r="977">
      <c r="H977">
        <v>0.0</v>
      </c>
      <c r="J977">
        <f t="shared" si="8"/>
        <v>0</v>
      </c>
    </row>
    <row r="978">
      <c r="H978">
        <v>0.0</v>
      </c>
      <c r="J978">
        <f t="shared" si="8"/>
        <v>0</v>
      </c>
    </row>
    <row r="979">
      <c r="H979">
        <v>0.0</v>
      </c>
      <c r="J979">
        <f t="shared" si="8"/>
        <v>0</v>
      </c>
    </row>
    <row r="980">
      <c r="H980">
        <v>0.0</v>
      </c>
      <c r="J980">
        <f t="shared" si="8"/>
        <v>0</v>
      </c>
    </row>
    <row r="981">
      <c r="H981">
        <v>0.0</v>
      </c>
      <c r="J981">
        <f t="shared" si="8"/>
        <v>0</v>
      </c>
    </row>
    <row r="982">
      <c r="H982">
        <v>0.0</v>
      </c>
      <c r="J982">
        <f t="shared" si="8"/>
        <v>0</v>
      </c>
    </row>
    <row r="983">
      <c r="H983">
        <v>0.0</v>
      </c>
      <c r="J983">
        <f t="shared" si="8"/>
        <v>0</v>
      </c>
    </row>
    <row r="984">
      <c r="H984">
        <v>0.0</v>
      </c>
      <c r="J984">
        <f t="shared" si="8"/>
        <v>0</v>
      </c>
    </row>
    <row r="985">
      <c r="H985">
        <v>0.0</v>
      </c>
      <c r="J985">
        <f t="shared" si="8"/>
        <v>0</v>
      </c>
    </row>
    <row r="986">
      <c r="H986">
        <v>0.0</v>
      </c>
      <c r="J986">
        <f t="shared" si="8"/>
        <v>0</v>
      </c>
    </row>
    <row r="987">
      <c r="H987">
        <v>0.0</v>
      </c>
      <c r="J987">
        <f t="shared" si="8"/>
        <v>0</v>
      </c>
    </row>
    <row r="988">
      <c r="H988">
        <v>0.0</v>
      </c>
      <c r="J988">
        <f t="shared" si="8"/>
        <v>0</v>
      </c>
    </row>
    <row r="989">
      <c r="H989">
        <v>0.0</v>
      </c>
      <c r="J989">
        <f t="shared" si="8"/>
        <v>0</v>
      </c>
    </row>
    <row r="990">
      <c r="H990">
        <v>0.0</v>
      </c>
      <c r="J990">
        <f t="shared" si="8"/>
        <v>0</v>
      </c>
    </row>
    <row r="991">
      <c r="H991">
        <v>0.0</v>
      </c>
      <c r="J991">
        <f t="shared" si="8"/>
        <v>0</v>
      </c>
    </row>
    <row r="992">
      <c r="H992">
        <v>0.0</v>
      </c>
      <c r="J992">
        <f t="shared" si="8"/>
        <v>0</v>
      </c>
    </row>
    <row r="993">
      <c r="H993">
        <v>0.0</v>
      </c>
      <c r="J993">
        <f t="shared" si="8"/>
        <v>0</v>
      </c>
    </row>
    <row r="994">
      <c r="H994">
        <v>0.0</v>
      </c>
      <c r="J994">
        <f t="shared" si="8"/>
        <v>0</v>
      </c>
    </row>
    <row r="995">
      <c r="H995">
        <v>0.0</v>
      </c>
      <c r="J995">
        <f t="shared" si="8"/>
        <v>0</v>
      </c>
    </row>
    <row r="996">
      <c r="H996">
        <v>0.0</v>
      </c>
      <c r="J996">
        <f t="shared" si="8"/>
        <v>0</v>
      </c>
    </row>
    <row r="997">
      <c r="H997">
        <v>0.0</v>
      </c>
      <c r="J997">
        <f t="shared" si="8"/>
        <v>0</v>
      </c>
    </row>
    <row r="998">
      <c r="H998">
        <v>0.0</v>
      </c>
      <c r="J998">
        <f t="shared" si="8"/>
        <v>0</v>
      </c>
    </row>
    <row r="999">
      <c r="H999">
        <v>0.0</v>
      </c>
      <c r="J999">
        <f t="shared" si="8"/>
        <v>0</v>
      </c>
    </row>
    <row r="1000">
      <c r="J1000">
        <f t="shared" si="8"/>
        <v>0</v>
      </c>
    </row>
    <row r="1001">
      <c r="J1001">
        <f t="shared" si="8"/>
        <v>0</v>
      </c>
    </row>
    <row r="1002">
      <c r="J1002">
        <f t="shared" si="8"/>
        <v>0</v>
      </c>
    </row>
    <row r="1003">
      <c r="J1003">
        <f t="shared" si="8"/>
        <v>0</v>
      </c>
    </row>
    <row r="1004">
      <c r="J1004">
        <f t="shared" si="8"/>
        <v>0</v>
      </c>
    </row>
    <row r="1005">
      <c r="J1005">
        <f t="shared" si="8"/>
        <v>0</v>
      </c>
    </row>
    <row r="1006">
      <c r="J1006">
        <f t="shared" si="8"/>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71"/>
  </cols>
  <sheetData>
    <row r="1">
      <c r="A1" s="47" t="s">
        <v>1956</v>
      </c>
      <c r="B1" s="47" t="s">
        <v>1958</v>
      </c>
    </row>
    <row r="2">
      <c r="A2" s="48" t="s">
        <v>42</v>
      </c>
      <c r="B2" s="49" t="s">
        <v>58</v>
      </c>
    </row>
    <row r="3">
      <c r="A3" s="48" t="s">
        <v>50</v>
      </c>
      <c r="B3" s="50" t="s">
        <v>65</v>
      </c>
    </row>
    <row r="4">
      <c r="A4" s="48" t="s">
        <v>62</v>
      </c>
      <c r="B4" s="50" t="s">
        <v>1963</v>
      </c>
    </row>
    <row r="5">
      <c r="A5" s="48" t="s">
        <v>75</v>
      </c>
      <c r="B5" s="49" t="s">
        <v>53</v>
      </c>
    </row>
    <row r="6">
      <c r="A6" s="48" t="s">
        <v>211</v>
      </c>
      <c r="B6" s="50" t="s">
        <v>1040</v>
      </c>
    </row>
    <row r="7">
      <c r="A7" s="48" t="s">
        <v>69</v>
      </c>
      <c r="B7" s="49" t="s">
        <v>72</v>
      </c>
    </row>
    <row r="8">
      <c r="A8" s="48" t="s">
        <v>124</v>
      </c>
      <c r="B8" s="49" t="s">
        <v>1964</v>
      </c>
    </row>
    <row r="9">
      <c r="B9" s="51" t="s">
        <v>1965</v>
      </c>
    </row>
    <row r="13">
      <c r="B13" s="5"/>
    </row>
    <row r="15">
      <c r="B15" s="5"/>
    </row>
    <row r="16">
      <c r="B16" s="5"/>
    </row>
    <row r="17">
      <c r="B17" s="5"/>
    </row>
    <row r="19">
      <c r="B19" s="5"/>
    </row>
    <row r="20">
      <c r="B20" s="5"/>
    </row>
    <row r="21">
      <c r="B21" s="5"/>
    </row>
    <row r="22">
      <c r="B22" s="5"/>
    </row>
    <row r="23">
      <c r="B23" s="5"/>
    </row>
    <row r="24">
      <c r="B24"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sheetData>
  <drawing r:id="rId1"/>
</worksheet>
</file>