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showInkAnnotation="0" defaultThemeVersion="124226"/>
  <mc:AlternateContent xmlns:mc="http://schemas.openxmlformats.org/markup-compatibility/2006">
    <mc:Choice Requires="x15">
      <x15ac:absPath xmlns:x15ac="http://schemas.microsoft.com/office/spreadsheetml/2010/11/ac" url="D:\working\waccache\SG2PEPF00028F2A\EXCELCNV\4478dc14-aaeb-433f-88d5-6d4299a5ebce\"/>
    </mc:Choice>
  </mc:AlternateContent>
  <xr:revisionPtr revIDLastSave="0" documentId="8_{3A0F8F3A-F086-4D7C-A22E-E7A2FF7686CC}" xr6:coauthVersionLast="47" xr6:coauthVersionMax="47" xr10:uidLastSave="{00000000-0000-0000-0000-000000000000}"/>
  <bookViews>
    <workbookView xWindow="-60" yWindow="-60" windowWidth="15480" windowHeight="11640" tabRatio="896" firstSheet="4" activeTab="4" xr2:uid="{00000000-000D-0000-FFFF-FFFF00000000}"/>
  </bookViews>
  <sheets>
    <sheet name="Trang bia" sheetId="21" r:id="rId1"/>
    <sheet name="Bang ghi nhan thay doi" sheetId="22" r:id="rId2"/>
    <sheet name="Tong hop" sheetId="40" r:id="rId3"/>
    <sheet name="Sheet2" sheetId="34" state="hidden" r:id="rId4"/>
    <sheet name="NL Chuc nang" sheetId="43" r:id="rId5"/>
    <sheet name="NL Phi chuc nang" sheetId="45" r:id="rId6"/>
    <sheet name="BM_Kiem thu hieu nang" sheetId="24" state="hidden" r:id="rId7"/>
    <sheet name="HDKTHN" sheetId="25" state="hidden" r:id="rId8"/>
    <sheet name="Định nghĩa Loại Chức năng" sheetId="38" r:id="rId9"/>
    <sheet name="Định nghĩa loại công việc" sheetId="39" r:id="rId10"/>
    <sheet name="CSDL_CN" sheetId="35" r:id="rId11"/>
    <sheet name="CSDL Phi CN" sheetId="44" r:id="rId12"/>
    <sheet name="Ty le phan bo nguon luc du an" sheetId="36" state="hidden" r:id="rId13"/>
    <sheet name="HD ULNL " sheetId="37" r:id="rId14"/>
    <sheet name="HD Tái sử dụng PM" sheetId="42" state="hidden" r:id="rId15"/>
    <sheet name="CSDL CN" sheetId="33" state="hidden" r:id="rId16"/>
    <sheet name="Tham chiếu list" sheetId="27" state="hidden" r:id="rId17"/>
    <sheet name="Tham chiếu list2" sheetId="29" state="hidden" r:id="rId18"/>
  </sheets>
  <externalReferences>
    <externalReference r:id="rId19"/>
    <externalReference r:id="rId20"/>
    <externalReference r:id="rId21"/>
  </externalReferences>
  <definedNames>
    <definedName name="_Fill" localSheetId="11" hidden="1">#REF!</definedName>
    <definedName name="_Fill" localSheetId="5" hidden="1">#REF!</definedName>
    <definedName name="_Fill" localSheetId="16" hidden="1">#REF!</definedName>
    <definedName name="_Fill" localSheetId="17" hidden="1">#REF!</definedName>
    <definedName name="_Fill" localSheetId="2" hidden="1">#REF!</definedName>
    <definedName name="_Fill" hidden="1">#REF!</definedName>
    <definedName name="_Fill2" localSheetId="11" hidden="1">#REF!</definedName>
    <definedName name="_Fill2" localSheetId="5" hidden="1">#REF!</definedName>
    <definedName name="_Fill2" localSheetId="2" hidden="1">#REF!</definedName>
    <definedName name="_Fill2" hidden="1">#REF!</definedName>
    <definedName name="_xlnm._FilterDatabase" localSheetId="11" hidden="1">'CSDL Phi CN'!$A$3:$C$326</definedName>
    <definedName name="_xlnm._FilterDatabase" localSheetId="10" hidden="1">CSDL_CN!$A$3:$D$340</definedName>
    <definedName name="_xlnm._FilterDatabase" localSheetId="4" hidden="1">'NL Chuc nang'!$A$7:$AE$55</definedName>
    <definedName name="_xlnm._FilterDatabase" localSheetId="5" hidden="1">'NL Phi chuc nang'!$A$7:$I$14</definedName>
    <definedName name="Access">[1]Validation!$E$2:$E$223</definedName>
    <definedName name="AccessCircuit">[1]Validation!$C$2:$C$29</definedName>
    <definedName name="ACTION" localSheetId="11">#REF!</definedName>
    <definedName name="ACTION" localSheetId="5">#REF!</definedName>
    <definedName name="ACTION" localSheetId="16">#REF!</definedName>
    <definedName name="ACTION" localSheetId="17">#REF!</definedName>
    <definedName name="ACTION" localSheetId="2">#REF!</definedName>
    <definedName name="ACTION">#REF!</definedName>
    <definedName name="ACTION2" localSheetId="11">#REF!</definedName>
    <definedName name="ACTION2" localSheetId="5">#REF!</definedName>
    <definedName name="ACTION2" localSheetId="2">#REF!</definedName>
    <definedName name="ACTION2">#REF!</definedName>
    <definedName name="CONTROL_GD">#REF!</definedName>
    <definedName name="CoS">[1]Validation!$G$2:$G$47</definedName>
    <definedName name="Countries">[1]Validation!$A$2:$A$301</definedName>
    <definedName name="Chuc_nang" localSheetId="17">'Tham chiếu list2'!$A$2:$A$13</definedName>
    <definedName name="Chuc_nang">'Tham chiếu list'!$A$2:$A$15</definedName>
    <definedName name="Chuc_nang_moi" localSheetId="16">'Tham chiếu list'!$A$2:$A$16</definedName>
    <definedName name="Chuc_nang_moi" localSheetId="17">'Tham chiếu list2'!$A$2:$A$14</definedName>
    <definedName name="Chuc_nang_moi">'Tham chiếu list'!$A$2:$A$16</definedName>
    <definedName name="Chuc_nang_moi2">'[2]Tham chiếu list2'!$A$2:$A$14</definedName>
    <definedName name="chucnang_WFW" localSheetId="11">#REF!</definedName>
    <definedName name="chucnang_WFW" localSheetId="5">#REF!</definedName>
    <definedName name="chucnang_WFW" localSheetId="16">#REF!</definedName>
    <definedName name="chucnang_WFW" localSheetId="17">#REF!</definedName>
    <definedName name="chucnang_WFW" localSheetId="2">#REF!</definedName>
    <definedName name="chucnang_WFW">#REF!</definedName>
    <definedName name="chucnang_WFW2" localSheetId="11">#REF!</definedName>
    <definedName name="chucnang_WFW2" localSheetId="5">#REF!</definedName>
    <definedName name="chucnang_WFW2" localSheetId="2">#REF!</definedName>
    <definedName name="chucnang_WFW2">#REF!</definedName>
    <definedName name="Chức_năng" localSheetId="17">'Tham chiếu list2'!$A$1:$A$14</definedName>
    <definedName name="Chức_năng">'Tham chiếu list'!$A$1:$A$16</definedName>
    <definedName name="df" localSheetId="11">#REF!</definedName>
    <definedName name="df" localSheetId="5">#REF!</definedName>
    <definedName name="df" localSheetId="17">#REF!</definedName>
    <definedName name="df" localSheetId="2">#REF!</definedName>
    <definedName name="df">#REF!</definedName>
    <definedName name="Do_phuc_tap" localSheetId="17">'Tham chiếu list2'!$B$2:$B$6</definedName>
    <definedName name="Do_phuc_tap">'Tham chiếu list'!$B$2:$B$6</definedName>
    <definedName name="Document_array" localSheetId="4">{"Book1"}</definedName>
    <definedName name="Document_array" localSheetId="5">{"Book1"}</definedName>
    <definedName name="Document_array" localSheetId="16">{"Book1"}</definedName>
    <definedName name="Document_array" localSheetId="17">{"Book1"}</definedName>
    <definedName name="Document_array" localSheetId="2">{"Book1"}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fds" localSheetId="4">{"Book1"}</definedName>
    <definedName name="fds" localSheetId="5">{"Book1"}</definedName>
    <definedName name="fds" localSheetId="16">{"Book1"}</definedName>
    <definedName name="fds" localSheetId="17">{"Book1"}</definedName>
    <definedName name="fds" localSheetId="2">{"Book1"}</definedName>
    <definedName name="fds">{"Book1"}</definedName>
    <definedName name="GIAIDOAN" localSheetId="2">[3]Draff1!$C$10:$C$1512,[3]Draff1!$C$14,[3]Draff1!$C$15</definedName>
    <definedName name="GIAIDOAN">#REF!</definedName>
    <definedName name="LDA">#REF!</definedName>
    <definedName name="LOAI_CN" localSheetId="11">#REF!</definedName>
    <definedName name="LOAI_CN" localSheetId="5">#REF!</definedName>
    <definedName name="LOAI_CN" localSheetId="17">[2]Draff1!$C$4:$C$41</definedName>
    <definedName name="LOAI_CN" localSheetId="2">[3]Draff1!#REF!</definedName>
    <definedName name="LOAI_CN">#REF!</definedName>
    <definedName name="Loai_CN2">'Tham chiếu list2'!$A$2:$A$14</definedName>
    <definedName name="LoaiCN" localSheetId="11">#REF!</definedName>
    <definedName name="LoaiCN" localSheetId="5">#REF!</definedName>
    <definedName name="LoaiCN" localSheetId="2">#REF!</definedName>
    <definedName name="LoaiCN">#REF!</definedName>
    <definedName name="LOAICN_KT">#REF!</definedName>
    <definedName name="LOAIDUAN" localSheetId="2">#REF!</definedName>
    <definedName name="LOAIDUAN">#REF!</definedName>
    <definedName name="Ma_testcase_34" localSheetId="11">#REF!</definedName>
    <definedName name="Ma_testcase_34" localSheetId="5">#REF!</definedName>
    <definedName name="Ma_testcase_34" localSheetId="16">#REF!</definedName>
    <definedName name="Ma_testcase_34" localSheetId="17">#REF!</definedName>
    <definedName name="Ma_testcase_34" localSheetId="2">#REF!</definedName>
    <definedName name="Ma_testcase_34">#REF!</definedName>
    <definedName name="Ma_testcase_342" localSheetId="11">#REF!</definedName>
    <definedName name="Ma_testcase_342" localSheetId="5">#REF!</definedName>
    <definedName name="Ma_testcase_342" localSheetId="2">#REF!</definedName>
    <definedName name="Ma_testcase_342">#REF!</definedName>
    <definedName name="Mobile">#REF!</definedName>
    <definedName name="NHOM_CN">#REF!</definedName>
    <definedName name="PBNL">#REF!</definedName>
    <definedName name="Port">[1]Validation!$F$2:$F$40</definedName>
    <definedName name="_xlnm.Print_Area" localSheetId="1">'Bang ghi nhan thay doi'!$A$1:$G$18</definedName>
    <definedName name="_xlnm.Print_Area" localSheetId="11">'CSDL Phi CN'!$A$1:$D$326</definedName>
    <definedName name="_xlnm.Print_Area" localSheetId="10">CSDL_CN!$A$1:$F$340</definedName>
    <definedName name="_xlnm.Print_Area" localSheetId="8">'Định nghĩa Loại Chức năng'!$A$1:$D$63</definedName>
    <definedName name="_xlnm.Print_Area" localSheetId="4">'NL Chuc nang'!$A$1:$AB$58</definedName>
    <definedName name="_xlnm.Print_Area" localSheetId="5">'NL Phi chuc nang'!$A$1:$I$17</definedName>
    <definedName name="_xlnm.Print_Area" localSheetId="2">'Tong hop'!$A$1:$J$24</definedName>
    <definedName name="_xlnm.Print_Area" localSheetId="0">'Trang bia'!$A$1:$I$31</definedName>
    <definedName name="_xlnm.Print_Titles" localSheetId="11">'CSDL Phi CN'!$3:$3</definedName>
    <definedName name="_xlnm.Print_Titles" localSheetId="10">CSDL_CN!$3:$3</definedName>
    <definedName name="_xlnm.Print_Titles" localSheetId="4">'NL Chuc nang'!$6:$7</definedName>
    <definedName name="_xlnm.Print_Titles" localSheetId="5">'NL Phi chuc nang'!$6:$7</definedName>
    <definedName name="PHP">#REF!</definedName>
    <definedName name="QLDH_TDTT_41" localSheetId="11">#REF!</definedName>
    <definedName name="QLDH_TDTT_41" localSheetId="5">#REF!</definedName>
    <definedName name="QLDH_TDTT_41" localSheetId="16">#REF!</definedName>
    <definedName name="QLDH_TDTT_41" localSheetId="17">#REF!</definedName>
    <definedName name="QLDH_TDTT_41" localSheetId="2">#REF!</definedName>
    <definedName name="QLDH_TDTT_41">#REF!</definedName>
    <definedName name="QLDH_TDTT_412" localSheetId="11">#REF!</definedName>
    <definedName name="QLDH_TDTT_412" localSheetId="5">#REF!</definedName>
    <definedName name="QLDH_TDTT_412" localSheetId="2">#REF!</definedName>
    <definedName name="QLDH_TDTT_412">#REF!</definedName>
    <definedName name="QLHD_CDHD_15" localSheetId="11">#REF!</definedName>
    <definedName name="QLHD_CDHD_15" localSheetId="5">#REF!</definedName>
    <definedName name="QLHD_CDHD_15" localSheetId="16">#REF!</definedName>
    <definedName name="QLHD_CDHD_15" localSheetId="17">#REF!</definedName>
    <definedName name="QLHD_CDHD_15" localSheetId="2">#REF!</definedName>
    <definedName name="QLHD_CDHD_15">#REF!</definedName>
    <definedName name="QLHD_CDHD_152" localSheetId="11">#REF!</definedName>
    <definedName name="QLHD_CDHD_152" localSheetId="5">#REF!</definedName>
    <definedName name="QLHD_CDHD_152" localSheetId="2">#REF!</definedName>
    <definedName name="QLHD_CDHD_152">#REF!</definedName>
    <definedName name="QLHD_CNHD_34" localSheetId="11">#REF!</definedName>
    <definedName name="QLHD_CNHD_34" localSheetId="5">#REF!</definedName>
    <definedName name="QLHD_CNHD_34" localSheetId="16">#REF!</definedName>
    <definedName name="QLHD_CNHD_34" localSheetId="17">#REF!</definedName>
    <definedName name="QLHD_CNHD_34" localSheetId="2">#REF!</definedName>
    <definedName name="QLHD_CNHD_34">#REF!</definedName>
    <definedName name="QLHD_CNHD_342" localSheetId="11">#REF!</definedName>
    <definedName name="QLHD_CNHD_342" localSheetId="5">#REF!</definedName>
    <definedName name="QLHD_CNHD_342" localSheetId="2">#REF!</definedName>
    <definedName name="QLHD_CNHD_342">#REF!</definedName>
    <definedName name="QLHD_GHD_34" localSheetId="11">#REF!</definedName>
    <definedName name="QLHD_GHD_34" localSheetId="5">#REF!</definedName>
    <definedName name="QLHD_GHD_34" localSheetId="16">#REF!</definedName>
    <definedName name="QLHD_GHD_34" localSheetId="17">#REF!</definedName>
    <definedName name="QLHD_GHD_34" localSheetId="2">#REF!</definedName>
    <definedName name="QLHD_GHD_34">#REF!</definedName>
    <definedName name="QLHD_GHD_342" localSheetId="11">#REF!</definedName>
    <definedName name="QLHD_GHD_342" localSheetId="5">#REF!</definedName>
    <definedName name="QLHD_GHD_342" localSheetId="2">#REF!</definedName>
    <definedName name="QLHD_GHD_342">#REF!</definedName>
    <definedName name="QLHD_HHD_13" localSheetId="11">#REF!</definedName>
    <definedName name="QLHD_HHD_13" localSheetId="5">#REF!</definedName>
    <definedName name="QLHD_HHD_13" localSheetId="16">#REF!</definedName>
    <definedName name="QLHD_HHD_13" localSheetId="17">#REF!</definedName>
    <definedName name="QLHD_HHD_13" localSheetId="2">#REF!</definedName>
    <definedName name="QLHD_HHD_13">#REF!</definedName>
    <definedName name="QLHD_HHD_132" localSheetId="11">#REF!</definedName>
    <definedName name="QLHD_HHD_132" localSheetId="5">#REF!</definedName>
    <definedName name="QLHD_HHD_132" localSheetId="2">#REF!</definedName>
    <definedName name="QLHD_HHD_132">#REF!</definedName>
    <definedName name="QLHD_KHD_6" localSheetId="11">#REF!</definedName>
    <definedName name="QLHD_KHD_6" localSheetId="5">#REF!</definedName>
    <definedName name="QLHD_KHD_6" localSheetId="16">#REF!</definedName>
    <definedName name="QLHD_KHD_6" localSheetId="17">#REF!</definedName>
    <definedName name="QLHD_KHD_6" localSheetId="2">#REF!</definedName>
    <definedName name="QLHD_KHD_6">#REF!</definedName>
    <definedName name="QLHD_KHD_62" localSheetId="11">#REF!</definedName>
    <definedName name="QLHD_KHD_62" localSheetId="5">#REF!</definedName>
    <definedName name="QLHD_KHD_62" localSheetId="2">#REF!</definedName>
    <definedName name="QLHD_KHD_62">#REF!</definedName>
    <definedName name="QLHD_TH_1" localSheetId="11">#REF!</definedName>
    <definedName name="QLHD_TH_1" localSheetId="5">#REF!</definedName>
    <definedName name="QLHD_TH_1" localSheetId="16">#REF!</definedName>
    <definedName name="QLHD_TH_1" localSheetId="17">#REF!</definedName>
    <definedName name="QLHD_TH_1" localSheetId="2">#REF!</definedName>
    <definedName name="QLHD_TH_1">#REF!</definedName>
    <definedName name="QLHD_TH_12" localSheetId="11">#REF!</definedName>
    <definedName name="QLHD_TH_12" localSheetId="5">#REF!</definedName>
    <definedName name="QLHD_TH_12" localSheetId="2">#REF!</definedName>
    <definedName name="QLHD_TH_12">#REF!</definedName>
    <definedName name="QLHD_THD_34" localSheetId="11">#REF!</definedName>
    <definedName name="QLHD_THD_34" localSheetId="5">#REF!</definedName>
    <definedName name="QLHD_THD_34" localSheetId="16">#REF!</definedName>
    <definedName name="QLHD_THD_34" localSheetId="17">#REF!</definedName>
    <definedName name="QLHD_THD_34" localSheetId="2">#REF!</definedName>
    <definedName name="QLHD_THD_34">#REF!</definedName>
    <definedName name="QLHD_THD_342" localSheetId="11">#REF!</definedName>
    <definedName name="QLHD_THD_342" localSheetId="5">#REF!</definedName>
    <definedName name="QLHD_THD_342" localSheetId="2">#REF!</definedName>
    <definedName name="QLHD_THD_342">#REF!</definedName>
    <definedName name="Tên_TestCase" localSheetId="11">#REF!</definedName>
    <definedName name="Tên_TestCase" localSheetId="5">#REF!</definedName>
    <definedName name="Tên_TestCase" localSheetId="16">#REF!</definedName>
    <definedName name="Tên_TestCase" localSheetId="17">#REF!</definedName>
    <definedName name="Tên_TestCase" localSheetId="2">#REF!</definedName>
    <definedName name="Tên_TestCase">#REF!</definedName>
    <definedName name="Tên_TestCase2" localSheetId="11">#REF!</definedName>
    <definedName name="Tên_TestCase2" localSheetId="5">#REF!</definedName>
    <definedName name="Tên_TestCase2" localSheetId="2">#REF!</definedName>
    <definedName name="Tên_TestCase2">#REF!</definedName>
    <definedName name="Tiếntrình">#REF!</definedName>
    <definedName name="VancoProducts">[1]Validation!$B$2:$B$4</definedName>
    <definedName name="WFW">#REF!</definedName>
    <definedName name="Z_C58FC9F5_0B34_4D2F_AC80_FBB6787C6862_.wvu.FilterData" localSheetId="4" hidden="1">'NL Chuc nang'!$A$7:$S$54</definedName>
    <definedName name="Z_C58FC9F5_0B34_4D2F_AC80_FBB6787C6862_.wvu.FilterData" localSheetId="5" hidden="1">'NL Phi chuc nang'!$A$7:$F$13</definedName>
    <definedName name="Z_C58FC9F5_0B34_4D2F_AC80_FBB6787C6862_.wvu.PrintArea" localSheetId="4" hidden="1">'NL Chuc nang'!$A$1:$S$58</definedName>
    <definedName name="Z_C58FC9F5_0B34_4D2F_AC80_FBB6787C6862_.wvu.PrintArea" localSheetId="5" hidden="1">'NL Phi chuc nang'!$A$1:$F$17</definedName>
  </definedNames>
  <calcPr calcId="191028"/>
  <customWorkbookViews>
    <customWorkbookView name="QA_ngant10 - Personal View" guid="{C58FC9F5-0B34-4D2F-AC80-FBB6787C6862}" mergeInterval="0" personalView="1" maximized="1" xWindow="1" yWindow="1" windowWidth="1280" windowHeight="772" tabRatio="909"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8" i="43" l="1"/>
  <c r="X38" i="43"/>
  <c r="W38" i="43"/>
  <c r="K38" i="43"/>
  <c r="Y37" i="43"/>
  <c r="X37" i="43"/>
  <c r="W37" i="43"/>
  <c r="K37" i="43"/>
  <c r="Y36" i="43"/>
  <c r="X36" i="43"/>
  <c r="W36" i="43"/>
  <c r="K36" i="43"/>
  <c r="Y35" i="43"/>
  <c r="X35" i="43"/>
  <c r="W35" i="43"/>
  <c r="K35" i="43"/>
  <c r="Y48" i="43"/>
  <c r="X48" i="43"/>
  <c r="W48" i="43"/>
  <c r="K48" i="43"/>
  <c r="Y49" i="43"/>
  <c r="X49" i="43"/>
  <c r="W49" i="43"/>
  <c r="K49" i="43"/>
  <c r="Y50" i="43"/>
  <c r="X50" i="43"/>
  <c r="W50" i="43"/>
  <c r="K50" i="43"/>
  <c r="Y51" i="43"/>
  <c r="X51" i="43"/>
  <c r="W51" i="43"/>
  <c r="K51" i="43"/>
  <c r="Y25" i="43"/>
  <c r="X25" i="43"/>
  <c r="W25" i="43"/>
  <c r="K25" i="43"/>
  <c r="Y24" i="43"/>
  <c r="X24" i="43"/>
  <c r="W24" i="43"/>
  <c r="K24" i="43"/>
  <c r="Y23" i="43"/>
  <c r="X23" i="43"/>
  <c r="W23" i="43"/>
  <c r="K23" i="43"/>
  <c r="Y22" i="43"/>
  <c r="X22" i="43"/>
  <c r="W22" i="43"/>
  <c r="K22" i="43"/>
  <c r="Y21" i="43"/>
  <c r="X21" i="43"/>
  <c r="W21" i="43"/>
  <c r="K21" i="43"/>
  <c r="Y20" i="43"/>
  <c r="X20" i="43"/>
  <c r="W20" i="43"/>
  <c r="K20" i="43"/>
  <c r="Y45" i="43"/>
  <c r="X45" i="43"/>
  <c r="W45" i="43"/>
  <c r="K45" i="43"/>
  <c r="K46" i="43"/>
  <c r="W46" i="43"/>
  <c r="X46" i="43"/>
  <c r="Y46" i="43"/>
  <c r="K47" i="43"/>
  <c r="W47" i="43"/>
  <c r="X47" i="43"/>
  <c r="Y47" i="43"/>
  <c r="Y41" i="43"/>
  <c r="X41" i="43"/>
  <c r="W41" i="43"/>
  <c r="K41" i="43"/>
  <c r="Y40" i="43"/>
  <c r="X40" i="43"/>
  <c r="W40" i="43"/>
  <c r="K40" i="43"/>
  <c r="Y28" i="43"/>
  <c r="X28" i="43"/>
  <c r="W28" i="43"/>
  <c r="K28" i="43"/>
  <c r="Y27" i="43"/>
  <c r="X27" i="43"/>
  <c r="W27" i="43"/>
  <c r="K27" i="43"/>
  <c r="Y53" i="43"/>
  <c r="X53" i="43"/>
  <c r="W53" i="43"/>
  <c r="K53" i="43"/>
  <c r="Y30" i="43"/>
  <c r="X30" i="43"/>
  <c r="W30" i="43"/>
  <c r="K30" i="43"/>
  <c r="Y29" i="43"/>
  <c r="X29" i="43"/>
  <c r="W29" i="43"/>
  <c r="K29" i="43"/>
  <c r="Y26" i="43"/>
  <c r="X26" i="43"/>
  <c r="W26" i="43"/>
  <c r="K26" i="43"/>
  <c r="Y19" i="43"/>
  <c r="X19" i="43"/>
  <c r="W19" i="43"/>
  <c r="K19" i="43"/>
  <c r="Y18" i="43"/>
  <c r="X18" i="43"/>
  <c r="W18" i="43"/>
  <c r="K18" i="43"/>
  <c r="Y17" i="43"/>
  <c r="X17" i="43"/>
  <c r="W17" i="43"/>
  <c r="K17" i="43"/>
  <c r="Y39" i="43"/>
  <c r="X39" i="43"/>
  <c r="W39" i="43"/>
  <c r="K39" i="43"/>
  <c r="Y52" i="43"/>
  <c r="X52" i="43"/>
  <c r="W52" i="43"/>
  <c r="K52" i="43"/>
  <c r="K44" i="43"/>
  <c r="K43" i="43"/>
  <c r="K42" i="43"/>
  <c r="K34" i="43"/>
  <c r="K33" i="43"/>
  <c r="K32" i="43"/>
  <c r="K31" i="43"/>
  <c r="K16" i="43"/>
  <c r="K15" i="43"/>
  <c r="K14" i="43"/>
  <c r="K13" i="43"/>
  <c r="K12" i="43"/>
  <c r="K11" i="43"/>
  <c r="K10" i="43"/>
  <c r="K9" i="43"/>
  <c r="Y12" i="43"/>
  <c r="X12" i="43"/>
  <c r="W12" i="43"/>
  <c r="Y13" i="43"/>
  <c r="X13" i="43"/>
  <c r="W13" i="43"/>
  <c r="Y32" i="43"/>
  <c r="X32" i="43"/>
  <c r="W32" i="43"/>
  <c r="Y33" i="43"/>
  <c r="X33" i="43"/>
  <c r="W33" i="43"/>
  <c r="Y11" i="43"/>
  <c r="X11" i="43"/>
  <c r="W11" i="43"/>
  <c r="Y31" i="43"/>
  <c r="X31" i="43"/>
  <c r="W31" i="43"/>
  <c r="Y9" i="43"/>
  <c r="X9" i="43"/>
  <c r="W9" i="43"/>
  <c r="Y44" i="43"/>
  <c r="X44" i="43"/>
  <c r="W44" i="43"/>
  <c r="Y43" i="43"/>
  <c r="X43" i="43"/>
  <c r="W43" i="43"/>
  <c r="Y16" i="43"/>
  <c r="X16" i="43"/>
  <c r="W16" i="43"/>
  <c r="Y42" i="43"/>
  <c r="X42" i="43"/>
  <c r="W42" i="43"/>
  <c r="Y34" i="43"/>
  <c r="X34" i="43"/>
  <c r="W34" i="43"/>
  <c r="F10" i="45"/>
  <c r="F11" i="45"/>
  <c r="E11" i="45"/>
  <c r="E10" i="45"/>
  <c r="E9" i="45"/>
  <c r="E40" i="35"/>
  <c r="E5" i="35"/>
  <c r="E6" i="35"/>
  <c r="E7" i="35"/>
  <c r="E8" i="35"/>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4" i="35"/>
  <c r="E12" i="36"/>
  <c r="F11" i="36"/>
  <c r="E259" i="33"/>
  <c r="E258" i="33"/>
  <c r="E257" i="33"/>
  <c r="E256" i="33"/>
  <c r="E255" i="33"/>
  <c r="E254" i="33"/>
  <c r="E253" i="33"/>
  <c r="E252" i="33"/>
  <c r="E251" i="33"/>
  <c r="E250" i="33"/>
  <c r="E249" i="33"/>
  <c r="E248" i="33"/>
  <c r="E247" i="33"/>
  <c r="E246" i="33"/>
  <c r="E245" i="33"/>
  <c r="E244" i="33"/>
  <c r="E243" i="33"/>
  <c r="E242" i="33"/>
  <c r="E241" i="33"/>
  <c r="E240" i="33"/>
  <c r="E239" i="33"/>
  <c r="E238" i="33"/>
  <c r="E237" i="33"/>
  <c r="E236" i="33"/>
  <c r="E235" i="33"/>
  <c r="E234" i="33"/>
  <c r="E233" i="33"/>
  <c r="E232" i="33"/>
  <c r="E231" i="33"/>
  <c r="E230" i="33"/>
  <c r="E229" i="33"/>
  <c r="E228" i="33"/>
  <c r="E227" i="33"/>
  <c r="E226" i="33"/>
  <c r="E225" i="33"/>
  <c r="E224" i="33"/>
  <c r="E223" i="33"/>
  <c r="E222" i="33"/>
  <c r="E221" i="33"/>
  <c r="E220" i="33"/>
  <c r="E219" i="33"/>
  <c r="E218" i="33"/>
  <c r="E217" i="33"/>
  <c r="E216" i="33"/>
  <c r="E215" i="33"/>
  <c r="E214" i="33"/>
  <c r="E213" i="33"/>
  <c r="E212" i="33"/>
  <c r="E211" i="33"/>
  <c r="E210" i="33"/>
  <c r="E209" i="33"/>
  <c r="E208" i="33"/>
  <c r="E207" i="33"/>
  <c r="E206" i="33"/>
  <c r="E205" i="33"/>
  <c r="E204" i="33"/>
  <c r="E203" i="33"/>
  <c r="E202" i="33"/>
  <c r="E201" i="33"/>
  <c r="E200" i="33"/>
  <c r="E199" i="33"/>
  <c r="E198" i="33"/>
  <c r="E197" i="33"/>
  <c r="E196" i="33"/>
  <c r="E195" i="33"/>
  <c r="E194" i="33"/>
  <c r="E193" i="33"/>
  <c r="E192" i="33"/>
  <c r="E191" i="33"/>
  <c r="E190" i="33"/>
  <c r="E189" i="33"/>
  <c r="E188" i="33"/>
  <c r="E187" i="33"/>
  <c r="E186" i="33"/>
  <c r="E185" i="33"/>
  <c r="E184" i="33"/>
  <c r="E183" i="33"/>
  <c r="E182" i="33"/>
  <c r="E181" i="33"/>
  <c r="E180" i="33"/>
  <c r="E179" i="33"/>
  <c r="E178" i="33"/>
  <c r="E177" i="33"/>
  <c r="E176" i="33"/>
  <c r="E175" i="33"/>
  <c r="E174" i="33"/>
  <c r="E173" i="33"/>
  <c r="E172" i="33"/>
  <c r="E171" i="33"/>
  <c r="E170" i="33"/>
  <c r="E168" i="33"/>
  <c r="E167" i="33"/>
  <c r="E169" i="33"/>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F30" i="24"/>
  <c r="F31" i="24"/>
  <c r="F32" i="24"/>
  <c r="F33" i="24"/>
  <c r="F34" i="24"/>
  <c r="F35" i="24"/>
  <c r="F36" i="24"/>
  <c r="F37" i="24"/>
  <c r="F38" i="24"/>
  <c r="N6" i="24"/>
  <c r="S6" i="24"/>
  <c r="T6" i="24"/>
  <c r="V6" i="24" s="1"/>
  <c r="W6" i="24"/>
  <c r="X6" i="24"/>
  <c r="K6" i="24"/>
  <c r="L6" i="24"/>
  <c r="Q6" i="24"/>
  <c r="N7" i="24"/>
  <c r="S7" i="24"/>
  <c r="T7" i="24"/>
  <c r="V7" i="24"/>
  <c r="W7" i="24"/>
  <c r="X7" i="24"/>
  <c r="K7" i="24"/>
  <c r="L7" i="24"/>
  <c r="M7" i="24"/>
  <c r="Q7" i="24"/>
  <c r="N8" i="24"/>
  <c r="S8" i="24"/>
  <c r="T8" i="24"/>
  <c r="V8" i="24"/>
  <c r="W8" i="24"/>
  <c r="X8" i="24"/>
  <c r="K8" i="24"/>
  <c r="L8" i="24"/>
  <c r="M8" i="24"/>
  <c r="Q8" i="24"/>
  <c r="N9" i="24"/>
  <c r="S9" i="24"/>
  <c r="T9" i="24"/>
  <c r="V9" i="24" s="1"/>
  <c r="W9" i="24"/>
  <c r="X9" i="24"/>
  <c r="K9" i="24"/>
  <c r="L9" i="24"/>
  <c r="M9" i="24" s="1"/>
  <c r="Q9" i="24"/>
  <c r="N10" i="24"/>
  <c r="S10" i="24"/>
  <c r="T10" i="24"/>
  <c r="V10" i="24"/>
  <c r="W10" i="24"/>
  <c r="X10" i="24"/>
  <c r="K10" i="24"/>
  <c r="L10" i="24"/>
  <c r="M10" i="24" s="1"/>
  <c r="Q10" i="24"/>
  <c r="N11" i="24"/>
  <c r="S11" i="24"/>
  <c r="T11" i="24"/>
  <c r="V11" i="24" s="1"/>
  <c r="W11" i="24"/>
  <c r="X11" i="24"/>
  <c r="K11" i="24"/>
  <c r="L11" i="24"/>
  <c r="M11" i="24"/>
  <c r="Q11" i="24"/>
  <c r="N12" i="24"/>
  <c r="S12" i="24"/>
  <c r="T12" i="24"/>
  <c r="V12" i="24" s="1"/>
  <c r="W12" i="24"/>
  <c r="X12" i="24"/>
  <c r="K12" i="24"/>
  <c r="L12" i="24"/>
  <c r="M12" i="24" s="1"/>
  <c r="Q12" i="24"/>
  <c r="N13" i="24"/>
  <c r="S13" i="24"/>
  <c r="T13" i="24"/>
  <c r="V13" i="24"/>
  <c r="W13" i="24"/>
  <c r="X13" i="24"/>
  <c r="K13" i="24"/>
  <c r="L13" i="24"/>
  <c r="M13" i="24"/>
  <c r="Q13" i="24"/>
  <c r="N14" i="24"/>
  <c r="S14" i="24"/>
  <c r="T14" i="24"/>
  <c r="V14" i="24" s="1"/>
  <c r="W14" i="24"/>
  <c r="X14" i="24"/>
  <c r="K14" i="24"/>
  <c r="L14" i="24"/>
  <c r="M14" i="24"/>
  <c r="Q14" i="24"/>
  <c r="N20" i="24"/>
  <c r="P20" i="24"/>
  <c r="Q20" i="24"/>
  <c r="S20" i="24"/>
  <c r="U20" i="24"/>
  <c r="N21" i="24"/>
  <c r="P21" i="24"/>
  <c r="Q21" i="24"/>
  <c r="S21" i="24"/>
  <c r="U21" i="24"/>
  <c r="I23" i="24" s="1"/>
  <c r="B37" i="29"/>
  <c r="B35" i="29"/>
  <c r="L21" i="24"/>
  <c r="K21" i="24"/>
  <c r="M21" i="24"/>
  <c r="L20" i="24"/>
  <c r="K20" i="24"/>
  <c r="M20" i="24"/>
  <c r="B41" i="27"/>
  <c r="B39" i="27"/>
  <c r="F10" i="36"/>
  <c r="F8" i="36"/>
  <c r="F9" i="36"/>
  <c r="M6" i="24"/>
  <c r="F12" i="36"/>
  <c r="F7" i="36"/>
  <c r="W8" i="43"/>
  <c r="X8" i="43"/>
  <c r="Y8" i="43"/>
  <c r="X15" i="43"/>
  <c r="W14" i="43"/>
  <c r="Y15" i="43"/>
  <c r="W10" i="43"/>
  <c r="Y14" i="43"/>
  <c r="X14" i="43"/>
  <c r="X10" i="43"/>
  <c r="W15" i="43"/>
  <c r="Y10" i="43"/>
  <c r="K8" i="43"/>
  <c r="Y9" i="24"/>
  <c r="F13" i="45" a="1"/>
  <c r="F13" i="45"/>
  <c r="E13" i="40"/>
  <c r="G22" i="40"/>
  <c r="E22" i="40"/>
  <c r="I22" i="40"/>
  <c r="F14" i="45"/>
  <c r="F13" i="40"/>
  <c r="J22" i="40"/>
  <c r="M44" i="43"/>
  <c r="H44" i="43"/>
  <c r="L13" i="43"/>
  <c r="G13" i="43"/>
  <c r="M9" i="43"/>
  <c r="L11" i="43"/>
  <c r="L34" i="43"/>
  <c r="G34" i="43"/>
  <c r="N9" i="43"/>
  <c r="I9" i="43"/>
  <c r="M11" i="43"/>
  <c r="AA11" i="43"/>
  <c r="N16" i="43"/>
  <c r="I16" i="43"/>
  <c r="L32" i="43"/>
  <c r="G32" i="43"/>
  <c r="M34" i="43"/>
  <c r="H34" i="43"/>
  <c r="N11" i="43"/>
  <c r="I11" i="43"/>
  <c r="M32" i="43"/>
  <c r="H32" i="43"/>
  <c r="M8" i="43"/>
  <c r="AA8" i="43"/>
  <c r="M13" i="43"/>
  <c r="H13" i="43"/>
  <c r="L31" i="43"/>
  <c r="G31" i="43"/>
  <c r="N32" i="43"/>
  <c r="L43" i="43"/>
  <c r="G43" i="43"/>
  <c r="L12" i="43"/>
  <c r="G12" i="43"/>
  <c r="N13" i="43"/>
  <c r="L15" i="43"/>
  <c r="G15" i="43"/>
  <c r="M43" i="43"/>
  <c r="H43" i="43"/>
  <c r="L8" i="43"/>
  <c r="G8" i="43"/>
  <c r="L10" i="43"/>
  <c r="G10" i="43"/>
  <c r="M12" i="43"/>
  <c r="H12" i="43"/>
  <c r="M15" i="43"/>
  <c r="N34" i="43"/>
  <c r="N43" i="43"/>
  <c r="M10" i="43"/>
  <c r="H10" i="43"/>
  <c r="N15" i="43"/>
  <c r="I15" i="43"/>
  <c r="N10" i="43"/>
  <c r="I10" i="43"/>
  <c r="M31" i="43"/>
  <c r="H31" i="43"/>
  <c r="L42" i="43"/>
  <c r="G42" i="43"/>
  <c r="L16" i="43"/>
  <c r="N31" i="43"/>
  <c r="L33" i="43"/>
  <c r="N8" i="43"/>
  <c r="I8" i="43"/>
  <c r="L9" i="43"/>
  <c r="N12" i="43"/>
  <c r="I12" i="43"/>
  <c r="L14" i="43"/>
  <c r="M16" i="43"/>
  <c r="M33" i="43"/>
  <c r="H33" i="43"/>
  <c r="M42" i="43"/>
  <c r="AA42" i="43"/>
  <c r="M14" i="43"/>
  <c r="H14" i="43"/>
  <c r="N33" i="43"/>
  <c r="N42" i="43"/>
  <c r="L44" i="43"/>
  <c r="N44" i="43"/>
  <c r="I44" i="43"/>
  <c r="N14" i="43"/>
  <c r="I14" i="43"/>
  <c r="AA9" i="43"/>
  <c r="AB43" i="43"/>
  <c r="H42" i="43"/>
  <c r="AA32" i="43"/>
  <c r="AB42" i="43"/>
  <c r="AB32" i="43"/>
  <c r="Z13" i="43"/>
  <c r="Z8" i="43"/>
  <c r="Z16" i="43"/>
  <c r="AB31" i="43"/>
  <c r="AB13" i="43"/>
  <c r="Z32" i="43"/>
  <c r="H11" i="43"/>
  <c r="AA15" i="43"/>
  <c r="AB15" i="43"/>
  <c r="AB34" i="43"/>
  <c r="AB44" i="43"/>
  <c r="AB8" i="43"/>
  <c r="AB33" i="43"/>
  <c r="AB14" i="43"/>
  <c r="I13" i="43"/>
  <c r="AA16" i="43"/>
  <c r="O13" i="43" a="1"/>
  <c r="O13" i="43"/>
  <c r="F13" i="43"/>
  <c r="O34" i="43" a="1"/>
  <c r="O34" i="43"/>
  <c r="F34" i="43"/>
  <c r="O44" i="43" a="1"/>
  <c r="O44" i="43"/>
  <c r="F44" i="43"/>
  <c r="I43" i="43"/>
  <c r="Z33" i="43"/>
  <c r="I33" i="43"/>
  <c r="O11" i="43" a="1"/>
  <c r="O11" i="43"/>
  <c r="F11" i="43"/>
  <c r="AA44" i="43"/>
  <c r="AA33" i="43"/>
  <c r="G16" i="43"/>
  <c r="AA14" i="43"/>
  <c r="Z43" i="43"/>
  <c r="O12" i="43" a="1"/>
  <c r="O12" i="43"/>
  <c r="F12" i="43"/>
  <c r="Z12" i="43"/>
  <c r="G11" i="43"/>
  <c r="AA10" i="43"/>
  <c r="AB10" i="43"/>
  <c r="O42" i="43" a="1"/>
  <c r="O42" i="43"/>
  <c r="F42" i="43"/>
  <c r="O33" i="43" a="1"/>
  <c r="O33" i="43"/>
  <c r="F33" i="43"/>
  <c r="AA34" i="43"/>
  <c r="AB11" i="43"/>
  <c r="AA12" i="43"/>
  <c r="I31" i="43"/>
  <c r="I34" i="43"/>
  <c r="O32" i="43" a="1"/>
  <c r="O32" i="43"/>
  <c r="F32" i="43"/>
  <c r="X54" i="43"/>
  <c r="F20" i="40"/>
  <c r="Y54" i="43"/>
  <c r="F21" i="40"/>
  <c r="O31" i="43" a="1"/>
  <c r="O31" i="43"/>
  <c r="F31" i="43"/>
  <c r="Z15" i="43"/>
  <c r="AA31" i="43"/>
  <c r="AA13" i="43"/>
  <c r="Z14" i="43"/>
  <c r="AB12" i="43"/>
  <c r="Z11" i="43"/>
  <c r="I42" i="43"/>
  <c r="O8" i="43" a="1"/>
  <c r="O8" i="43"/>
  <c r="F8" i="43"/>
  <c r="H8" i="43"/>
  <c r="AB9" i="43"/>
  <c r="Z10" i="43"/>
  <c r="G14" i="43"/>
  <c r="O43" i="43" a="1"/>
  <c r="O43" i="43"/>
  <c r="F43" i="43"/>
  <c r="O10" i="43" a="1"/>
  <c r="O10" i="43"/>
  <c r="F10" i="43"/>
  <c r="Z44" i="43"/>
  <c r="H16" i="43"/>
  <c r="AA43" i="43"/>
  <c r="I32" i="43"/>
  <c r="G33" i="43"/>
  <c r="Z42" i="43"/>
  <c r="O15" i="43" a="1"/>
  <c r="O15" i="43"/>
  <c r="F15" i="43"/>
  <c r="G44" i="43"/>
  <c r="O9" i="43" a="1"/>
  <c r="O9" i="43"/>
  <c r="F9" i="43"/>
  <c r="H15" i="43"/>
  <c r="W54" i="43"/>
  <c r="O16" i="43" a="1"/>
  <c r="O16" i="43"/>
  <c r="F16" i="43"/>
  <c r="AB16" i="43"/>
  <c r="G9" i="43"/>
  <c r="H9" i="43"/>
  <c r="Z34" i="43"/>
  <c r="O14" i="43" a="1"/>
  <c r="O14" i="43"/>
  <c r="F14" i="43"/>
  <c r="Z31" i="43"/>
  <c r="Z9" i="43"/>
  <c r="F19" i="40"/>
  <c r="F23" i="40"/>
  <c r="F24" i="40"/>
  <c r="Y14" i="24" l="1"/>
  <c r="Y13" i="24"/>
  <c r="Y12" i="24"/>
  <c r="Y11" i="24"/>
  <c r="Y10" i="24"/>
  <c r="Y8" i="24"/>
  <c r="Y7" i="24"/>
  <c r="Y6" i="24"/>
  <c r="L16" i="24" s="1"/>
  <c r="E28" i="24"/>
  <c r="F40" i="24" s="1"/>
  <c r="N38" i="43"/>
  <c r="M38" i="43"/>
  <c r="L38" i="43"/>
  <c r="N37" i="43"/>
  <c r="M37" i="43"/>
  <c r="L37" i="43"/>
  <c r="N36" i="43"/>
  <c r="M36" i="43"/>
  <c r="L36" i="43"/>
  <c r="N35" i="43"/>
  <c r="M35" i="43"/>
  <c r="L35" i="43"/>
  <c r="N48" i="43"/>
  <c r="M48" i="43"/>
  <c r="L48" i="43"/>
  <c r="N49" i="43"/>
  <c r="M49" i="43"/>
  <c r="L49" i="43"/>
  <c r="N50" i="43"/>
  <c r="M50" i="43"/>
  <c r="L50" i="43"/>
  <c r="N51" i="43"/>
  <c r="M51" i="43"/>
  <c r="L51" i="43"/>
  <c r="N25" i="43"/>
  <c r="M25" i="43"/>
  <c r="L25" i="43"/>
  <c r="N24" i="43"/>
  <c r="M24" i="43"/>
  <c r="L24" i="43"/>
  <c r="N23" i="43"/>
  <c r="M23" i="43"/>
  <c r="L23" i="43"/>
  <c r="N22" i="43"/>
  <c r="M22" i="43"/>
  <c r="L22" i="43"/>
  <c r="N21" i="43"/>
  <c r="M21" i="43"/>
  <c r="L21" i="43"/>
  <c r="N20" i="43"/>
  <c r="M20" i="43"/>
  <c r="L20" i="43"/>
  <c r="N45" i="43"/>
  <c r="M45" i="43"/>
  <c r="L45" i="43"/>
  <c r="L46" i="43"/>
  <c r="M46" i="43"/>
  <c r="N46" i="43"/>
  <c r="L47" i="43"/>
  <c r="M47" i="43"/>
  <c r="N47" i="43"/>
  <c r="N41" i="43"/>
  <c r="M41" i="43"/>
  <c r="L41" i="43"/>
  <c r="N40" i="43"/>
  <c r="M40" i="43"/>
  <c r="L40" i="43"/>
  <c r="N28" i="43"/>
  <c r="M28" i="43"/>
  <c r="L28" i="43"/>
  <c r="N27" i="43"/>
  <c r="M27" i="43"/>
  <c r="L27" i="43"/>
  <c r="N53" i="43"/>
  <c r="M53" i="43"/>
  <c r="L53" i="43"/>
  <c r="N30" i="43"/>
  <c r="M30" i="43"/>
  <c r="L30" i="43"/>
  <c r="N29" i="43"/>
  <c r="M29" i="43"/>
  <c r="L29" i="43"/>
  <c r="N26" i="43"/>
  <c r="M26" i="43"/>
  <c r="L26" i="43"/>
  <c r="N19" i="43"/>
  <c r="M19" i="43"/>
  <c r="L19" i="43"/>
  <c r="N18" i="43"/>
  <c r="M18" i="43"/>
  <c r="L18" i="43"/>
  <c r="N17" i="43"/>
  <c r="M17" i="43"/>
  <c r="L17" i="43"/>
  <c r="N39" i="43"/>
  <c r="M39" i="43"/>
  <c r="L39" i="43"/>
  <c r="N52" i="43"/>
  <c r="M52" i="43"/>
  <c r="L52" i="43"/>
  <c r="Z52" i="43" l="1"/>
  <c r="G52" i="43"/>
  <c r="H52" i="43"/>
  <c r="AA52" i="43"/>
  <c r="AB52" i="43"/>
  <c r="I52" i="43"/>
  <c r="G39" i="43"/>
  <c r="Z39" i="43"/>
  <c r="H39" i="43"/>
  <c r="AA39" i="43"/>
  <c r="I39" i="43"/>
  <c r="AB39" i="43"/>
  <c r="G17" i="43"/>
  <c r="Z17" i="43"/>
  <c r="L54" i="43"/>
  <c r="H17" i="43"/>
  <c r="AA17" i="43"/>
  <c r="M54" i="43"/>
  <c r="AB17" i="43"/>
  <c r="N54" i="43"/>
  <c r="I17" i="43"/>
  <c r="Z18" i="43"/>
  <c r="G18" i="43"/>
  <c r="H18" i="43"/>
  <c r="AA18" i="43"/>
  <c r="I18" i="43"/>
  <c r="AB18" i="43"/>
  <c r="Z19" i="43"/>
  <c r="G19" i="43"/>
  <c r="H19" i="43"/>
  <c r="AA19" i="43"/>
  <c r="I19" i="43"/>
  <c r="AB19" i="43"/>
  <c r="G26" i="43"/>
  <c r="Z26" i="43"/>
  <c r="AA26" i="43"/>
  <c r="H26" i="43"/>
  <c r="AB26" i="43"/>
  <c r="I26" i="43"/>
  <c r="G29" i="43"/>
  <c r="Z29" i="43"/>
  <c r="H29" i="43"/>
  <c r="AA29" i="43"/>
  <c r="I29" i="43"/>
  <c r="AB29" i="43"/>
  <c r="Z30" i="43"/>
  <c r="G30" i="43"/>
  <c r="H30" i="43"/>
  <c r="AA30" i="43"/>
  <c r="AB30" i="43"/>
  <c r="I30" i="43"/>
  <c r="G53" i="43"/>
  <c r="Z53" i="43"/>
  <c r="H53" i="43"/>
  <c r="AA53" i="43"/>
  <c r="AB53" i="43"/>
  <c r="I53" i="43"/>
  <c r="G27" i="43"/>
  <c r="Z27" i="43"/>
  <c r="H27" i="43"/>
  <c r="AA27" i="43"/>
  <c r="I27" i="43"/>
  <c r="AB27" i="43"/>
  <c r="G28" i="43"/>
  <c r="Z28" i="43"/>
  <c r="H28" i="43"/>
  <c r="AA28" i="43"/>
  <c r="AB28" i="43"/>
  <c r="I28" i="43"/>
  <c r="Z40" i="43"/>
  <c r="G40" i="43"/>
  <c r="H40" i="43"/>
  <c r="AA40" i="43"/>
  <c r="I40" i="43"/>
  <c r="AB40" i="43"/>
  <c r="G41" i="43"/>
  <c r="Z41" i="43"/>
  <c r="H41" i="43"/>
  <c r="AA41" i="43"/>
  <c r="I41" i="43"/>
  <c r="AB41" i="43"/>
  <c r="I47" i="43"/>
  <c r="AB47" i="43"/>
  <c r="H47" i="43"/>
  <c r="AA47" i="43"/>
  <c r="Z47" i="43"/>
  <c r="G47" i="43"/>
  <c r="I46" i="43"/>
  <c r="AB46" i="43"/>
  <c r="H46" i="43"/>
  <c r="AA46" i="43"/>
  <c r="G46" i="43"/>
  <c r="Z46" i="43"/>
  <c r="G45" i="43"/>
  <c r="Z45" i="43"/>
  <c r="AA45" i="43"/>
  <c r="H45" i="43"/>
  <c r="I45" i="43"/>
  <c r="AB45" i="43"/>
  <c r="Z20" i="43"/>
  <c r="G20" i="43"/>
  <c r="H20" i="43"/>
  <c r="AA20" i="43"/>
  <c r="I20" i="43"/>
  <c r="AB20" i="43"/>
  <c r="Z21" i="43"/>
  <c r="G21" i="43"/>
  <c r="AA21" i="43"/>
  <c r="H21" i="43"/>
  <c r="I21" i="43"/>
  <c r="AB21" i="43"/>
  <c r="G22" i="43"/>
  <c r="Z22" i="43"/>
  <c r="AA22" i="43"/>
  <c r="H22" i="43"/>
  <c r="I22" i="43"/>
  <c r="AB22" i="43"/>
  <c r="G23" i="43"/>
  <c r="Z23" i="43"/>
  <c r="AA23" i="43"/>
  <c r="H23" i="43"/>
  <c r="AB23" i="43"/>
  <c r="I23" i="43"/>
  <c r="G24" i="43"/>
  <c r="Z24" i="43"/>
  <c r="H24" i="43"/>
  <c r="AA24" i="43"/>
  <c r="AB24" i="43"/>
  <c r="I24" i="43"/>
  <c r="G25" i="43"/>
  <c r="Z25" i="43"/>
  <c r="H25" i="43"/>
  <c r="AA25" i="43"/>
  <c r="AB25" i="43"/>
  <c r="I25" i="43"/>
  <c r="Z51" i="43"/>
  <c r="G51" i="43"/>
  <c r="AA51" i="43"/>
  <c r="H51" i="43"/>
  <c r="AB51" i="43"/>
  <c r="I51" i="43"/>
  <c r="Z50" i="43"/>
  <c r="G50" i="43"/>
  <c r="AA50" i="43"/>
  <c r="H50" i="43"/>
  <c r="AB50" i="43"/>
  <c r="I50" i="43"/>
  <c r="Z49" i="43"/>
  <c r="G49" i="43"/>
  <c r="AA49" i="43"/>
  <c r="H49" i="43"/>
  <c r="AB49" i="43"/>
  <c r="I49" i="43"/>
  <c r="Z48" i="43"/>
  <c r="G48" i="43"/>
  <c r="AA48" i="43"/>
  <c r="H48" i="43"/>
  <c r="AB48" i="43"/>
  <c r="I48" i="43"/>
  <c r="Z35" i="43"/>
  <c r="G35" i="43"/>
  <c r="AA35" i="43"/>
  <c r="H35" i="43"/>
  <c r="AB35" i="43"/>
  <c r="I35" i="43"/>
  <c r="G36" i="43"/>
  <c r="Z36" i="43"/>
  <c r="H36" i="43"/>
  <c r="AA36" i="43"/>
  <c r="I36" i="43"/>
  <c r="AB36" i="43"/>
  <c r="Z37" i="43"/>
  <c r="G37" i="43"/>
  <c r="AA37" i="43"/>
  <c r="H37" i="43"/>
  <c r="AB37" i="43"/>
  <c r="I37" i="43"/>
  <c r="Z38" i="43"/>
  <c r="G38" i="43"/>
  <c r="AA38" i="43"/>
  <c r="H38" i="43"/>
  <c r="AB38" i="43"/>
  <c r="I38" i="43"/>
  <c r="I54" i="43" l="1"/>
  <c r="E12" i="40"/>
  <c r="N55" i="43"/>
  <c r="AB54" i="43"/>
  <c r="M55" i="43"/>
  <c r="E11" i="40"/>
  <c r="AA54" i="43"/>
  <c r="H54" i="43"/>
  <c r="E10" i="40"/>
  <c r="L55" i="43"/>
  <c r="Z54" i="43"/>
  <c r="G54" i="43"/>
  <c r="F10" i="40" l="1"/>
  <c r="G55" i="43"/>
  <c r="G19" i="40"/>
  <c r="T54" i="43"/>
  <c r="T55" i="43" s="1"/>
  <c r="F11" i="40"/>
  <c r="H55" i="43"/>
  <c r="G20" i="40"/>
  <c r="U54" i="43"/>
  <c r="U55" i="43" s="1"/>
  <c r="G21" i="40"/>
  <c r="V54" i="43"/>
  <c r="V55" i="43" s="1"/>
  <c r="I55" i="43"/>
  <c r="F12" i="40"/>
  <c r="E21" i="40" l="1"/>
  <c r="J21" i="40"/>
  <c r="E20" i="40"/>
  <c r="J20" i="40"/>
  <c r="E19" i="40"/>
  <c r="G23" i="40"/>
  <c r="J19" i="40"/>
  <c r="G24" i="40" l="1"/>
  <c r="E23" i="40"/>
  <c r="J23" i="40"/>
  <c r="I19" i="40"/>
  <c r="H19" i="40"/>
  <c r="I20" i="40"/>
  <c r="H20" i="40"/>
  <c r="H21" i="40"/>
  <c r="I21" i="40"/>
  <c r="H22" i="40" l="1"/>
  <c r="H23" i="40"/>
  <c r="I23" i="40"/>
  <c r="G27" i="40"/>
  <c r="E24" i="40"/>
  <c r="O37" i="43" a="1"/>
  <c r="O37" i="43"/>
  <c r="F37" i="43"/>
  <c r="O36" i="43" a="1"/>
  <c r="O36" i="43"/>
  <c r="F36" i="43"/>
  <c r="O35" i="43" a="1"/>
  <c r="O35" i="43"/>
  <c r="F35" i="43"/>
  <c r="O38" i="43" a="1"/>
  <c r="O38" i="43"/>
  <c r="F38" i="43"/>
  <c r="O48" i="43" a="1"/>
  <c r="O48" i="43"/>
  <c r="F48" i="43"/>
  <c r="O49" i="43" a="1"/>
  <c r="O49" i="43"/>
  <c r="F49" i="43"/>
  <c r="O25" i="43" a="1"/>
  <c r="O25" i="43"/>
  <c r="F25" i="43"/>
  <c r="O50" i="43" a="1"/>
  <c r="O50" i="43"/>
  <c r="F50" i="43"/>
  <c r="O51" i="43" a="1"/>
  <c r="O51" i="43"/>
  <c r="F51" i="43"/>
  <c r="O39" i="43" a="1"/>
  <c r="O39" i="43"/>
  <c r="F39" i="43"/>
  <c r="O21" i="43" a="1"/>
  <c r="O21" i="43"/>
  <c r="F21" i="43"/>
  <c r="O52" i="43" a="1"/>
  <c r="O52" i="43"/>
  <c r="F52" i="43"/>
  <c r="O27" i="43" a="1"/>
  <c r="O27" i="43"/>
  <c r="F27" i="43"/>
  <c r="O20" i="43" a="1"/>
  <c r="O20" i="43"/>
  <c r="F20" i="43"/>
  <c r="O18" i="43" a="1"/>
  <c r="O18" i="43"/>
  <c r="F18" i="43"/>
  <c r="O41" i="43" a="1"/>
  <c r="O41" i="43"/>
  <c r="F41" i="43"/>
  <c r="O19" i="43" a="1"/>
  <c r="O19" i="43"/>
  <c r="F19" i="43"/>
  <c r="O40" i="43" a="1"/>
  <c r="O40" i="43"/>
  <c r="F40" i="43"/>
  <c r="O30" i="43" a="1"/>
  <c r="O30" i="43"/>
  <c r="F30" i="43"/>
  <c r="O28" i="43" a="1"/>
  <c r="O28" i="43"/>
  <c r="F28" i="43"/>
  <c r="O45" i="43" a="1"/>
  <c r="O45" i="43"/>
  <c r="F45" i="43"/>
  <c r="O17" i="43" a="1"/>
  <c r="O17" i="43"/>
  <c r="F17" i="43"/>
  <c r="O26" i="43" a="1"/>
  <c r="O26" i="43"/>
  <c r="F26" i="43"/>
  <c r="O24" i="43" a="1"/>
  <c r="O24" i="43"/>
  <c r="F24" i="43"/>
  <c r="O47" i="43" a="1"/>
  <c r="O47" i="43"/>
  <c r="F47" i="43"/>
  <c r="O22" i="43" a="1"/>
  <c r="O22" i="43"/>
  <c r="F22" i="43"/>
  <c r="O46" i="43" a="1"/>
  <c r="O46" i="43"/>
  <c r="F46" i="43"/>
  <c r="O29" i="43" a="1"/>
  <c r="O29" i="43"/>
  <c r="F29" i="43"/>
  <c r="O53" i="43" a="1"/>
  <c r="O53" i="43"/>
  <c r="F53" i="43"/>
  <c r="O23" i="43" a="1"/>
  <c r="O23" i="43"/>
  <c r="F23" i="43"/>
  <c r="F54" i="43"/>
  <c r="O54" i="43"/>
  <c r="F9" i="40"/>
  <c r="F14" i="40"/>
  <c r="F55" i="43"/>
  <c r="E9" i="40"/>
  <c r="E14" i="40"/>
  <c r="O5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QA_ngant10</author>
    <author>HaNT32</author>
  </authors>
  <commentList>
    <comment ref="R6" authorId="0" shapeId="0" xr:uid="{00000000-0006-0000-0400-000001000000}">
      <text>
        <r>
          <rPr>
            <b/>
            <sz val="8"/>
            <color indexed="81"/>
            <rFont val="Tahoma"/>
            <family val="2"/>
          </rPr>
          <t>QA_ngant10:</t>
        </r>
        <r>
          <rPr>
            <sz val="8"/>
            <color indexed="81"/>
            <rFont val="Tahoma"/>
            <family val="2"/>
          </rPr>
          <t xml:space="preserve">
Nỗ lực dự án đánh giá
Nỗ lực này có thể lớn hơn hoặc nhỏ hơn nỗ lực thực hiện sau khi đã trừ % tái sử dụng</t>
        </r>
      </text>
    </comment>
    <comment ref="W7" authorId="1" shapeId="0" xr:uid="{00000000-0006-0000-0400-000002000000}">
      <text>
        <r>
          <rPr>
            <sz val="8"/>
            <color indexed="81"/>
            <rFont val="Tahoma"/>
            <family val="2"/>
          </rPr>
          <t>- Theo CSDL lịch sử:
Nỗ lực thiết kế ~= 37% Tổng (nỗ lực thiết kế (phạm vi thuê ngoài được) + nỗ lực phân tích (tự thực hiện))
- Nếu tỉ lệ thuê ngoài dự án lớn hơn thì dự án tự điều chỉnh theo thực tế</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B4" authorId="0" shapeId="0" xr:uid="{00000000-0006-0000-0600-000001000000}">
      <text>
        <r>
          <rPr>
            <b/>
            <sz val="8"/>
            <color indexed="81"/>
            <rFont val="Tahoma"/>
            <family val="2"/>
          </rPr>
          <t>QA_NgaNT10:</t>
        </r>
        <r>
          <rPr>
            <sz val="8"/>
            <color indexed="81"/>
            <rFont val="Tahoma"/>
            <family val="2"/>
          </rPr>
          <t xml:space="preserve">
Đặt theo mã của yêu cầu đang thực hiện</t>
        </r>
      </text>
    </comment>
    <comment ref="C4" authorId="0" shapeId="0" xr:uid="{00000000-0006-0000-0600-000002000000}">
      <text>
        <r>
          <rPr>
            <b/>
            <sz val="8"/>
            <color indexed="81"/>
            <rFont val="Tahoma"/>
            <family val="2"/>
          </rPr>
          <t>QA_NgaNT10:</t>
        </r>
        <r>
          <rPr>
            <sz val="8"/>
            <color indexed="81"/>
            <rFont val="Tahoma"/>
            <family val="2"/>
          </rPr>
          <t xml:space="preserve">
Đặt tên theo cách dễ nhớ và map với KHCT</t>
        </r>
      </text>
    </comment>
    <comment ref="B19" authorId="0" shapeId="0" xr:uid="{00000000-0006-0000-0600-000003000000}">
      <text>
        <r>
          <rPr>
            <b/>
            <sz val="8"/>
            <color indexed="81"/>
            <rFont val="Tahoma"/>
            <family val="2"/>
          </rPr>
          <t>QA_NgaNT10:</t>
        </r>
        <r>
          <rPr>
            <sz val="8"/>
            <color indexed="81"/>
            <rFont val="Tahoma"/>
            <family val="2"/>
          </rPr>
          <t xml:space="preserve">
Đặt theo mã của yêu cầu đang thực hiện</t>
        </r>
      </text>
    </comment>
    <comment ref="C19" authorId="0" shapeId="0" xr:uid="{00000000-0006-0000-0600-000004000000}">
      <text>
        <r>
          <rPr>
            <b/>
            <sz val="8"/>
            <color indexed="81"/>
            <rFont val="Tahoma"/>
            <family val="2"/>
          </rPr>
          <t>QA_NgaNT10:</t>
        </r>
        <r>
          <rPr>
            <sz val="8"/>
            <color indexed="81"/>
            <rFont val="Tahoma"/>
            <family val="2"/>
          </rPr>
          <t xml:space="preserve">
Đặt tên theo cách dễ nhớ và map với KHCT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D2" authorId="0" shapeId="0" xr:uid="{00000000-0006-0000-0A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QA_ngant10</author>
  </authors>
  <commentList>
    <comment ref="G6" authorId="0" shapeId="0" xr:uid="{00000000-0006-0000-0C00-000001000000}">
      <text>
        <r>
          <rPr>
            <b/>
            <sz val="8"/>
            <color indexed="81"/>
            <rFont val="Tahoma"/>
            <family val="2"/>
          </rPr>
          <t>QA_ngant10:</t>
        </r>
        <r>
          <rPr>
            <sz val="8"/>
            <color indexed="81"/>
            <rFont val="Tahoma"/>
            <family val="2"/>
          </rPr>
          <t xml:space="preserve">
Dự án có thực hiện công việc này không?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C3" authorId="0" shapeId="0" xr:uid="{00000000-0006-0000-0F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sharedStrings.xml><?xml version="1.0" encoding="utf-8"?>
<sst xmlns="http://schemas.openxmlformats.org/spreadsheetml/2006/main" count="2099" uniqueCount="910">
  <si>
    <t>TẬP ĐOÀN CÔNG NGHIỆP - VIỄN THÔNG QUÂN ĐỘI</t>
  </si>
  <si>
    <t>BAN QUẢN TRỊ DỮ LIỆU</t>
  </si>
  <si>
    <t>TRUNG TÂM PHẦN MỀM VIỄN THÔNG VIETTEL</t>
  </si>
  <si>
    <t xml:space="preserve">Mã dự án/ mã yêu cầu:  </t>
  </si>
  <si>
    <t>Mã tài liệu:</t>
  </si>
  <si>
    <t>:</t>
  </si>
  <si>
    <t>&lt;Mã tài liệu&gt;</t>
  </si>
  <si>
    <t>Lần ước lượng</t>
  </si>
  <si>
    <t>Người lập:</t>
  </si>
  <si>
    <t>&lt;Tên người lập&gt;</t>
  </si>
  <si>
    <t>DD/MM/YYYY</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</si>
  <si>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</si>
  <si>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</si>
  <si>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</si>
  <si>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</si>
  <si>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</si>
  <si>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</si>
  <si>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</si>
  <si>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</si>
  <si>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</si>
  <si>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</si>
  <si>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</si>
  <si>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</si>
  <si>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</si>
  <si>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</si>
  <si>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</si>
  <si>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23/1/2020</t>
  </si>
  <si>
    <t>A</t>
  </si>
  <si>
    <t xml:space="preserve">Phiên bản tạo mới </t>
  </si>
  <si>
    <t>v1.0</t>
  </si>
  <si>
    <t>BẢNG TÍNH TOÁN NỖ LỰC THỰC HIỆN DỰ ÁN</t>
  </si>
  <si>
    <t>&lt;Tên dự án&gt;</t>
  </si>
  <si>
    <t>I - Tổng nỗ lực thực hiện yêu cầu theo hướng dẫn</t>
  </si>
  <si>
    <t>Nguồn lực cho các công việc trong dự án</t>
  </si>
  <si>
    <t>STT</t>
  </si>
  <si>
    <t>Công việc</t>
  </si>
  <si>
    <t>Diễn giải</t>
  </si>
  <si>
    <t>Nỗ lực chưa tái sử dụng (MD)</t>
  </si>
  <si>
    <t>Nỗ lực sau khi tái sử dụng (MD)</t>
  </si>
  <si>
    <t>Tổng nỗ lực chức năng</t>
  </si>
  <si>
    <t>Tổng nỗ lực thực hiện cho chức năng bao gồm giải pháp phát triển kiểm thử?</t>
  </si>
  <si>
    <t>Giải pháp</t>
  </si>
  <si>
    <t>Tổng nỗ lực thực hiện giải pháp (bao gồm Khảo sát, phân tích, kịch bản tác động)</t>
  </si>
  <si>
    <t>Phát triển</t>
  </si>
  <si>
    <t>Tổng nỗ lực thực hiện phát triển bao gồm Kiểm định giả thuyết, Feature engineering, xây dựng, huấn luyện và hiệu chỉnh mô hình, xây dựng luồng ETL</t>
  </si>
  <si>
    <t>Kiểm thử</t>
  </si>
  <si>
    <t>Nỗ lực cho: Triển khai, KBKT, testcase</t>
  </si>
  <si>
    <t>Nỗ lực thực hiện phi chức năng</t>
  </si>
  <si>
    <t>Tổng nỗ lực thực hiện các công việc QTDA, kiểm thử hiệu năng, nghiệm thu, triển khai, đào tạo…</t>
  </si>
  <si>
    <t>Tổng nỗ lực thực hiện (MD) (5)+ (6)</t>
  </si>
  <si>
    <t>Là tổng nỗ lực thực hiện của dự án sau khi trừ đi nỗ lực các giai đoạn cuối cùng</t>
  </si>
  <si>
    <t>II - Tổng nỗ lực phân bổ thuê ngoài và tự thực hiện</t>
  </si>
  <si>
    <t>Tổng nỗ lực (bao gồm thuê ngoài và tự thực hiện)</t>
  </si>
  <si>
    <t>Nỗ lực thuê ngoài</t>
  </si>
  <si>
    <t>Nỗ lực tự thực hiện</t>
  </si>
  <si>
    <t>Tỉ lệ nỗ lực từng công việc (%)</t>
  </si>
  <si>
    <t>Tỉ lệ thuê ngoài (%)</t>
  </si>
  <si>
    <t>Tỉ lệ tự thực hiện (%)</t>
  </si>
  <si>
    <t xml:space="preserve">Giải pháp </t>
  </si>
  <si>
    <t>Tổng nỗ lực thực hiện giải pháp.</t>
  </si>
  <si>
    <t xml:space="preserve">Tổng nỗ lực thực hiện phát triển </t>
  </si>
  <si>
    <t>Tổng nỗ lực thực hiện kiểm thử</t>
  </si>
  <si>
    <t>Phi chức năng</t>
  </si>
  <si>
    <t>Tổng nỗ lực thực hiện các công việc phi chức năng</t>
  </si>
  <si>
    <t>Tổng nỗ lực thực hiện (MD)</t>
  </si>
  <si>
    <t>= (1) + (2) + (3) + (4)</t>
  </si>
  <si>
    <t>Tổng nỗ lực thực hiện (MM)</t>
  </si>
  <si>
    <t>Thuê ngoài: 1 MM = 22 MDs
Nội bộ: 1 MM = 22 MDs</t>
  </si>
  <si>
    <t>Phụ lục 1.1:
DANH SÁCH LOẠI CHỨC NĂNG</t>
  </si>
  <si>
    <t>Mã loại chức năng</t>
  </si>
  <si>
    <t>Tên loại chức năng</t>
  </si>
  <si>
    <t>Kỹ năng</t>
  </si>
  <si>
    <t>Mô tả
(Trường thông tin hoặc bước xử lý nghiệp vụ)</t>
  </si>
  <si>
    <t>Ví dụ</t>
  </si>
  <si>
    <t>NVJ1-PTM</t>
  </si>
  <si>
    <t>Xử lý nghiệp vụ đơn giản</t>
  </si>
  <si>
    <t>SERVICE - JAVA</t>
  </si>
  <si>
    <t>Nghiệp vụ nhỏ hơn 5 bước
Bước là 1 xử lý logic được mô tả trong tài liệu giải pháp</t>
  </si>
  <si>
    <t>Tra cứu thông tin tài khoản Bankplus BCCS</t>
  </si>
  <si>
    <t>NVJ2-PTM</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</si>
  <si>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</si>
  <si>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</si>
  <si>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</si>
  <si>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</si>
  <si>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</si>
  <si>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</si>
  <si>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</si>
  <si>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</si>
  <si>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</si>
  <si>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</si>
  <si>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</si>
  <si>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</si>
  <si>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</si>
  <si>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</si>
  <si>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</si>
  <si>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</si>
  <si>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</si>
  <si>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</si>
  <si>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</si>
  <si>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</si>
  <si>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</si>
  <si>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</si>
  <si>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</si>
  <si>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</si>
  <si>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</si>
  <si>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</si>
  <si>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</si>
  <si>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</si>
  <si>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</si>
  <si>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</si>
  <si>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</si>
  <si>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</si>
  <si>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</si>
  <si>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</si>
  <si>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</si>
  <si>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</si>
  <si>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</si>
  <si>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</si>
  <si>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</si>
  <si>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</si>
  <si>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</si>
  <si>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</si>
  <si>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</si>
  <si>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</si>
  <si>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</si>
  <si>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</si>
  <si>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</si>
  <si>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</si>
  <si>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</si>
  <si>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</si>
  <si>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</si>
  <si>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</si>
  <si>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</si>
  <si>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</si>
  <si>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</si>
  <si>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</si>
  <si>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</si>
  <si>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</si>
  <si>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</si>
  <si>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</si>
  <si>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</si>
  <si>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</si>
  <si>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</si>
  <si>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</si>
  <si>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</si>
  <si>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</si>
  <si>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</si>
  <si>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</si>
  <si>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</si>
  <si>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</si>
  <si>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</si>
  <si>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</si>
  <si>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</si>
  <si>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</si>
  <si>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</si>
  <si>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</si>
  <si>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</si>
  <si>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</si>
  <si>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</si>
  <si>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</si>
  <si>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</si>
  <si>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</si>
  <si>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</si>
  <si>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</si>
  <si>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</si>
  <si>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</si>
  <si>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</si>
  <si>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</si>
  <si>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</si>
  <si>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</si>
  <si>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</si>
  <si>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</si>
  <si>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</si>
  <si>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</si>
  <si>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</si>
  <si>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</si>
  <si>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</si>
  <si>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</si>
  <si>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</si>
  <si>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</si>
  <si>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</si>
  <si>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</si>
  <si>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</si>
  <si>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</si>
  <si>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</si>
  <si>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</si>
  <si>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</si>
  <si>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</si>
  <si>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</si>
  <si>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</si>
  <si>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</si>
  <si>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</si>
  <si>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</si>
  <si>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</si>
  <si>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</si>
  <si>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</si>
  <si>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</si>
  <si>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</si>
  <si>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</si>
  <si>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</si>
  <si>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</si>
  <si>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</si>
  <si>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</si>
  <si>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</si>
  <si>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</si>
  <si>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</si>
  <si>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</si>
  <si>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</si>
  <si>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</si>
  <si>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</si>
  <si>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</si>
  <si>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</si>
  <si>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</si>
  <si>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</si>
  <si>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</si>
  <si>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BẢNG DANH SÁCH CHỨC NĂNG</t>
  </si>
  <si>
    <t>* Điền thông tin vào các cột màu trắng</t>
  </si>
  <si>
    <r>
      <rPr>
        <b/>
        <i/>
        <sz val="11"/>
        <rFont val="Times New Roman"/>
        <family val="1"/>
      </rPr>
      <t xml:space="preserve">Giải pháp </t>
    </r>
    <r>
      <rPr>
        <i/>
        <sz val="11"/>
        <rFont val="Times New Roman"/>
        <family val="1"/>
      </rPr>
      <t xml:space="preserve">bao gồm Phân tích thiết kế;
</t>
    </r>
    <r>
      <rPr>
        <b/>
        <i/>
        <sz val="11"/>
        <rFont val="Times New Roman"/>
        <family val="1"/>
      </rPr>
      <t>Phát triển</t>
    </r>
    <r>
      <rPr>
        <i/>
        <sz val="11"/>
        <rFont val="Times New Roman"/>
        <family val="1"/>
      </rPr>
      <t xml:space="preserve">: gồm lập trình, sửa lỗi, unit test; 
</t>
    </r>
    <r>
      <rPr>
        <b/>
        <i/>
        <sz val="11"/>
        <rFont val="Times New Roman"/>
        <family val="1"/>
      </rPr>
      <t>Kiểm thử:</t>
    </r>
    <r>
      <rPr>
        <i/>
        <sz val="11"/>
        <rFont val="Times New Roman"/>
        <family val="1"/>
      </rPr>
      <t xml:space="preserve"> Kịch bản kiểm thử, Test tính năng, hướng dẫn sử dụng</t>
    </r>
  </si>
  <si>
    <t>TT</t>
  </si>
  <si>
    <t>Mã yêu cầu</t>
  </si>
  <si>
    <t>Tên Chức năng</t>
  </si>
  <si>
    <t>Mô tả chức năng</t>
  </si>
  <si>
    <t>Ghi chú (nếu có)</t>
  </si>
  <si>
    <t>Nỗ lực thực hiện sau khi tái sử dụng (MH)</t>
  </si>
  <si>
    <t>Nỗ lực thực hiện
(MH)</t>
  </si>
  <si>
    <t>Tái sử dụng (%)</t>
  </si>
  <si>
    <t>Tái sử dụng từ chức năng/hệ thống nào</t>
  </si>
  <si>
    <t>Nỗ lực dự án đánh giá có thể đảm bảo được</t>
  </si>
  <si>
    <t>Ghi chú</t>
  </si>
  <si>
    <t>Có thuê ngoài thực hiện không?</t>
  </si>
  <si>
    <t>Nỗ lực thuê ngoài (MH)</t>
  </si>
  <si>
    <t>Nỗ lực tự thực hiện (MH)</t>
  </si>
  <si>
    <t>Tổng nỗ lực thực hiện (MH)</t>
  </si>
  <si>
    <t>Mã chức năng</t>
  </si>
  <si>
    <t>Tổng nỗ lực thực hiện
(MH)</t>
  </si>
  <si>
    <t>Tổng hợp các hiện trạng trong chiến lược cấu trúc gói phim cho hệ thống khuyến nghị TV360</t>
  </si>
  <si>
    <t>PTDL_KSNV2</t>
  </si>
  <si>
    <t>Không</t>
  </si>
  <si>
    <t>Tổng hợp các hiện trạng trong chiến lược đánh giá khuyến nghị gói phim cho hệ thống khuyến nghị TV360</t>
  </si>
  <si>
    <t>Khảo sát các giải pháp/ nghiên cứu liên quan</t>
  </si>
  <si>
    <t>Đánh giá các giải pháp/ nghiên cứu liên quan</t>
  </si>
  <si>
    <t>Phân tích các giải pháp/ hướng tiếp cận tiềm năng</t>
  </si>
  <si>
    <t>PTDL_EXPLORE_DATA</t>
  </si>
  <si>
    <t>Thiết kế chiến lược cấu trúc gói phim theo chuyên mục cho hệ thống khuyến nghị TV360</t>
  </si>
  <si>
    <t>PTDL_FEATURE_ENGINEERING</t>
  </si>
  <si>
    <t>Tổng hợp và chuẩn bị dữ liệu nghiên cứu theo chuyên mục</t>
  </si>
  <si>
    <t>PTDL_TONGHOP_FEATURE2</t>
  </si>
  <si>
    <t>Xử lý dữ liệu nghiên cứu theo chuyên mục để nhận định gói phim</t>
  </si>
  <si>
    <t>Thống kê và trực quan hóa tần suất tương tác của dữ liệu nghiên cứu theo chuyên mục</t>
  </si>
  <si>
    <t>Phân tích tương quan trong cấu trúc gói phim trong dữ liệu nghiên cứu theo chuyên mục</t>
  </si>
  <si>
    <t>Đánh giá chất lượng dữ liệu nghiên cứu theo chuyên mục</t>
  </si>
  <si>
    <t>Tạo và tinh chỉnh dữ liệu nghiên cứu theo chuyên mục</t>
  </si>
  <si>
    <t>Tổng hợp và chuẩn bị dữ liệu TV360 theo chuyên mục</t>
  </si>
  <si>
    <t>Xử lý dữ liệu TV360 theo chuyên mục để nhận định gói phim</t>
  </si>
  <si>
    <t>Thống kê và trực quan hóa tần suất tương tác của dữ liệu TV360 theo chuyên mục</t>
  </si>
  <si>
    <t>Phân tích tương quan trong cấu trúc gói phim trong dữ liệu TV360 theo chuyên mục</t>
  </si>
  <si>
    <t>Đánh giá chất lượng dữ liệu TV360 theo chuyên mục</t>
  </si>
  <si>
    <t>Tạo và tinh chỉnh dữ liệu TV360 theo chuyên mục</t>
  </si>
  <si>
    <t>Thiết kế chiến lược cấu trúc gói phim theo sở thích cho hệ thống khuyến nghị TV360</t>
  </si>
  <si>
    <t>Tổng hợp và chuẩn bị dữ liệu nghiên cứu theo sở thích</t>
  </si>
  <si>
    <t>Xử lý dữ liệu nghiên cứu theo sở thích để nhận định gói phim</t>
  </si>
  <si>
    <t>Thống kê và trực quan hóa tần suất tương tác của dữ liệu nghiên cứu theo sở thích</t>
  </si>
  <si>
    <t>Phân tích tương quan trong cấu trúc gói phim trong dữ liệu nghiên cứu theo sở thích</t>
  </si>
  <si>
    <t>Đánh giá chất lượng dữ liệu nghiên cứu theo sở thích</t>
  </si>
  <si>
    <t>Tạo và tinh chỉnh dữ liệu nghiên cứu theo sở thích</t>
  </si>
  <si>
    <t>Tổng hợp và chuẩn bị dữ liệu TV360 theo sở thích</t>
  </si>
  <si>
    <t>Xử lý dữ liệu TV360 theo sở thích để nhận định gói phim</t>
  </si>
  <si>
    <t>Thống kê và trực quan hóa tần suất tương tác của dữ liệu TV360 theo sở thích</t>
  </si>
  <si>
    <t>Phân tích tương quan trong cấu trúc gói phim trong dữ liệu TV360 theo sở thích</t>
  </si>
  <si>
    <t>Đánh giá chất lượng dữ liệu TV360 theo sở thích</t>
  </si>
  <si>
    <t>Tạo và tinh chỉnh dữ liệu TV360 theo sở thích</t>
  </si>
  <si>
    <t>Thiết kế chiến lược xếp hạng gói phim cho hệ thống khuyến nghị TV360 với kiến trúc học đa góc nhìn</t>
  </si>
  <si>
    <t>Xây dựng mô hình xếp hạng gói phim dựa trên kiến trúc học đa góc nhìn</t>
  </si>
  <si>
    <t>Thực ngiệm tinh chỉnh mô hình trên bộ dữ liệu nghiên cứu round 1</t>
  </si>
  <si>
    <t>PTDL_MODEL_TUNING</t>
  </si>
  <si>
    <t>Thực ngiệm tinh chỉnh mô hình trên bộ dữ liệu nghiên cứu round 2</t>
  </si>
  <si>
    <t>Thực ngiệm tinh chỉnh mô hình trên bộ dữ liệu nghiên cứu round 3</t>
  </si>
  <si>
    <t xml:space="preserve">Phân tích kết quả mô hình trên bộ dữ liệu nghiên cứu </t>
  </si>
  <si>
    <t>Đánh giá và trực quan hóa hiệu suất thực nghiệm mô hình trên bộ dữ liệu nghiên cứu</t>
  </si>
  <si>
    <t>Thực ngiệm tinh chỉnh mô hình trên bộ dữ liệu thực tế TV360 round 1</t>
  </si>
  <si>
    <t>Thực ngiệm tinh chỉnh mô hình trên bộ dữ liệu thực tế TV360 round 2</t>
  </si>
  <si>
    <t>Thực ngiệm tinh chỉnh mô hình trên bộ dữ liệu thực tế TV360 round 3</t>
  </si>
  <si>
    <t>Xây dựng phương pháp đánh giá xếp hạng gói phim</t>
  </si>
  <si>
    <t>Phân tích kết quả mô hình trên bộ dữ liệu thực tế</t>
  </si>
  <si>
    <t>Đánh giá và trực quan hóa hiệu suất thực nghiệm mô hình trên bộ dữ liệu thực tế TV360</t>
  </si>
  <si>
    <t>Phân tích khả năng đáp ứng của các chiến lược hiện tại đối với bài toán khuyến nghị gói phim</t>
  </si>
  <si>
    <t>Đề xuất giải pháp triển khai dự kiến của các chiến lược đối với bài toán khuyến nghị gói phim</t>
  </si>
  <si>
    <t>Nỗ lực (MH)</t>
  </si>
  <si>
    <t>Nỗ lực (MD)</t>
  </si>
  <si>
    <t>Hướng dẫn đánh giá % tái sử dụng:</t>
  </si>
  <si>
    <t>Quản trị dự án đánh giá xem:
* Có chức năng tương tự trong hệ thống không?
* Có chức năng tương tự trong hệ thống khác của đơn vị không?
* Có tái sử dụng được thiết kế của các chức năng tương tự không?</t>
  </si>
  <si>
    <t>BẢNG DANH SÁCH PHI CHỨC NĂNG</t>
  </si>
  <si>
    <t>Tên đầu việc</t>
  </si>
  <si>
    <t>Mô tả</t>
  </si>
  <si>
    <t>Mã phi chức năng</t>
  </si>
  <si>
    <t>Tên loại phi chức năng</t>
  </si>
  <si>
    <t>Chuẩn liệu tài liệu nghiệp vụ</t>
  </si>
  <si>
    <t>PTDL_TAILIEU</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</si>
  <si>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</si>
  <si>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</si>
  <si>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</si>
  <si>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</si>
  <si>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</si>
  <si>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</si>
  <si>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</si>
  <si>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</si>
  <si>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</si>
  <si>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</si>
  <si>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</si>
  <si>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</si>
  <si>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</si>
  <si>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</si>
  <si>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</si>
  <si>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</si>
  <si>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</si>
  <si>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</si>
  <si>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</si>
  <si>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</si>
  <si>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</si>
  <si>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</si>
  <si>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</si>
  <si>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</si>
  <si>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</si>
  <si>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</si>
  <si>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</si>
  <si>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</si>
  <si>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</si>
  <si>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</si>
  <si>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</si>
  <si>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</si>
  <si>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</si>
  <si>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</si>
  <si>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</si>
  <si>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</si>
  <si>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</si>
  <si>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</si>
  <si>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</si>
  <si>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</si>
  <si>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</si>
  <si>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</si>
  <si>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</si>
  <si>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</si>
  <si>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</si>
  <si>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</si>
  <si>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</si>
  <si>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</si>
  <si>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</si>
  <si>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</si>
  <si>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</si>
  <si>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</si>
  <si>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</si>
  <si>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</si>
  <si>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</si>
  <si>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</si>
  <si>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</si>
  <si>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</si>
  <si>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</si>
  <si>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</si>
  <si>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</si>
  <si>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</si>
  <si>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</si>
  <si>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</si>
  <si>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</si>
  <si>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</si>
  <si>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</si>
  <si>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</si>
  <si>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</si>
  <si>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</si>
  <si>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</si>
  <si>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</si>
  <si>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</si>
  <si>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Báo cáo</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</si>
  <si>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</si>
  <si>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</si>
  <si>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</si>
  <si>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</si>
  <si>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</si>
  <si>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</si>
  <si>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</si>
  <si>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</si>
  <si>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</si>
  <si>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</si>
  <si>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</si>
  <si>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</si>
  <si>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</si>
  <si>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</si>
  <si>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</si>
  <si>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</si>
  <si>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</si>
  <si>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</si>
  <si>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</si>
  <si>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</si>
  <si>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</si>
  <si>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</si>
  <si>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</si>
  <si>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</si>
  <si>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</si>
  <si>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</si>
  <si>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</si>
  <si>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</si>
  <si>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</si>
  <si>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</si>
  <si>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</si>
  <si>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t xml:space="preserve">4. Rủi ro trong quá trình kiểm thử hiệu năng: </t>
    </r>
    <r>
      <rPr>
        <sz val="10"/>
        <color indexed="8"/>
        <rFont val="Times New Roman"/>
        <family val="1"/>
      </rPr>
      <t>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t>
    </r>
    <r>
      <rPr>
        <sz val="15"/>
        <color indexed="8"/>
        <rFont val="Times New Roman"/>
        <family val="1"/>
      </rPr>
      <t xml:space="preserve">
…………………...</t>
    </r>
    <r>
      <rPr>
        <b/>
        <sz val="15"/>
        <color indexed="8"/>
        <rFont val="Times New Roman"/>
        <family val="1"/>
      </rPr>
      <t xml:space="preserve">
</t>
    </r>
  </si>
  <si>
    <t>5. Thời gian tạo dữ liệu test :</t>
  </si>
  <si>
    <t>(Đây là phần đội phát triển nhập dữ liệu)</t>
  </si>
  <si>
    <t>Chức năng</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</si>
  <si>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</si>
  <si>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</si>
  <si>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</si>
  <si>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</si>
  <si>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</si>
  <si>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</si>
  <si>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</si>
  <si>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</si>
  <si>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</si>
  <si>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</si>
  <si>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</si>
  <si>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</si>
  <si>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</si>
  <si>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</si>
  <si>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</si>
  <si>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</si>
  <si>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</si>
  <si>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</si>
  <si>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</si>
  <si>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</si>
  <si>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</si>
  <si>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</si>
  <si>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</si>
  <si>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</si>
  <si>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</si>
  <si>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</si>
  <si>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</si>
  <si>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</si>
  <si>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</si>
  <si>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</si>
  <si>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PHỤ LỤC 1.1
DANH SÁCH LOẠI CHỨC NĂNG</t>
  </si>
  <si>
    <t>PTDL_KSNV1</t>
  </si>
  <si>
    <t>Khảo sát nghiệp vụ bài toán đơn giản</t>
  </si>
  <si>
    <t>Số hệ thống cần khảo sát: 1 hệ thống</t>
  </si>
  <si>
    <t>Khảo sát nghiệp vụ bài toán trung bình</t>
  </si>
  <si>
    <t>Số hệ thống cần khảo sát: 1 &lt; số hệ thống &lt;= 3</t>
  </si>
  <si>
    <t>PTDL_KSNV3</t>
  </si>
  <si>
    <t>Khảo sát nghiệp vụ bài toán phức tạp</t>
  </si>
  <si>
    <t>Số hệ thống cần khảo sát: số hệ thống &gt; 3</t>
  </si>
  <si>
    <t>PTDL_ĐGTNUC1</t>
  </si>
  <si>
    <t>Đánh giá tiềm năng usecase đơn giản</t>
  </si>
  <si>
    <t>Đánh giá giá trị mang lại: 1 UC</t>
  </si>
  <si>
    <t>PTDL_ĐGTNUC2</t>
  </si>
  <si>
    <t>Đánh giá tiềm năng usecase trung bình</t>
  </si>
  <si>
    <t xml:space="preserve">Đánh giá giá trị mang lạị: 1 &lt; số UC &lt;=3 </t>
  </si>
  <si>
    <t>PTDL_ĐGTNUC3</t>
  </si>
  <si>
    <t>Đánh giá tiềm năng usecase phức tạp</t>
  </si>
  <si>
    <t xml:space="preserve">Đánh giá giá trị mang lạị: số UC &gt; 3 </t>
  </si>
  <si>
    <t>PTDL_ĐXGPM1</t>
  </si>
  <si>
    <t>Đề xuất giải pháp xây dựng model đơn giản</t>
  </si>
  <si>
    <t>Số lượng model đề xuất: 1 model</t>
  </si>
  <si>
    <t>PTDL_ĐXGPM2</t>
  </si>
  <si>
    <t>Đề xuất giải pháp xây dựng model trung bình</t>
  </si>
  <si>
    <t>Số lượng model đề xuất: 1 &lt; model &lt;=3</t>
  </si>
  <si>
    <t>PTDL_ĐXGPM3</t>
  </si>
  <si>
    <t>Đề xuất giải pháp xây dựng model phức tạp</t>
  </si>
  <si>
    <t>Số lượng model đề xuất:  3 &lt; model</t>
  </si>
  <si>
    <t>PTDL_TNGPM1</t>
  </si>
  <si>
    <t>Thống nhất giải pháp xây dựng model đơn giản</t>
  </si>
  <si>
    <t>Số lượng model cần thống nhất: 1 model</t>
  </si>
  <si>
    <t>PTDL_TNGPM2</t>
  </si>
  <si>
    <t>Thống nhất giải pháp xây dựng model trung bình</t>
  </si>
  <si>
    <t>Số lượng model cần thống nhất: 1 &lt; model &lt;=3</t>
  </si>
  <si>
    <t>PTDL_TNGPM3</t>
  </si>
  <si>
    <t>Thống nhất giải pháp xây dựng model phức tạp</t>
  </si>
  <si>
    <t>Số lượng model cần thống nhất:  3 &lt; model</t>
  </si>
  <si>
    <t>PTDL_XDKBTĐ1</t>
  </si>
  <si>
    <t>Xây dựng kịch bản tác động đơn giản, bao gồm luồng triển khai</t>
  </si>
  <si>
    <t>Kịch bản &lt;3 bước</t>
  </si>
  <si>
    <t>PTDL_XDKBTĐ2</t>
  </si>
  <si>
    <t>Xây dựng kịch bản tác động trung bình, bao gồm luồng triển khai</t>
  </si>
  <si>
    <t>Kịch bản từ 3-5 bước</t>
  </si>
  <si>
    <t>PTDL_XDKBTĐ3</t>
  </si>
  <si>
    <t>Xây dựng kịch bản tác động phức tạp, bao gồm luồng triển khai</t>
  </si>
  <si>
    <t>Kịch bản &gt;5 bước</t>
  </si>
  <si>
    <t>PTDL_XDBC_HQTĐ</t>
  </si>
  <si>
    <t>Xây dựng report đánh giá hiệu quả tác động</t>
  </si>
  <si>
    <t>Report dạng dashboard đơn giản, các chỉ số cần theo dõi đã rõ (TUR, doanh thu ..)  không cần các hiệu ứng =&gt; sử dụng mã chức năng DV_TABLEAU_DASHBOARD1</t>
  </si>
  <si>
    <t>PTDL_BLACKLIST</t>
  </si>
  <si>
    <t>Chuẩn bị logic blacklist</t>
  </si>
  <si>
    <t>Backlist đã rõ khi chốt yêu cầu</t>
  </si>
  <si>
    <t>PTDL_XUAT_BANG_TK</t>
  </si>
  <si>
    <t>Đẩy tập triển khai tác động</t>
  </si>
  <si>
    <t>Lọc danh sách blacklist theo các điều kiện của BA và chia tập đánh giá theo logic =&gt; lấy theo nỗ lực của Tổng hợp dữ liệu đơn giản: DP_AGG1</t>
  </si>
  <si>
    <t>PTDL_CHECK_DAIDIEN</t>
  </si>
  <si>
    <t>Cross-check các tập về tính đại diện</t>
  </si>
  <si>
    <t>Đã có code check tính đại điện, chỉ việc chạy</t>
  </si>
  <si>
    <t>PTDL_GIAMSAT_TACDONG</t>
  </si>
  <si>
    <t>Giám sát quá trình thực hiện tác động</t>
  </si>
  <si>
    <t>Chỉ giám sát quá trình thực hiện tác động đúng theo kịch bản (qua email/giao diện hệ thống campaign)</t>
  </si>
  <si>
    <t>PTDL_ĐGHQ_TACDONG1</t>
  </si>
  <si>
    <t>Đánh giá hiệu quả tác động đơn giản</t>
  </si>
  <si>
    <t>Chỉ lấy các chỉ số hiệu quả tác động: tỉ lệ tác động thành công, việc blocking có đảm bảo, thời gian tác động, chỉ số so sánh hiệu quả giữa các tập</t>
  </si>
  <si>
    <t>PTDL_ĐGHQ_TACDONG2</t>
  </si>
  <si>
    <t>Đánh giá hiệu quả tác động phức tạp</t>
  </si>
  <si>
    <t>Lấy các chỉ số + Postanalysis + Đưa ra các bước tiếp theo</t>
  </si>
  <si>
    <t>Tìm hiểu đặc tính các trường dữ liệu</t>
  </si>
  <si>
    <t>Check phân phối, quantitle, số bản ghi, số bản ghi bị null, số bản ghi có giá trị bằng 0, số distinct value, value_counts của các distinct value
Số lượng feature càng lớn thì việc tính toán và check càng mất thời gian</t>
  </si>
  <si>
    <t>PTDL_HYPOTHESIS</t>
  </si>
  <si>
    <t>Xây dựng / bổ sung giả thuyết, bao gồm dựng luồng và phân tích</t>
  </si>
  <si>
    <t>Đọc thêm paper/trao đổi kinh doanh để tìm, tạo các feature mới thể hiện cho, ảnh hưởng đến hành vi của khách hàng
Đây là estimate thời gian cho 1 giả thuyết</t>
  </si>
  <si>
    <t>Thực hiện feature engineering</t>
  </si>
  <si>
    <t>Hiểu từng dữ liệu một và tạo, transform những features đó</t>
  </si>
  <si>
    <t>PTDL_TRAIN_MODEL_BASE</t>
  </si>
  <si>
    <t>Training model base</t>
  </si>
  <si>
    <t>Fine-tune hyperparameters</t>
  </si>
  <si>
    <t>PTDL_ENSEMBLE_MODEL</t>
  </si>
  <si>
    <t>Ensemble các model</t>
  </si>
  <si>
    <t>PTDL_TEST_MODEL</t>
  </si>
  <si>
    <t>Đo performance model lần cuối trên test set</t>
  </si>
  <si>
    <t>PTDL_BC_KQ_MODEL</t>
  </si>
  <si>
    <t>Trình bày kết quả model</t>
  </si>
  <si>
    <t>PTDL_DONGBO_DULIEU1</t>
  </si>
  <si>
    <t>Đồng bộ dữ liệu đơn giản</t>
  </si>
  <si>
    <t>&lt; 10 trường thông tin hoặc dung lượng &lt; 1GB  hoặc &lt;= 2 nguồn</t>
  </si>
  <si>
    <t>PTDL_DONGBO_DULIEU2</t>
  </si>
  <si>
    <t>Đồng bộ dữ liệu trung bình</t>
  </si>
  <si>
    <t>10-30 trường thông tin hoặc dung lượng từ 1-3GB hoặc từ 2 -5 nguồn</t>
  </si>
  <si>
    <t>PTDL_DONGBO_DULIEU3</t>
  </si>
  <si>
    <t>Đồng bộ dữ liệu phức tạp</t>
  </si>
  <si>
    <t>&gt; 30 trường thông tin hoặc dung lượng &gt;3GB hoặc từ 5 nguồn trở lên</t>
  </si>
  <si>
    <t>PTDL_TONGHOP_FEATURE1</t>
  </si>
  <si>
    <t>Tổng hợp dữ liệu nhỏ</t>
  </si>
  <si>
    <t>&lt; 5 trường thông tin hoặc dung lượng &lt; 1GB hoặc &lt;= 1 bước</t>
  </si>
  <si>
    <t>Tổng hợp dữ liệu đơn giản</t>
  </si>
  <si>
    <t>&lt; 10 trường thông tin hoặc dung lượng &lt; 1GB hoặc &lt;= 2 bước</t>
  </si>
  <si>
    <t>PTDL_TONGHOP_FEATURE3</t>
  </si>
  <si>
    <t>Tổng hợp dữ liệu trung bình</t>
  </si>
  <si>
    <t>10-30 trường thông tin hoặc dung lượng từ 1-3GB hoặc từ 2 -5 bước</t>
  </si>
  <si>
    <t>PTDL_TONGHOP_FEATURE4</t>
  </si>
  <si>
    <t>Tổng hợp dữ liệu phức tạp</t>
  </si>
  <si>
    <t>&gt; 30 trường thông tin hoặc dung lượng &gt;3GB hoặc từ 5 bước trở lên</t>
  </si>
  <si>
    <t>PTDL_KHS1</t>
  </si>
  <si>
    <t xml:space="preserve">Đánh giá kết quả sprint trước và lên kế hoạch sprint tiếp theo </t>
  </si>
  <si>
    <t>Số lượng use-case: 1 use-case hoặc &lt;3 nhân sự</t>
  </si>
  <si>
    <t>PTDL_KHS2</t>
  </si>
  <si>
    <t>Số lượng use-case: 2 use-case hoặc &gt;=3 và &lt;5 nhân sự</t>
  </si>
  <si>
    <t>PTDL_KHS3</t>
  </si>
  <si>
    <t>Số lượng use-case: &gt;3 use-case hoặc &gt;=5 nhân sự</t>
  </si>
  <si>
    <t>PTDL_ĐPRS1</t>
  </si>
  <si>
    <t>Điều phối và rà soát công việc hằng ngày</t>
  </si>
  <si>
    <t>PTDL_ĐPRS2</t>
  </si>
  <si>
    <t>PTDL_ĐPRS3</t>
  </si>
  <si>
    <t>PTDL_HOP</t>
  </si>
  <si>
    <t>Họp weekly meeting/monthly meeting với đội dự án, với BGĐ</t>
  </si>
  <si>
    <t>PTDL_TGUC1</t>
  </si>
  <si>
    <t>Phối hợp thực hiện tham gia upcode đơn giản</t>
  </si>
  <si>
    <t>Số lượng luồng cần phối hợp: 1 luồng</t>
  </si>
  <si>
    <t>PTDL_TGUC2</t>
  </si>
  <si>
    <t>Phối hợp thực hiện tham gia upcode trung bình</t>
  </si>
  <si>
    <t>Số lượng luồng cần thống nhất: 1 &lt; luồng &lt;=3</t>
  </si>
  <si>
    <t>PTDL_TGUC3</t>
  </si>
  <si>
    <t>Phối hợp thực hiện tham gia upcode phức tạp</t>
  </si>
  <si>
    <t>Số lượng luồng cần thống nhất:  3 &lt; luồng</t>
  </si>
  <si>
    <t>PTDL_NTUC1</t>
  </si>
  <si>
    <t>Nghiệp thu luồng upcode đơn giản</t>
  </si>
  <si>
    <t>PTDL_NTUC2</t>
  </si>
  <si>
    <t>Nghiệp thu luồng upcode trung bình</t>
  </si>
  <si>
    <t>PTDL_NTUC3</t>
  </si>
  <si>
    <t>Nghiệp thu luồng upcode phức tạp</t>
  </si>
  <si>
    <t>PTDL_XDTC1</t>
  </si>
  <si>
    <t>Xây dựng test case đơn giản</t>
  </si>
  <si>
    <t>Số lượng test-case cần xây dưng: 3 test-cases</t>
  </si>
  <si>
    <t>PTDL_XDTC2</t>
  </si>
  <si>
    <t>Xây dựng test case trung bình</t>
  </si>
  <si>
    <t>Số lượng test-case cần xây dưng: &lt;3 test-cases &lt;=10</t>
  </si>
  <si>
    <t>PTDL_XDTC3</t>
  </si>
  <si>
    <t>Xây dựng test case phức tạp</t>
  </si>
  <si>
    <t>Số lượng test-case cần xây dưng: 10 test-cases</t>
  </si>
  <si>
    <t>Chuẩn bị và xây dựng các tài liệu liên quan</t>
  </si>
  <si>
    <t>PTDL_SLBC1</t>
  </si>
  <si>
    <t>Chuẩn bị slide báo cáo kết quả đơn giản</t>
  </si>
  <si>
    <t>Số lượng giả thuyết: 3 giả thuyết</t>
  </si>
  <si>
    <t>PTDL_SLBC2</t>
  </si>
  <si>
    <t>Chuẩn bị slide báo cáo kết quả trung bình</t>
  </si>
  <si>
    <t>Số lượng giả thuyết:  3 &lt; giả thuyết &lt;=5 hoặc báo cáo tuần</t>
  </si>
  <si>
    <t>PTDL_SLBC3</t>
  </si>
  <si>
    <t>Chuẩn bị slide báo cáo kết quả phức tạp</t>
  </si>
  <si>
    <t>Số lượng giả thuyết: &gt;5 giả thuyết hoặc báo cáo tháng</t>
  </si>
  <si>
    <t>PTDL_NCGP1</t>
  </si>
  <si>
    <t>Nghiên cứu paper, giải pháp bài toán đơn giản</t>
  </si>
  <si>
    <t>Số lượng paper: 1 paper</t>
  </si>
  <si>
    <t>PTDL_NCGP2</t>
  </si>
  <si>
    <t>Nghiên cứu paper, giải pháp bài toán trung bình</t>
  </si>
  <si>
    <t>Số lượng paper: 1 &lt; paper &lt;=3</t>
  </si>
  <si>
    <t>PTDL_NCGP3</t>
  </si>
  <si>
    <t>Nghiên cứu paper, giải pháp bài toán phức tạp</t>
  </si>
  <si>
    <t>Số lượng paper:  3 &lt; paper</t>
  </si>
  <si>
    <t>PHỤ LỤC 1.2
DANH SÁCH LOẠI CÔNG VIỆC</t>
  </si>
  <si>
    <t>Hoạt động chính</t>
  </si>
  <si>
    <t>Role</t>
  </si>
  <si>
    <t>Tài liệu</t>
  </si>
  <si>
    <t>Tiếp nhận YC PTDL</t>
  </si>
  <si>
    <t>Gửi PYC ứng dụng PTDL vào hoạt động SXKD</t>
  </si>
  <si>
    <t>ĐVYC</t>
  </si>
  <si>
    <t>PYC trên IBM và BM21 đính kèm</t>
  </si>
  <si>
    <t>II</t>
  </si>
  <si>
    <t>Quy trình campaign execution</t>
  </si>
  <si>
    <t>Lựa chọn use case triển khai</t>
  </si>
  <si>
    <t>Khảo sát nghiệp vụ bài toán</t>
  </si>
  <si>
    <t>BA</t>
  </si>
  <si>
    <t>Tài liệu khảo sát nghiệp vụ bài toán (BM01)</t>
  </si>
  <si>
    <t>Khảo sát dữ liệu</t>
  </si>
  <si>
    <t>DE</t>
  </si>
  <si>
    <t>Tài liệu mô tả hiện trạng dữ liệu (BM02)</t>
  </si>
  <si>
    <t>Đánh giá tiềm năng use-case</t>
  </si>
  <si>
    <t>Tài liệu đề xuất các use-case phù hợp (BM03)</t>
  </si>
  <si>
    <t>Lựa chọn use-case triển khai</t>
  </si>
  <si>
    <t>BO</t>
  </si>
  <si>
    <t>Thống nhất giải pháp tổng thể</t>
  </si>
  <si>
    <t>Đồng bộ dữ liệu phục vụ phân tích</t>
  </si>
  <si>
    <t>Tài liệu thiết kế CSDL và luồng đồng bộ (BM09)</t>
  </si>
  <si>
    <t>Đề xuất giải pháp xây dựng model</t>
  </si>
  <si>
    <t>DS</t>
  </si>
  <si>
    <t>Tài liệu đề xuất giải pháp xây dựng model (BM04)</t>
  </si>
  <si>
    <t>Thống nhất giải pháp xây dựng model</t>
  </si>
  <si>
    <t>Tài liệu giải pháp, kế hoạch tổng thể (BM05)</t>
  </si>
  <si>
    <t>Phê duyệt giải pháp. Kế hoạch tổng thể</t>
  </si>
  <si>
    <t>Xây dựng / tối ưu model</t>
  </si>
  <si>
    <t>Tài liệu giải pháp, kết quả model (BM06a, BM06b)</t>
  </si>
  <si>
    <t>Lập kế hoạch tác động</t>
  </si>
  <si>
    <t>Xây dựng kịch bản tác động</t>
  </si>
  <si>
    <t>Tài liệu kịch bản tác động (BM07)</t>
  </si>
  <si>
    <t>Thẩm định kịch bản tác động về tính khả thi</t>
  </si>
  <si>
    <t>SO</t>
  </si>
  <si>
    <t>Mail xác nhận kịch bản tác động khả thi</t>
  </si>
  <si>
    <t>Phê duyệt kịch bản tác động, PYC thực hiện tác động</t>
  </si>
  <si>
    <t>Triển khai tác động</t>
  </si>
  <si>
    <t>Script / dashboard đánh giá hiệu quả tác động</t>
  </si>
  <si>
    <t>Logic blacklist</t>
  </si>
  <si>
    <t>Danh sách các tập triển khai tác động</t>
  </si>
  <si>
    <t>Danh sách các tập triển khai tác động, đã check tính đại diện</t>
  </si>
  <si>
    <t>Thực hiện tác động</t>
  </si>
  <si>
    <t>Các tập được triển khai tác động</t>
  </si>
  <si>
    <t>Mail báo cáo theo dõi quá trình triển khai</t>
  </si>
  <si>
    <t>Đánh giá kết quả tác động</t>
  </si>
  <si>
    <t>Đánh giá hiệu quả tác động</t>
  </si>
  <si>
    <t>Tài liệu đánh giá kết quả tác động (BM08)</t>
  </si>
  <si>
    <t>Phê duyệt bước tiếp theo của use case</t>
  </si>
  <si>
    <t>Tài liệu đánh giá kết quả tác động (đã ký duyệt) và kế hoạch tiếp theo</t>
  </si>
  <si>
    <t>Triển khai production</t>
  </si>
  <si>
    <t>Triển khai luồng chạy định kỳ</t>
  </si>
  <si>
    <t>Luồng tổng hợp dữ liệu, dự đoán, tác động và đánh giá kết quả được triển khai định kỳ</t>
  </si>
  <si>
    <t>III</t>
  </si>
  <si>
    <t>Quy trình build model</t>
  </si>
  <si>
    <t>Phân chia tập dữ liệu</t>
  </si>
  <si>
    <t>Kiểm tra sơ bộ dữ liệu</t>
  </si>
  <si>
    <t>Tài liệu mô tả đặc tính dữ liệu (BM11) + Dataset được load lên df</t>
  </si>
  <si>
    <t>Chia tập test set</t>
  </si>
  <si>
    <t>Tài liệu giải pháp xây dựng model (BM06a)
Tập test set được tách riêng, lưu trên HDFS / local disk của server chạy notebook
Code split tập test set</t>
  </si>
  <si>
    <t>Khám phá dữ liệu để có tri thức về bài toán</t>
  </si>
  <si>
    <t>Tài liệu mô tả đặc tính dữ liệu (BM11)</t>
  </si>
  <si>
    <t>Visualize dữ liệu</t>
  </si>
  <si>
    <t>Xây dựng / bổ sung giả thuyết</t>
  </si>
  <si>
    <t>Danh sách giả thuyết, các feature liên quan (BM12)</t>
  </si>
  <si>
    <t>Bổ sung dữ liệu</t>
  </si>
  <si>
    <t>Tập data set được bổ sung các feature theo giả thuyết
Luồng ETL tổng hợp các feature bổ sung (BM10)</t>
  </si>
  <si>
    <t>Chuẩn bị dữ liệu phù hợp với các thuật toán ML</t>
  </si>
  <si>
    <t>Xử lý outlier</t>
  </si>
  <si>
    <t>Tài liệu giải pháp xây dựng model (BM06a)
Code xử lý outlier</t>
  </si>
  <si>
    <t>Xử lý giá trị null</t>
  </si>
  <si>
    <t>Tài liệu giải pháp xây dựng model (BM06a)
Code xử lý null</t>
  </si>
  <si>
    <t>Lựa chọn feature</t>
  </si>
  <si>
    <t>Tài liệu giải pháp xây dựng model (BM06a)
Code xử lý lựa chọn feature</t>
  </si>
  <si>
    <t>Tài liệu giải pháp xây dựng model (BM06a)
Code thực hiện feature engineering</t>
  </si>
  <si>
    <t>Thử nghiệm tìm nhóm thuật toán tốt nhất</t>
  </si>
  <si>
    <t>Training các model base</t>
  </si>
  <si>
    <t>Tài liệu giải pháp xây dựng model (BM06a)
Tài liệu model tracking (BM06b)
Code training model
Các file model sinh ra sau khi train</t>
  </si>
  <si>
    <t>Phân tích kết quả dự đoán của các model base</t>
  </si>
  <si>
    <t>Tài liệu giải pháp xây dựng model (BM06a)</t>
  </si>
  <si>
    <t>Sử dụng kết quả dự đoán để cải thiện model</t>
  </si>
  <si>
    <t>Chọn ra 3-5 thuật toán phù hợp nhất</t>
  </si>
  <si>
    <t>Fine-tune và kết hợp model</t>
  </si>
  <si>
    <t>Thực hiện ensemble</t>
  </si>
  <si>
    <t>Tài liệu giải pháp xây dựng model (BM06a)
Tài liệu model tracking (BM06b)
Code ensemble model
File model ensemble</t>
  </si>
  <si>
    <t>Tài liệu giải pháp xây dựng model (BM06a)
Tài liệu model tracking (BM06b)</t>
  </si>
  <si>
    <t>Đánh giá nghiệm thu kết quả model</t>
  </si>
  <si>
    <t>Slide báo cáo kết quả model</t>
  </si>
  <si>
    <t>Nghiệm thu kết quả model</t>
  </si>
  <si>
    <t>Mail đồng ý nghiệm thu</t>
  </si>
  <si>
    <t>Triển khai, giảm sát và bảo trì hệ thống</t>
  </si>
  <si>
    <t>Triển khai tích hợp model vào luồng nghiệp vụ</t>
  </si>
  <si>
    <t>Luồng ETL tích hợp model</t>
  </si>
  <si>
    <t>Đặt các mốc giám sát năng lực của hệ thống (model) định kỳ và có cảnh báo khi năng lực suy giảm</t>
  </si>
  <si>
    <t>Đặt lịch train lại model với dữ liệu mới định kỳ (tự động hóa nhiều nhất có thể)</t>
  </si>
  <si>
    <t>PHỤ LỤC 1.3
 CỞ SỞ DỮ LIỆU CHỨC NĂNG</t>
  </si>
  <si>
    <t>Step trong quy trình</t>
  </si>
  <si>
    <t>Loại công việc</t>
  </si>
  <si>
    <t>Nhom cong  viec</t>
  </si>
  <si>
    <t>Tổng nỗ lực thực hiện (mandays)</t>
  </si>
  <si>
    <t xml:space="preserve">Khảo sát nghiệp vụ bài toán </t>
  </si>
  <si>
    <t>Đánh giá tiềm năng usecase</t>
  </si>
  <si>
    <t>Đồng bộ dữ liệu</t>
  </si>
  <si>
    <t>Tổng hợp features</t>
  </si>
  <si>
    <t>Lên kế hoạch sprint</t>
  </si>
  <si>
    <t>Điều phối và rà soát công việc trong team</t>
  </si>
  <si>
    <t>Họp dự án/ họp thống nhất giải pháp/Họp triển khai …</t>
  </si>
  <si>
    <t>Tham gia upcode</t>
  </si>
  <si>
    <t>Nghiệm thu luồng upcode</t>
  </si>
  <si>
    <t>Viết và xây dựng test-case</t>
  </si>
  <si>
    <t>Chuẩn bị tài liệu upcode/ tài liệu giải pháp/ tài liệu theo BM</t>
  </si>
  <si>
    <t>Chuẩn bị slide báo cáo kết quả</t>
  </si>
  <si>
    <t>Nghiên cứu paper, giải pháp bài toán</t>
  </si>
  <si>
    <t>Tỷ lệ phân bổ nguồn lực dự án web</t>
  </si>
  <si>
    <t>Tỷ lệ (%)</t>
  </si>
  <si>
    <t>Có thực hiện?</t>
  </si>
  <si>
    <t>Quản trị dự án</t>
  </si>
  <si>
    <t>Nỗ lực cho hoạt động QTDA (lập kế hoạch, kiểm soát tiến độ, chất lượng, báo cáo, họp định kỳ, họp khởi động, họp kết thúc, họp milestone…)</t>
  </si>
  <si>
    <t>Có</t>
  </si>
  <si>
    <t>Phân tích</t>
  </si>
  <si>
    <t>Nỗ lực cho các hoạt động khảo sát, tạo và xem xét các tài liệu phân tích, Prototype và thống nhất với khách hàng và đơn vị VHKT</t>
  </si>
  <si>
    <t>Thiết kế</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</si>
  <si>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</si>
  <si>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</si>
  <si>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</si>
  <si>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</si>
  <si>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</si>
  <si>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</si>
  <si>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</si>
  <si>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</si>
  <si>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 Chức năng và phi chức năng)</t>
  </si>
  <si>
    <t xml:space="preserve"> </t>
  </si>
  <si>
    <t>2. Chi tiết các bước thực hiện ước lượng nỗ lực thực hiện phần mềm</t>
  </si>
  <si>
    <t xml:space="preserve">Bước 1 </t>
  </si>
  <si>
    <t>Xác định quy mô và phạm vi bài toán thực hiện</t>
  </si>
  <si>
    <t>Bước 2</t>
  </si>
  <si>
    <r>
      <t xml:space="preserve">- Liệt kê các chức năng của hệ thống vào sheet NL Chuc nang </t>
    </r>
    <r>
      <rPr>
        <sz val="12"/>
        <color indexed="10"/>
        <rFont val="Times New Roman"/>
        <family val="1"/>
      </rPr>
      <t>tại cột "Tên chức năng" và cột "Mô tả chức năng"</t>
    </r>
    <r>
      <rPr>
        <sz val="12"/>
        <rFont val="Times New Roman"/>
        <family val="1"/>
      </rPr>
      <t xml:space="preserve">
</t>
    </r>
  </si>
  <si>
    <t>Bước 3</t>
  </si>
  <si>
    <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indexed="10"/>
        <rFont val="Times New Roman"/>
        <family val="1"/>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</si>
  <si>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</si>
  <si>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t xml:space="preserve">Căn cứ vào CSDL phi chức năng liệt kê các yêu cầu phi chức </t>
    </r>
    <r>
      <rPr>
        <sz val="12"/>
        <color indexed="10"/>
        <rFont val="Times New Roman"/>
        <family val="1"/>
      </rPr>
      <t xml:space="preserve">năng cần thực hiện vào sheet NL phi chức năng.
</t>
    </r>
    <r>
      <rPr>
        <i/>
        <sz val="12"/>
        <color indexed="10"/>
        <rFont val="Times New Roman"/>
        <family val="1"/>
      </rPr>
      <t>Ghi chú: Trong quá trình thực hiện cho phép điều chỉnh nguồn lực sai số +/- 10%</t>
    </r>
  </si>
  <si>
    <t>Bước 5</t>
  </si>
  <si>
    <t>Dữ liệu sẽ tự tính toán hiện thị tại sheet "Tổng hơp". Dự án muốn hiện chi tiết dữ liệu nào có thể tự điều chỉnh để hiển thị.</t>
  </si>
  <si>
    <t>HƯỚNG DẪN ƯỚC LƯỢNG NỖ LỰC TÁI SỬ DỤNG  PHẦN MỀM</t>
  </si>
  <si>
    <r>
      <t xml:space="preserve">1. Mục đích, cách thức: </t>
    </r>
    <r>
      <rPr>
        <i/>
        <sz val="14"/>
        <rFont val="Times New Roman"/>
        <family val="1"/>
      </rPr>
      <t>Đánh giá khả năng tái sử dụng của hệ thống để đưa ra ULNL chuẩn.</t>
    </r>
  </si>
  <si>
    <t>2. Bảng hướng dẫn thời điểm thực hiện đánh giá khả năng tái sử dụng</t>
  </si>
  <si>
    <t>Thời điểm thực hiện</t>
  </si>
  <si>
    <t>Tài liệu đầu vào</t>
  </si>
  <si>
    <t>Biểu mẫu thực hiện</t>
  </si>
  <si>
    <t xml:space="preserve">Trong giai đoạn Khảo sát sơ bộ, tìm hiểu yêu cầu kĩ thuật, nghiệp vụ của hệ thống
</t>
  </si>
  <si>
    <t>Khảo sát sơ bộ</t>
  </si>
  <si>
    <t>Biểu mẫu ước lượng nỗ lực.</t>
  </si>
  <si>
    <t>Tài liệu kỹ thuật, nghiệp vụ của hệ thống</t>
  </si>
  <si>
    <t>Biểu mẫu ước lượng nỗ lực</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</si>
  <si>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</si>
  <si>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</si>
  <si>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</si>
  <si>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</si>
  <si>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</si>
  <si>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</si>
  <si>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</si>
  <si>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QTDA</t>
  </si>
  <si>
    <t>tạo PTYC</t>
  </si>
  <si>
    <t>TKCSDL</t>
  </si>
  <si>
    <t>TKCT</t>
  </si>
  <si>
    <t>Lập trình</t>
  </si>
  <si>
    <t>viết Unit test</t>
  </si>
  <si>
    <t>viết kịch bản kiểm thử</t>
  </si>
  <si>
    <t>kiểm thử</t>
  </si>
  <si>
    <t>viết HDSD</t>
  </si>
  <si>
    <t>viết kịch bản kiểm thử tự động</t>
  </si>
  <si>
    <t>Cấu hình tổng hợp ETL</t>
  </si>
  <si>
    <t>Design file birt</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</si>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</sst>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 #,##0_-;_-* &quot;-&quot;_-;_-@_-"/>
    <numFmt numFmtId="43" formatCode="_-* #,##0.00_-;\-* #,##0.00_-;_-* &quot;-&quot;??_-;_-@_-"/>
    <numFmt numFmtId="164" formatCode="[$-409]d\-mmm\-yy;@"/>
    <numFmt numFmtId="165" formatCode="0.0%"/>
    <numFmt numFmtId="166" formatCode="\$#,##0\ ;\(\$#,##0\)"/>
    <numFmt numFmtId="167" formatCode="#,##0\ &quot;DM&quot;;\-#,##0\ &quot;DM&quot;"/>
    <numFmt numFmtId="168" formatCode="0.000%"/>
    <numFmt numFmtId="169" formatCode="&quot;￥&quot;#,##0;&quot;￥&quot;\-#,##0"/>
    <numFmt numFmtId="170" formatCode="00.000"/>
    <numFmt numFmtId="171" formatCode="_-&quot;$&quot;* #,##0_-;\-&quot;$&quot;* #,##0_-;_-&quot;$&quot;* &quot;-&quot;_-;_-@_-"/>
    <numFmt numFmtId="172" formatCode="_-&quot;$&quot;* #,##0.00_-;\-&quot;$&quot;* #,##0.00_-;_-&quot;$&quot;* &quot;-&quot;??_-;_-@_-"/>
  </numFmts>
  <fonts count="84">
    <font>
      <sz val="10"/>
      <name val="Arial"/>
    </font>
    <font>
      <sz val="10"/>
      <name val="Arial"/>
    </font>
    <font>
      <u/>
      <sz val="10"/>
      <color indexed="12"/>
      <name val="Arial"/>
      <family val="2"/>
    </font>
    <font>
      <sz val="10"/>
      <name val="Arial"/>
      <family val="2"/>
    </font>
    <font>
      <sz val="12"/>
      <name val="Times New Roman"/>
      <family val="1"/>
    </font>
    <font>
      <b/>
      <sz val="12"/>
      <name val="Times New Roman"/>
      <family val="1"/>
    </font>
    <font>
      <b/>
      <sz val="14"/>
      <name val="Times New Roman"/>
      <family val="1"/>
    </font>
    <font>
      <b/>
      <sz val="16"/>
      <color indexed="12"/>
      <name val="Times New Roman"/>
      <family val="1"/>
    </font>
    <font>
      <b/>
      <i/>
      <sz val="12"/>
      <name val="Times New Roman"/>
      <family val="1"/>
    </font>
    <font>
      <i/>
      <sz val="11"/>
      <color indexed="12"/>
      <name val="Times New Roman"/>
      <family val="1"/>
    </font>
    <font>
      <b/>
      <sz val="10"/>
      <name val="Arial"/>
      <family val="2"/>
    </font>
    <font>
      <sz val="8"/>
      <color indexed="81"/>
      <name val="Tahoma"/>
      <family val="2"/>
    </font>
    <font>
      <b/>
      <sz val="8"/>
      <color indexed="81"/>
      <name val="Tahoma"/>
      <family val="2"/>
    </font>
    <font>
      <b/>
      <sz val="12"/>
      <name val="Arial"/>
      <family val="2"/>
    </font>
    <font>
      <sz val="14"/>
      <name val="뼻뮝"/>
      <family val="3"/>
    </font>
    <font>
      <sz val="12"/>
      <name val="바탕체"/>
      <family val="3"/>
    </font>
    <font>
      <sz val="12"/>
      <name val="뼻뮝"/>
      <family val="3"/>
    </font>
    <font>
      <sz val="12"/>
      <name val="新細明體"/>
      <family val="1"/>
      <charset val="136"/>
    </font>
    <font>
      <sz val="11"/>
      <name val="돋움"/>
      <family val="3"/>
    </font>
    <font>
      <sz val="10"/>
      <name val="굴림체"/>
      <family val="3"/>
    </font>
    <font>
      <sz val="9"/>
      <name val="ＭＳ ゴシック"/>
      <family val="3"/>
      <charset val="128"/>
    </font>
    <font>
      <sz val="10"/>
      <name val="Times New Roman"/>
      <family val="1"/>
    </font>
    <font>
      <sz val="14"/>
      <name val="Times New Roman"/>
      <family val="1"/>
    </font>
    <font>
      <sz val="18"/>
      <name val="Times New Roman"/>
      <family val="1"/>
    </font>
    <font>
      <b/>
      <sz val="24"/>
      <name val="Times New Roman"/>
      <family val="1"/>
    </font>
    <font>
      <b/>
      <sz val="22"/>
      <name val="Times New Roman"/>
      <family val="1"/>
    </font>
    <font>
      <i/>
      <sz val="12"/>
      <color indexed="12"/>
      <name val="Times New Roman"/>
      <family val="1"/>
    </font>
    <font>
      <b/>
      <sz val="12"/>
      <color indexed="16"/>
      <name val="Times New Roman"/>
      <family val="1"/>
    </font>
    <font>
      <i/>
      <sz val="12"/>
      <name val="Times New Roman"/>
      <family val="1"/>
    </font>
    <font>
      <b/>
      <i/>
      <sz val="15"/>
      <name val="Times New Roman"/>
      <family val="1"/>
    </font>
    <font>
      <sz val="10"/>
      <name val="Arial"/>
      <family val="2"/>
    </font>
    <font>
      <sz val="10"/>
      <color indexed="8"/>
      <name val="Times New Roman"/>
      <family val="1"/>
    </font>
    <font>
      <sz val="15"/>
      <color indexed="8"/>
      <name val="Times New Roman"/>
      <family val="1"/>
    </font>
    <font>
      <b/>
      <sz val="15"/>
      <color indexed="8"/>
      <name val="Times New Roman"/>
      <family val="1"/>
    </font>
    <font>
      <b/>
      <i/>
      <sz val="10"/>
      <name val="Arial"/>
      <family val="2"/>
    </font>
    <font>
      <b/>
      <sz val="14"/>
      <color indexed="12"/>
      <name val="Times New Roman"/>
      <family val="1"/>
    </font>
    <font>
      <sz val="12.5"/>
      <name val="Times New Roman"/>
      <family val="1"/>
    </font>
    <font>
      <b/>
      <i/>
      <sz val="14"/>
      <name val="Times New Roman"/>
      <family val="1"/>
    </font>
    <font>
      <u/>
      <sz val="12"/>
      <name val="Times New Roman"/>
      <family val="1"/>
    </font>
    <font>
      <b/>
      <sz val="15"/>
      <name val="Times New Roman"/>
      <family val="1"/>
    </font>
    <font>
      <b/>
      <sz val="16"/>
      <name val="Times New Roman"/>
      <family val="1"/>
    </font>
    <font>
      <i/>
      <sz val="11"/>
      <name val="Times New Roman"/>
      <family val="1"/>
    </font>
    <font>
      <sz val="10"/>
      <name val="Arial"/>
      <family val="2"/>
      <charset val="163"/>
    </font>
    <font>
      <b/>
      <sz val="10"/>
      <name val="Times New Roman"/>
      <family val="1"/>
    </font>
    <font>
      <sz val="10"/>
      <name val="Arial"/>
      <family val="2"/>
    </font>
    <font>
      <sz val="12"/>
      <color indexed="10"/>
      <name val="Times New Roman"/>
      <family val="1"/>
    </font>
    <font>
      <i/>
      <sz val="14"/>
      <name val="Times New Roman"/>
      <family val="1"/>
    </font>
    <font>
      <sz val="13"/>
      <name val="Times New Roman"/>
      <family val="1"/>
    </font>
    <font>
      <b/>
      <sz val="13"/>
      <name val="Times New Roman"/>
      <family val="1"/>
    </font>
    <font>
      <sz val="11"/>
      <name val="Times New Roman"/>
      <family val="1"/>
    </font>
    <font>
      <i/>
      <sz val="12"/>
      <color indexed="10"/>
      <name val="Times New Roman"/>
      <family val="1"/>
    </font>
    <font>
      <b/>
      <i/>
      <sz val="11"/>
      <name val="Times New Roman"/>
      <family val="1"/>
    </font>
    <font>
      <sz val="8"/>
      <name val="Arial"/>
      <family val="2"/>
    </font>
    <font>
      <sz val="11"/>
      <color theme="1"/>
      <name val="Calibri"/>
      <family val="2"/>
      <scheme val="minor"/>
    </font>
    <font>
      <b/>
      <sz val="11"/>
      <color theme="0"/>
      <name val="Calibri"/>
      <family val="2"/>
      <scheme val="minor"/>
    </font>
    <font>
      <u/>
      <sz val="10"/>
      <color theme="10"/>
      <name val="Arial"/>
      <family val="2"/>
    </font>
    <font>
      <b/>
      <sz val="15"/>
      <color theme="1"/>
      <name val="Times New Roman"/>
      <family val="1"/>
    </font>
    <font>
      <sz val="12"/>
      <color theme="1"/>
      <name val="Times New Roman"/>
      <family val="1"/>
    </font>
    <font>
      <b/>
      <sz val="12"/>
      <color theme="1"/>
      <name val="Times New Roman"/>
      <family val="1"/>
    </font>
    <font>
      <b/>
      <sz val="13"/>
      <color theme="1"/>
      <name val="Times New Roman"/>
      <family val="1"/>
    </font>
    <font>
      <b/>
      <sz val="15"/>
      <color rgb="FFFF0000"/>
      <name val="Times New Roman"/>
      <family val="1"/>
    </font>
    <font>
      <b/>
      <sz val="12"/>
      <color rgb="FFFF0000"/>
      <name val="Times New Roman"/>
      <family val="1"/>
    </font>
    <font>
      <sz val="15"/>
      <color theme="1"/>
      <name val="Times New Roman"/>
      <family val="1"/>
    </font>
    <font>
      <sz val="10"/>
      <color theme="1"/>
      <name val="Times New Roman"/>
      <family val="1"/>
    </font>
    <font>
      <sz val="12"/>
      <color rgb="FFFF0000"/>
      <name val="Times New Roman"/>
      <family val="1"/>
    </font>
    <font>
      <sz val="12"/>
      <color rgb="FFCCFFCC"/>
      <name val="Times New Roman"/>
      <family val="1"/>
    </font>
    <font>
      <b/>
      <i/>
      <sz val="16"/>
      <color rgb="FF0000FF"/>
      <name val="Times New Roman"/>
      <family val="1"/>
    </font>
    <font>
      <sz val="10"/>
      <color rgb="FFFF0000"/>
      <name val="Arial"/>
      <family val="2"/>
    </font>
    <font>
      <sz val="12"/>
      <color rgb="FF000000"/>
      <name val="Times New Roman"/>
      <family val="1"/>
    </font>
    <font>
      <b/>
      <sz val="12.5"/>
      <color theme="1"/>
      <name val="Times New Roman"/>
      <family val="1"/>
    </font>
    <font>
      <sz val="11"/>
      <color theme="1"/>
      <name val="Times New Roman"/>
      <family val="1"/>
    </font>
    <font>
      <sz val="12.5"/>
      <color theme="1"/>
      <name val="Times New Roman"/>
      <family val="1"/>
    </font>
    <font>
      <b/>
      <i/>
      <sz val="15"/>
      <color rgb="FF0000FF"/>
      <name val="Times New Roman"/>
      <family val="1"/>
    </font>
    <font>
      <b/>
      <sz val="16"/>
      <color rgb="FF0000FF"/>
      <name val="Times New Roman"/>
      <family val="1"/>
    </font>
    <font>
      <i/>
      <sz val="12"/>
      <color rgb="FF0000CC"/>
      <name val="Times New Roman"/>
      <family val="1"/>
    </font>
    <font>
      <sz val="12"/>
      <color rgb="FF0000FF"/>
      <name val="Times New Roman"/>
      <family val="1"/>
    </font>
    <font>
      <b/>
      <sz val="12"/>
      <color rgb="FF0000FF"/>
      <name val="Times New Roman"/>
      <family val="1"/>
    </font>
    <font>
      <b/>
      <sz val="14"/>
      <color rgb="FFFF0000"/>
      <name val="Times New Roman"/>
      <family val="1"/>
    </font>
    <font>
      <sz val="11"/>
      <color rgb="FF0070C0"/>
      <name val="Times New Roman"/>
      <family val="1"/>
    </font>
    <font>
      <sz val="12"/>
      <color rgb="FF0070C0"/>
      <name val="Times New Roman"/>
      <family val="1"/>
    </font>
    <font>
      <i/>
      <sz val="11"/>
      <color rgb="FFFF0000"/>
      <name val="Times New Roman"/>
      <family val="1"/>
    </font>
    <font>
      <sz val="11"/>
      <name val="Calibri"/>
      <family val="2"/>
      <scheme val="minor"/>
    </font>
    <font>
      <b/>
      <sz val="11"/>
      <name val="Calibri"/>
      <family val="2"/>
      <scheme val="minor"/>
    </font>
    <font>
      <b/>
      <i/>
      <sz val="12"/>
      <color rgb="FFFF0000"/>
      <name val="Times New Roman"/>
      <family val="1"/>
    </font>
  </fonts>
  <fills count="15">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rgb="FFCCFFCC"/>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D9D2E9"/>
        <bgColor indexed="64"/>
      </patternFill>
    </fill>
    <fill>
      <patternFill patternType="solid">
        <fgColor rgb="FFFFFFFF"/>
        <bgColor indexed="64"/>
      </patternFill>
    </fill>
  </fills>
  <borders count="1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42">
    <xf numFmtId="0" fontId="0" fillId="0" borderId="0"/>
    <xf numFmtId="3" fontId="3" fillId="0" borderId="0" applyFont="0" applyFill="0" applyBorder="0" applyAlignment="0" applyProtection="0"/>
    <xf numFmtId="166"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13" fillId="0" borderId="1" applyNumberFormat="0" applyAlignment="0" applyProtection="0">
      <alignment horizontal="left" vertical="center"/>
    </xf>
    <xf numFmtId="0" fontId="13" fillId="0" borderId="2">
      <alignment horizontal="left" vertical="center"/>
    </xf>
    <xf numFmtId="0" fontId="2"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3" fillId="0" borderId="0"/>
    <xf numFmtId="0" fontId="53" fillId="0" borderId="0"/>
    <xf numFmtId="0" fontId="53" fillId="0" borderId="0"/>
    <xf numFmtId="0" fontId="3" fillId="0" borderId="0"/>
    <xf numFmtId="0" fontId="3" fillId="0" borderId="0"/>
    <xf numFmtId="0" fontId="3" fillId="0" borderId="0"/>
    <xf numFmtId="0" fontId="3" fillId="0" borderId="0"/>
    <xf numFmtId="0" fontId="42" fillId="0" borderId="0"/>
    <xf numFmtId="0" fontId="42" fillId="0" borderId="0"/>
    <xf numFmtId="9" fontId="1"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4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0" fontId="14" fillId="0" borderId="0" applyFont="0" applyFill="0" applyBorder="0" applyAlignment="0" applyProtection="0"/>
    <xf numFmtId="38"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9" fontId="15" fillId="0" borderId="0" applyFont="0" applyFill="0" applyBorder="0" applyAlignment="0" applyProtection="0"/>
    <xf numFmtId="0" fontId="16" fillId="0" borderId="0"/>
    <xf numFmtId="167" fontId="18" fillId="0" borderId="0" applyFont="0" applyFill="0" applyBorder="0" applyAlignment="0" applyProtection="0"/>
    <xf numFmtId="168" fontId="18" fillId="0" borderId="0" applyFont="0" applyFill="0" applyBorder="0" applyAlignment="0" applyProtection="0"/>
    <xf numFmtId="169" fontId="18" fillId="0" borderId="0" applyFont="0" applyFill="0" applyBorder="0" applyAlignment="0" applyProtection="0"/>
    <xf numFmtId="170" fontId="18" fillId="0" borderId="0" applyFont="0" applyFill="0" applyBorder="0" applyAlignment="0" applyProtection="0"/>
    <xf numFmtId="0" fontId="19" fillId="0" borderId="0"/>
    <xf numFmtId="0" fontId="17" fillId="0" borderId="0"/>
    <xf numFmtId="41" fontId="17" fillId="0" borderId="0" applyFont="0" applyFill="0" applyBorder="0" applyAlignment="0" applyProtection="0"/>
    <xf numFmtId="43" fontId="17" fillId="0" borderId="0" applyFont="0" applyFill="0" applyBorder="0" applyAlignment="0" applyProtection="0"/>
    <xf numFmtId="0" fontId="20" fillId="0" borderId="0"/>
    <xf numFmtId="171" fontId="17" fillId="0" borderId="0" applyFont="0" applyFill="0" applyBorder="0" applyAlignment="0" applyProtection="0"/>
    <xf numFmtId="172" fontId="17" fillId="0" borderId="0" applyFont="0" applyFill="0" applyBorder="0" applyAlignment="0" applyProtection="0"/>
  </cellStyleXfs>
  <cellXfs count="401">
    <xf numFmtId="0" fontId="0" fillId="0" borderId="0" xfId="0"/>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5" fillId="3" borderId="3" xfId="0" applyFont="1" applyFill="1" applyBorder="1" applyAlignment="1" applyProtection="1">
      <alignment horizontal="center" vertical="center" wrapText="1"/>
      <protection locked="0"/>
    </xf>
    <xf numFmtId="0" fontId="4" fillId="3" borderId="0" xfId="0" applyFont="1" applyFill="1" applyAlignment="1" applyProtection="1">
      <alignment vertical="center"/>
      <protection locked="0"/>
    </xf>
    <xf numFmtId="0" fontId="9" fillId="3" borderId="0" xfId="0" applyFont="1" applyFill="1" applyAlignment="1" applyProtection="1">
      <alignment horizontal="left" vertical="center"/>
      <protection locked="0"/>
    </xf>
    <xf numFmtId="0" fontId="6" fillId="3" borderId="0" xfId="0" applyFont="1" applyFill="1" applyAlignment="1" applyProtection="1">
      <alignment horizontal="center" vertical="center"/>
      <protection locked="0"/>
    </xf>
    <xf numFmtId="0" fontId="4" fillId="3" borderId="0" xfId="0" applyFont="1" applyFill="1" applyAlignment="1" applyProtection="1">
      <alignment horizontal="center" vertical="center" wrapText="1"/>
      <protection locked="0"/>
    </xf>
    <xf numFmtId="0" fontId="4" fillId="3" borderId="0" xfId="0" applyFont="1" applyFill="1" applyAlignment="1" applyProtection="1">
      <alignment horizontal="center" vertical="center"/>
      <protection locked="0"/>
    </xf>
    <xf numFmtId="0" fontId="4" fillId="3" borderId="0" xfId="0" applyFont="1" applyFill="1" applyAlignment="1" applyProtection="1">
      <alignment vertical="center" wrapText="1"/>
      <protection locked="0"/>
    </xf>
    <xf numFmtId="0" fontId="5" fillId="3" borderId="0" xfId="0" applyFont="1" applyFill="1" applyAlignment="1">
      <alignment horizontal="center" vertical="center"/>
    </xf>
    <xf numFmtId="0" fontId="4" fillId="2" borderId="3"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left" vertical="center" wrapText="1"/>
      <protection locked="0"/>
    </xf>
    <xf numFmtId="0" fontId="5" fillId="3" borderId="4"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protection locked="0"/>
    </xf>
    <xf numFmtId="0" fontId="7" fillId="3" borderId="0" xfId="0" applyFont="1" applyFill="1" applyAlignment="1" applyProtection="1">
      <alignment vertical="center" wrapText="1"/>
      <protection locked="0"/>
    </xf>
    <xf numFmtId="0" fontId="7" fillId="3" borderId="0" xfId="0" applyFont="1" applyFill="1" applyAlignment="1" applyProtection="1">
      <alignment vertical="center"/>
      <protection locked="0"/>
    </xf>
    <xf numFmtId="0" fontId="5" fillId="3" borderId="3" xfId="0" applyFont="1" applyFill="1" applyBorder="1" applyAlignment="1" applyProtection="1">
      <alignment vertical="center" wrapText="1"/>
      <protection locked="0"/>
    </xf>
    <xf numFmtId="0" fontId="4" fillId="2" borderId="3" xfId="0" applyFont="1" applyFill="1" applyBorder="1" applyAlignment="1" applyProtection="1">
      <alignment horizontal="center" vertical="center"/>
      <protection locked="0"/>
    </xf>
    <xf numFmtId="0" fontId="5" fillId="3" borderId="0" xfId="0" applyFont="1" applyFill="1" applyAlignment="1" applyProtection="1">
      <alignment horizontal="left" vertical="center" wrapText="1"/>
      <protection locked="0"/>
    </xf>
    <xf numFmtId="0" fontId="4" fillId="2" borderId="3" xfId="0" applyFont="1" applyFill="1" applyBorder="1" applyAlignment="1" applyProtection="1">
      <alignment vertical="center" wrapText="1"/>
      <protection locked="0"/>
    </xf>
    <xf numFmtId="2" fontId="4" fillId="3" borderId="0" xfId="0" applyNumberFormat="1" applyFont="1" applyFill="1" applyAlignment="1" applyProtection="1">
      <alignment vertical="center" wrapText="1"/>
      <protection locked="0"/>
    </xf>
    <xf numFmtId="0" fontId="21" fillId="0" borderId="0" xfId="13" applyFont="1"/>
    <xf numFmtId="0" fontId="21" fillId="2" borderId="0" xfId="13" applyFont="1" applyFill="1"/>
    <xf numFmtId="0" fontId="25" fillId="0" borderId="0" xfId="13" applyFont="1" applyAlignment="1">
      <alignment wrapText="1"/>
    </xf>
    <xf numFmtId="0" fontId="4" fillId="2" borderId="0" xfId="13" applyFont="1" applyFill="1"/>
    <xf numFmtId="0" fontId="4" fillId="2" borderId="0" xfId="0" applyFont="1" applyFill="1" applyAlignment="1">
      <alignment horizontal="left"/>
    </xf>
    <xf numFmtId="0" fontId="4" fillId="2" borderId="0" xfId="13" applyFont="1" applyFill="1" applyAlignment="1">
      <alignment horizontal="left"/>
    </xf>
    <xf numFmtId="0" fontId="5" fillId="2" borderId="0" xfId="13" applyFont="1" applyFill="1"/>
    <xf numFmtId="0" fontId="4" fillId="2" borderId="0" xfId="0" applyFont="1" applyFill="1"/>
    <xf numFmtId="0" fontId="4" fillId="0" borderId="0" xfId="13" applyFont="1"/>
    <xf numFmtId="14" fontId="4" fillId="2" borderId="0" xfId="0" applyNumberFormat="1" applyFont="1" applyFill="1"/>
    <xf numFmtId="15" fontId="4" fillId="2" borderId="0" xfId="0" applyNumberFormat="1" applyFont="1" applyFill="1"/>
    <xf numFmtId="164" fontId="5" fillId="3" borderId="3"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0" xfId="0" applyFont="1" applyFill="1"/>
    <xf numFmtId="164"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15"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3" xfId="0" applyFont="1" applyFill="1" applyBorder="1" applyAlignment="1">
      <alignment vertical="center"/>
    </xf>
    <xf numFmtId="49" fontId="4" fillId="2" borderId="3" xfId="0" quotePrefix="1" applyNumberFormat="1" applyFont="1" applyFill="1" applyBorder="1" applyAlignment="1">
      <alignment horizontal="center" vertical="center"/>
    </xf>
    <xf numFmtId="0" fontId="4" fillId="2" borderId="3" xfId="0" quotePrefix="1" applyFont="1" applyFill="1" applyBorder="1" applyAlignment="1">
      <alignment horizontal="center" vertical="center"/>
    </xf>
    <xf numFmtId="164" fontId="4" fillId="2" borderId="3" xfId="0" applyNumberFormat="1" applyFont="1" applyFill="1" applyBorder="1" applyAlignment="1">
      <alignment vertical="center"/>
    </xf>
    <xf numFmtId="49" fontId="4" fillId="2" borderId="3" xfId="0" applyNumberFormat="1" applyFont="1" applyFill="1" applyBorder="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2" fontId="4" fillId="3" borderId="3" xfId="0" applyNumberFormat="1" applyFont="1" applyFill="1" applyBorder="1" applyAlignment="1">
      <alignment horizontal="center" vertical="center" wrapText="1"/>
    </xf>
    <xf numFmtId="0" fontId="8" fillId="3" borderId="0" xfId="0" applyFont="1" applyFill="1" applyAlignment="1" applyProtection="1">
      <alignment horizontal="left" vertical="center" wrapText="1"/>
      <protection locked="0"/>
    </xf>
    <xf numFmtId="0" fontId="8" fillId="3" borderId="3" xfId="0" applyFont="1" applyFill="1" applyBorder="1" applyAlignment="1">
      <alignment horizontal="left" vertical="center"/>
    </xf>
    <xf numFmtId="0" fontId="8" fillId="3" borderId="3" xfId="0" applyFont="1" applyFill="1" applyBorder="1" applyAlignment="1">
      <alignment vertical="center" wrapText="1"/>
    </xf>
    <xf numFmtId="0" fontId="8"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29" fillId="3" borderId="3" xfId="0" applyFont="1" applyFill="1" applyBorder="1" applyAlignment="1">
      <alignment vertical="center" wrapText="1"/>
    </xf>
    <xf numFmtId="0" fontId="29" fillId="3" borderId="0" xfId="0" applyFont="1" applyFill="1" applyAlignment="1">
      <alignment vertical="center"/>
    </xf>
    <xf numFmtId="0" fontId="4" fillId="3" borderId="0" xfId="0" applyFont="1" applyFill="1" applyAlignment="1">
      <alignment horizontal="center" vertical="center" wrapText="1"/>
    </xf>
    <xf numFmtId="0" fontId="4" fillId="3" borderId="0" xfId="0" applyFont="1" applyFill="1" applyAlignment="1">
      <alignment vertical="center" wrapText="1"/>
    </xf>
    <xf numFmtId="0" fontId="4" fillId="3" borderId="0" xfId="0" applyFont="1" applyFill="1" applyAlignment="1">
      <alignment horizontal="left" vertical="center" wrapText="1"/>
    </xf>
    <xf numFmtId="4" fontId="8" fillId="3" borderId="0" xfId="0" applyNumberFormat="1" applyFont="1" applyFill="1" applyAlignment="1">
      <alignment horizontal="center" vertical="center" wrapText="1"/>
    </xf>
    <xf numFmtId="0" fontId="56" fillId="3" borderId="0" xfId="0" applyFont="1" applyFill="1" applyAlignment="1" applyProtection="1">
      <alignment horizontal="left" vertical="center"/>
      <protection locked="0"/>
    </xf>
    <xf numFmtId="0" fontId="56" fillId="3" borderId="0" xfId="0" applyFont="1" applyFill="1" applyAlignment="1" applyProtection="1">
      <alignment horizontal="center" vertical="center"/>
      <protection locked="0"/>
    </xf>
    <xf numFmtId="0" fontId="56" fillId="3" borderId="0" xfId="0" quotePrefix="1" applyFont="1" applyFill="1" applyAlignment="1" applyProtection="1">
      <alignment horizontal="center" vertical="center"/>
      <protection locked="0"/>
    </xf>
    <xf numFmtId="0" fontId="56" fillId="3" borderId="0" xfId="0" applyFont="1" applyFill="1" applyAlignment="1" applyProtection="1">
      <alignment vertical="center"/>
      <protection locked="0"/>
    </xf>
    <xf numFmtId="0" fontId="5" fillId="3" borderId="4" xfId="0" applyFont="1" applyFill="1" applyBorder="1" applyAlignment="1" applyProtection="1">
      <alignment vertical="center" wrapText="1"/>
      <protection locked="0"/>
    </xf>
    <xf numFmtId="0" fontId="4" fillId="0" borderId="3" xfId="0" applyFont="1" applyBorder="1" applyAlignment="1">
      <alignment vertical="center"/>
    </xf>
    <xf numFmtId="0" fontId="4" fillId="0" borderId="3" xfId="0" applyFont="1" applyBorder="1" applyAlignment="1">
      <alignment vertical="center" wrapText="1"/>
    </xf>
    <xf numFmtId="0" fontId="4" fillId="4" borderId="3" xfId="0" applyFont="1" applyFill="1" applyBorder="1" applyAlignment="1" applyProtection="1">
      <alignment horizontal="center" vertical="center" wrapText="1"/>
      <protection locked="0"/>
    </xf>
    <xf numFmtId="0" fontId="4" fillId="0" borderId="3" xfId="0" applyFont="1" applyBorder="1" applyAlignment="1">
      <alignment horizontal="justify" vertical="center"/>
    </xf>
    <xf numFmtId="0" fontId="57" fillId="3" borderId="0" xfId="0" applyFont="1" applyFill="1" applyAlignment="1" applyProtection="1">
      <alignment vertical="center"/>
      <protection locked="0"/>
    </xf>
    <xf numFmtId="0" fontId="57" fillId="3" borderId="0" xfId="0" quotePrefix="1" applyFont="1" applyFill="1" applyAlignment="1" applyProtection="1">
      <alignment vertical="center"/>
      <protection locked="0"/>
    </xf>
    <xf numFmtId="0" fontId="57" fillId="3" borderId="0" xfId="0" applyFont="1" applyFill="1" applyAlignment="1" applyProtection="1">
      <alignment horizontal="center" vertical="center"/>
      <protection locked="0"/>
    </xf>
    <xf numFmtId="0" fontId="58" fillId="3" borderId="0" xfId="0" applyFont="1" applyFill="1" applyAlignment="1" applyProtection="1">
      <alignment horizontal="center" vertical="center"/>
      <protection locked="0"/>
    </xf>
    <xf numFmtId="0" fontId="59" fillId="3" borderId="0" xfId="0" applyFont="1" applyFill="1" applyAlignment="1" applyProtection="1">
      <alignment horizontal="center" vertical="center"/>
      <protection locked="0"/>
    </xf>
    <xf numFmtId="0" fontId="4" fillId="3" borderId="0" xfId="0" quotePrefix="1" applyFont="1" applyFill="1" applyAlignment="1" applyProtection="1">
      <alignment vertical="center" wrapText="1"/>
      <protection locked="0"/>
    </xf>
    <xf numFmtId="0" fontId="4" fillId="3" borderId="0" xfId="0" quotePrefix="1" applyFont="1" applyFill="1" applyAlignment="1" applyProtection="1">
      <alignment vertical="center"/>
      <protection locked="0"/>
    </xf>
    <xf numFmtId="0" fontId="60" fillId="3" borderId="0" xfId="0" applyFont="1" applyFill="1" applyAlignment="1" applyProtection="1">
      <alignment horizontal="left" vertical="center"/>
      <protection locked="0"/>
    </xf>
    <xf numFmtId="0" fontId="60" fillId="3" borderId="0" xfId="0" applyFont="1" applyFill="1" applyAlignment="1" applyProtection="1">
      <alignment horizontal="center" vertical="center"/>
      <protection locked="0"/>
    </xf>
    <xf numFmtId="2" fontId="61" fillId="3" borderId="0" xfId="0" applyNumberFormat="1" applyFont="1" applyFill="1" applyAlignment="1" applyProtection="1">
      <alignment horizontal="center" vertical="center"/>
      <protection locked="0"/>
    </xf>
    <xf numFmtId="0" fontId="61" fillId="3" borderId="0" xfId="0" applyFont="1" applyFill="1" applyAlignment="1" applyProtection="1">
      <alignment horizontal="center" vertical="center"/>
      <protection locked="0"/>
    </xf>
    <xf numFmtId="0" fontId="62" fillId="3" borderId="0" xfId="0" applyFont="1" applyFill="1" applyAlignment="1" applyProtection="1">
      <alignment vertical="center"/>
      <protection locked="0"/>
    </xf>
    <xf numFmtId="0" fontId="62" fillId="3" borderId="0" xfId="0" quotePrefix="1" applyFont="1" applyFill="1" applyAlignment="1" applyProtection="1">
      <alignment vertical="center"/>
      <protection locked="0"/>
    </xf>
    <xf numFmtId="0" fontId="57" fillId="3" borderId="0" xfId="0" applyFont="1" applyFill="1" applyAlignment="1" applyProtection="1">
      <alignment horizontal="left" vertical="center"/>
      <protection locked="0"/>
    </xf>
    <xf numFmtId="0" fontId="63" fillId="3" borderId="0" xfId="0" quotePrefix="1" applyFont="1" applyFill="1" applyAlignment="1" applyProtection="1">
      <alignment vertical="center"/>
      <protection locked="0"/>
    </xf>
    <xf numFmtId="49" fontId="4" fillId="2" borderId="3" xfId="0" applyNumberFormat="1" applyFont="1" applyFill="1" applyBorder="1" applyAlignment="1" applyProtection="1">
      <alignment horizontal="center" vertical="center" wrapText="1"/>
      <protection locked="0"/>
    </xf>
    <xf numFmtId="0" fontId="56" fillId="3" borderId="0" xfId="0" applyFont="1" applyFill="1" applyAlignment="1" applyProtection="1">
      <alignment vertical="center" wrapText="1"/>
      <protection locked="0"/>
    </xf>
    <xf numFmtId="0" fontId="64" fillId="3" borderId="0" xfId="0" applyFont="1" applyFill="1" applyAlignment="1" applyProtection="1">
      <alignment vertical="center"/>
      <protection locked="0"/>
    </xf>
    <xf numFmtId="0" fontId="64" fillId="3" borderId="0" xfId="0" applyFont="1" applyFill="1" applyAlignment="1" applyProtection="1">
      <alignment horizontal="left" vertical="center" wrapText="1"/>
      <protection locked="0"/>
    </xf>
    <xf numFmtId="0" fontId="64" fillId="3" borderId="0" xfId="0" applyFont="1" applyFill="1" applyAlignment="1" applyProtection="1">
      <alignment vertical="center" wrapText="1"/>
      <protection locked="0"/>
    </xf>
    <xf numFmtId="0" fontId="58" fillId="3" borderId="0" xfId="0" applyFont="1" applyFill="1" applyAlignment="1" applyProtection="1">
      <alignment vertical="center"/>
      <protection locked="0"/>
    </xf>
    <xf numFmtId="2" fontId="60" fillId="3" borderId="0" xfId="0" applyNumberFormat="1" applyFont="1" applyFill="1" applyAlignment="1" applyProtection="1">
      <alignment horizontal="center" vertical="center"/>
      <protection locked="0"/>
    </xf>
    <xf numFmtId="0" fontId="65" fillId="3" borderId="0" xfId="0" applyFont="1" applyFill="1" applyAlignment="1" applyProtection="1">
      <alignment horizontal="left" vertical="center" wrapText="1"/>
      <protection locked="0"/>
    </xf>
    <xf numFmtId="0" fontId="65" fillId="3" borderId="0" xfId="0" applyFont="1" applyFill="1" applyAlignment="1" applyProtection="1">
      <alignment vertical="center" wrapText="1"/>
      <protection locked="0"/>
    </xf>
    <xf numFmtId="0" fontId="34" fillId="0" borderId="5" xfId="9" applyFont="1" applyBorder="1"/>
    <xf numFmtId="0" fontId="3" fillId="0" borderId="0" xfId="9"/>
    <xf numFmtId="0" fontId="3" fillId="0" borderId="3" xfId="9" applyBorder="1"/>
    <xf numFmtId="0" fontId="34" fillId="0" borderId="3" xfId="9" applyFont="1" applyBorder="1"/>
    <xf numFmtId="0" fontId="34" fillId="0" borderId="3" xfId="9" applyFont="1" applyBorder="1" applyAlignment="1">
      <alignment wrapText="1"/>
    </xf>
    <xf numFmtId="0" fontId="3" fillId="0" borderId="3" xfId="9" applyBorder="1" applyAlignment="1">
      <alignment wrapText="1"/>
    </xf>
    <xf numFmtId="0" fontId="3" fillId="0" borderId="0" xfId="9" applyAlignment="1">
      <alignment wrapText="1"/>
    </xf>
    <xf numFmtId="0" fontId="61" fillId="3" borderId="0" xfId="0" applyFont="1" applyFill="1" applyAlignment="1" applyProtection="1">
      <alignment horizontal="left" vertical="center"/>
      <protection locked="0"/>
    </xf>
    <xf numFmtId="0" fontId="57" fillId="3" borderId="0" xfId="0" quotePrefix="1" applyFont="1" applyFill="1" applyAlignment="1" applyProtection="1">
      <alignment horizontal="left" vertical="center"/>
      <protection locked="0"/>
    </xf>
    <xf numFmtId="0" fontId="3" fillId="4" borderId="0" xfId="15" applyFill="1"/>
    <xf numFmtId="0" fontId="7" fillId="3" borderId="0" xfId="15" applyFont="1" applyFill="1" applyAlignment="1" applyProtection="1">
      <alignment vertical="center"/>
      <protection locked="0"/>
    </xf>
    <xf numFmtId="0" fontId="35" fillId="3" borderId="0" xfId="15" applyFont="1" applyFill="1" applyAlignment="1" applyProtection="1">
      <alignment vertical="center"/>
      <protection locked="0"/>
    </xf>
    <xf numFmtId="0" fontId="3" fillId="4" borderId="0" xfId="15" quotePrefix="1" applyFill="1"/>
    <xf numFmtId="0" fontId="66" fillId="3" borderId="0" xfId="0" applyFont="1" applyFill="1" applyAlignment="1">
      <alignment vertical="center"/>
    </xf>
    <xf numFmtId="0" fontId="3" fillId="0" borderId="0" xfId="9" applyAlignment="1">
      <alignment horizontal="left" wrapText="1"/>
    </xf>
    <xf numFmtId="0" fontId="67" fillId="0" borderId="3" xfId="9" applyFont="1" applyBorder="1"/>
    <xf numFmtId="0" fontId="3" fillId="0" borderId="3" xfId="9" applyBorder="1" applyAlignment="1">
      <alignment vertical="top"/>
    </xf>
    <xf numFmtId="0" fontId="67" fillId="0" borderId="3" xfId="9" applyFont="1" applyBorder="1" applyAlignment="1">
      <alignment vertical="top" wrapText="1"/>
    </xf>
    <xf numFmtId="0" fontId="67" fillId="0" borderId="3" xfId="9" applyFont="1" applyBorder="1" applyAlignment="1">
      <alignment vertical="top"/>
    </xf>
    <xf numFmtId="0" fontId="3" fillId="0" borderId="3" xfId="9" applyBorder="1" applyAlignment="1">
      <alignment vertical="top" wrapText="1"/>
    </xf>
    <xf numFmtId="0" fontId="4" fillId="0" borderId="0" xfId="9" applyFont="1" applyAlignment="1">
      <alignment vertical="top"/>
    </xf>
    <xf numFmtId="10" fontId="8" fillId="5" borderId="3" xfId="0" applyNumberFormat="1" applyFont="1" applyFill="1" applyBorder="1" applyAlignment="1">
      <alignment horizontal="center" vertical="center"/>
    </xf>
    <xf numFmtId="0" fontId="0" fillId="0" borderId="0" xfId="0" applyAlignment="1">
      <alignment wrapText="1"/>
    </xf>
    <xf numFmtId="0" fontId="4" fillId="0" borderId="3" xfId="12" applyFont="1" applyBorder="1" applyAlignment="1" applyProtection="1">
      <alignment horizontal="center" vertical="center" wrapText="1"/>
      <protection locked="0"/>
    </xf>
    <xf numFmtId="0" fontId="4" fillId="0" borderId="3" xfId="12" applyFont="1" applyBorder="1" applyAlignment="1" applyProtection="1">
      <alignment horizontal="left" vertical="center" wrapText="1"/>
      <protection locked="0"/>
    </xf>
    <xf numFmtId="0" fontId="4" fillId="0" borderId="3" xfId="0" applyFont="1" applyBorder="1" applyAlignment="1">
      <alignment horizontal="center" wrapText="1"/>
    </xf>
    <xf numFmtId="0" fontId="4" fillId="6" borderId="3" xfId="12" applyFont="1" applyFill="1" applyBorder="1" applyAlignment="1" applyProtection="1">
      <alignment horizontal="left" vertical="center" wrapText="1"/>
      <protection locked="0"/>
    </xf>
    <xf numFmtId="0" fontId="4" fillId="6" borderId="3" xfId="0" applyFont="1" applyFill="1" applyBorder="1" applyAlignment="1">
      <alignment horizontal="center" wrapText="1"/>
    </xf>
    <xf numFmtId="0" fontId="4" fillId="6" borderId="3" xfId="0" applyFont="1" applyFill="1" applyBorder="1" applyAlignment="1">
      <alignment vertical="center" wrapText="1"/>
    </xf>
    <xf numFmtId="0" fontId="57" fillId="0" borderId="3" xfId="0" applyFont="1" applyBorder="1" applyAlignment="1">
      <alignment wrapText="1"/>
    </xf>
    <xf numFmtId="0" fontId="57" fillId="6" borderId="3" xfId="0" applyFont="1" applyFill="1" applyBorder="1" applyAlignment="1">
      <alignment wrapText="1"/>
    </xf>
    <xf numFmtId="0" fontId="57" fillId="6" borderId="3" xfId="0" applyFont="1" applyFill="1" applyBorder="1" applyAlignment="1">
      <alignment horizontal="left" wrapText="1"/>
    </xf>
    <xf numFmtId="0" fontId="57" fillId="0" borderId="3" xfId="0" applyFont="1" applyBorder="1" applyAlignment="1">
      <alignment horizontal="left" wrapText="1"/>
    </xf>
    <xf numFmtId="0" fontId="4" fillId="0" borderId="3" xfId="0" applyFont="1" applyBorder="1" applyAlignment="1">
      <alignment horizontal="left" vertical="center" wrapText="1"/>
    </xf>
    <xf numFmtId="0" fontId="57" fillId="6" borderId="3" xfId="0" applyFont="1" applyFill="1" applyBorder="1" applyAlignment="1">
      <alignment horizontal="left" vertical="center" wrapText="1"/>
    </xf>
    <xf numFmtId="0" fontId="57" fillId="0" borderId="3" xfId="0" applyFont="1" applyBorder="1" applyAlignment="1">
      <alignment horizontal="left" vertical="center" wrapText="1"/>
    </xf>
    <xf numFmtId="0" fontId="68" fillId="6" borderId="3" xfId="0" applyFont="1" applyFill="1" applyBorder="1" applyAlignment="1">
      <alignment horizontal="left" vertical="center" wrapText="1"/>
    </xf>
    <xf numFmtId="0" fontId="57" fillId="6" borderId="3" xfId="0" applyFont="1" applyFill="1" applyBorder="1" applyAlignment="1">
      <alignment vertical="center" wrapText="1"/>
    </xf>
    <xf numFmtId="0" fontId="57" fillId="6" borderId="3" xfId="0" applyFont="1" applyFill="1" applyBorder="1" applyAlignment="1">
      <alignment horizontal="center" vertical="center" wrapText="1"/>
    </xf>
    <xf numFmtId="0" fontId="68" fillId="0" borderId="3" xfId="0" applyFont="1" applyBorder="1" applyAlignment="1">
      <alignment horizontal="left" vertical="center" wrapText="1"/>
    </xf>
    <xf numFmtId="0" fontId="57" fillId="0" borderId="3" xfId="0" applyFont="1" applyBorder="1" applyAlignment="1">
      <alignment vertical="center" wrapText="1"/>
    </xf>
    <xf numFmtId="0" fontId="57" fillId="0" borderId="3" xfId="0" applyFont="1" applyBorder="1" applyAlignment="1">
      <alignment horizontal="center" vertical="center" wrapText="1"/>
    </xf>
    <xf numFmtId="0" fontId="10" fillId="7" borderId="3" xfId="0" applyFont="1" applyFill="1" applyBorder="1" applyAlignment="1">
      <alignment wrapText="1"/>
    </xf>
    <xf numFmtId="0" fontId="57" fillId="7" borderId="3" xfId="0" applyFont="1" applyFill="1" applyBorder="1" applyAlignment="1">
      <alignment vertical="center" wrapText="1"/>
    </xf>
    <xf numFmtId="0" fontId="0" fillId="7" borderId="3" xfId="0" applyFill="1" applyBorder="1" applyAlignment="1">
      <alignment wrapText="1"/>
    </xf>
    <xf numFmtId="0" fontId="69" fillId="7" borderId="3" xfId="0" applyFont="1" applyFill="1" applyBorder="1" applyAlignment="1">
      <alignment vertical="top"/>
    </xf>
    <xf numFmtId="0" fontId="0" fillId="7" borderId="0" xfId="0" applyFill="1" applyAlignment="1">
      <alignment wrapText="1"/>
    </xf>
    <xf numFmtId="0" fontId="58" fillId="7" borderId="3" xfId="0" applyFont="1" applyFill="1" applyBorder="1" applyAlignment="1">
      <alignment vertical="top"/>
    </xf>
    <xf numFmtId="0" fontId="70" fillId="0" borderId="0" xfId="0" applyFont="1" applyAlignment="1">
      <alignment horizontal="center" vertical="top"/>
    </xf>
    <xf numFmtId="0" fontId="70" fillId="0" borderId="0" xfId="0" applyFont="1" applyAlignment="1">
      <alignment vertical="top"/>
    </xf>
    <xf numFmtId="0" fontId="70" fillId="0" borderId="0" xfId="0" applyFont="1" applyAlignment="1">
      <alignment vertical="top" wrapText="1"/>
    </xf>
    <xf numFmtId="0" fontId="36" fillId="0" borderId="3" xfId="0" applyFont="1" applyBorder="1" applyAlignment="1">
      <alignment vertical="top" wrapText="1"/>
    </xf>
    <xf numFmtId="0" fontId="71" fillId="0" borderId="3" xfId="0" applyFont="1" applyBorder="1" applyAlignment="1">
      <alignment vertical="top" wrapText="1"/>
    </xf>
    <xf numFmtId="0" fontId="0" fillId="7" borderId="3" xfId="0" applyFill="1" applyBorder="1" applyAlignment="1" applyProtection="1">
      <alignment wrapText="1"/>
      <protection locked="0"/>
    </xf>
    <xf numFmtId="9" fontId="10" fillId="7" borderId="3" xfId="18" applyFont="1" applyFill="1" applyBorder="1" applyAlignment="1">
      <alignment wrapText="1"/>
    </xf>
    <xf numFmtId="0" fontId="57" fillId="7" borderId="3" xfId="0" applyFont="1" applyFill="1" applyBorder="1" applyAlignment="1">
      <alignment vertical="top" wrapText="1"/>
    </xf>
    <xf numFmtId="0" fontId="36" fillId="0" borderId="3" xfId="0" applyFont="1" applyBorder="1" applyAlignment="1">
      <alignment horizontal="center" vertical="top" wrapText="1"/>
    </xf>
    <xf numFmtId="0" fontId="69" fillId="7" borderId="3" xfId="0" applyFont="1" applyFill="1" applyBorder="1" applyAlignment="1">
      <alignment vertical="top" wrapText="1"/>
    </xf>
    <xf numFmtId="0" fontId="71" fillId="7" borderId="3" xfId="0" applyFont="1" applyFill="1" applyBorder="1" applyAlignment="1">
      <alignment vertical="top" wrapText="1"/>
    </xf>
    <xf numFmtId="0" fontId="36" fillId="7" borderId="3" xfId="0" applyFont="1" applyFill="1" applyBorder="1" applyAlignment="1">
      <alignment horizontal="center" vertical="top" wrapText="1"/>
    </xf>
    <xf numFmtId="0" fontId="70" fillId="7" borderId="0" xfId="0" applyFont="1" applyFill="1" applyAlignment="1">
      <alignment horizontal="center" vertical="top" wrapText="1"/>
    </xf>
    <xf numFmtId="0" fontId="70" fillId="7" borderId="3" xfId="0" applyFont="1" applyFill="1" applyBorder="1" applyAlignment="1">
      <alignment vertical="top" wrapText="1"/>
    </xf>
    <xf numFmtId="9" fontId="0" fillId="0" borderId="0" xfId="0" applyNumberFormat="1" applyAlignment="1">
      <alignment wrapText="1"/>
    </xf>
    <xf numFmtId="10" fontId="8" fillId="3" borderId="3" xfId="0" applyNumberFormat="1" applyFont="1" applyFill="1" applyBorder="1" applyAlignment="1">
      <alignment horizontal="center" vertical="center"/>
    </xf>
    <xf numFmtId="10" fontId="8" fillId="3" borderId="3" xfId="0" applyNumberFormat="1" applyFont="1" applyFill="1" applyBorder="1" applyAlignment="1">
      <alignment horizontal="center" vertical="center" wrapText="1"/>
    </xf>
    <xf numFmtId="165" fontId="4" fillId="3" borderId="3" xfId="0" applyNumberFormat="1" applyFont="1" applyFill="1" applyBorder="1" applyAlignment="1">
      <alignment horizontal="center" vertical="center"/>
    </xf>
    <xf numFmtId="10" fontId="4" fillId="3" borderId="3" xfId="0" applyNumberFormat="1" applyFont="1" applyFill="1" applyBorder="1" applyAlignment="1">
      <alignment horizontal="center" vertical="center"/>
    </xf>
    <xf numFmtId="4" fontId="72" fillId="3" borderId="3" xfId="0" applyNumberFormat="1" applyFont="1" applyFill="1" applyBorder="1" applyAlignment="1">
      <alignment horizontal="center" vertical="center" wrapText="1"/>
    </xf>
    <xf numFmtId="2" fontId="29" fillId="3" borderId="3" xfId="0" applyNumberFormat="1" applyFont="1" applyFill="1" applyBorder="1" applyAlignment="1">
      <alignment vertical="center" wrapText="1"/>
    </xf>
    <xf numFmtId="10" fontId="4" fillId="3" borderId="4" xfId="0" applyNumberFormat="1" applyFont="1" applyFill="1" applyBorder="1" applyAlignment="1">
      <alignment horizontal="center" vertical="center"/>
    </xf>
    <xf numFmtId="10" fontId="8" fillId="5" borderId="4" xfId="0" applyNumberFormat="1" applyFont="1" applyFill="1" applyBorder="1" applyAlignment="1">
      <alignment horizontal="center" vertical="center"/>
    </xf>
    <xf numFmtId="0" fontId="4" fillId="2" borderId="3" xfId="9" applyFont="1" applyFill="1" applyBorder="1" applyAlignment="1">
      <alignment horizontal="center" vertical="center" wrapText="1"/>
    </xf>
    <xf numFmtId="0" fontId="58" fillId="8" borderId="3" xfId="0" applyFont="1" applyFill="1" applyBorder="1" applyAlignment="1">
      <alignment horizontal="center" vertical="center" wrapText="1"/>
    </xf>
    <xf numFmtId="0" fontId="4" fillId="0" borderId="3" xfId="0" applyFont="1" applyBorder="1" applyAlignment="1">
      <alignment vertical="top" wrapText="1"/>
    </xf>
    <xf numFmtId="0" fontId="39" fillId="3" borderId="3" xfId="0" applyFont="1" applyFill="1" applyBorder="1" applyAlignment="1">
      <alignment horizontal="center" vertical="center" wrapText="1"/>
    </xf>
    <xf numFmtId="4" fontId="73" fillId="3" borderId="3" xfId="0" applyNumberFormat="1" applyFont="1" applyFill="1" applyBorder="1" applyAlignment="1">
      <alignment horizontal="center" vertical="center" wrapText="1"/>
    </xf>
    <xf numFmtId="0" fontId="4" fillId="0" borderId="3" xfId="0" applyFont="1" applyBorder="1" applyAlignment="1">
      <alignment wrapText="1"/>
    </xf>
    <xf numFmtId="0" fontId="28" fillId="3" borderId="3" xfId="0" applyFont="1" applyFill="1" applyBorder="1" applyAlignment="1">
      <alignment horizontal="left" vertical="center" wrapText="1"/>
    </xf>
    <xf numFmtId="0" fontId="4" fillId="0" borderId="3" xfId="0" applyFont="1" applyBorder="1" applyAlignment="1">
      <alignment vertical="top"/>
    </xf>
    <xf numFmtId="0" fontId="8" fillId="3" borderId="6" xfId="0" applyFont="1" applyFill="1" applyBorder="1" applyAlignment="1">
      <alignment horizontal="center" vertical="center" wrapText="1"/>
    </xf>
    <xf numFmtId="0" fontId="8" fillId="3" borderId="4" xfId="0" applyFont="1" applyFill="1" applyBorder="1" applyAlignment="1">
      <alignment horizontal="center" vertical="center" wrapText="1"/>
    </xf>
    <xf numFmtId="2" fontId="5" fillId="3" borderId="3" xfId="0" applyNumberFormat="1" applyFont="1" applyFill="1" applyBorder="1" applyAlignment="1">
      <alignment horizontal="center" vertical="center" wrapText="1"/>
    </xf>
    <xf numFmtId="0" fontId="8" fillId="3" borderId="4" xfId="0" applyFont="1" applyFill="1" applyBorder="1" applyAlignment="1">
      <alignment horizontal="center" vertical="center"/>
    </xf>
    <xf numFmtId="0" fontId="4" fillId="0" borderId="3" xfId="0" applyFont="1" applyBorder="1" applyAlignment="1">
      <alignment horizontal="center" vertical="top"/>
    </xf>
    <xf numFmtId="0" fontId="4" fillId="0" borderId="3" xfId="0" applyFont="1" applyBorder="1" applyAlignment="1" applyProtection="1">
      <alignment vertical="top" wrapText="1"/>
      <protection locked="0"/>
    </xf>
    <xf numFmtId="0" fontId="4" fillId="2" borderId="0" xfId="9" applyFont="1" applyFill="1" applyAlignment="1">
      <alignment wrapText="1"/>
    </xf>
    <xf numFmtId="0" fontId="8" fillId="2" borderId="0" xfId="9" applyFont="1" applyFill="1" applyAlignment="1">
      <alignment horizontal="left" wrapText="1"/>
    </xf>
    <xf numFmtId="0" fontId="4" fillId="2" borderId="0" xfId="9" applyFont="1" applyFill="1" applyAlignment="1">
      <alignment vertical="center" wrapText="1"/>
    </xf>
    <xf numFmtId="0" fontId="4" fillId="2" borderId="0" xfId="9" applyFont="1" applyFill="1" applyAlignment="1">
      <alignment horizontal="left" wrapText="1"/>
    </xf>
    <xf numFmtId="0" fontId="5" fillId="2" borderId="0" xfId="9" applyFont="1" applyFill="1" applyAlignment="1">
      <alignment horizontal="center" wrapText="1"/>
    </xf>
    <xf numFmtId="0" fontId="8" fillId="2" borderId="0" xfId="0" applyFont="1" applyFill="1" applyAlignment="1">
      <alignment horizontal="left"/>
    </xf>
    <xf numFmtId="0" fontId="4" fillId="2" borderId="0" xfId="0" applyFont="1" applyFill="1" applyAlignment="1">
      <alignment horizontal="left" indent="11"/>
    </xf>
    <xf numFmtId="9" fontId="4" fillId="3" borderId="3" xfId="18" applyFont="1" applyFill="1" applyBorder="1" applyAlignment="1">
      <alignment horizontal="center" vertical="center" wrapText="1"/>
    </xf>
    <xf numFmtId="0" fontId="4" fillId="0" borderId="3" xfId="0" applyFont="1" applyBorder="1"/>
    <xf numFmtId="0" fontId="38" fillId="2" borderId="7" xfId="7" applyFont="1" applyFill="1" applyBorder="1" applyAlignment="1" applyProtection="1">
      <alignment horizontal="center" vertical="center" wrapText="1"/>
    </xf>
    <xf numFmtId="0" fontId="21" fillId="2" borderId="0" xfId="9" applyFont="1" applyFill="1" applyAlignment="1">
      <alignment wrapText="1"/>
    </xf>
    <xf numFmtId="0" fontId="37" fillId="2" borderId="0" xfId="9" applyFont="1" applyFill="1" applyAlignment="1">
      <alignment horizontal="left" wrapText="1"/>
    </xf>
    <xf numFmtId="0" fontId="5" fillId="3" borderId="8" xfId="9" applyFont="1" applyFill="1" applyBorder="1" applyAlignment="1">
      <alignment horizontal="center" vertical="center" wrapText="1"/>
    </xf>
    <xf numFmtId="0" fontId="5" fillId="4" borderId="3" xfId="9" applyFont="1" applyFill="1" applyBorder="1" applyAlignment="1">
      <alignment horizontal="center" vertical="center" wrapText="1"/>
    </xf>
    <xf numFmtId="0" fontId="21" fillId="0" borderId="0" xfId="9" applyFont="1" applyAlignment="1">
      <alignment vertical="center" wrapText="1"/>
    </xf>
    <xf numFmtId="0" fontId="4" fillId="0" borderId="8" xfId="9" applyFont="1" applyBorder="1" applyAlignment="1">
      <alignment horizontal="center" vertical="center" wrapText="1"/>
    </xf>
    <xf numFmtId="0" fontId="4" fillId="0" borderId="3" xfId="9" quotePrefix="1" applyFont="1" applyBorder="1" applyAlignment="1">
      <alignment horizontal="left" vertical="center" wrapText="1"/>
    </xf>
    <xf numFmtId="0" fontId="4" fillId="0" borderId="3" xfId="9" applyFont="1" applyBorder="1" applyAlignment="1">
      <alignment horizontal="left" vertical="center" wrapText="1"/>
    </xf>
    <xf numFmtId="0" fontId="74" fillId="0" borderId="3" xfId="9" applyFont="1" applyBorder="1" applyAlignment="1">
      <alignment horizontal="left" vertical="center" wrapText="1"/>
    </xf>
    <xf numFmtId="0" fontId="47" fillId="2" borderId="0" xfId="9" applyFont="1" applyFill="1" applyAlignment="1">
      <alignment horizontal="left" wrapText="1"/>
    </xf>
    <xf numFmtId="0" fontId="48" fillId="2" borderId="0" xfId="9" applyFont="1" applyFill="1" applyAlignment="1">
      <alignment horizontal="center" wrapText="1"/>
    </xf>
    <xf numFmtId="0" fontId="47" fillId="2" borderId="0" xfId="9" applyFont="1" applyFill="1" applyAlignment="1">
      <alignment vertical="center" wrapText="1"/>
    </xf>
    <xf numFmtId="0" fontId="56" fillId="0" borderId="0" xfId="0" applyFont="1" applyAlignment="1">
      <alignment vertical="top" wrapText="1"/>
    </xf>
    <xf numFmtId="0" fontId="49" fillId="0" borderId="0" xfId="0" applyFont="1" applyAlignment="1">
      <alignment vertical="top"/>
    </xf>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3" fillId="0" borderId="0" xfId="0" applyFont="1" applyAlignment="1">
      <alignment vertical="top"/>
    </xf>
    <xf numFmtId="0" fontId="3" fillId="0" borderId="0" xfId="0" applyFont="1" applyAlignment="1" applyProtection="1">
      <alignment vertical="top"/>
      <protection locked="0"/>
    </xf>
    <xf numFmtId="0" fontId="70" fillId="8" borderId="0" xfId="0" applyFont="1" applyFill="1" applyAlignment="1">
      <alignment vertical="center"/>
    </xf>
    <xf numFmtId="0" fontId="58" fillId="8" borderId="3" xfId="0" applyFont="1" applyFill="1" applyBorder="1" applyAlignment="1">
      <alignment horizontal="center" vertical="center"/>
    </xf>
    <xf numFmtId="0" fontId="58" fillId="8" borderId="4" xfId="0" applyFont="1" applyFill="1" applyBorder="1" applyAlignment="1">
      <alignment horizontal="center" vertical="center" wrapText="1"/>
    </xf>
    <xf numFmtId="0" fontId="57" fillId="0" borderId="3" xfId="0" applyFont="1" applyBorder="1" applyAlignment="1">
      <alignment vertical="top"/>
    </xf>
    <xf numFmtId="0" fontId="57" fillId="0" borderId="3" xfId="0" applyFont="1" applyBorder="1" applyAlignment="1">
      <alignment vertical="top" wrapText="1"/>
    </xf>
    <xf numFmtId="9" fontId="4" fillId="0" borderId="3" xfId="22" applyFont="1" applyFill="1" applyBorder="1" applyAlignment="1">
      <alignment wrapText="1"/>
    </xf>
    <xf numFmtId="0" fontId="4" fillId="0" borderId="3" xfId="0" applyFont="1" applyBorder="1" applyAlignment="1" applyProtection="1">
      <alignment wrapText="1"/>
      <protection locked="0"/>
    </xf>
    <xf numFmtId="0" fontId="68" fillId="0" borderId="3" xfId="0" applyFont="1" applyBorder="1" applyAlignment="1">
      <alignment vertical="center" wrapText="1"/>
    </xf>
    <xf numFmtId="0" fontId="70" fillId="0" borderId="0" xfId="0" applyFont="1" applyAlignment="1">
      <alignment horizontal="center" vertical="top" wrapText="1"/>
    </xf>
    <xf numFmtId="0" fontId="70" fillId="0" borderId="0" xfId="0" applyFont="1" applyAlignment="1">
      <alignment vertical="center" wrapText="1"/>
    </xf>
    <xf numFmtId="0" fontId="70" fillId="0" borderId="0" xfId="0" applyFont="1" applyAlignment="1">
      <alignment horizontal="left" vertical="top" wrapText="1"/>
    </xf>
    <xf numFmtId="0" fontId="70" fillId="0" borderId="0" xfId="0" applyFont="1" applyAlignment="1">
      <alignment wrapText="1"/>
    </xf>
    <xf numFmtId="0" fontId="22" fillId="5" borderId="3" xfId="12" applyFont="1" applyFill="1" applyBorder="1" applyAlignment="1" applyProtection="1">
      <alignment horizontal="center" vertical="center" wrapText="1"/>
      <protection locked="0"/>
    </xf>
    <xf numFmtId="0" fontId="22" fillId="5" borderId="3" xfId="12" applyFont="1" applyFill="1" applyBorder="1" applyAlignment="1" applyProtection="1">
      <alignment vertical="center" wrapText="1"/>
      <protection locked="0"/>
    </xf>
    <xf numFmtId="0" fontId="22" fillId="5" borderId="3" xfId="0" applyFont="1" applyFill="1" applyBorder="1" applyAlignment="1">
      <alignment wrapText="1"/>
    </xf>
    <xf numFmtId="0" fontId="22" fillId="5" borderId="3" xfId="0" applyFont="1" applyFill="1" applyBorder="1"/>
    <xf numFmtId="0" fontId="22" fillId="5" borderId="3" xfId="0" applyFont="1" applyFill="1" applyBorder="1" applyAlignment="1">
      <alignment vertical="top" wrapText="1"/>
    </xf>
    <xf numFmtId="0" fontId="22" fillId="5" borderId="3" xfId="0" applyFont="1" applyFill="1" applyBorder="1" applyAlignment="1">
      <alignment horizontal="center"/>
    </xf>
    <xf numFmtId="0" fontId="22" fillId="5" borderId="3" xfId="0" applyFont="1" applyFill="1" applyBorder="1" applyAlignment="1">
      <alignment horizontal="center" vertical="top" wrapText="1"/>
    </xf>
    <xf numFmtId="0" fontId="75" fillId="3" borderId="0" xfId="9" applyFont="1" applyFill="1" applyAlignment="1" applyProtection="1">
      <alignment vertical="center"/>
      <protection locked="0"/>
    </xf>
    <xf numFmtId="0" fontId="4" fillId="3" borderId="0" xfId="9" applyFont="1" applyFill="1" applyAlignment="1" applyProtection="1">
      <alignment vertical="center"/>
      <protection locked="0"/>
    </xf>
    <xf numFmtId="0" fontId="41" fillId="3" borderId="0" xfId="9" applyFont="1" applyFill="1" applyAlignment="1" applyProtection="1">
      <alignment horizontal="left" vertical="center"/>
      <protection locked="0"/>
    </xf>
    <xf numFmtId="0" fontId="6" fillId="3" borderId="0" xfId="9" applyFont="1" applyFill="1" applyAlignment="1" applyProtection="1">
      <alignment horizontal="center" vertical="center" wrapText="1"/>
      <protection locked="0"/>
    </xf>
    <xf numFmtId="0" fontId="6" fillId="3" borderId="0" xfId="9" applyFont="1" applyFill="1" applyAlignment="1" applyProtection="1">
      <alignment horizontal="left" vertical="center"/>
      <protection locked="0"/>
    </xf>
    <xf numFmtId="0" fontId="4" fillId="3" borderId="0" xfId="9" applyFont="1" applyFill="1" applyAlignment="1" applyProtection="1">
      <alignment horizontal="center" vertical="center"/>
      <protection locked="0"/>
    </xf>
    <xf numFmtId="0" fontId="4" fillId="3" borderId="0" xfId="9" applyFont="1" applyFill="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75" fillId="3" borderId="0" xfId="9" applyFont="1" applyFill="1" applyAlignment="1" applyProtection="1">
      <alignment horizontal="center" vertical="center"/>
      <protection locked="0"/>
    </xf>
    <xf numFmtId="0" fontId="5" fillId="3" borderId="4" xfId="9" applyFont="1" applyFill="1" applyBorder="1" applyAlignment="1" applyProtection="1">
      <alignment horizontal="center" vertical="center" wrapText="1"/>
      <protection locked="0"/>
    </xf>
    <xf numFmtId="0" fontId="5" fillId="3" borderId="3" xfId="9" applyFont="1" applyFill="1" applyBorder="1" applyAlignment="1" applyProtection="1">
      <alignment horizontal="center" vertical="center" wrapText="1"/>
      <protection locked="0"/>
    </xf>
    <xf numFmtId="0" fontId="76" fillId="3" borderId="3" xfId="9" applyFont="1" applyFill="1" applyBorder="1" applyAlignment="1" applyProtection="1">
      <alignment horizontal="center" vertical="center" wrapText="1"/>
      <protection locked="0"/>
    </xf>
    <xf numFmtId="0" fontId="5" fillId="2" borderId="3" xfId="9" applyFont="1" applyFill="1" applyBorder="1" applyAlignment="1" applyProtection="1">
      <alignment horizontal="center" vertical="center" wrapText="1"/>
      <protection locked="0"/>
    </xf>
    <xf numFmtId="0" fontId="5" fillId="0" borderId="3" xfId="9" applyFont="1" applyBorder="1" applyAlignment="1" applyProtection="1">
      <alignment horizontal="center" vertical="center" wrapText="1"/>
      <protection locked="0"/>
    </xf>
    <xf numFmtId="0" fontId="4" fillId="4" borderId="3" xfId="9" applyFont="1" applyFill="1" applyBorder="1" applyAlignment="1">
      <alignment horizontal="left" vertical="center" wrapText="1"/>
    </xf>
    <xf numFmtId="0" fontId="4" fillId="4" borderId="3" xfId="9" applyFont="1" applyFill="1" applyBorder="1" applyAlignment="1">
      <alignment horizontal="right" vertical="center" wrapText="1"/>
    </xf>
    <xf numFmtId="0" fontId="4" fillId="2" borderId="3" xfId="9" applyFont="1" applyFill="1" applyBorder="1" applyAlignment="1" applyProtection="1">
      <alignment horizontal="center" vertical="center" wrapText="1"/>
      <protection locked="0"/>
    </xf>
    <xf numFmtId="0" fontId="4" fillId="0" borderId="3" xfId="9" applyFont="1" applyBorder="1" applyAlignment="1" applyProtection="1">
      <alignment vertical="center" wrapText="1"/>
      <protection locked="0"/>
    </xf>
    <xf numFmtId="0" fontId="75" fillId="0" borderId="3" xfId="9" applyFont="1" applyBorder="1" applyAlignment="1" applyProtection="1">
      <alignment horizontal="center" vertical="center" wrapText="1"/>
      <protection locked="0"/>
    </xf>
    <xf numFmtId="2" fontId="75" fillId="3" borderId="3" xfId="9" applyNumberFormat="1" applyFont="1" applyFill="1" applyBorder="1" applyAlignment="1" applyProtection="1">
      <alignment vertical="center"/>
      <protection locked="0"/>
    </xf>
    <xf numFmtId="0" fontId="4" fillId="3" borderId="0" xfId="9" applyFont="1" applyFill="1" applyAlignment="1" applyProtection="1">
      <alignment vertical="center" wrapText="1"/>
      <protection locked="0"/>
    </xf>
    <xf numFmtId="0" fontId="4" fillId="2" borderId="3" xfId="9" applyFont="1" applyFill="1" applyBorder="1" applyAlignment="1" applyProtection="1">
      <alignment horizontal="left" vertical="center" wrapText="1"/>
      <protection locked="0"/>
    </xf>
    <xf numFmtId="0" fontId="5" fillId="3" borderId="0" xfId="9" applyFont="1" applyFill="1" applyAlignment="1" applyProtection="1">
      <alignment horizontal="left" vertical="center"/>
      <protection locked="0"/>
    </xf>
    <xf numFmtId="2" fontId="5" fillId="3" borderId="0" xfId="9" applyNumberFormat="1" applyFont="1" applyFill="1" applyAlignment="1">
      <alignment horizontal="right" vertical="center"/>
    </xf>
    <xf numFmtId="0" fontId="5" fillId="3" borderId="0" xfId="9" applyFont="1" applyFill="1" applyAlignment="1" applyProtection="1">
      <alignment vertical="center" wrapText="1"/>
      <protection locked="0"/>
    </xf>
    <xf numFmtId="0" fontId="5" fillId="3" borderId="0" xfId="9" applyFont="1" applyFill="1" applyAlignment="1" applyProtection="1">
      <alignment horizontal="right" vertical="center"/>
      <protection locked="0"/>
    </xf>
    <xf numFmtId="2" fontId="4" fillId="3" borderId="0" xfId="9" applyNumberFormat="1" applyFont="1" applyFill="1" applyAlignment="1" applyProtection="1">
      <alignment vertical="center" wrapText="1"/>
      <protection locked="0"/>
    </xf>
    <xf numFmtId="0" fontId="5" fillId="3" borderId="0" xfId="9" applyFont="1" applyFill="1" applyAlignment="1" applyProtection="1">
      <alignment horizontal="center" vertical="center"/>
      <protection locked="0"/>
    </xf>
    <xf numFmtId="2" fontId="76" fillId="3" borderId="0" xfId="9" applyNumberFormat="1" applyFont="1" applyFill="1" applyAlignment="1" applyProtection="1">
      <alignment horizontal="right" vertical="center"/>
      <protection locked="0"/>
    </xf>
    <xf numFmtId="2" fontId="76" fillId="3" borderId="0" xfId="9" applyNumberFormat="1" applyFont="1" applyFill="1" applyAlignment="1">
      <alignment horizontal="right" vertical="center"/>
    </xf>
    <xf numFmtId="0" fontId="8" fillId="3" borderId="0" xfId="9" applyFont="1" applyFill="1" applyAlignment="1" applyProtection="1">
      <alignment horizontal="left" vertical="center"/>
      <protection locked="0"/>
    </xf>
    <xf numFmtId="0" fontId="5" fillId="3" borderId="0" xfId="9" applyFont="1" applyFill="1" applyAlignment="1">
      <alignment horizontal="center" vertical="center"/>
    </xf>
    <xf numFmtId="0" fontId="4" fillId="3" borderId="0" xfId="9" applyFont="1" applyFill="1" applyAlignment="1" applyProtection="1">
      <alignment horizontal="left" vertical="center"/>
      <protection locked="0"/>
    </xf>
    <xf numFmtId="2" fontId="75" fillId="3" borderId="0" xfId="9" applyNumberFormat="1" applyFont="1" applyFill="1" applyAlignment="1" applyProtection="1">
      <alignment vertical="center"/>
      <protection locked="0"/>
    </xf>
    <xf numFmtId="2" fontId="48" fillId="3" borderId="3" xfId="0" applyNumberFormat="1" applyFont="1" applyFill="1" applyBorder="1" applyAlignment="1">
      <alignment horizontal="center" vertical="center" wrapText="1"/>
    </xf>
    <xf numFmtId="2" fontId="48" fillId="3" borderId="3" xfId="0" applyNumberFormat="1" applyFont="1" applyFill="1" applyBorder="1" applyAlignment="1">
      <alignment horizontal="center" vertical="center"/>
    </xf>
    <xf numFmtId="2" fontId="4" fillId="3" borderId="3" xfId="0" applyNumberFormat="1" applyFont="1" applyFill="1" applyBorder="1" applyAlignment="1">
      <alignment horizontal="center" vertical="center"/>
    </xf>
    <xf numFmtId="0" fontId="76" fillId="3" borderId="4" xfId="9" applyFont="1" applyFill="1" applyBorder="1" applyAlignment="1" applyProtection="1">
      <alignment vertical="center" wrapText="1"/>
      <protection locked="0"/>
    </xf>
    <xf numFmtId="0" fontId="75" fillId="4" borderId="3" xfId="9" applyFont="1" applyFill="1" applyBorder="1" applyAlignment="1">
      <alignment horizontal="right" vertical="center" wrapText="1"/>
    </xf>
    <xf numFmtId="0" fontId="77" fillId="0" borderId="4" xfId="0" applyFont="1" applyBorder="1" applyAlignment="1">
      <alignment vertical="top" wrapText="1"/>
    </xf>
    <xf numFmtId="49" fontId="4" fillId="2" borderId="3" xfId="0" applyNumberFormat="1" applyFont="1" applyFill="1" applyBorder="1" applyAlignment="1" applyProtection="1">
      <alignment horizontal="left" vertical="center" wrapText="1"/>
      <protection locked="0"/>
    </xf>
    <xf numFmtId="0" fontId="78" fillId="9" borderId="3" xfId="0" quotePrefix="1" applyFont="1" applyFill="1" applyBorder="1" applyAlignment="1">
      <alignment vertical="top" wrapText="1"/>
    </xf>
    <xf numFmtId="49" fontId="4" fillId="2" borderId="4" xfId="0" applyNumberFormat="1" applyFont="1" applyFill="1" applyBorder="1" applyAlignment="1" applyProtection="1">
      <alignment horizontal="left" vertical="center" wrapText="1"/>
      <protection locked="0"/>
    </xf>
    <xf numFmtId="49" fontId="61" fillId="2" borderId="3" xfId="0" applyNumberFormat="1" applyFont="1" applyFill="1" applyBorder="1" applyAlignment="1" applyProtection="1">
      <alignment horizontal="left" vertical="center"/>
      <protection locked="0"/>
    </xf>
    <xf numFmtId="0" fontId="4" fillId="0" borderId="3" xfId="0" quotePrefix="1" applyFont="1" applyBorder="1" applyAlignment="1">
      <alignment horizontal="left" vertical="center" wrapText="1"/>
    </xf>
    <xf numFmtId="9" fontId="4" fillId="2" borderId="3" xfId="0" applyNumberFormat="1" applyFont="1" applyFill="1" applyBorder="1" applyAlignment="1" applyProtection="1">
      <alignment horizontal="right" vertical="center" wrapText="1"/>
      <protection locked="0"/>
    </xf>
    <xf numFmtId="49" fontId="79" fillId="9" borderId="3" xfId="0" quotePrefix="1" applyNumberFormat="1" applyFont="1" applyFill="1" applyBorder="1" applyAlignment="1" applyProtection="1">
      <alignment horizontal="right" vertical="top" wrapText="1"/>
      <protection locked="0"/>
    </xf>
    <xf numFmtId="4" fontId="4" fillId="3" borderId="0" xfId="0" applyNumberFormat="1" applyFont="1" applyFill="1" applyAlignment="1">
      <alignment vertical="center"/>
    </xf>
    <xf numFmtId="0" fontId="4" fillId="0" borderId="3" xfId="9" applyFont="1" applyBorder="1" applyAlignment="1">
      <alignment horizontal="center"/>
    </xf>
    <xf numFmtId="4" fontId="73" fillId="3" borderId="3" xfId="0" quotePrefix="1" applyNumberFormat="1" applyFont="1" applyFill="1" applyBorder="1" applyAlignment="1">
      <alignment horizontal="center" vertical="center" wrapText="1"/>
    </xf>
    <xf numFmtId="0" fontId="4" fillId="5" borderId="3" xfId="0" applyFont="1" applyFill="1" applyBorder="1" applyAlignment="1" applyProtection="1">
      <alignment horizontal="center" vertical="center" wrapText="1"/>
      <protection locked="0"/>
    </xf>
    <xf numFmtId="0" fontId="49" fillId="3" borderId="3" xfId="0" applyFont="1" applyFill="1" applyBorder="1" applyAlignment="1">
      <alignment vertical="center" wrapText="1"/>
    </xf>
    <xf numFmtId="0" fontId="41" fillId="3" borderId="3" xfId="0" applyFont="1" applyFill="1" applyBorder="1" applyAlignment="1">
      <alignment horizontal="left" vertical="center" wrapText="1"/>
    </xf>
    <xf numFmtId="0" fontId="48" fillId="3" borderId="3" xfId="0" applyFont="1" applyFill="1" applyBorder="1" applyAlignment="1">
      <alignment vertical="center" wrapText="1"/>
    </xf>
    <xf numFmtId="0" fontId="49" fillId="3" borderId="3" xfId="0" applyFont="1" applyFill="1" applyBorder="1" applyAlignment="1">
      <alignment horizontal="left" vertical="center" wrapText="1"/>
    </xf>
    <xf numFmtId="0" fontId="48" fillId="3" borderId="3" xfId="0" applyFont="1" applyFill="1" applyBorder="1" applyAlignment="1">
      <alignment horizontal="left" vertical="center" wrapText="1"/>
    </xf>
    <xf numFmtId="0" fontId="6" fillId="4" borderId="0" xfId="9" applyFont="1" applyFill="1" applyAlignment="1" applyProtection="1">
      <alignment horizontal="center" vertical="center"/>
      <protection locked="0"/>
    </xf>
    <xf numFmtId="0" fontId="80" fillId="3" borderId="0" xfId="9" applyFont="1" applyFill="1" applyAlignment="1" applyProtection="1">
      <alignment horizontal="left" vertical="center"/>
      <protection locked="0"/>
    </xf>
    <xf numFmtId="0" fontId="54" fillId="10" borderId="3" xfId="0" applyFont="1" applyFill="1" applyBorder="1" applyAlignment="1">
      <alignment vertical="center"/>
    </xf>
    <xf numFmtId="0" fontId="81" fillId="11" borderId="3" xfId="0" applyFont="1" applyFill="1" applyBorder="1" applyAlignment="1">
      <alignment horizontal="center" vertical="center" wrapText="1"/>
    </xf>
    <xf numFmtId="0" fontId="81" fillId="0" borderId="0" xfId="0" applyFont="1"/>
    <xf numFmtId="0" fontId="81" fillId="12" borderId="3" xfId="0" applyFont="1" applyFill="1" applyBorder="1" applyAlignment="1">
      <alignment horizontal="center" vertical="center" wrapText="1"/>
    </xf>
    <xf numFmtId="0" fontId="81" fillId="0" borderId="3" xfId="0" applyFont="1" applyBorder="1" applyAlignment="1">
      <alignment vertical="center" wrapText="1"/>
    </xf>
    <xf numFmtId="0" fontId="81" fillId="0" borderId="3" xfId="0" applyFont="1" applyBorder="1" applyAlignment="1">
      <alignment horizontal="center" vertical="center" wrapText="1"/>
    </xf>
    <xf numFmtId="0" fontId="82" fillId="12" borderId="3" xfId="0" applyFont="1" applyFill="1" applyBorder="1" applyAlignment="1">
      <alignment horizontal="center" vertical="center" wrapText="1"/>
    </xf>
    <xf numFmtId="0" fontId="22" fillId="0" borderId="0" xfId="0" applyFont="1"/>
    <xf numFmtId="0" fontId="6" fillId="3" borderId="3" xfId="12" applyFont="1" applyFill="1" applyBorder="1" applyAlignment="1" applyProtection="1">
      <alignment horizontal="center" vertical="center" wrapText="1"/>
      <protection locked="0"/>
    </xf>
    <xf numFmtId="0" fontId="22" fillId="0" borderId="3" xfId="0" applyFont="1" applyBorder="1" applyAlignment="1">
      <alignment vertical="center"/>
    </xf>
    <xf numFmtId="0" fontId="22" fillId="0" borderId="3" xfId="0" applyFont="1" applyBorder="1" applyAlignment="1">
      <alignment vertical="center" wrapText="1"/>
    </xf>
    <xf numFmtId="0" fontId="22" fillId="0" borderId="3" xfId="0" applyFont="1" applyBorder="1"/>
    <xf numFmtId="0" fontId="22" fillId="0" borderId="3" xfId="0" applyFont="1" applyBorder="1" applyAlignment="1">
      <alignment horizontal="left" vertical="center"/>
    </xf>
    <xf numFmtId="0" fontId="22" fillId="0" borderId="3" xfId="0" applyFont="1" applyBorder="1" applyAlignment="1">
      <alignment horizontal="center"/>
    </xf>
    <xf numFmtId="0" fontId="22" fillId="0" borderId="3" xfId="0" applyFont="1" applyBorder="1" applyAlignment="1">
      <alignment wrapText="1"/>
    </xf>
    <xf numFmtId="0" fontId="70" fillId="9" borderId="3" xfId="0" quotePrefix="1" applyFont="1" applyFill="1" applyBorder="1" applyAlignment="1">
      <alignment vertical="top" wrapText="1"/>
    </xf>
    <xf numFmtId="0" fontId="22" fillId="0" borderId="3" xfId="16" applyFont="1" applyBorder="1"/>
    <xf numFmtId="0" fontId="4" fillId="0" borderId="16" xfId="0" applyFont="1" applyBorder="1" applyAlignment="1">
      <alignment wrapText="1"/>
    </xf>
    <xf numFmtId="0" fontId="4" fillId="0" borderId="17" xfId="0" applyFont="1" applyBorder="1" applyAlignment="1">
      <alignment wrapText="1"/>
    </xf>
    <xf numFmtId="0" fontId="4" fillId="13" borderId="17" xfId="0" applyFont="1" applyFill="1" applyBorder="1" applyAlignment="1">
      <alignment wrapText="1"/>
    </xf>
    <xf numFmtId="0" fontId="4" fillId="14" borderId="17" xfId="0" applyFont="1" applyFill="1" applyBorder="1" applyAlignment="1">
      <alignment wrapText="1"/>
    </xf>
    <xf numFmtId="0" fontId="4" fillId="5" borderId="17" xfId="0" applyFont="1" applyFill="1" applyBorder="1" applyAlignment="1">
      <alignment wrapText="1"/>
    </xf>
    <xf numFmtId="0" fontId="4" fillId="2" borderId="0" xfId="0" applyFont="1" applyFill="1" applyAlignment="1">
      <alignment horizontal="left"/>
    </xf>
    <xf numFmtId="0" fontId="22" fillId="2" borderId="0" xfId="13" applyFont="1" applyFill="1" applyAlignment="1">
      <alignment horizontal="center"/>
    </xf>
    <xf numFmtId="0" fontId="6" fillId="2" borderId="0" xfId="13" applyFont="1" applyFill="1" applyAlignment="1">
      <alignment horizontal="center"/>
    </xf>
    <xf numFmtId="0" fontId="23" fillId="2" borderId="0" xfId="13" applyFont="1" applyFill="1" applyAlignment="1">
      <alignment horizontal="center" vertical="center"/>
    </xf>
    <xf numFmtId="0" fontId="24" fillId="2" borderId="0" xfId="13" applyFont="1" applyFill="1" applyAlignment="1">
      <alignment horizontal="center" wrapText="1"/>
    </xf>
    <xf numFmtId="0" fontId="40" fillId="2" borderId="0" xfId="0" applyFont="1" applyFill="1" applyAlignment="1">
      <alignment horizontal="center"/>
    </xf>
    <xf numFmtId="0" fontId="7" fillId="3" borderId="0" xfId="0" applyFont="1" applyFill="1" applyAlignment="1">
      <alignment horizontal="center" vertical="center"/>
    </xf>
    <xf numFmtId="0" fontId="46" fillId="7" borderId="0" xfId="0" applyFont="1" applyFill="1" applyAlignment="1">
      <alignment horizontal="center"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7" xfId="0" applyFont="1" applyFill="1" applyBorder="1" applyAlignment="1">
      <alignment horizontal="left" vertical="center"/>
    </xf>
    <xf numFmtId="0" fontId="56" fillId="0" borderId="0" xfId="0" applyFont="1" applyAlignment="1">
      <alignment horizontal="center" vertical="top" wrapText="1"/>
    </xf>
    <xf numFmtId="0" fontId="69" fillId="8" borderId="3" xfId="0" applyFont="1" applyFill="1" applyBorder="1" applyAlignment="1">
      <alignment horizontal="center" vertical="top"/>
    </xf>
    <xf numFmtId="0" fontId="69" fillId="8" borderId="3" xfId="0" applyFont="1" applyFill="1" applyBorder="1" applyAlignment="1">
      <alignment horizontal="center" vertical="top" wrapText="1"/>
    </xf>
    <xf numFmtId="0" fontId="69" fillId="8" borderId="4" xfId="0" applyFont="1" applyFill="1" applyBorder="1" applyAlignment="1">
      <alignment horizontal="center" vertical="top" wrapText="1"/>
    </xf>
    <xf numFmtId="0" fontId="69" fillId="8" borderId="8" xfId="0" applyFont="1" applyFill="1" applyBorder="1" applyAlignment="1">
      <alignment horizontal="center" vertical="top"/>
    </xf>
    <xf numFmtId="0" fontId="5" fillId="3" borderId="4" xfId="9" applyFont="1" applyFill="1" applyBorder="1" applyAlignment="1" applyProtection="1">
      <alignment horizontal="center" vertical="center" wrapText="1"/>
      <protection locked="0"/>
    </xf>
    <xf numFmtId="0" fontId="5" fillId="3" borderId="8" xfId="9" applyFont="1" applyFill="1" applyBorder="1" applyAlignment="1" applyProtection="1">
      <alignment horizontal="center" vertical="center" wrapText="1"/>
      <protection locked="0"/>
    </xf>
    <xf numFmtId="0" fontId="76" fillId="3" borderId="3" xfId="9" applyFont="1" applyFill="1" applyBorder="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40" fillId="3" borderId="0" xfId="9" applyFont="1" applyFill="1" applyAlignment="1" applyProtection="1">
      <alignment horizontal="center" vertical="center" wrapText="1"/>
      <protection locked="0"/>
    </xf>
    <xf numFmtId="0" fontId="46" fillId="7" borderId="0" xfId="9" applyFont="1" applyFill="1" applyAlignment="1" applyProtection="1">
      <alignment horizontal="center" vertical="center"/>
      <protection locked="0"/>
    </xf>
    <xf numFmtId="0" fontId="41" fillId="3" borderId="0" xfId="9" applyFont="1" applyFill="1" applyAlignment="1" applyProtection="1">
      <alignment horizontal="left" vertical="center" wrapText="1"/>
      <protection locked="0"/>
    </xf>
    <xf numFmtId="0" fontId="5" fillId="3" borderId="4" xfId="9" applyFont="1" applyFill="1" applyBorder="1" applyAlignment="1" applyProtection="1">
      <alignment horizontal="center" vertical="center"/>
      <protection locked="0"/>
    </xf>
    <xf numFmtId="0" fontId="5" fillId="3" borderId="8" xfId="9" applyFont="1" applyFill="1" applyBorder="1" applyAlignment="1" applyProtection="1">
      <alignment horizontal="center" vertical="center"/>
      <protection locked="0"/>
    </xf>
    <xf numFmtId="0" fontId="43" fillId="3" borderId="4" xfId="9" applyFont="1" applyFill="1" applyBorder="1" applyAlignment="1" applyProtection="1">
      <alignment horizontal="center" vertical="center" wrapText="1"/>
      <protection locked="0"/>
    </xf>
    <xf numFmtId="0" fontId="43" fillId="3" borderId="15" xfId="9" applyFont="1" applyFill="1" applyBorder="1" applyAlignment="1" applyProtection="1">
      <alignment horizontal="center" vertical="center" wrapText="1"/>
      <protection locked="0"/>
    </xf>
    <xf numFmtId="0" fontId="5" fillId="3" borderId="5" xfId="9" applyFont="1" applyFill="1" applyBorder="1" applyAlignment="1" applyProtection="1">
      <alignment horizontal="center" vertical="center" wrapText="1"/>
      <protection locked="0"/>
    </xf>
    <xf numFmtId="0" fontId="5" fillId="3" borderId="2" xfId="9" applyFont="1" applyFill="1" applyBorder="1" applyAlignment="1" applyProtection="1">
      <alignment horizontal="center" vertical="center" wrapText="1"/>
      <protection locked="0"/>
    </xf>
    <xf numFmtId="0" fontId="5" fillId="3" borderId="7" xfId="9" applyFont="1" applyFill="1" applyBorder="1" applyAlignment="1" applyProtection="1">
      <alignment horizontal="center" vertical="center" wrapText="1"/>
      <protection locked="0"/>
    </xf>
    <xf numFmtId="0" fontId="4" fillId="3" borderId="0" xfId="9" applyFont="1" applyFill="1" applyAlignment="1" applyProtection="1">
      <alignment horizontal="left" vertical="center"/>
      <protection locked="0"/>
    </xf>
    <xf numFmtId="0" fontId="5" fillId="3" borderId="6" xfId="9" applyFont="1" applyFill="1" applyBorder="1" applyAlignment="1" applyProtection="1">
      <alignment horizontal="center" vertical="center" wrapText="1"/>
      <protection locked="0"/>
    </xf>
    <xf numFmtId="0" fontId="5" fillId="3" borderId="11" xfId="9" applyFont="1" applyFill="1" applyBorder="1" applyAlignment="1" applyProtection="1">
      <alignment horizontal="center" vertical="center" wrapText="1"/>
      <protection locked="0"/>
    </xf>
    <xf numFmtId="0" fontId="41" fillId="3" borderId="0" xfId="9" applyFont="1" applyFill="1" applyAlignment="1" applyProtection="1">
      <alignment horizontal="left" vertical="center"/>
      <protection locked="0"/>
    </xf>
    <xf numFmtId="0" fontId="5" fillId="4" borderId="3" xfId="12" applyFont="1" applyFill="1" applyBorder="1" applyAlignment="1" applyProtection="1">
      <alignment horizontal="center" vertical="center" wrapText="1"/>
      <protection locked="0"/>
    </xf>
    <xf numFmtId="0" fontId="5" fillId="3" borderId="9" xfId="9" applyFont="1" applyFill="1" applyBorder="1" applyAlignment="1" applyProtection="1">
      <alignment horizontal="center" vertical="center" wrapText="1"/>
      <protection locked="0"/>
    </xf>
    <xf numFmtId="0" fontId="5" fillId="3" borderId="10" xfId="9" applyFont="1" applyFill="1" applyBorder="1" applyAlignment="1" applyProtection="1">
      <alignment horizontal="center" vertical="center" wrapText="1"/>
      <protection locked="0"/>
    </xf>
    <xf numFmtId="0" fontId="56" fillId="3" borderId="0" xfId="0" applyFont="1" applyFill="1" applyAlignment="1" applyProtection="1">
      <alignment horizontal="left" vertical="center" wrapText="1"/>
      <protection locked="0"/>
    </xf>
    <xf numFmtId="0" fontId="83" fillId="3" borderId="0" xfId="0" applyFont="1" applyFill="1" applyAlignment="1" applyProtection="1">
      <alignment horizontal="left" vertical="center" wrapText="1"/>
      <protection locked="0"/>
    </xf>
    <xf numFmtId="0" fontId="8" fillId="3" borderId="0" xfId="0" applyFont="1" applyFill="1" applyAlignment="1" applyProtection="1">
      <alignment horizontal="left" vertical="center" wrapText="1"/>
      <protection locked="0"/>
    </xf>
    <xf numFmtId="0" fontId="8" fillId="3" borderId="12" xfId="0" applyFont="1" applyFill="1" applyBorder="1" applyAlignment="1" applyProtection="1">
      <alignment horizontal="left" vertical="center" wrapText="1"/>
      <protection locked="0"/>
    </xf>
    <xf numFmtId="0" fontId="4" fillId="3" borderId="9" xfId="0" quotePrefix="1" applyFont="1" applyFill="1" applyBorder="1" applyAlignment="1" applyProtection="1">
      <alignment horizontal="left" vertical="center" wrapText="1"/>
      <protection locked="0"/>
    </xf>
    <xf numFmtId="0" fontId="61" fillId="3" borderId="0" xfId="0" applyFont="1" applyFill="1" applyAlignment="1" applyProtection="1">
      <alignment horizontal="left" vertical="center"/>
      <protection locked="0"/>
    </xf>
    <xf numFmtId="0" fontId="4" fillId="3" borderId="0" xfId="0" quotePrefix="1" applyFont="1" applyFill="1" applyAlignment="1" applyProtection="1">
      <alignment horizontal="left" vertical="center" wrapText="1"/>
      <protection locked="0"/>
    </xf>
    <xf numFmtId="0" fontId="4" fillId="3" borderId="0" xfId="0" applyFont="1" applyFill="1" applyAlignment="1" applyProtection="1">
      <alignment horizontal="left" vertical="center" wrapText="1"/>
      <protection locked="0"/>
    </xf>
    <xf numFmtId="0" fontId="57" fillId="3" borderId="13" xfId="0" quotePrefix="1" applyFont="1" applyFill="1" applyBorder="1" applyAlignment="1" applyProtection="1">
      <alignment horizontal="center" vertical="center"/>
      <protection locked="0"/>
    </xf>
    <xf numFmtId="0" fontId="4" fillId="3" borderId="9" xfId="0" quotePrefix="1" applyFont="1" applyFill="1" applyBorder="1" applyAlignment="1" applyProtection="1">
      <alignment horizontal="center" vertical="center" wrapText="1"/>
      <protection locked="0"/>
    </xf>
    <xf numFmtId="0" fontId="57" fillId="3" borderId="0" xfId="0" quotePrefix="1" applyFont="1" applyFill="1" applyAlignment="1" applyProtection="1">
      <alignment horizontal="left" vertical="center"/>
      <protection locked="0"/>
    </xf>
    <xf numFmtId="0" fontId="3" fillId="4" borderId="0" xfId="15" applyFill="1" applyAlignment="1">
      <alignment horizontal="left" vertical="center" wrapText="1"/>
    </xf>
    <xf numFmtId="0" fontId="22" fillId="0" borderId="3" xfId="0" applyFont="1" applyBorder="1" applyAlignment="1">
      <alignmen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22" fillId="0" borderId="14" xfId="0" applyFont="1" applyBorder="1" applyAlignment="1">
      <alignment horizontal="left" vertical="center" wrapText="1"/>
    </xf>
    <xf numFmtId="0" fontId="22" fillId="0" borderId="8" xfId="0" applyFont="1" applyBorder="1" applyAlignment="1">
      <alignment horizontal="left" vertical="center" wrapText="1"/>
    </xf>
    <xf numFmtId="0" fontId="6" fillId="0" borderId="5" xfId="0" applyFont="1" applyBorder="1" applyAlignment="1">
      <alignment horizontal="center" vertical="top" wrapText="1"/>
    </xf>
    <xf numFmtId="0" fontId="6" fillId="0" borderId="2" xfId="0" applyFont="1" applyBorder="1" applyAlignment="1">
      <alignment horizontal="center" vertical="top" wrapText="1"/>
    </xf>
    <xf numFmtId="0" fontId="6" fillId="0" borderId="2" xfId="0" applyFont="1" applyBorder="1" applyAlignment="1">
      <alignment horizontal="center" vertical="top"/>
    </xf>
    <xf numFmtId="0" fontId="6" fillId="0" borderId="7" xfId="0" applyFont="1" applyBorder="1" applyAlignment="1">
      <alignment horizontal="center" vertical="top"/>
    </xf>
    <xf numFmtId="0" fontId="6" fillId="3" borderId="3" xfId="12" applyFont="1" applyFill="1" applyBorder="1" applyAlignment="1" applyProtection="1">
      <alignment horizontal="center" vertical="center" wrapText="1"/>
      <protection locked="0"/>
    </xf>
    <xf numFmtId="0" fontId="6" fillId="3" borderId="4" xfId="12" applyFont="1" applyFill="1" applyBorder="1" applyAlignment="1" applyProtection="1">
      <alignment horizontal="center" vertical="center" wrapText="1"/>
      <protection locked="0"/>
    </xf>
    <xf numFmtId="0" fontId="6" fillId="3" borderId="8" xfId="12" applyFont="1" applyFill="1" applyBorder="1" applyAlignment="1" applyProtection="1">
      <alignment horizontal="center" vertical="center" wrapText="1"/>
      <protection locked="0"/>
    </xf>
    <xf numFmtId="0" fontId="22" fillId="0" borderId="3" xfId="0" applyFont="1" applyBorder="1" applyAlignment="1">
      <alignment vertical="center"/>
    </xf>
    <xf numFmtId="0" fontId="22" fillId="0" borderId="4" xfId="0" applyFont="1" applyBorder="1" applyAlignment="1">
      <alignment horizontal="left" vertical="center"/>
    </xf>
    <xf numFmtId="0" fontId="22" fillId="0" borderId="14" xfId="0" applyFont="1" applyBorder="1" applyAlignment="1">
      <alignment horizontal="left" vertical="center"/>
    </xf>
    <xf numFmtId="0" fontId="22" fillId="0" borderId="8" xfId="0" applyFont="1" applyBorder="1" applyAlignment="1">
      <alignment horizontal="left" vertical="center"/>
    </xf>
    <xf numFmtId="0" fontId="29" fillId="3" borderId="5" xfId="0" applyFont="1" applyFill="1" applyBorder="1" applyAlignment="1">
      <alignment horizontal="left" vertical="center" wrapText="1"/>
    </xf>
    <xf numFmtId="0" fontId="29" fillId="3" borderId="7" xfId="0" applyFont="1" applyFill="1" applyBorder="1" applyAlignment="1">
      <alignment horizontal="left" vertical="center" wrapText="1"/>
    </xf>
    <xf numFmtId="0" fontId="37" fillId="3" borderId="5" xfId="0" applyFont="1" applyFill="1" applyBorder="1" applyAlignment="1">
      <alignment horizontal="center" vertical="center"/>
    </xf>
    <xf numFmtId="0" fontId="37" fillId="3" borderId="2" xfId="0" applyFont="1" applyFill="1" applyBorder="1" applyAlignment="1">
      <alignment horizontal="center" vertical="center"/>
    </xf>
    <xf numFmtId="0" fontId="37" fillId="3" borderId="7" xfId="0" applyFont="1" applyFill="1" applyBorder="1" applyAlignment="1">
      <alignment horizontal="center" vertical="center"/>
    </xf>
    <xf numFmtId="0" fontId="28" fillId="3" borderId="5" xfId="0" applyFont="1" applyFill="1" applyBorder="1" applyAlignment="1">
      <alignment horizontal="left" vertical="center" wrapText="1"/>
    </xf>
    <xf numFmtId="0" fontId="28" fillId="3" borderId="7" xfId="0" applyFont="1" applyFill="1" applyBorder="1" applyAlignment="1">
      <alignment horizontal="left" vertical="center" wrapText="1"/>
    </xf>
    <xf numFmtId="0" fontId="8" fillId="3" borderId="5"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39" fillId="2" borderId="0" xfId="9" applyFont="1" applyFill="1" applyAlignment="1" applyProtection="1">
      <alignment horizontal="center" vertical="center" wrapText="1"/>
      <protection locked="0"/>
    </xf>
    <xf numFmtId="0" fontId="8" fillId="2" borderId="0" xfId="9" applyFont="1" applyFill="1" applyAlignment="1">
      <alignment horizontal="left" wrapText="1"/>
    </xf>
    <xf numFmtId="0" fontId="4" fillId="2" borderId="0" xfId="9" applyFont="1" applyFill="1" applyAlignment="1">
      <alignment horizontal="left" vertical="top" wrapText="1"/>
    </xf>
    <xf numFmtId="0" fontId="4" fillId="2" borderId="3" xfId="7" applyFont="1" applyFill="1" applyBorder="1" applyAlignment="1" applyProtection="1">
      <alignment horizontal="left" vertical="center" wrapText="1"/>
    </xf>
    <xf numFmtId="0" fontId="4" fillId="2" borderId="3" xfId="7" quotePrefix="1" applyFont="1" applyFill="1" applyBorder="1" applyAlignment="1" applyProtection="1">
      <alignment horizontal="left" vertical="center" wrapText="1"/>
    </xf>
    <xf numFmtId="0" fontId="38" fillId="2" borderId="5" xfId="7" applyFont="1" applyFill="1" applyBorder="1" applyAlignment="1" applyProtection="1">
      <alignment horizontal="center" vertical="center" wrapText="1"/>
    </xf>
    <xf numFmtId="0" fontId="38" fillId="2" borderId="7" xfId="7" applyFont="1" applyFill="1" applyBorder="1" applyAlignment="1" applyProtection="1">
      <alignment horizontal="center" vertical="center" wrapText="1"/>
    </xf>
    <xf numFmtId="0" fontId="64" fillId="2" borderId="5" xfId="7" quotePrefix="1" applyFont="1" applyFill="1" applyBorder="1" applyAlignment="1" applyProtection="1">
      <alignment horizontal="left" vertical="center" wrapText="1"/>
    </xf>
    <xf numFmtId="0" fontId="4" fillId="2" borderId="2" xfId="7" quotePrefix="1" applyFont="1" applyFill="1" applyBorder="1" applyAlignment="1" applyProtection="1">
      <alignment horizontal="left" vertical="center" wrapText="1"/>
    </xf>
    <xf numFmtId="0" fontId="4" fillId="2" borderId="7" xfId="7" quotePrefix="1" applyFont="1" applyFill="1" applyBorder="1" applyAlignment="1" applyProtection="1">
      <alignment horizontal="left" vertical="center" wrapText="1"/>
    </xf>
    <xf numFmtId="0" fontId="4" fillId="2" borderId="0" xfId="9" applyFont="1" applyFill="1" applyAlignment="1">
      <alignment horizontal="left" wrapText="1"/>
    </xf>
    <xf numFmtId="0" fontId="4" fillId="2" borderId="5" xfId="7" quotePrefix="1" applyFont="1" applyFill="1" applyBorder="1" applyAlignment="1" applyProtection="1">
      <alignment horizontal="left" vertical="center" wrapText="1"/>
    </xf>
    <xf numFmtId="0" fontId="21" fillId="2" borderId="0" xfId="9" applyFont="1" applyFill="1" applyAlignment="1">
      <alignment horizontal="left" wrapText="1"/>
    </xf>
    <xf numFmtId="0" fontId="40" fillId="2" borderId="0" xfId="9" applyFont="1" applyFill="1" applyAlignment="1" applyProtection="1">
      <alignment horizontal="center" vertical="center" wrapText="1"/>
      <protection locked="0"/>
    </xf>
    <xf numFmtId="0" fontId="37" fillId="2" borderId="0" xfId="9" applyFont="1" applyFill="1" applyAlignment="1">
      <alignment horizontal="left" wrapText="1"/>
    </xf>
    <xf numFmtId="0" fontId="3" fillId="0" borderId="0" xfId="9" applyAlignment="1">
      <alignment horizontal="left" wrapText="1"/>
    </xf>
    <xf numFmtId="0" fontId="34" fillId="0" borderId="0" xfId="9" applyFont="1" applyAlignment="1">
      <alignment horizontal="left" wrapText="1"/>
    </xf>
  </cellXfs>
  <cellStyles count="42">
    <cellStyle name="Comma0" xfId="1" xr:uid="{00000000-0005-0000-0000-000000000000}"/>
    <cellStyle name="Currency0" xfId="2" xr:uid="{00000000-0005-0000-0000-000001000000}"/>
    <cellStyle name="Date" xfId="3" xr:uid="{00000000-0005-0000-0000-000002000000}"/>
    <cellStyle name="Fixed" xfId="4" xr:uid="{00000000-0005-0000-0000-000003000000}"/>
    <cellStyle name="Header1" xfId="5" xr:uid="{00000000-0005-0000-0000-000004000000}"/>
    <cellStyle name="Header2" xfId="6" xr:uid="{00000000-0005-0000-0000-000005000000}"/>
    <cellStyle name="Hyperlink" xfId="7" builtinId="8"/>
    <cellStyle name="Hyperlink 2" xfId="8" xr:uid="{00000000-0005-0000-0000-000007000000}"/>
    <cellStyle name="Normal" xfId="0" builtinId="0"/>
    <cellStyle name="Normal 13" xfId="9" xr:uid="{00000000-0005-0000-0000-000009000000}"/>
    <cellStyle name="Normal 2" xfId="10" xr:uid="{00000000-0005-0000-0000-00000A000000}"/>
    <cellStyle name="Normal 2 2" xfId="11" xr:uid="{00000000-0005-0000-0000-00000B000000}"/>
    <cellStyle name="Normal 2 3" xfId="12" xr:uid="{00000000-0005-0000-0000-00000C000000}"/>
    <cellStyle name="Normal 3" xfId="13" xr:uid="{00000000-0005-0000-0000-00000D000000}"/>
    <cellStyle name="Normal 4" xfId="14" xr:uid="{00000000-0005-0000-0000-00000E000000}"/>
    <cellStyle name="Normal 5" xfId="15" xr:uid="{00000000-0005-0000-0000-00000F000000}"/>
    <cellStyle name="Normal 6" xfId="16" xr:uid="{00000000-0005-0000-0000-000010000000}"/>
    <cellStyle name="Normal 7" xfId="17" xr:uid="{00000000-0005-0000-0000-000011000000}"/>
    <cellStyle name="Percent" xfId="18" builtinId="5"/>
    <cellStyle name="Percent 2" xfId="19" xr:uid="{00000000-0005-0000-0000-000013000000}"/>
    <cellStyle name="Percent 2 2" xfId="20" xr:uid="{00000000-0005-0000-0000-000014000000}"/>
    <cellStyle name="Percent 3" xfId="21" xr:uid="{00000000-0005-0000-0000-000015000000}"/>
    <cellStyle name="Percent 4" xfId="22" xr:uid="{00000000-0005-0000-0000-000016000000}"/>
    <cellStyle name="Percent 4 2" xfId="23" xr:uid="{00000000-0005-0000-0000-000017000000}"/>
    <cellStyle name="Percent 4 3" xfId="24" xr:uid="{00000000-0005-0000-0000-000018000000}"/>
    <cellStyle name="똿뗦먛귟 [0.00]_PRODUCT DETAIL Q1" xfId="25" xr:uid="{00000000-0005-0000-0000-000019000000}"/>
    <cellStyle name="똿뗦먛귟_PRODUCT DETAIL Q1" xfId="26" xr:uid="{00000000-0005-0000-0000-00001A000000}"/>
    <cellStyle name="믅됞 [0.00]_PRODUCT DETAIL Q1" xfId="27" xr:uid="{00000000-0005-0000-0000-00001B000000}"/>
    <cellStyle name="믅됞_PRODUCT DETAIL Q1" xfId="28" xr:uid="{00000000-0005-0000-0000-00001C000000}"/>
    <cellStyle name="백분율_95" xfId="29" xr:uid="{00000000-0005-0000-0000-00001D000000}"/>
    <cellStyle name="뷭?_BOOKSHIP" xfId="30" xr:uid="{00000000-0005-0000-0000-00001E000000}"/>
    <cellStyle name="콤마 [0]_1202" xfId="31" xr:uid="{00000000-0005-0000-0000-00001F000000}"/>
    <cellStyle name="콤마_1202" xfId="32" xr:uid="{00000000-0005-0000-0000-000020000000}"/>
    <cellStyle name="통화 [0]_1202" xfId="33" xr:uid="{00000000-0005-0000-0000-000021000000}"/>
    <cellStyle name="통화_1202" xfId="34" xr:uid="{00000000-0005-0000-0000-000022000000}"/>
    <cellStyle name="표준_(정보부문)월별인원계획" xfId="35" xr:uid="{00000000-0005-0000-0000-000023000000}"/>
    <cellStyle name="一般_Book1" xfId="36" xr:uid="{00000000-0005-0000-0000-000024000000}"/>
    <cellStyle name="千分位[0]_Book1" xfId="37" xr:uid="{00000000-0005-0000-0000-000025000000}"/>
    <cellStyle name="千分位_Book1" xfId="38" xr:uid="{00000000-0005-0000-0000-000026000000}"/>
    <cellStyle name="標準_結合試験(AllOvertheWorld)" xfId="39" xr:uid="{00000000-0005-0000-0000-000027000000}"/>
    <cellStyle name="貨幣 [0]_Book1" xfId="40" xr:uid="{00000000-0005-0000-0000-000028000000}"/>
    <cellStyle name="貨幣_Book1" xfId="41" xr:uid="{00000000-0005-0000-0000-00002900000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indexed="20"/>
      </font>
      <fill>
        <patternFill>
          <bgColor indexed="45"/>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ont>
        <color indexed="20"/>
      </font>
      <fill>
        <patternFill>
          <bgColor indexed="4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142875</xdr:rowOff>
    </xdr:from>
    <xdr:to>
      <xdr:col>1</xdr:col>
      <xdr:colOff>933450</xdr:colOff>
      <xdr:row>3</xdr:row>
      <xdr:rowOff>152400</xdr:rowOff>
    </xdr:to>
    <xdr:pic>
      <xdr:nvPicPr>
        <xdr:cNvPr id="128004" name="Picture 1">
          <a:extLst>
            <a:ext uri="{FF2B5EF4-FFF2-40B4-BE49-F238E27FC236}">
              <a16:creationId xmlns:a16="http://schemas.microsoft.com/office/drawing/2014/main" id="{EAAC6D96-7DA7-07B0-1E26-BE61796065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4355"/>
        <a:stretch>
          <a:fillRect/>
        </a:stretch>
      </xdr:blipFill>
      <xdr:spPr bwMode="auto">
        <a:xfrm>
          <a:off x="123825" y="142875"/>
          <a:ext cx="15716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48834</xdr:colOff>
      <xdr:row>0</xdr:row>
      <xdr:rowOff>475503</xdr:rowOff>
    </xdr:from>
    <xdr:to>
      <xdr:col>4</xdr:col>
      <xdr:colOff>1401082</xdr:colOff>
      <xdr:row>0</xdr:row>
      <xdr:rowOff>475503</xdr:rowOff>
    </xdr:to>
    <xdr:cxnSp macro="">
      <xdr:nvCxnSpPr>
        <xdr:cNvPr id="2" name="Straight Connector 1">
          <a:extLst>
            <a:ext uri="{FF2B5EF4-FFF2-40B4-BE49-F238E27FC236}">
              <a16:creationId xmlns:a16="http://schemas.microsoft.com/office/drawing/2014/main" id="{11DA65AA-CBD8-9AA8-DC6D-7EF1BA356997}"/>
            </a:ext>
          </a:extLst>
        </xdr:cNvPr>
        <xdr:cNvCxnSpPr/>
      </xdr:nvCxnSpPr>
      <xdr:spPr>
        <a:xfrm>
          <a:off x="4668931" y="481853"/>
          <a:ext cx="13704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773939</xdr:colOff>
      <xdr:row>6</xdr:row>
      <xdr:rowOff>152400</xdr:rowOff>
    </xdr:from>
    <xdr:to>
      <xdr:col>2</xdr:col>
      <xdr:colOff>1802317</xdr:colOff>
      <xdr:row>6</xdr:row>
      <xdr:rowOff>942975</xdr:rowOff>
    </xdr:to>
    <xdr:sp macro="" textlink="">
      <xdr:nvSpPr>
        <xdr:cNvPr id="2" name="Rectangle 1">
          <a:extLst>
            <a:ext uri="{FF2B5EF4-FFF2-40B4-BE49-F238E27FC236}">
              <a16:creationId xmlns:a16="http://schemas.microsoft.com/office/drawing/2014/main" id="{E7F915A8-0477-2B1C-BA76-60F6C7DD2BDC}"/>
            </a:ext>
          </a:extLst>
        </xdr:cNvPr>
        <xdr:cNvSpPr>
          <a:spLocks noChangeArrowheads="1"/>
        </xdr:cNvSpPr>
      </xdr:nvSpPr>
      <xdr:spPr bwMode="auto">
        <a:xfrm>
          <a:off x="1247775" y="6648450"/>
          <a:ext cx="2118473" cy="790575"/>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danh sách chức</a:t>
          </a:r>
          <a:r>
            <a:rPr lang="en-US" sz="1300" b="1" i="0" strike="noStrike" baseline="0">
              <a:solidFill>
                <a:srgbClr val="000000"/>
              </a:solidFill>
              <a:latin typeface="Times New Roman"/>
              <a:cs typeface="Times New Roman"/>
            </a:rPr>
            <a:t> </a:t>
          </a:r>
          <a:r>
            <a:rPr lang="vi-VN" sz="1300" b="1" i="0" strike="noStrike">
              <a:solidFill>
                <a:srgbClr val="000000"/>
              </a:solidFill>
              <a:latin typeface="Times New Roman"/>
              <a:cs typeface="Times New Roman"/>
            </a:rPr>
            <a:t>năng </a:t>
          </a:r>
        </a:p>
      </xdr:txBody>
    </xdr:sp>
    <xdr:clientData/>
  </xdr:twoCellAnchor>
  <xdr:twoCellAnchor editAs="oneCell">
    <xdr:from>
      <xdr:col>1</xdr:col>
      <xdr:colOff>840614</xdr:colOff>
      <xdr:row>7</xdr:row>
      <xdr:rowOff>133350</xdr:rowOff>
    </xdr:from>
    <xdr:to>
      <xdr:col>2</xdr:col>
      <xdr:colOff>1802222</xdr:colOff>
      <xdr:row>7</xdr:row>
      <xdr:rowOff>876299</xdr:rowOff>
    </xdr:to>
    <xdr:sp macro="" textlink="">
      <xdr:nvSpPr>
        <xdr:cNvPr id="3" name="Rectangle 1">
          <a:extLst>
            <a:ext uri="{FF2B5EF4-FFF2-40B4-BE49-F238E27FC236}">
              <a16:creationId xmlns:a16="http://schemas.microsoft.com/office/drawing/2014/main" id="{3EA20D9F-2E84-C71F-6460-579048F57193}"/>
            </a:ext>
          </a:extLst>
        </xdr:cNvPr>
        <xdr:cNvSpPr>
          <a:spLocks noChangeArrowheads="1"/>
        </xdr:cNvSpPr>
      </xdr:nvSpPr>
      <xdr:spPr bwMode="auto">
        <a:xfrm>
          <a:off x="1295400" y="7743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a:t>
          </a:r>
          <a:r>
            <a:rPr lang="en-US" sz="1300" b="1" i="0" strike="noStrike">
              <a:solidFill>
                <a:srgbClr val="000000"/>
              </a:solidFill>
              <a:latin typeface="Times New Roman"/>
              <a:cs typeface="Times New Roman"/>
            </a:rPr>
            <a:t> chức</a:t>
          </a:r>
          <a:r>
            <a:rPr lang="en-US" sz="1300" b="1" i="0" strike="noStrike" baseline="0">
              <a:solidFill>
                <a:srgbClr val="000000"/>
              </a:solidFill>
              <a:latin typeface="Times New Roman"/>
              <a:cs typeface="Times New Roman"/>
            </a:rPr>
            <a:t> năng</a:t>
          </a:r>
          <a:endParaRPr lang="vi-VN" sz="1300" b="1" i="0" strike="noStrike">
            <a:solidFill>
              <a:srgbClr val="000000"/>
            </a:solidFill>
            <a:latin typeface="Times New Roman"/>
            <a:cs typeface="Times New Roman"/>
          </a:endParaRPr>
        </a:p>
      </xdr:txBody>
    </xdr:sp>
    <xdr:clientData/>
  </xdr:twoCellAnchor>
  <xdr:twoCellAnchor editAs="oneCell">
    <xdr:from>
      <xdr:col>1</xdr:col>
      <xdr:colOff>811568</xdr:colOff>
      <xdr:row>8</xdr:row>
      <xdr:rowOff>152400</xdr:rowOff>
    </xdr:from>
    <xdr:to>
      <xdr:col>2</xdr:col>
      <xdr:colOff>1802470</xdr:colOff>
      <xdr:row>8</xdr:row>
      <xdr:rowOff>908259</xdr:rowOff>
    </xdr:to>
    <xdr:sp macro="" textlink="">
      <xdr:nvSpPr>
        <xdr:cNvPr id="4" name="Rectangle 1">
          <a:extLst>
            <a:ext uri="{FF2B5EF4-FFF2-40B4-BE49-F238E27FC236}">
              <a16:creationId xmlns:a16="http://schemas.microsoft.com/office/drawing/2014/main" id="{83A2F660-0A02-1DA9-AA50-F585D7F334BA}"/>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 </a:t>
          </a:r>
          <a:r>
            <a:rPr lang="en-US" sz="1300" b="1" i="0" strike="noStrike">
              <a:solidFill>
                <a:srgbClr val="000000"/>
              </a:solidFill>
              <a:latin typeface="Times New Roman"/>
              <a:cs typeface="Times New Roman"/>
            </a:rPr>
            <a:t>phi chức</a:t>
          </a:r>
          <a:r>
            <a:rPr lang="en-US" sz="1300" b="1" i="0" strike="noStrike" baseline="0">
              <a:solidFill>
                <a:srgbClr val="000000"/>
              </a:solidFill>
              <a:latin typeface="Times New Roman"/>
              <a:cs typeface="Times New Roman"/>
            </a:rPr>
            <a:t> năng (QTDA, Triển khai...)</a:t>
          </a:r>
          <a:endParaRPr lang="vi-VN" sz="1300" b="1" i="0" strike="noStrike">
            <a:solidFill>
              <a:srgbClr val="000000"/>
            </a:solidFill>
            <a:latin typeface="Times New Roman"/>
            <a:cs typeface="Times New Roman"/>
          </a:endParaRPr>
        </a:p>
      </xdr:txBody>
    </xdr:sp>
    <xdr:clientData/>
  </xdr:twoCellAnchor>
  <xdr:twoCellAnchor editAs="oneCell">
    <xdr:from>
      <xdr:col>1</xdr:col>
      <xdr:colOff>843789</xdr:colOff>
      <xdr:row>5</xdr:row>
      <xdr:rowOff>161925</xdr:rowOff>
    </xdr:from>
    <xdr:to>
      <xdr:col>2</xdr:col>
      <xdr:colOff>1802659</xdr:colOff>
      <xdr:row>5</xdr:row>
      <xdr:rowOff>908090</xdr:rowOff>
    </xdr:to>
    <xdr:sp macro="" textlink="">
      <xdr:nvSpPr>
        <xdr:cNvPr id="6" name="Rectangle 1">
          <a:extLst>
            <a:ext uri="{FF2B5EF4-FFF2-40B4-BE49-F238E27FC236}">
              <a16:creationId xmlns:a16="http://schemas.microsoft.com/office/drawing/2014/main" id="{006B27EB-643A-C03F-9D20-A58CCC3FEE51}"/>
            </a:ext>
          </a:extLst>
        </xdr:cNvPr>
        <xdr:cNvSpPr>
          <a:spLocks noChangeArrowheads="1"/>
        </xdr:cNvSpPr>
      </xdr:nvSpPr>
      <xdr:spPr bwMode="auto">
        <a:xfrm>
          <a:off x="1304925" y="56102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a:cs typeface="Times New Roman"/>
            </a:rPr>
            <a:t>Xác định </a:t>
          </a:r>
          <a:r>
            <a:rPr lang="en-US" sz="1300" b="1" i="0" strike="noStrike">
              <a:solidFill>
                <a:srgbClr val="000000"/>
              </a:solidFill>
              <a:latin typeface="Times New Roman"/>
              <a:cs typeface="Times New Roman"/>
            </a:rPr>
            <a:t>công</a:t>
          </a:r>
          <a:r>
            <a:rPr lang="en-US" sz="1300" b="1" i="0" strike="noStrike" baseline="0">
              <a:solidFill>
                <a:srgbClr val="000000"/>
              </a:solidFill>
              <a:latin typeface="Times New Roman"/>
              <a:cs typeface="Times New Roman"/>
            </a:rPr>
            <a:t> nghệ dự án</a:t>
          </a:r>
          <a:endParaRPr lang="vi-VN" sz="1300" b="1" i="0" strike="noStrike">
            <a:solidFill>
              <a:srgbClr val="000000"/>
            </a:solidFill>
            <a:latin typeface="Times New Roman"/>
            <a:cs typeface="Times New Roman"/>
          </a:endParaRPr>
        </a:p>
      </xdr:txBody>
    </xdr:sp>
    <xdr:clientData/>
  </xdr:twoCellAnchor>
  <xdr:oneCellAnchor>
    <xdr:from>
      <xdr:col>1</xdr:col>
      <xdr:colOff>811568</xdr:colOff>
      <xdr:row>9</xdr:row>
      <xdr:rowOff>152400</xdr:rowOff>
    </xdr:from>
    <xdr:ext cx="2082528" cy="755859"/>
    <xdr:sp macro="" textlink="">
      <xdr:nvSpPr>
        <xdr:cNvPr id="7" name="Rectangle 1">
          <a:extLst>
            <a:ext uri="{FF2B5EF4-FFF2-40B4-BE49-F238E27FC236}">
              <a16:creationId xmlns:a16="http://schemas.microsoft.com/office/drawing/2014/main" id="{62E4253B-B6F8-C8CC-6810-F60C8D973930}"/>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tổng nỗ lực dự án và phân bổ chi tiết</a:t>
          </a:r>
          <a:endParaRPr lang="vi-VN" sz="1300" b="1" i="0" strike="noStrike">
            <a:solidFill>
              <a:srgbClr val="000000"/>
            </a:solidFill>
            <a:latin typeface="Times New Roman"/>
            <a:cs typeface="Times New Roman"/>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19050</xdr:colOff>
      <xdr:row>8</xdr:row>
      <xdr:rowOff>142875</xdr:rowOff>
    </xdr:from>
    <xdr:to>
      <xdr:col>1</xdr:col>
      <xdr:colOff>2457450</xdr:colOff>
      <xdr:row>12</xdr:row>
      <xdr:rowOff>161925</xdr:rowOff>
    </xdr:to>
    <xdr:grpSp>
      <xdr:nvGrpSpPr>
        <xdr:cNvPr id="131096" name="Group 1">
          <a:extLst>
            <a:ext uri="{FF2B5EF4-FFF2-40B4-BE49-F238E27FC236}">
              <a16:creationId xmlns:a16="http://schemas.microsoft.com/office/drawing/2014/main" id="{26171E47-E895-15A6-BDE9-5A001FA509E6}"/>
            </a:ext>
          </a:extLst>
        </xdr:cNvPr>
        <xdr:cNvGrpSpPr>
          <a:grpSpLocks/>
        </xdr:cNvGrpSpPr>
      </xdr:nvGrpSpPr>
      <xdr:grpSpPr bwMode="auto">
        <a:xfrm>
          <a:off x="676275" y="5229225"/>
          <a:ext cx="2438400" cy="5619750"/>
          <a:chOff x="790575" y="5219700"/>
          <a:chExt cx="2181225" cy="6362699"/>
        </a:xfrm>
      </xdr:grpSpPr>
      <xdr:sp macro="" textlink="">
        <xdr:nvSpPr>
          <xdr:cNvPr id="3" name="Rectangle 2">
            <a:extLst>
              <a:ext uri="{FF2B5EF4-FFF2-40B4-BE49-F238E27FC236}">
                <a16:creationId xmlns:a16="http://schemas.microsoft.com/office/drawing/2014/main" id="{BD3D403F-FF83-FDDA-40B0-EF40B31C81C3}"/>
              </a:ext>
            </a:extLst>
          </xdr:cNvPr>
          <xdr:cNvSpPr>
            <a:spLocks noChangeArrowheads="1"/>
          </xdr:cNvSpPr>
        </xdr:nvSpPr>
        <xdr:spPr bwMode="auto">
          <a:xfrm>
            <a:off x="884300" y="6298124"/>
            <a:ext cx="2087500" cy="798033"/>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Đề</a:t>
            </a:r>
            <a:r>
              <a:rPr lang="en-US" sz="1300" b="1" i="0" strike="noStrike" baseline="0">
                <a:solidFill>
                  <a:srgbClr val="000000"/>
                </a:solidFill>
                <a:latin typeface="Times New Roman"/>
                <a:cs typeface="Times New Roman"/>
              </a:rPr>
              <a:t> xuất các hệ thống, chức năng tái sử dụng</a:t>
            </a:r>
            <a:endParaRPr lang="vi-VN" sz="1300" b="1" i="0" strike="noStrike">
              <a:solidFill>
                <a:srgbClr val="000000"/>
              </a:solidFill>
              <a:latin typeface="Times New Roman"/>
              <a:cs typeface="Times New Roman"/>
            </a:endParaRPr>
          </a:p>
        </xdr:txBody>
      </xdr:sp>
      <xdr:sp macro="" textlink="">
        <xdr:nvSpPr>
          <xdr:cNvPr id="4" name="Rectangle 1">
            <a:extLst>
              <a:ext uri="{FF2B5EF4-FFF2-40B4-BE49-F238E27FC236}">
                <a16:creationId xmlns:a16="http://schemas.microsoft.com/office/drawing/2014/main" id="{9E2AB9BB-5A44-BD3D-D42A-2761EF83691A}"/>
              </a:ext>
            </a:extLst>
          </xdr:cNvPr>
          <xdr:cNvSpPr>
            <a:spLocks noChangeArrowheads="1"/>
          </xdr:cNvSpPr>
        </xdr:nvSpPr>
        <xdr:spPr bwMode="auto">
          <a:xfrm>
            <a:off x="867259" y="8034385"/>
            <a:ext cx="2070460" cy="733328"/>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baseline="0">
                <a:solidFill>
                  <a:srgbClr val="000000"/>
                </a:solidFill>
                <a:latin typeface="Times New Roman"/>
                <a:cs typeface="Times New Roman"/>
              </a:rPr>
              <a:t>Đánh giá,  thẩm định khả năng tái sử dụng</a:t>
            </a:r>
            <a:endParaRPr lang="vi-VN" sz="1300" b="1" i="0" strike="noStrike">
              <a:solidFill>
                <a:srgbClr val="000000"/>
              </a:solidFill>
              <a:latin typeface="Times New Roman"/>
              <a:cs typeface="Times New Roman"/>
            </a:endParaRPr>
          </a:p>
        </xdr:txBody>
      </xdr:sp>
      <xdr:sp macro="" textlink="">
        <xdr:nvSpPr>
          <xdr:cNvPr id="5" name="Rectangle 1">
            <a:extLst>
              <a:ext uri="{FF2B5EF4-FFF2-40B4-BE49-F238E27FC236}">
                <a16:creationId xmlns:a16="http://schemas.microsoft.com/office/drawing/2014/main" id="{388330A8-F264-08FA-106F-06A0CBE7C7B8}"/>
              </a:ext>
            </a:extLst>
          </xdr:cNvPr>
          <xdr:cNvSpPr>
            <a:spLocks noChangeArrowheads="1"/>
          </xdr:cNvSpPr>
        </xdr:nvSpPr>
        <xdr:spPr bwMode="auto">
          <a:xfrm>
            <a:off x="824657" y="9803000"/>
            <a:ext cx="207898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Thống</a:t>
            </a:r>
            <a:r>
              <a:rPr lang="en-US" sz="1300" b="1" i="0" strike="noStrike" baseline="0">
                <a:solidFill>
                  <a:srgbClr val="000000"/>
                </a:solidFill>
                <a:latin typeface="Times New Roman"/>
                <a:cs typeface="Times New Roman"/>
              </a:rPr>
              <a:t> nhất khả năng và tỷ lệ  tái sử dụng</a:t>
            </a:r>
            <a:endParaRPr lang="vi-VN" sz="1300" b="1" i="0" strike="noStrike">
              <a:solidFill>
                <a:srgbClr val="000000"/>
              </a:solidFill>
              <a:latin typeface="Times New Roman"/>
              <a:cs typeface="Times New Roman"/>
            </a:endParaRPr>
          </a:p>
        </xdr:txBody>
      </xdr:sp>
      <xdr:sp macro="" textlink="">
        <xdr:nvSpPr>
          <xdr:cNvPr id="6" name="Rectangle 1">
            <a:extLst>
              <a:ext uri="{FF2B5EF4-FFF2-40B4-BE49-F238E27FC236}">
                <a16:creationId xmlns:a16="http://schemas.microsoft.com/office/drawing/2014/main" id="{80779207-8363-3B41-D8B9-DB4D7781C379}"/>
              </a:ext>
            </a:extLst>
          </xdr:cNvPr>
          <xdr:cNvSpPr>
            <a:spLocks noChangeArrowheads="1"/>
          </xdr:cNvSpPr>
        </xdr:nvSpPr>
        <xdr:spPr bwMode="auto">
          <a:xfrm>
            <a:off x="884300" y="5219700"/>
            <a:ext cx="2053419" cy="754896"/>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Tìm</a:t>
            </a:r>
            <a:r>
              <a:rPr lang="en-US" sz="1300" b="1" i="0" strike="noStrike" baseline="0">
                <a:solidFill>
                  <a:srgbClr val="000000"/>
                </a:solidFill>
                <a:latin typeface="Times New Roman"/>
                <a:cs typeface="Times New Roman"/>
              </a:rPr>
              <a:t> hiểu yêu cầu kỹ thuật, nghiệp vụ của hệ thống</a:t>
            </a:r>
            <a:endParaRPr lang="vi-VN" sz="1300" b="1" i="0" strike="noStrike">
              <a:solidFill>
                <a:srgbClr val="000000"/>
              </a:solidFill>
              <a:latin typeface="Times New Roman"/>
              <a:cs typeface="Times New Roman"/>
            </a:endParaRPr>
          </a:p>
        </xdr:txBody>
      </xdr:sp>
      <xdr:sp macro="" textlink="">
        <xdr:nvSpPr>
          <xdr:cNvPr id="7" name="Rectangle 1">
            <a:extLst>
              <a:ext uri="{FF2B5EF4-FFF2-40B4-BE49-F238E27FC236}">
                <a16:creationId xmlns:a16="http://schemas.microsoft.com/office/drawing/2014/main" id="{15A7872A-94E3-4BDC-6B95-8D10846E144F}"/>
              </a:ext>
            </a:extLst>
          </xdr:cNvPr>
          <xdr:cNvSpPr>
            <a:spLocks noChangeArrowheads="1"/>
          </xdr:cNvSpPr>
        </xdr:nvSpPr>
        <xdr:spPr bwMode="auto">
          <a:xfrm>
            <a:off x="790575" y="10827503"/>
            <a:ext cx="2070460" cy="754896"/>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ULNL tái sử dụng</a:t>
            </a:r>
            <a:endParaRPr lang="vi-VN" sz="1300" b="1" i="0" strike="noStrike">
              <a:solidFill>
                <a:srgbClr val="000000"/>
              </a:solidFill>
              <a:latin typeface="Times New Roman"/>
              <a:cs typeface="Times New Roman"/>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1121</xdr:colOff>
      <xdr:row>0</xdr:row>
      <xdr:rowOff>454959</xdr:rowOff>
    </xdr:from>
    <xdr:to>
      <xdr:col>3</xdr:col>
      <xdr:colOff>1295500</xdr:colOff>
      <xdr:row>0</xdr:row>
      <xdr:rowOff>454959</xdr:rowOff>
    </xdr:to>
    <xdr:cxnSp macro="">
      <xdr:nvCxnSpPr>
        <xdr:cNvPr id="2" name="Straight Connector 1">
          <a:extLst>
            <a:ext uri="{FF2B5EF4-FFF2-40B4-BE49-F238E27FC236}">
              <a16:creationId xmlns:a16="http://schemas.microsoft.com/office/drawing/2014/main" id="{0D1FC76B-EBC7-7CC3-07B8-04D0F79F1370}"/>
            </a:ext>
          </a:extLst>
        </xdr:cNvPr>
        <xdr:cNvCxnSpPr/>
      </xdr:nvCxnSpPr>
      <xdr:spPr>
        <a:xfrm>
          <a:off x="2249021" y="454959"/>
          <a:ext cx="1905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agoras601-my.sharepoint.com/Users/hanhnt89/AppData/Local/Microsoft/Windows/Temporary%20Internet%20Files/Content.Outlook/MZ100A8S/BM.11.QT.09.QLCL.03%20Bieu%20mau%20uoc%20luong%20no%20luc%20lan%20cu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agoras601-my.sharepoint.com/DOCUME~1/QLCL_H~1/LOCALS~1/Temp/BM_HDTKD_ULNL_E1%20Bieu%20mau%20uoc%20luong%20no%20luc%20lan%20dau%20ti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 val="Account"/>
      <sheetName val="Giới_thiệu7"/>
      <sheetName val="Gi?i_thi?u7"/>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refreshError="1"/>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BM_No luc code"/>
      <sheetName val="BM_Kiem thu hieu nang"/>
      <sheetName val="Tham chiếu list"/>
      <sheetName val="HDKTHN"/>
      <sheetName val="Draff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1"/>
  <sheetViews>
    <sheetView showGridLines="0" view="pageBreakPreview" zoomScaleNormal="100" zoomScaleSheetLayoutView="100" zoomScalePageLayoutView="85" workbookViewId="0">
      <selection activeCell="C14" sqref="C14"/>
    </sheetView>
  </sheetViews>
  <sheetFormatPr defaultColWidth="11.42578125" defaultRowHeight="12.75"/>
  <cols>
    <col min="1" max="1" width="11.42578125" style="22" customWidth="1"/>
    <col min="2" max="2" width="16.42578125" style="22" customWidth="1"/>
    <col min="3" max="3" width="12.7109375" style="22" customWidth="1"/>
    <col min="4" max="4" width="14.140625" style="22" customWidth="1"/>
    <col min="5" max="5" width="30.42578125" style="22" customWidth="1"/>
    <col min="6" max="6" width="21.140625" style="22" customWidth="1"/>
    <col min="7" max="7" width="18.28515625" style="22" customWidth="1"/>
    <col min="8" max="8" width="8.140625" style="22" customWidth="1"/>
    <col min="9" max="9" width="8.28515625" style="22" customWidth="1"/>
    <col min="10" max="16384" width="11.42578125" style="22"/>
  </cols>
  <sheetData>
    <row r="1" spans="1:10" ht="27.75" customHeight="1">
      <c r="A1" s="23"/>
      <c r="B1" s="23"/>
      <c r="C1" s="23"/>
      <c r="D1" s="311" t="s">
        <v>0</v>
      </c>
      <c r="E1" s="311"/>
      <c r="F1" s="311"/>
      <c r="G1" s="311"/>
      <c r="H1" s="23"/>
      <c r="I1" s="23"/>
    </row>
    <row r="2" spans="1:10" ht="18.75">
      <c r="A2" s="23"/>
      <c r="B2" s="23"/>
      <c r="C2" s="23"/>
      <c r="D2" s="312" t="s">
        <v>1</v>
      </c>
      <c r="E2" s="312" t="s">
        <v>2</v>
      </c>
      <c r="F2" s="312"/>
      <c r="G2" s="312"/>
      <c r="H2" s="23"/>
      <c r="I2" s="23"/>
    </row>
    <row r="3" spans="1:10">
      <c r="A3" s="23"/>
      <c r="B3" s="23"/>
      <c r="C3" s="23"/>
      <c r="D3" s="23"/>
      <c r="E3" s="23"/>
      <c r="F3" s="23"/>
      <c r="G3" s="23"/>
      <c r="H3" s="23"/>
      <c r="I3" s="23"/>
    </row>
    <row r="4" spans="1:10">
      <c r="A4" s="23"/>
      <c r="B4" s="23"/>
      <c r="C4" s="23"/>
      <c r="D4" s="23"/>
      <c r="E4" s="23"/>
      <c r="F4" s="23"/>
      <c r="G4" s="23"/>
      <c r="H4" s="23"/>
      <c r="I4" s="23"/>
    </row>
    <row r="5" spans="1:10">
      <c r="A5" s="23"/>
      <c r="B5" s="23"/>
      <c r="C5" s="23"/>
      <c r="D5" s="23"/>
      <c r="E5" s="23"/>
      <c r="F5" s="23"/>
      <c r="G5" s="23"/>
      <c r="H5" s="23"/>
      <c r="I5" s="23"/>
    </row>
    <row r="6" spans="1:10">
      <c r="A6" s="23"/>
      <c r="B6" s="23"/>
      <c r="C6" s="23"/>
      <c r="D6" s="23"/>
      <c r="E6" s="23"/>
      <c r="F6" s="23"/>
      <c r="G6" s="23"/>
      <c r="H6" s="23"/>
      <c r="I6" s="23"/>
    </row>
    <row r="7" spans="1:10" ht="32.25" customHeight="1">
      <c r="A7" s="313"/>
      <c r="B7" s="313"/>
      <c r="C7" s="313"/>
      <c r="D7" s="313"/>
      <c r="E7" s="313"/>
      <c r="F7" s="313"/>
      <c r="G7" s="313"/>
      <c r="H7" s="313"/>
      <c r="I7" s="313"/>
    </row>
    <row r="8" spans="1:10" ht="27.75" customHeight="1">
      <c r="A8" s="314"/>
      <c r="B8" s="314"/>
      <c r="C8" s="314"/>
      <c r="D8" s="314"/>
      <c r="E8" s="314"/>
      <c r="F8" s="314"/>
      <c r="G8" s="314"/>
      <c r="H8" s="314"/>
      <c r="I8" s="314"/>
      <c r="J8" s="24"/>
    </row>
    <row r="9" spans="1:10" ht="15.75">
      <c r="A9" s="25"/>
      <c r="B9" s="25"/>
      <c r="C9" s="25"/>
      <c r="D9" s="25"/>
      <c r="E9" s="25"/>
      <c r="F9" s="25"/>
      <c r="G9" s="25"/>
      <c r="H9" s="25"/>
      <c r="I9" s="25"/>
    </row>
    <row r="10" spans="1:10" ht="15.75">
      <c r="A10" s="25"/>
      <c r="B10" s="25"/>
      <c r="C10" s="25"/>
      <c r="D10" s="25"/>
      <c r="E10" s="25"/>
      <c r="F10" s="28"/>
      <c r="G10" s="25"/>
      <c r="H10" s="25"/>
      <c r="I10" s="25"/>
    </row>
    <row r="11" spans="1:10" ht="17.25" customHeight="1">
      <c r="A11" s="25"/>
      <c r="B11" s="25"/>
      <c r="C11" s="310" t="s">
        <v>3</v>
      </c>
      <c r="D11" s="310"/>
      <c r="E11" s="27"/>
      <c r="F11" s="25"/>
      <c r="G11" s="25"/>
      <c r="H11" s="25"/>
      <c r="I11" s="25"/>
    </row>
    <row r="12" spans="1:10" ht="15.75">
      <c r="A12" s="28"/>
      <c r="B12" s="28"/>
      <c r="C12" s="310" t="s">
        <v>4</v>
      </c>
      <c r="D12" s="310" t="s">
        <v>5</v>
      </c>
      <c r="E12" s="27" t="s">
        <v>6</v>
      </c>
      <c r="F12" s="28"/>
      <c r="G12" s="28"/>
      <c r="H12" s="28"/>
      <c r="I12" s="28"/>
    </row>
    <row r="13" spans="1:10" ht="18.75" customHeight="1">
      <c r="A13" s="25"/>
      <c r="B13" s="25"/>
      <c r="C13" s="310" t="s">
        <v>7</v>
      </c>
      <c r="D13" s="310" t="s">
        <v>5</v>
      </c>
      <c r="E13" s="27"/>
      <c r="F13" s="25"/>
      <c r="G13" s="25"/>
      <c r="H13" s="25"/>
      <c r="I13" s="25"/>
    </row>
    <row r="14" spans="1:10" ht="18.75" customHeight="1">
      <c r="A14" s="25"/>
      <c r="B14" s="25"/>
      <c r="C14" s="29"/>
      <c r="D14" s="29"/>
      <c r="E14" s="27"/>
      <c r="F14" s="25"/>
      <c r="G14" s="25"/>
      <c r="H14" s="25"/>
      <c r="I14" s="25"/>
    </row>
    <row r="15" spans="1:10" ht="18.75" customHeight="1">
      <c r="A15" s="25"/>
      <c r="B15" s="25"/>
      <c r="C15" s="29"/>
      <c r="D15" s="29"/>
      <c r="E15" s="27"/>
      <c r="F15" s="25"/>
      <c r="G15" s="25"/>
      <c r="H15" s="25"/>
      <c r="I15" s="25"/>
    </row>
    <row r="16" spans="1:10" ht="15.75">
      <c r="A16" s="187" t="s">
        <v>8</v>
      </c>
      <c r="B16" s="29"/>
      <c r="C16" s="26"/>
      <c r="D16" s="29"/>
      <c r="E16" s="29"/>
      <c r="F16" s="29"/>
      <c r="G16" s="29"/>
      <c r="H16" s="29"/>
      <c r="I16" s="30"/>
    </row>
    <row r="17" spans="1:9" ht="15.75">
      <c r="A17" s="26"/>
      <c r="B17" s="29"/>
      <c r="C17" s="29" t="s">
        <v>9</v>
      </c>
      <c r="D17" s="29"/>
      <c r="E17" s="30"/>
      <c r="F17" s="29" t="s">
        <v>10</v>
      </c>
      <c r="G17" s="30"/>
      <c r="H17" s="31"/>
      <c r="I17" s="30"/>
    </row>
    <row r="18" spans="1:9" ht="15.75">
      <c r="A18" s="188"/>
      <c r="B18" s="29"/>
      <c r="C18" s="29" t="s">
        <v>11</v>
      </c>
      <c r="D18" s="29"/>
      <c r="E18" s="30"/>
      <c r="F18" s="29"/>
      <c r="G18" s="30"/>
      <c r="H18" s="29"/>
      <c r="I18" s="30"/>
    </row>
    <row r="19" spans="1:9" ht="15.75">
      <c r="A19" s="26"/>
      <c r="B19" s="29"/>
      <c r="C19" s="29"/>
      <c r="D19" s="29"/>
      <c r="E19" s="30"/>
      <c r="F19" s="29"/>
      <c r="G19" s="30"/>
      <c r="H19" s="29"/>
      <c r="I19" s="30"/>
    </row>
    <row r="20" spans="1:9" ht="15.75">
      <c r="A20" s="187"/>
      <c r="B20" s="29"/>
      <c r="C20" s="29"/>
      <c r="D20" s="29"/>
      <c r="E20" s="30"/>
      <c r="F20" s="29"/>
      <c r="G20" s="30"/>
      <c r="H20" s="29"/>
      <c r="I20" s="30"/>
    </row>
    <row r="21" spans="1:9" ht="15.75">
      <c r="A21" s="187"/>
      <c r="B21" s="29"/>
      <c r="C21" s="29"/>
      <c r="D21" s="29"/>
      <c r="E21" s="30"/>
      <c r="F21" s="29"/>
      <c r="G21" s="30"/>
      <c r="H21" s="29"/>
      <c r="I21" s="30"/>
    </row>
    <row r="22" spans="1:9" ht="15.75">
      <c r="A22" s="187" t="s">
        <v>12</v>
      </c>
      <c r="B22" s="29"/>
      <c r="C22" s="29"/>
      <c r="D22" s="29"/>
      <c r="E22" s="30"/>
      <c r="F22" s="29"/>
      <c r="G22" s="30"/>
      <c r="H22" s="29"/>
      <c r="I22" s="30"/>
    </row>
    <row r="23" spans="1:9" ht="15.75">
      <c r="A23" s="26"/>
      <c r="B23" s="29"/>
      <c r="C23" s="26" t="s">
        <v>13</v>
      </c>
      <c r="D23" s="29"/>
      <c r="E23" s="30"/>
      <c r="F23" s="29" t="s">
        <v>14</v>
      </c>
      <c r="G23" s="30"/>
      <c r="H23" s="29"/>
      <c r="I23" s="30"/>
    </row>
    <row r="24" spans="1:9" ht="15.75">
      <c r="A24" s="26"/>
      <c r="B24" s="29"/>
      <c r="C24" s="29" t="s">
        <v>11</v>
      </c>
      <c r="D24" s="29"/>
      <c r="E24" s="30"/>
      <c r="F24" s="31"/>
      <c r="G24" s="30"/>
      <c r="H24" s="29"/>
      <c r="I24" s="30"/>
    </row>
    <row r="25" spans="1:9" ht="15.75">
      <c r="A25" s="26"/>
      <c r="B25" s="29"/>
      <c r="C25" s="29"/>
      <c r="D25" s="29"/>
      <c r="E25" s="30"/>
      <c r="F25" s="29"/>
      <c r="G25" s="30"/>
      <c r="H25" s="29"/>
      <c r="I25" s="30"/>
    </row>
    <row r="26" spans="1:9" ht="15.75">
      <c r="A26" s="26"/>
      <c r="B26" s="29"/>
      <c r="C26" s="29"/>
      <c r="D26" s="29"/>
      <c r="E26" s="30"/>
      <c r="F26" s="29"/>
      <c r="G26" s="30"/>
      <c r="H26" s="29"/>
      <c r="I26" s="30"/>
    </row>
    <row r="27" spans="1:9" ht="15.75">
      <c r="A27" s="26"/>
      <c r="B27" s="29"/>
      <c r="C27" s="29"/>
      <c r="D27" s="29"/>
      <c r="E27" s="30"/>
      <c r="F27" s="29"/>
      <c r="G27" s="30"/>
      <c r="H27" s="29"/>
      <c r="I27" s="30"/>
    </row>
    <row r="28" spans="1:9" ht="15.75">
      <c r="A28" s="187" t="s">
        <v>15</v>
      </c>
      <c r="B28" s="29"/>
      <c r="C28" s="29"/>
      <c r="D28" s="29"/>
      <c r="E28" s="30"/>
      <c r="F28" s="29"/>
      <c r="G28" s="30"/>
      <c r="H28" s="29"/>
      <c r="I28" s="30"/>
    </row>
    <row r="29" spans="1:9" ht="15.75">
      <c r="A29" s="29"/>
      <c r="B29" s="29"/>
      <c r="C29" s="26" t="s">
        <v>16</v>
      </c>
      <c r="D29" s="29"/>
      <c r="E29" s="30"/>
      <c r="F29" s="29" t="s">
        <v>17</v>
      </c>
      <c r="G29" s="30"/>
      <c r="H29" s="29"/>
      <c r="I29" s="30"/>
    </row>
    <row r="30" spans="1:9" ht="15.75">
      <c r="A30" s="29"/>
      <c r="B30" s="29"/>
      <c r="C30" s="29" t="s">
        <v>11</v>
      </c>
      <c r="D30" s="29"/>
      <c r="E30" s="29"/>
      <c r="F30" s="29"/>
      <c r="G30" s="29"/>
      <c r="H30" s="29"/>
      <c r="I30" s="30"/>
    </row>
    <row r="31" spans="1:9" ht="15.75">
      <c r="A31" s="29"/>
      <c r="B31" s="29"/>
      <c r="C31" s="29"/>
      <c r="D31" s="29"/>
      <c r="E31" s="29"/>
      <c r="F31" s="29"/>
      <c r="G31" s="29"/>
      <c r="H31" s="29"/>
      <c r="I31" s="30"/>
    </row>
  </sheetData>
  <mergeCells count="7">
    <mergeCell ref="C12:D12"/>
    <mergeCell ref="C13:D13"/>
    <mergeCell ref="D1:G1"/>
    <mergeCell ref="D2:G2"/>
    <mergeCell ref="A7:I7"/>
    <mergeCell ref="A8:I8"/>
    <mergeCell ref="C11:D11"/>
  </mergeCells>
  <printOptions horizontalCentered="1"/>
  <pageMargins left="0.7" right="0.7" top="0.55000000000000004" bottom="0.54" header="0.3" footer="0.3"/>
  <pageSetup scale="84" fitToHeight="0" orientation="landscape" verticalDpi="300" r:id="rId1"/>
  <headerFooter alignWithMargins="0">
    <oddFooter>&amp;L&amp;"time new romand,Italic"&amp;12HD.VTS.QLCL.01&amp;C&amp;"Arial,Italic"&amp;12Lần ban hành:   /Ngày hiệu lực    /    /20&amp;R1/1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8"/>
  <sheetViews>
    <sheetView view="pageBreakPreview" zoomScaleNormal="100" zoomScaleSheetLayoutView="100" workbookViewId="0">
      <selection activeCell="B6" sqref="B6"/>
    </sheetView>
  </sheetViews>
  <sheetFormatPr defaultColWidth="11.42578125" defaultRowHeight="15.75"/>
  <cols>
    <col min="1" max="1" width="4.85546875" style="29" customWidth="1"/>
    <col min="2" max="2" width="12.85546875" style="29" customWidth="1"/>
    <col min="3" max="3" width="13.7109375" style="29" customWidth="1"/>
    <col min="4" max="4" width="9.140625" style="29" customWidth="1"/>
    <col min="5" max="5" width="17.42578125" style="29" customWidth="1"/>
    <col min="6" max="6" width="25.85546875" style="29" customWidth="1"/>
    <col min="7" max="7" width="19.28515625" style="29" customWidth="1"/>
    <col min="8" max="16384" width="11.42578125" style="29"/>
  </cols>
  <sheetData>
    <row r="1" spans="2:7" ht="20.25">
      <c r="B1" s="315" t="s">
        <v>18</v>
      </c>
      <c r="C1" s="315"/>
      <c r="D1" s="315"/>
      <c r="E1" s="315"/>
      <c r="F1" s="315"/>
      <c r="G1" s="315"/>
    </row>
    <row r="3" spans="2:7">
      <c r="B3" s="32" t="s">
        <v>19</v>
      </c>
    </row>
    <row r="4" spans="2:7">
      <c r="B4" s="32"/>
    </row>
    <row r="5" spans="2:7" s="35" customFormat="1" ht="33.75" customHeight="1">
      <c r="B5" s="33" t="s">
        <v>20</v>
      </c>
      <c r="C5" s="34" t="s">
        <v>21</v>
      </c>
      <c r="D5" s="34" t="s">
        <v>22</v>
      </c>
      <c r="E5" s="34" t="s">
        <v>23</v>
      </c>
      <c r="F5" s="34" t="s">
        <v>24</v>
      </c>
      <c r="G5" s="34" t="s">
        <v>25</v>
      </c>
    </row>
    <row r="6" spans="2:7">
      <c r="B6" s="36" t="s">
        <v>26</v>
      </c>
      <c r="C6" s="37"/>
      <c r="D6" s="38" t="s">
        <v>27</v>
      </c>
      <c r="E6" s="39"/>
      <c r="F6" s="2" t="s">
        <v>28</v>
      </c>
      <c r="G6" s="39" t="s">
        <v>29</v>
      </c>
    </row>
    <row r="7" spans="2:7">
      <c r="B7" s="36"/>
      <c r="C7" s="37"/>
      <c r="D7" s="38"/>
      <c r="E7" s="40"/>
      <c r="F7" s="2"/>
      <c r="G7" s="40"/>
    </row>
    <row r="8" spans="2:7">
      <c r="B8" s="36"/>
      <c r="C8" s="37"/>
      <c r="D8" s="38"/>
      <c r="E8" s="41"/>
      <c r="F8" s="1"/>
      <c r="G8" s="41"/>
    </row>
    <row r="9" spans="2:7">
      <c r="B9" s="36"/>
      <c r="C9" s="42"/>
      <c r="D9" s="43"/>
      <c r="E9" s="41"/>
      <c r="F9" s="41"/>
      <c r="G9" s="41"/>
    </row>
    <row r="10" spans="2:7">
      <c r="B10" s="44"/>
      <c r="C10" s="45"/>
      <c r="D10" s="41"/>
      <c r="E10" s="41"/>
      <c r="F10" s="41"/>
      <c r="G10" s="41"/>
    </row>
    <row r="11" spans="2:7">
      <c r="B11" s="36"/>
      <c r="C11" s="42"/>
      <c r="D11" s="43"/>
      <c r="E11" s="41"/>
      <c r="F11" s="41"/>
      <c r="G11" s="41"/>
    </row>
    <row r="12" spans="2:7">
      <c r="B12" s="44"/>
      <c r="C12" s="45"/>
      <c r="D12" s="41"/>
      <c r="E12" s="41"/>
      <c r="F12" s="41"/>
      <c r="G12" s="41"/>
    </row>
    <row r="13" spans="2:7">
      <c r="B13" s="44"/>
      <c r="C13" s="45"/>
      <c r="D13" s="41"/>
      <c r="E13" s="41"/>
      <c r="F13" s="41"/>
      <c r="G13" s="41"/>
    </row>
    <row r="14" spans="2:7">
      <c r="B14" s="44"/>
      <c r="C14" s="45"/>
      <c r="D14" s="41"/>
      <c r="E14" s="41"/>
      <c r="F14" s="41"/>
      <c r="G14" s="41"/>
    </row>
    <row r="15" spans="2:7">
      <c r="B15" s="44"/>
      <c r="C15" s="45"/>
      <c r="D15" s="41"/>
      <c r="E15" s="41"/>
      <c r="F15" s="41"/>
      <c r="G15" s="41"/>
    </row>
    <row r="16" spans="2:7">
      <c r="B16" s="44"/>
      <c r="C16" s="45"/>
      <c r="D16" s="41"/>
      <c r="E16" s="41"/>
      <c r="F16" s="41"/>
      <c r="G16" s="41"/>
    </row>
    <row r="17" spans="2:7">
      <c r="B17" s="44"/>
      <c r="C17" s="45"/>
      <c r="D17" s="41"/>
      <c r="E17" s="41"/>
      <c r="F17" s="41"/>
      <c r="G17" s="41"/>
    </row>
    <row r="18" spans="2:7">
      <c r="B18" s="44"/>
      <c r="C18" s="45"/>
      <c r="D18" s="41"/>
      <c r="E18" s="41"/>
      <c r="F18" s="41"/>
      <c r="G18" s="41"/>
    </row>
  </sheetData>
  <mergeCells count="1">
    <mergeCell ref="B1:G1"/>
  </mergeCells>
  <pageMargins left="0.25" right="0.25" top="0.75" bottom="0.75" header="0.3" footer="0.3"/>
  <pageSetup orientation="landscape" r:id="rId1"/>
  <headerFooter alignWithMargins="0">
    <oddFooter>&amp;L&amp;"Arial,Italic"HD.VTS.QLCL.01&amp;C&amp;"Arial,Italic"Lần ban hành:   /Ngày:&amp;R&amp;"Arial,Italic"&amp;P/&amp;N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J30"/>
  <sheetViews>
    <sheetView view="pageBreakPreview" topLeftCell="A7" zoomScaleNormal="100" zoomScaleSheetLayoutView="100" zoomScalePageLayoutView="55" workbookViewId="0">
      <selection activeCell="H22" sqref="H22"/>
    </sheetView>
  </sheetViews>
  <sheetFormatPr defaultColWidth="11.42578125" defaultRowHeight="15.75"/>
  <cols>
    <col min="1" max="1" width="11.42578125" style="46" customWidth="1"/>
    <col min="2" max="2" width="5.85546875" style="46" customWidth="1"/>
    <col min="3" max="3" width="28.42578125" style="46" customWidth="1"/>
    <col min="4" max="4" width="51.42578125" style="46" customWidth="1"/>
    <col min="5" max="6" width="18.28515625" style="46" customWidth="1"/>
    <col min="7" max="7" width="14.42578125" style="46" customWidth="1"/>
    <col min="8" max="8" width="18.140625" style="46" customWidth="1"/>
    <col min="9" max="9" width="13.7109375" style="46" customWidth="1"/>
    <col min="10" max="10" width="14" style="46" customWidth="1"/>
    <col min="11" max="16384" width="11.42578125" style="46"/>
  </cols>
  <sheetData>
    <row r="2" spans="1:6" ht="20.25">
      <c r="B2" s="316" t="s">
        <v>30</v>
      </c>
      <c r="C2" s="316"/>
      <c r="D2" s="316"/>
      <c r="E2" s="316"/>
    </row>
    <row r="3" spans="1:6" ht="18.75">
      <c r="A3" s="317" t="s">
        <v>31</v>
      </c>
      <c r="B3" s="317"/>
      <c r="C3" s="317"/>
      <c r="D3" s="317"/>
      <c r="E3" s="317"/>
    </row>
    <row r="4" spans="1:6">
      <c r="B4" s="48"/>
      <c r="C4" s="49"/>
      <c r="D4" s="10"/>
      <c r="E4" s="10"/>
    </row>
    <row r="5" spans="1:6" ht="20.25">
      <c r="A5" s="110" t="s">
        <v>32</v>
      </c>
      <c r="B5" s="48"/>
      <c r="C5" s="47"/>
      <c r="D5" s="47"/>
      <c r="E5" s="47"/>
    </row>
    <row r="6" spans="1:6">
      <c r="B6" s="48"/>
      <c r="C6" s="49"/>
      <c r="D6" s="10"/>
      <c r="E6" s="10"/>
    </row>
    <row r="7" spans="1:6" ht="21.75" customHeight="1">
      <c r="B7" s="318" t="s">
        <v>33</v>
      </c>
      <c r="C7" s="319"/>
      <c r="D7" s="319"/>
      <c r="E7" s="319"/>
      <c r="F7" s="320"/>
    </row>
    <row r="8" spans="1:6" ht="31.5">
      <c r="B8" s="54" t="s">
        <v>34</v>
      </c>
      <c r="C8" s="55" t="s">
        <v>35</v>
      </c>
      <c r="D8" s="56" t="s">
        <v>36</v>
      </c>
      <c r="E8" s="56" t="s">
        <v>37</v>
      </c>
      <c r="F8" s="56" t="s">
        <v>38</v>
      </c>
    </row>
    <row r="9" spans="1:6" ht="30">
      <c r="B9" s="50">
        <v>1</v>
      </c>
      <c r="C9" s="284" t="s">
        <v>39</v>
      </c>
      <c r="D9" s="282" t="s">
        <v>40</v>
      </c>
      <c r="E9" s="264">
        <f>'NL Chuc nang'!O54/8</f>
        <v>18.3125</v>
      </c>
      <c r="F9" s="265">
        <f>'NL Chuc nang'!F54/8</f>
        <v>16.481249999999985</v>
      </c>
    </row>
    <row r="10" spans="1:6" ht="30">
      <c r="B10" s="50">
        <v>2</v>
      </c>
      <c r="C10" s="284" t="s">
        <v>41</v>
      </c>
      <c r="D10" s="282" t="s">
        <v>42</v>
      </c>
      <c r="E10" s="52">
        <f>'NL Chuc nang'!L54/8</f>
        <v>3</v>
      </c>
      <c r="F10" s="266">
        <f>'NL Chuc nang'!G54/8</f>
        <v>2.7</v>
      </c>
    </row>
    <row r="11" spans="1:6" ht="45">
      <c r="B11" s="50">
        <v>3</v>
      </c>
      <c r="C11" s="284" t="s">
        <v>43</v>
      </c>
      <c r="D11" s="282" t="s">
        <v>44</v>
      </c>
      <c r="E11" s="52">
        <f>'NL Chuc nang'!M54/8</f>
        <v>15.3125</v>
      </c>
      <c r="F11" s="266">
        <f>'NL Chuc nang'!H54/8</f>
        <v>13.781249999999988</v>
      </c>
    </row>
    <row r="12" spans="1:6">
      <c r="B12" s="50">
        <v>4</v>
      </c>
      <c r="C12" s="284" t="s">
        <v>45</v>
      </c>
      <c r="D12" s="282" t="s">
        <v>46</v>
      </c>
      <c r="E12" s="52">
        <f>'NL Chuc nang'!N54/8</f>
        <v>0</v>
      </c>
      <c r="F12" s="266">
        <f>'NL Chuc nang'!I54/8</f>
        <v>0</v>
      </c>
    </row>
    <row r="13" spans="1:6" ht="30">
      <c r="B13" s="50">
        <v>6</v>
      </c>
      <c r="C13" s="284" t="s">
        <v>47</v>
      </c>
      <c r="D13" s="282" t="s">
        <v>48</v>
      </c>
      <c r="E13" s="264">
        <f>'NL Phi chuc nang'!F13/8</f>
        <v>0</v>
      </c>
      <c r="F13" s="265">
        <f>'NL Phi chuc nang'!F13/8</f>
        <v>0</v>
      </c>
    </row>
    <row r="14" spans="1:6" s="59" customFormat="1" ht="52.7" customHeight="1">
      <c r="B14" s="171">
        <v>7</v>
      </c>
      <c r="C14" s="283" t="s">
        <v>49</v>
      </c>
      <c r="D14" s="285" t="s">
        <v>50</v>
      </c>
      <c r="E14" s="172">
        <f>E13+E9</f>
        <v>18.3125</v>
      </c>
      <c r="F14" s="172">
        <f>F13+F9</f>
        <v>16.481249999999985</v>
      </c>
    </row>
    <row r="15" spans="1:6">
      <c r="B15" s="60"/>
      <c r="C15" s="61"/>
      <c r="D15" s="62"/>
      <c r="E15" s="63"/>
    </row>
    <row r="16" spans="1:6" ht="20.25">
      <c r="A16" s="110" t="s">
        <v>51</v>
      </c>
      <c r="B16" s="60"/>
      <c r="C16" s="61"/>
      <c r="D16" s="62"/>
      <c r="E16" s="63"/>
    </row>
    <row r="17" spans="2:10">
      <c r="B17" s="60"/>
      <c r="C17" s="61"/>
      <c r="D17" s="62"/>
      <c r="E17" s="63"/>
    </row>
    <row r="18" spans="2:10" ht="48" customHeight="1">
      <c r="B18" s="179" t="s">
        <v>34</v>
      </c>
      <c r="C18" s="177" t="s">
        <v>35</v>
      </c>
      <c r="D18" s="177" t="s">
        <v>36</v>
      </c>
      <c r="E18" s="176" t="s">
        <v>52</v>
      </c>
      <c r="F18" s="177" t="s">
        <v>53</v>
      </c>
      <c r="G18" s="177" t="s">
        <v>54</v>
      </c>
      <c r="H18" s="56" t="s">
        <v>55</v>
      </c>
      <c r="I18" s="56" t="s">
        <v>56</v>
      </c>
      <c r="J18" s="56" t="s">
        <v>57</v>
      </c>
    </row>
    <row r="19" spans="2:10">
      <c r="B19" s="50">
        <v>1</v>
      </c>
      <c r="C19" s="281" t="s">
        <v>58</v>
      </c>
      <c r="D19" s="282" t="s">
        <v>59</v>
      </c>
      <c r="E19" s="178">
        <f>F19+G19</f>
        <v>2.7</v>
      </c>
      <c r="F19" s="178">
        <f>'NL Chuc nang'!W54/8</f>
        <v>0</v>
      </c>
      <c r="G19" s="178">
        <f>'NL Chuc nang'!Z54/8</f>
        <v>2.7</v>
      </c>
      <c r="H19" s="189">
        <f>E19/$E$23</f>
        <v>0.16382252559726976</v>
      </c>
      <c r="I19" s="189">
        <f>F19/E19</f>
        <v>0</v>
      </c>
      <c r="J19" s="189">
        <f>G19/E19</f>
        <v>1</v>
      </c>
    </row>
    <row r="20" spans="2:10">
      <c r="B20" s="50">
        <v>2</v>
      </c>
      <c r="C20" s="281" t="s">
        <v>43</v>
      </c>
      <c r="D20" s="282" t="s">
        <v>60</v>
      </c>
      <c r="E20" s="178">
        <f>F20+G20</f>
        <v>13.781249999999988</v>
      </c>
      <c r="F20" s="178">
        <f>'NL Chuc nang'!X54/8</f>
        <v>0</v>
      </c>
      <c r="G20" s="178">
        <f>'NL Chuc nang'!AA54/8</f>
        <v>13.781249999999988</v>
      </c>
      <c r="H20" s="189">
        <f>E20/$E$23</f>
        <v>0.83617747440273016</v>
      </c>
      <c r="I20" s="189">
        <f>F20/E20</f>
        <v>0</v>
      </c>
      <c r="J20" s="189">
        <f>G20/E20</f>
        <v>1</v>
      </c>
    </row>
    <row r="21" spans="2:10">
      <c r="B21" s="50">
        <v>3</v>
      </c>
      <c r="C21" s="281" t="s">
        <v>45</v>
      </c>
      <c r="D21" s="282" t="s">
        <v>61</v>
      </c>
      <c r="E21" s="178">
        <f>F21+G21</f>
        <v>0</v>
      </c>
      <c r="F21" s="178">
        <f>'NL Chuc nang'!Y54/8</f>
        <v>0</v>
      </c>
      <c r="G21" s="178">
        <f>'NL Chuc nang'!AB54/8</f>
        <v>0</v>
      </c>
      <c r="H21" s="189">
        <f>E21/$E$23</f>
        <v>0</v>
      </c>
      <c r="I21" s="189" t="e">
        <f>F21/E21</f>
        <v>#DIV/0!</v>
      </c>
      <c r="J21" s="189" t="e">
        <f>G21/E21</f>
        <v>#DIV/0!</v>
      </c>
    </row>
    <row r="22" spans="2:10">
      <c r="B22" s="50">
        <v>4</v>
      </c>
      <c r="C22" s="281" t="s">
        <v>62</v>
      </c>
      <c r="D22" s="282" t="s">
        <v>63</v>
      </c>
      <c r="E22" s="178">
        <f>F22+G22</f>
        <v>0</v>
      </c>
      <c r="F22" s="178">
        <v>0</v>
      </c>
      <c r="G22" s="178">
        <f>'NL Phi chuc nang'!F13/8</f>
        <v>0</v>
      </c>
      <c r="H22" s="189">
        <f>E22/$E$23</f>
        <v>0</v>
      </c>
      <c r="I22" s="189" t="e">
        <f>F22/E22</f>
        <v>#DIV/0!</v>
      </c>
      <c r="J22" s="189" t="e">
        <f>G22/E22</f>
        <v>#DIV/0!</v>
      </c>
    </row>
    <row r="23" spans="2:10" ht="33">
      <c r="B23" s="50">
        <v>5</v>
      </c>
      <c r="C23" s="283" t="s">
        <v>64</v>
      </c>
      <c r="D23" s="174" t="s">
        <v>65</v>
      </c>
      <c r="E23" s="172">
        <f>F23+G23</f>
        <v>16.481249999999989</v>
      </c>
      <c r="F23" s="172">
        <f>SUM(F19:F22)</f>
        <v>0</v>
      </c>
      <c r="G23" s="172">
        <f>SUM(G19:G22)</f>
        <v>16.481249999999989</v>
      </c>
      <c r="H23" s="189">
        <f>E23/$E$23</f>
        <v>1</v>
      </c>
      <c r="I23" s="189">
        <f>F23/E23</f>
        <v>0</v>
      </c>
      <c r="J23" s="189">
        <f>G23/E23</f>
        <v>1</v>
      </c>
    </row>
    <row r="24" spans="2:10" ht="36" customHeight="1">
      <c r="B24" s="50">
        <v>6</v>
      </c>
      <c r="C24" s="283" t="s">
        <v>66</v>
      </c>
      <c r="D24" s="174" t="s">
        <v>67</v>
      </c>
      <c r="E24" s="279">
        <f>SUM(F24:G24)</f>
        <v>0.74914772727272672</v>
      </c>
      <c r="F24" s="172">
        <f>F23/22</f>
        <v>0</v>
      </c>
      <c r="G24" s="172">
        <f>G23/22</f>
        <v>0.74914772727272672</v>
      </c>
      <c r="H24" s="189">
        <v>1</v>
      </c>
      <c r="I24" s="189"/>
      <c r="J24" s="189"/>
    </row>
    <row r="25" spans="2:10" hidden="1"/>
    <row r="27" spans="2:10">
      <c r="G27" s="46">
        <f>G24*45.9</f>
        <v>34.385880681818158</v>
      </c>
    </row>
    <row r="29" spans="2:10">
      <c r="E29" s="277"/>
      <c r="F29" s="277"/>
      <c r="G29" s="277"/>
    </row>
    <row r="30" spans="2:10">
      <c r="E30" s="277"/>
      <c r="F30" s="277"/>
      <c r="G30" s="277"/>
    </row>
  </sheetData>
  <mergeCells count="3">
    <mergeCell ref="B2:E2"/>
    <mergeCell ref="A3:E3"/>
    <mergeCell ref="B7:F7"/>
  </mergeCells>
  <pageMargins left="0.71" right="0.7" top="0.75" bottom="0.75" header="0.3" footer="0.3"/>
  <pageSetup scale="64" fitToHeight="0" orientation="landscape" r:id="rId1"/>
  <headerFooter>
    <oddFooter>&amp;L&amp;"Arial,Italic"HD.VTS.QLCL.01&amp;C&amp;"Arial,Italic"Lần ban hành:       /Ngày&amp;R&amp;"Arial,Italic"&amp;P/&amp;N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workbookViewId="0">
      <selection sqref="A1:F1"/>
    </sheetView>
  </sheetViews>
  <sheetFormatPr defaultColWidth="8.85546875" defaultRowHeight="12.75"/>
  <cols>
    <col min="1" max="1" width="8.85546875" customWidth="1"/>
    <col min="2" max="2" width="17.140625" customWidth="1"/>
    <col min="3" max="3" width="41.7109375" customWidth="1"/>
    <col min="4" max="4" width="8.85546875" customWidth="1"/>
    <col min="5" max="5" width="58" customWidth="1"/>
    <col min="6" max="6" width="32.28515625" customWidth="1"/>
  </cols>
  <sheetData>
    <row r="1" spans="1:6" ht="60.2" customHeight="1">
      <c r="A1" s="321" t="s">
        <v>68</v>
      </c>
      <c r="B1" s="321"/>
      <c r="C1" s="321"/>
      <c r="D1" s="321"/>
      <c r="E1" s="321"/>
      <c r="F1" s="321"/>
    </row>
    <row r="2" spans="1:6" ht="15">
      <c r="A2" s="145"/>
      <c r="B2" s="146"/>
      <c r="C2" s="147"/>
      <c r="D2" s="146"/>
      <c r="E2" s="146"/>
      <c r="F2" s="146"/>
    </row>
    <row r="3" spans="1:6">
      <c r="A3" s="322" t="s">
        <v>34</v>
      </c>
      <c r="B3" s="323" t="s">
        <v>69</v>
      </c>
      <c r="C3" s="323" t="s">
        <v>70</v>
      </c>
      <c r="D3" s="322" t="s">
        <v>71</v>
      </c>
      <c r="E3" s="324" t="s">
        <v>72</v>
      </c>
      <c r="F3" s="322" t="s">
        <v>73</v>
      </c>
    </row>
    <row r="4" spans="1:6" ht="34.700000000000003" customHeight="1">
      <c r="A4" s="322" t="s">
        <v>34</v>
      </c>
      <c r="B4" s="323"/>
      <c r="C4" s="323"/>
      <c r="D4" s="322"/>
      <c r="E4" s="325"/>
      <c r="F4" s="322"/>
    </row>
    <row r="5" spans="1:6" s="119" customFormat="1" ht="49.5">
      <c r="A5" s="153">
        <v>1</v>
      </c>
      <c r="B5" s="148" t="s">
        <v>74</v>
      </c>
      <c r="C5" s="148" t="s">
        <v>75</v>
      </c>
      <c r="D5" s="148" t="s">
        <v>76</v>
      </c>
      <c r="E5" s="148" t="s">
        <v>77</v>
      </c>
      <c r="F5" s="148" t="s">
        <v>78</v>
      </c>
    </row>
    <row r="6" spans="1:6" s="119" customFormat="1" ht="49.5">
      <c r="A6" s="153">
        <v>2</v>
      </c>
      <c r="B6" s="148" t="s">
        <v>79</v>
      </c>
      <c r="C6" s="148" t="s">
        <v>80</v>
      </c>
      <c r="D6" s="148" t="s">
        <v>76</v>
      </c>
      <c r="E6" s="148" t="s">
        <v>81</v>
      </c>
      <c r="F6" s="148" t="s">
        <v>82</v>
      </c>
    </row>
    <row r="7" spans="1:6" s="119" customFormat="1" ht="49.5">
      <c r="A7" s="153">
        <v>3</v>
      </c>
      <c r="B7" s="148" t="s">
        <v>83</v>
      </c>
      <c r="C7" s="148" t="s">
        <v>84</v>
      </c>
      <c r="D7" s="148" t="s">
        <v>76</v>
      </c>
      <c r="E7" s="148" t="s">
        <v>85</v>
      </c>
      <c r="F7" s="148" t="s">
        <v>86</v>
      </c>
    </row>
    <row r="8" spans="1:6" s="119" customFormat="1" ht="33">
      <c r="A8" s="153">
        <v>4</v>
      </c>
      <c r="B8" s="148" t="s">
        <v>87</v>
      </c>
      <c r="C8" s="148" t="s">
        <v>88</v>
      </c>
      <c r="D8" s="148" t="s">
        <v>89</v>
      </c>
      <c r="E8" s="148" t="s">
        <v>90</v>
      </c>
      <c r="F8" s="148"/>
    </row>
    <row r="9" spans="1:6" s="119" customFormat="1" ht="33">
      <c r="A9" s="153">
        <v>5</v>
      </c>
      <c r="B9" s="148" t="s">
        <v>91</v>
      </c>
      <c r="C9" s="148" t="s">
        <v>92</v>
      </c>
      <c r="D9" s="148" t="s">
        <v>89</v>
      </c>
      <c r="E9" s="148" t="s">
        <v>93</v>
      </c>
      <c r="F9" s="148" t="s">
        <v>78</v>
      </c>
    </row>
    <row r="10" spans="1:6" s="119" customFormat="1" ht="33">
      <c r="A10" s="153">
        <v>6</v>
      </c>
      <c r="B10" s="148" t="s">
        <v>94</v>
      </c>
      <c r="C10" s="148" t="s">
        <v>95</v>
      </c>
      <c r="D10" s="148" t="s">
        <v>89</v>
      </c>
      <c r="E10" s="148" t="s">
        <v>96</v>
      </c>
      <c r="F10" s="148" t="s">
        <v>97</v>
      </c>
    </row>
    <row r="11" spans="1:6" s="119" customFormat="1" ht="33">
      <c r="A11" s="153">
        <v>7</v>
      </c>
      <c r="B11" s="148" t="s">
        <v>98</v>
      </c>
      <c r="C11" s="148" t="s">
        <v>99</v>
      </c>
      <c r="D11" s="148" t="s">
        <v>89</v>
      </c>
      <c r="E11" s="148" t="s">
        <v>100</v>
      </c>
      <c r="F11" s="148" t="s">
        <v>101</v>
      </c>
    </row>
    <row r="12" spans="1:6" s="119" customFormat="1" ht="82.5">
      <c r="A12" s="153">
        <v>8</v>
      </c>
      <c r="B12" s="148" t="s">
        <v>102</v>
      </c>
      <c r="C12" s="148" t="s">
        <v>103</v>
      </c>
      <c r="D12" s="148" t="s">
        <v>104</v>
      </c>
      <c r="E12" s="148" t="s">
        <v>105</v>
      </c>
      <c r="F12" s="148" t="s">
        <v>106</v>
      </c>
    </row>
    <row r="13" spans="1:6" s="119" customFormat="1" ht="33">
      <c r="A13" s="153">
        <v>9</v>
      </c>
      <c r="B13" s="148" t="s">
        <v>107</v>
      </c>
      <c r="C13" s="148" t="s">
        <v>108</v>
      </c>
      <c r="D13" s="148" t="s">
        <v>104</v>
      </c>
      <c r="E13" s="148" t="s">
        <v>109</v>
      </c>
      <c r="F13" s="148"/>
    </row>
    <row r="14" spans="1:6" s="119" customFormat="1" ht="33">
      <c r="A14" s="153">
        <v>10</v>
      </c>
      <c r="B14" s="148" t="s">
        <v>110</v>
      </c>
      <c r="C14" s="148" t="s">
        <v>111</v>
      </c>
      <c r="D14" s="148" t="s">
        <v>104</v>
      </c>
      <c r="E14" s="148" t="s">
        <v>112</v>
      </c>
      <c r="F14" s="148"/>
    </row>
    <row r="15" spans="1:6" s="119" customFormat="1" ht="49.5">
      <c r="A15" s="153">
        <v>11</v>
      </c>
      <c r="B15" s="149" t="s">
        <v>113</v>
      </c>
      <c r="C15" s="148" t="s">
        <v>114</v>
      </c>
      <c r="D15" s="148" t="s">
        <v>76</v>
      </c>
      <c r="E15" s="148" t="s">
        <v>115</v>
      </c>
      <c r="F15" s="149"/>
    </row>
    <row r="16" spans="1:6" s="119" customFormat="1" ht="49.5">
      <c r="A16" s="153">
        <v>12</v>
      </c>
      <c r="B16" s="149" t="s">
        <v>116</v>
      </c>
      <c r="C16" s="148" t="s">
        <v>117</v>
      </c>
      <c r="D16" s="148" t="s">
        <v>76</v>
      </c>
      <c r="E16" s="148" t="s">
        <v>118</v>
      </c>
      <c r="F16" s="149"/>
    </row>
    <row r="17" spans="1:6" s="119" customFormat="1" ht="49.5">
      <c r="A17" s="153">
        <v>13</v>
      </c>
      <c r="B17" s="149" t="s">
        <v>119</v>
      </c>
      <c r="C17" s="148" t="s">
        <v>120</v>
      </c>
      <c r="D17" s="148" t="s">
        <v>76</v>
      </c>
      <c r="E17" s="148" t="s">
        <v>85</v>
      </c>
      <c r="F17" s="149"/>
    </row>
    <row r="18" spans="1:6" s="119" customFormat="1" ht="49.5">
      <c r="A18" s="153">
        <v>14</v>
      </c>
      <c r="B18" s="149" t="s">
        <v>121</v>
      </c>
      <c r="C18" s="149" t="s">
        <v>122</v>
      </c>
      <c r="D18" s="148" t="s">
        <v>76</v>
      </c>
      <c r="E18" s="149" t="s">
        <v>123</v>
      </c>
      <c r="F18" s="149"/>
    </row>
    <row r="19" spans="1:6" s="119" customFormat="1" ht="49.5">
      <c r="A19" s="153">
        <v>15</v>
      </c>
      <c r="B19" s="149" t="s">
        <v>124</v>
      </c>
      <c r="C19" s="149" t="s">
        <v>125</v>
      </c>
      <c r="D19" s="148" t="s">
        <v>76</v>
      </c>
      <c r="E19" s="149" t="s">
        <v>126</v>
      </c>
      <c r="F19" s="149"/>
    </row>
    <row r="20" spans="1:6" s="119" customFormat="1" ht="49.5">
      <c r="A20" s="153">
        <v>16</v>
      </c>
      <c r="B20" s="149" t="s">
        <v>127</v>
      </c>
      <c r="C20" s="149" t="s">
        <v>125</v>
      </c>
      <c r="D20" s="148" t="s">
        <v>76</v>
      </c>
      <c r="E20" s="149" t="s">
        <v>128</v>
      </c>
      <c r="F20" s="149"/>
    </row>
    <row r="21" spans="1:6" s="119" customFormat="1" ht="49.5">
      <c r="A21" s="153">
        <v>17</v>
      </c>
      <c r="B21" s="149" t="s">
        <v>129</v>
      </c>
      <c r="C21" s="149" t="s">
        <v>130</v>
      </c>
      <c r="D21" s="148" t="s">
        <v>131</v>
      </c>
      <c r="E21" s="149" t="s">
        <v>132</v>
      </c>
      <c r="F21" s="149"/>
    </row>
    <row r="22" spans="1:6" s="119" customFormat="1" ht="49.5">
      <c r="A22" s="153">
        <v>18</v>
      </c>
      <c r="B22" s="149" t="s">
        <v>133</v>
      </c>
      <c r="C22" s="149" t="s">
        <v>134</v>
      </c>
      <c r="D22" s="148" t="s">
        <v>131</v>
      </c>
      <c r="E22" s="149" t="s">
        <v>135</v>
      </c>
      <c r="F22" s="149"/>
    </row>
    <row r="23" spans="1:6" s="119" customFormat="1" ht="49.5">
      <c r="A23" s="153">
        <v>19</v>
      </c>
      <c r="B23" s="149" t="s">
        <v>136</v>
      </c>
      <c r="C23" s="149" t="s">
        <v>137</v>
      </c>
      <c r="D23" s="148" t="s">
        <v>131</v>
      </c>
      <c r="E23" s="149" t="s">
        <v>138</v>
      </c>
      <c r="F23" s="149"/>
    </row>
    <row r="24" spans="1:6" s="119" customFormat="1" ht="25.5">
      <c r="A24" s="153">
        <v>20</v>
      </c>
      <c r="B24" s="139" t="s">
        <v>139</v>
      </c>
      <c r="C24" s="141" t="s">
        <v>140</v>
      </c>
      <c r="D24" s="150" t="s">
        <v>141</v>
      </c>
      <c r="E24" s="141"/>
      <c r="F24" s="141"/>
    </row>
    <row r="25" spans="1:6" s="119" customFormat="1" ht="25.5">
      <c r="A25" s="153">
        <v>21</v>
      </c>
      <c r="B25" s="139" t="s">
        <v>142</v>
      </c>
      <c r="C25" s="141" t="s">
        <v>143</v>
      </c>
      <c r="D25" s="150" t="s">
        <v>141</v>
      </c>
      <c r="E25" s="141"/>
      <c r="F25" s="141"/>
    </row>
    <row r="26" spans="1:6" s="119" customFormat="1" ht="25.5">
      <c r="A26" s="153">
        <v>22</v>
      </c>
      <c r="B26" s="139" t="s">
        <v>144</v>
      </c>
      <c r="C26" s="141" t="s">
        <v>145</v>
      </c>
      <c r="D26" s="150" t="s">
        <v>141</v>
      </c>
      <c r="E26" s="141"/>
      <c r="F26" s="141"/>
    </row>
    <row r="27" spans="1:6" s="119" customFormat="1" ht="25.5">
      <c r="A27" s="153">
        <v>23</v>
      </c>
      <c r="B27" s="151" t="s">
        <v>146</v>
      </c>
      <c r="C27" s="141" t="s">
        <v>147</v>
      </c>
      <c r="D27" s="150" t="s">
        <v>141</v>
      </c>
      <c r="E27" s="141"/>
      <c r="F27" s="141"/>
    </row>
    <row r="28" spans="1:6" s="119" customFormat="1" ht="25.5">
      <c r="A28" s="153">
        <v>24</v>
      </c>
      <c r="B28" s="151" t="s">
        <v>148</v>
      </c>
      <c r="C28" s="141" t="s">
        <v>149</v>
      </c>
      <c r="D28" s="150" t="s">
        <v>141</v>
      </c>
      <c r="E28" s="141"/>
      <c r="F28" s="141"/>
    </row>
    <row r="29" spans="1:6" s="119" customFormat="1" ht="25.5">
      <c r="A29" s="153">
        <v>25</v>
      </c>
      <c r="B29" s="151" t="s">
        <v>150</v>
      </c>
      <c r="C29" s="141" t="s">
        <v>151</v>
      </c>
      <c r="D29" s="150" t="s">
        <v>141</v>
      </c>
      <c r="E29" s="141"/>
      <c r="F29" s="141"/>
    </row>
    <row r="30" spans="1:6" s="119" customFormat="1" ht="33">
      <c r="A30" s="153">
        <v>26</v>
      </c>
      <c r="B30" s="149" t="s">
        <v>152</v>
      </c>
      <c r="C30" s="149" t="s">
        <v>153</v>
      </c>
      <c r="D30" s="149" t="s">
        <v>154</v>
      </c>
      <c r="E30" s="149" t="s">
        <v>155</v>
      </c>
      <c r="F30" s="149" t="s">
        <v>156</v>
      </c>
    </row>
    <row r="31" spans="1:6" s="119" customFormat="1" ht="33">
      <c r="A31" s="153">
        <v>27</v>
      </c>
      <c r="B31" s="149" t="s">
        <v>157</v>
      </c>
      <c r="C31" s="149" t="s">
        <v>158</v>
      </c>
      <c r="D31" s="149" t="s">
        <v>154</v>
      </c>
      <c r="E31" s="149" t="s">
        <v>159</v>
      </c>
      <c r="F31" s="149" t="s">
        <v>160</v>
      </c>
    </row>
    <row r="32" spans="1:6" s="119" customFormat="1" ht="33">
      <c r="A32" s="153">
        <v>28</v>
      </c>
      <c r="B32" s="149" t="s">
        <v>161</v>
      </c>
      <c r="C32" s="149" t="s">
        <v>162</v>
      </c>
      <c r="D32" s="148" t="s">
        <v>89</v>
      </c>
      <c r="E32" s="148" t="s">
        <v>163</v>
      </c>
      <c r="F32" s="149"/>
    </row>
    <row r="33" spans="1:6" s="119" customFormat="1" ht="33">
      <c r="A33" s="153">
        <v>29</v>
      </c>
      <c r="B33" s="149" t="s">
        <v>164</v>
      </c>
      <c r="C33" s="149" t="s">
        <v>165</v>
      </c>
      <c r="D33" s="148" t="s">
        <v>89</v>
      </c>
      <c r="E33" s="148" t="s">
        <v>96</v>
      </c>
      <c r="F33" s="149"/>
    </row>
    <row r="34" spans="1:6" s="119" customFormat="1" ht="33">
      <c r="A34" s="153">
        <v>30</v>
      </c>
      <c r="B34" s="149" t="s">
        <v>166</v>
      </c>
      <c r="C34" s="149" t="s">
        <v>167</v>
      </c>
      <c r="D34" s="148" t="s">
        <v>89</v>
      </c>
      <c r="E34" s="148" t="s">
        <v>168</v>
      </c>
      <c r="F34" s="149"/>
    </row>
    <row r="35" spans="1:6" s="119" customFormat="1" ht="16.5">
      <c r="A35" s="153">
        <v>31</v>
      </c>
      <c r="B35" s="154" t="s">
        <v>169</v>
      </c>
      <c r="C35" s="155" t="s">
        <v>170</v>
      </c>
      <c r="D35" s="155" t="s">
        <v>171</v>
      </c>
      <c r="E35" s="155"/>
      <c r="F35" s="155"/>
    </row>
    <row r="36" spans="1:6" s="119" customFormat="1" ht="16.5">
      <c r="A36" s="153">
        <v>32</v>
      </c>
      <c r="B36" s="154" t="s">
        <v>172</v>
      </c>
      <c r="C36" s="155" t="s">
        <v>173</v>
      </c>
      <c r="D36" s="155" t="s">
        <v>171</v>
      </c>
      <c r="E36" s="155"/>
      <c r="F36" s="155"/>
    </row>
    <row r="37" spans="1:6" s="119" customFormat="1" ht="16.5">
      <c r="A37" s="153">
        <v>33</v>
      </c>
      <c r="B37" s="154" t="s">
        <v>174</v>
      </c>
      <c r="C37" s="155" t="s">
        <v>175</v>
      </c>
      <c r="D37" s="155" t="s">
        <v>171</v>
      </c>
      <c r="E37" s="155"/>
      <c r="F37" s="155"/>
    </row>
    <row r="38" spans="1:6" s="119" customFormat="1" ht="16.5">
      <c r="A38" s="153">
        <v>34</v>
      </c>
      <c r="B38" s="154" t="s">
        <v>176</v>
      </c>
      <c r="C38" s="155" t="s">
        <v>177</v>
      </c>
      <c r="D38" s="155" t="s">
        <v>171</v>
      </c>
      <c r="E38" s="155"/>
      <c r="F38" s="155"/>
    </row>
    <row r="39" spans="1:6" s="119" customFormat="1" ht="16.5">
      <c r="A39" s="153">
        <v>35</v>
      </c>
      <c r="B39" s="154" t="s">
        <v>178</v>
      </c>
      <c r="C39" s="155" t="s">
        <v>179</v>
      </c>
      <c r="D39" s="155" t="s">
        <v>171</v>
      </c>
      <c r="E39" s="155"/>
      <c r="F39" s="155"/>
    </row>
    <row r="40" spans="1:6" s="119" customFormat="1" ht="16.5">
      <c r="A40" s="153">
        <v>36</v>
      </c>
      <c r="B40" s="154" t="s">
        <v>180</v>
      </c>
      <c r="C40" s="155" t="s">
        <v>181</v>
      </c>
      <c r="D40" s="155" t="s">
        <v>171</v>
      </c>
      <c r="E40" s="155"/>
      <c r="F40" s="155"/>
    </row>
    <row r="41" spans="1:6" s="119" customFormat="1" ht="16.5">
      <c r="A41" s="153">
        <v>37</v>
      </c>
      <c r="B41" s="154" t="s">
        <v>182</v>
      </c>
      <c r="C41" s="155" t="s">
        <v>183</v>
      </c>
      <c r="D41" s="155" t="s">
        <v>171</v>
      </c>
      <c r="E41" s="155"/>
      <c r="F41" s="155"/>
    </row>
    <row r="42" spans="1:6" s="119" customFormat="1" ht="16.5">
      <c r="A42" s="153">
        <v>38</v>
      </c>
      <c r="B42" s="154" t="s">
        <v>184</v>
      </c>
      <c r="C42" s="155" t="s">
        <v>185</v>
      </c>
      <c r="D42" s="155" t="s">
        <v>171</v>
      </c>
      <c r="E42" s="155"/>
      <c r="F42" s="155"/>
    </row>
    <row r="43" spans="1:6" s="119" customFormat="1" ht="16.5">
      <c r="A43" s="153">
        <v>39</v>
      </c>
      <c r="B43" s="154" t="s">
        <v>186</v>
      </c>
      <c r="C43" s="155" t="s">
        <v>187</v>
      </c>
      <c r="D43" s="155" t="s">
        <v>171</v>
      </c>
      <c r="E43" s="155"/>
      <c r="F43" s="155"/>
    </row>
    <row r="44" spans="1:6" s="119" customFormat="1" ht="16.5">
      <c r="A44" s="153">
        <v>40</v>
      </c>
      <c r="B44" s="154" t="s">
        <v>188</v>
      </c>
      <c r="C44" s="155" t="s">
        <v>75</v>
      </c>
      <c r="D44" s="155" t="s">
        <v>171</v>
      </c>
      <c r="E44" s="155"/>
      <c r="F44" s="155"/>
    </row>
    <row r="45" spans="1:6" s="119" customFormat="1" ht="16.5">
      <c r="A45" s="153">
        <v>41</v>
      </c>
      <c r="B45" s="154" t="s">
        <v>189</v>
      </c>
      <c r="C45" s="155" t="s">
        <v>80</v>
      </c>
      <c r="D45" s="155" t="s">
        <v>171</v>
      </c>
      <c r="E45" s="155"/>
      <c r="F45" s="155"/>
    </row>
    <row r="46" spans="1:6" s="119" customFormat="1" ht="16.5">
      <c r="A46" s="153">
        <v>42</v>
      </c>
      <c r="B46" s="154" t="s">
        <v>190</v>
      </c>
      <c r="C46" s="155" t="s">
        <v>84</v>
      </c>
      <c r="D46" s="155" t="s">
        <v>171</v>
      </c>
      <c r="E46" s="155"/>
      <c r="F46" s="155"/>
    </row>
    <row r="47" spans="1:6" s="119" customFormat="1" ht="33">
      <c r="A47" s="153">
        <v>43</v>
      </c>
      <c r="B47" s="154" t="s">
        <v>191</v>
      </c>
      <c r="C47" s="155" t="s">
        <v>192</v>
      </c>
      <c r="D47" s="155" t="s">
        <v>171</v>
      </c>
      <c r="E47" s="155"/>
      <c r="F47" s="155"/>
    </row>
    <row r="48" spans="1:6" s="119" customFormat="1" ht="33">
      <c r="A48" s="153">
        <v>44</v>
      </c>
      <c r="B48" s="154" t="s">
        <v>193</v>
      </c>
      <c r="C48" s="155" t="s">
        <v>194</v>
      </c>
      <c r="D48" s="155" t="s">
        <v>171</v>
      </c>
      <c r="E48" s="155"/>
      <c r="F48" s="155"/>
    </row>
    <row r="49" spans="1:6" s="119" customFormat="1" ht="33">
      <c r="A49" s="153">
        <v>45</v>
      </c>
      <c r="B49" s="154" t="s">
        <v>195</v>
      </c>
      <c r="C49" s="155" t="s">
        <v>196</v>
      </c>
      <c r="D49" s="155" t="s">
        <v>171</v>
      </c>
      <c r="E49" s="155"/>
      <c r="F49" s="155"/>
    </row>
    <row r="50" spans="1:6" s="119" customFormat="1" ht="33">
      <c r="A50" s="156"/>
      <c r="B50" s="154" t="s">
        <v>197</v>
      </c>
      <c r="C50" s="155" t="s">
        <v>198</v>
      </c>
      <c r="D50" s="155"/>
      <c r="E50" s="155"/>
      <c r="F50" s="155"/>
    </row>
    <row r="51" spans="1:6" s="119" customFormat="1" ht="33">
      <c r="A51" s="156"/>
      <c r="B51" s="154" t="s">
        <v>199</v>
      </c>
      <c r="C51" s="155" t="s">
        <v>200</v>
      </c>
      <c r="D51" s="155"/>
      <c r="E51" s="155"/>
      <c r="F51" s="155"/>
    </row>
    <row r="52" spans="1:6" s="119" customFormat="1" ht="33">
      <c r="A52" s="156"/>
      <c r="B52" s="154" t="s">
        <v>201</v>
      </c>
      <c r="C52" s="155" t="s">
        <v>202</v>
      </c>
      <c r="D52" s="155"/>
      <c r="E52" s="155"/>
      <c r="F52" s="155"/>
    </row>
    <row r="53" spans="1:6" s="119" customFormat="1" ht="33">
      <c r="A53" s="156"/>
      <c r="B53" s="154" t="s">
        <v>203</v>
      </c>
      <c r="C53" s="155" t="s">
        <v>204</v>
      </c>
      <c r="D53" s="155"/>
      <c r="E53" s="155"/>
      <c r="F53" s="155"/>
    </row>
    <row r="54" spans="1:6" s="119" customFormat="1" ht="33">
      <c r="A54" s="157"/>
      <c r="B54" s="154" t="s">
        <v>205</v>
      </c>
      <c r="C54" s="155" t="s">
        <v>206</v>
      </c>
      <c r="D54" s="158"/>
      <c r="E54" s="158"/>
      <c r="F54" s="158"/>
    </row>
    <row r="55" spans="1:6" s="119" customFormat="1" ht="33">
      <c r="A55" s="157"/>
      <c r="B55" s="154" t="s">
        <v>207</v>
      </c>
      <c r="C55" s="155" t="s">
        <v>208</v>
      </c>
      <c r="D55" s="158"/>
      <c r="E55" s="158"/>
      <c r="F55" s="158"/>
    </row>
    <row r="56" spans="1:6" s="119" customFormat="1" ht="15.75">
      <c r="A56" s="157"/>
      <c r="B56" s="152" t="s">
        <v>209</v>
      </c>
      <c r="C56" s="152" t="s">
        <v>210</v>
      </c>
      <c r="D56" s="158"/>
      <c r="E56" s="158"/>
      <c r="F56" s="158"/>
    </row>
    <row r="57" spans="1:6" s="119" customFormat="1" ht="15.75">
      <c r="A57" s="157"/>
      <c r="B57" s="152" t="s">
        <v>211</v>
      </c>
      <c r="C57" s="152" t="s">
        <v>212</v>
      </c>
      <c r="D57" s="158"/>
      <c r="E57" s="158"/>
      <c r="F57" s="158"/>
    </row>
    <row r="58" spans="1:6" s="119" customFormat="1" ht="15.75">
      <c r="A58" s="157"/>
      <c r="B58" s="152" t="s">
        <v>213</v>
      </c>
      <c r="C58" s="152" t="s">
        <v>214</v>
      </c>
      <c r="D58" s="158"/>
      <c r="E58" s="158"/>
      <c r="F58" s="158"/>
    </row>
  </sheetData>
  <mergeCells count="7">
    <mergeCell ref="A1:F1"/>
    <mergeCell ref="A3:A4"/>
    <mergeCell ref="B3:B4"/>
    <mergeCell ref="C3:C4"/>
    <mergeCell ref="D3:D4"/>
    <mergeCell ref="E3:E4"/>
    <mergeCell ref="F3:F4"/>
  </mergeCells>
  <conditionalFormatting sqref="B5:B19 B21:B29">
    <cfRule type="expression" dxfId="24" priority="2" stopIfTrue="1">
      <formula>AND(COUNTIF($B$5:$B$19, B5)+COUNTIF($B$21:$B$29, B5)&gt;1,NOT(ISBLANK(B5)))</formula>
    </cfRule>
  </conditionalFormatting>
  <conditionalFormatting sqref="B20">
    <cfRule type="duplicateValues" dxfId="23" priority="1"/>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AE59"/>
  <sheetViews>
    <sheetView tabSelected="1" view="pageBreakPreview" topLeftCell="A36" zoomScaleNormal="100" zoomScaleSheetLayoutView="100" zoomScalePageLayoutView="85" workbookViewId="0">
      <selection activeCell="J52" activeCellId="1" sqref="P8:P53 J52"/>
    </sheetView>
  </sheetViews>
  <sheetFormatPr defaultColWidth="11.42578125" defaultRowHeight="15.75"/>
  <cols>
    <col min="1" max="1" width="5" style="235" customWidth="1"/>
    <col min="2" max="2" width="12" style="235" customWidth="1"/>
    <col min="3" max="3" width="92.42578125" style="235" customWidth="1"/>
    <col min="4" max="4" width="64.42578125" style="235" hidden="1" customWidth="1"/>
    <col min="5" max="5" width="29.140625" style="235" hidden="1" customWidth="1"/>
    <col min="6" max="6" width="12.42578125" style="231" customWidth="1"/>
    <col min="7" max="9" width="11.28515625" style="231" customWidth="1"/>
    <col min="10" max="10" width="52.42578125" style="236" customWidth="1"/>
    <col min="11" max="11" width="47.42578125" style="237" customWidth="1"/>
    <col min="12" max="13" width="9.42578125" style="250" customWidth="1"/>
    <col min="14" max="14" width="8.7109375" style="250" customWidth="1"/>
    <col min="15" max="15" width="10.42578125" style="231" customWidth="1"/>
    <col min="16" max="16" width="11.42578125" style="231" customWidth="1"/>
    <col min="17" max="17" width="13.28515625" style="231" customWidth="1"/>
    <col min="18" max="18" width="13.7109375" style="231" hidden="1" customWidth="1"/>
    <col min="19" max="19" width="6.85546875" style="231" customWidth="1"/>
    <col min="20" max="22" width="7.7109375" style="230" bestFit="1" customWidth="1"/>
    <col min="23" max="23" width="9.42578125" style="230" customWidth="1"/>
    <col min="24" max="25" width="7.7109375" style="230" bestFit="1" customWidth="1"/>
    <col min="26" max="26" width="8.42578125" style="230" customWidth="1"/>
    <col min="27" max="27" width="9.42578125" style="230" customWidth="1"/>
    <col min="28" max="28" width="7.28515625" style="230" customWidth="1"/>
    <col min="29" max="16384" width="11.42578125" style="231"/>
  </cols>
  <sheetData>
    <row r="1" spans="1:28" ht="20.25" customHeight="1">
      <c r="A1" s="330" t="s">
        <v>215</v>
      </c>
      <c r="B1" s="330"/>
      <c r="C1" s="330"/>
      <c r="D1" s="330"/>
      <c r="E1" s="330"/>
      <c r="F1" s="330"/>
      <c r="G1" s="330"/>
      <c r="H1" s="330"/>
      <c r="I1" s="330"/>
      <c r="J1" s="330"/>
      <c r="K1" s="330"/>
      <c r="L1" s="330"/>
      <c r="M1" s="330"/>
      <c r="N1" s="330"/>
      <c r="O1" s="330"/>
      <c r="P1" s="330"/>
      <c r="Q1" s="330"/>
      <c r="R1" s="330"/>
      <c r="S1" s="330"/>
    </row>
    <row r="2" spans="1:28" ht="18.75">
      <c r="A2" s="331" t="s">
        <v>31</v>
      </c>
      <c r="B2" s="331"/>
      <c r="C2" s="331"/>
      <c r="D2" s="331"/>
      <c r="E2" s="331"/>
      <c r="F2" s="331"/>
      <c r="G2" s="331"/>
      <c r="H2" s="331"/>
      <c r="I2" s="331"/>
      <c r="J2" s="331"/>
      <c r="K2" s="331"/>
      <c r="L2" s="331"/>
      <c r="M2" s="331"/>
      <c r="N2" s="331"/>
      <c r="O2" s="331"/>
      <c r="P2" s="331"/>
      <c r="Q2" s="331"/>
      <c r="R2" s="331"/>
      <c r="S2" s="331"/>
    </row>
    <row r="3" spans="1:28" ht="18.75">
      <c r="A3" s="287" t="s">
        <v>216</v>
      </c>
      <c r="B3" s="232"/>
      <c r="C3" s="232"/>
      <c r="D3" s="232"/>
      <c r="E3" s="232"/>
      <c r="F3" s="286"/>
      <c r="G3" s="286"/>
      <c r="H3" s="286"/>
      <c r="I3" s="286"/>
      <c r="J3" s="233"/>
      <c r="K3" s="234"/>
      <c r="L3" s="286"/>
      <c r="M3" s="286"/>
      <c r="N3" s="286"/>
      <c r="O3" s="286"/>
      <c r="P3" s="286"/>
      <c r="Q3" s="286"/>
      <c r="R3" s="286"/>
    </row>
    <row r="4" spans="1:28" ht="51" customHeight="1">
      <c r="A4" s="332" t="s">
        <v>217</v>
      </c>
      <c r="B4" s="332"/>
      <c r="C4" s="332"/>
      <c r="D4" s="332"/>
      <c r="E4" s="332"/>
      <c r="F4" s="332"/>
      <c r="G4" s="332"/>
      <c r="H4" s="332"/>
      <c r="I4" s="332"/>
      <c r="J4" s="332"/>
      <c r="K4" s="332"/>
      <c r="L4" s="332"/>
      <c r="M4" s="332"/>
      <c r="N4" s="332"/>
      <c r="O4" s="332"/>
      <c r="P4" s="332"/>
      <c r="Q4" s="332"/>
      <c r="R4" s="332"/>
    </row>
    <row r="5" spans="1:28" s="235" customFormat="1">
      <c r="J5" s="236"/>
      <c r="K5" s="237"/>
      <c r="L5" s="236"/>
      <c r="M5" s="236"/>
      <c r="N5" s="236"/>
      <c r="T5" s="238"/>
      <c r="U5" s="238"/>
      <c r="V5" s="238"/>
      <c r="W5" s="238"/>
      <c r="X5" s="238"/>
      <c r="Y5" s="238"/>
      <c r="Z5" s="238"/>
      <c r="AA5" s="238"/>
      <c r="AB5" s="238"/>
    </row>
    <row r="6" spans="1:28" s="236" customFormat="1" ht="31.5" customHeight="1">
      <c r="A6" s="333" t="s">
        <v>218</v>
      </c>
      <c r="B6" s="326" t="s">
        <v>219</v>
      </c>
      <c r="C6" s="335" t="s">
        <v>220</v>
      </c>
      <c r="D6" s="326" t="s">
        <v>221</v>
      </c>
      <c r="E6" s="326" t="s">
        <v>222</v>
      </c>
      <c r="F6" s="337" t="s">
        <v>223</v>
      </c>
      <c r="G6" s="338"/>
      <c r="H6" s="338"/>
      <c r="I6" s="339"/>
      <c r="J6" s="337"/>
      <c r="K6" s="339"/>
      <c r="L6" s="337" t="s">
        <v>224</v>
      </c>
      <c r="M6" s="338"/>
      <c r="N6" s="338"/>
      <c r="O6" s="339"/>
      <c r="P6" s="326" t="s">
        <v>225</v>
      </c>
      <c r="Q6" s="326" t="s">
        <v>226</v>
      </c>
      <c r="R6" s="326" t="s">
        <v>227</v>
      </c>
      <c r="S6" s="326" t="s">
        <v>228</v>
      </c>
      <c r="T6" s="328" t="s">
        <v>229</v>
      </c>
      <c r="U6" s="328"/>
      <c r="V6" s="328"/>
      <c r="W6" s="328" t="s">
        <v>230</v>
      </c>
      <c r="X6" s="328"/>
      <c r="Y6" s="328"/>
      <c r="Z6" s="328" t="s">
        <v>231</v>
      </c>
      <c r="AA6" s="328"/>
      <c r="AB6" s="328"/>
    </row>
    <row r="7" spans="1:28" s="236" customFormat="1" ht="84.95" customHeight="1" thickBot="1">
      <c r="A7" s="334"/>
      <c r="B7" s="327"/>
      <c r="C7" s="336"/>
      <c r="D7" s="327"/>
      <c r="E7" s="327"/>
      <c r="F7" s="267" t="s">
        <v>232</v>
      </c>
      <c r="G7" s="241" t="s">
        <v>41</v>
      </c>
      <c r="H7" s="241" t="s">
        <v>43</v>
      </c>
      <c r="I7" s="241" t="s">
        <v>45</v>
      </c>
      <c r="J7" s="240" t="s">
        <v>233</v>
      </c>
      <c r="K7" s="240" t="s">
        <v>70</v>
      </c>
      <c r="L7" s="240" t="s">
        <v>41</v>
      </c>
      <c r="M7" s="240" t="s">
        <v>43</v>
      </c>
      <c r="N7" s="240" t="s">
        <v>45</v>
      </c>
      <c r="O7" s="239" t="s">
        <v>234</v>
      </c>
      <c r="P7" s="327"/>
      <c r="Q7" s="327"/>
      <c r="R7" s="327"/>
      <c r="S7" s="327"/>
      <c r="T7" s="241" t="s">
        <v>41</v>
      </c>
      <c r="U7" s="241" t="s">
        <v>43</v>
      </c>
      <c r="V7" s="241" t="s">
        <v>45</v>
      </c>
      <c r="W7" s="241" t="s">
        <v>41</v>
      </c>
      <c r="X7" s="241" t="s">
        <v>43</v>
      </c>
      <c r="Y7" s="241" t="s">
        <v>45</v>
      </c>
      <c r="Z7" s="241" t="s">
        <v>41</v>
      </c>
      <c r="AA7" s="241" t="s">
        <v>43</v>
      </c>
      <c r="AB7" s="241" t="s">
        <v>45</v>
      </c>
    </row>
    <row r="8" spans="1:28" ht="19.5" thickBot="1">
      <c r="A8" s="246">
        <v>1</v>
      </c>
      <c r="B8" s="269"/>
      <c r="C8" s="305" t="s">
        <v>235</v>
      </c>
      <c r="D8" s="190"/>
      <c r="E8" s="276"/>
      <c r="F8" s="268">
        <f t="shared" ref="F8:F33" si="0">O8*(1-P8)</f>
        <v>5.4</v>
      </c>
      <c r="G8" s="268">
        <f t="shared" ref="G8:G26" si="1">_xlfn.IFNA(L8*(1-$P8),0)</f>
        <v>5.4</v>
      </c>
      <c r="H8" s="268">
        <f t="shared" ref="H8:H26" si="2">_xlfn.IFNA(M8*(1-$P8),0)</f>
        <v>0</v>
      </c>
      <c r="I8" s="268">
        <f t="shared" ref="I8:I26" si="3">_xlfn.IFNA(N8*(1-$P8),0)</f>
        <v>0</v>
      </c>
      <c r="J8" s="297" t="s">
        <v>236</v>
      </c>
      <c r="K8" s="244" t="str">
        <f>IF(J8="","",VLOOKUP(J8,'Định nghĩa Loại Chức năng'!$B$4:$C$63,2,FALSE))</f>
        <v>Khảo sát nghiệp vụ bài toán trung bình</v>
      </c>
      <c r="L8" s="245">
        <f>_xlfn.IFNA(IF(J8="","",VLOOKUP(J8&amp;$L$7,CSDL_CN!$E$4:$F$40,2,FALSE)),0)</f>
        <v>6</v>
      </c>
      <c r="M8" s="245">
        <f>_xlfn.IFNA(IF(J8="","",VLOOKUP(J8&amp;$M$7,CSDL_CN!$E$4:$F$40,2,FALSE)),0)</f>
        <v>0</v>
      </c>
      <c r="N8" s="245">
        <f>_xlfn.IFNA(IF(J8="","",VLOOKUP(J8&amp;$N$7,CSDL_CN!$E$4:$F$40,2,FALSE)),0)</f>
        <v>0</v>
      </c>
      <c r="O8" s="245">
        <f t="array" ref="O8">SUM(IFERROR(L8:N8,0))</f>
        <v>6</v>
      </c>
      <c r="P8" s="275">
        <v>0.1</v>
      </c>
      <c r="Q8" s="280"/>
      <c r="R8" s="246"/>
      <c r="S8" s="247"/>
      <c r="T8" s="248" t="s">
        <v>237</v>
      </c>
      <c r="U8" s="248" t="s">
        <v>237</v>
      </c>
      <c r="V8" s="248" t="s">
        <v>237</v>
      </c>
      <c r="W8" s="249" t="str">
        <f>IF(T8="Có",L8*(1-$P8)*0.37,"")</f>
        <v/>
      </c>
      <c r="X8" s="249" t="str">
        <f t="shared" ref="X8:X26" si="4">IF(U8="Có",M8*(1-$P8),"")</f>
        <v/>
      </c>
      <c r="Y8" s="249" t="str">
        <f t="shared" ref="Y8:Y26" si="5">IF(V8="Có",N8*(1-$P8),"")</f>
        <v/>
      </c>
      <c r="Z8" s="249">
        <f t="shared" ref="Z8:Z33" si="6">IF(L8="","",IF(W8="",L8*(1-$P8),L8*(1-$P8)-W8))</f>
        <v>5.4</v>
      </c>
      <c r="AA8" s="249">
        <f>IF(OR(M8="",U8="Có"),"",IF(X8="",M8*(1-$P8),M8*(1-$P8)-X8))</f>
        <v>0</v>
      </c>
      <c r="AB8" s="249">
        <f>IF(OR(N8="",V8="Có"),"",IF(Y8="",N8*(1-$P8),N8*(1-$P8)-Y8))</f>
        <v>0</v>
      </c>
    </row>
    <row r="9" spans="1:28" ht="32.25" thickBot="1">
      <c r="A9" s="246">
        <v>2</v>
      </c>
      <c r="B9" s="272"/>
      <c r="C9" s="306" t="s">
        <v>238</v>
      </c>
      <c r="D9" s="190"/>
      <c r="E9" s="271"/>
      <c r="F9" s="268">
        <f t="shared" si="0"/>
        <v>5.4</v>
      </c>
      <c r="G9" s="268">
        <f t="shared" si="1"/>
        <v>5.4</v>
      </c>
      <c r="H9" s="268">
        <f t="shared" si="2"/>
        <v>0</v>
      </c>
      <c r="I9" s="268">
        <f t="shared" si="3"/>
        <v>0</v>
      </c>
      <c r="J9" s="297" t="s">
        <v>236</v>
      </c>
      <c r="K9" s="244" t="str">
        <f>IF(J9="","",VLOOKUP(J9,'Định nghĩa Loại Chức năng'!$B$4:$C$63,2,FALSE))</f>
        <v>Khảo sát nghiệp vụ bài toán trung bình</v>
      </c>
      <c r="L9" s="245">
        <f>_xlfn.IFNA(IF(J9="","",VLOOKUP(J9&amp;$L$7,CSDL_CN!$E$4:$F$40,2,FALSE)),0)</f>
        <v>6</v>
      </c>
      <c r="M9" s="245">
        <f>_xlfn.IFNA(IF(J9="","",VLOOKUP(J9&amp;$M$7,CSDL_CN!$E$4:$F$40,2,FALSE)),0)</f>
        <v>0</v>
      </c>
      <c r="N9" s="245">
        <f>_xlfn.IFNA(IF(J9="","",VLOOKUP(J9&amp;$N$7,CSDL_CN!$E$4:$F$40,2,FALSE)),0)</f>
        <v>0</v>
      </c>
      <c r="O9" s="245">
        <f t="array" ref="O9">SUM(IFERROR(L9:N9,0))</f>
        <v>6</v>
      </c>
      <c r="P9" s="275">
        <v>0.1</v>
      </c>
      <c r="Q9" s="280"/>
      <c r="R9" s="246"/>
      <c r="S9" s="247"/>
      <c r="T9" s="248" t="s">
        <v>237</v>
      </c>
      <c r="U9" s="248" t="s">
        <v>237</v>
      </c>
      <c r="V9" s="248" t="s">
        <v>237</v>
      </c>
      <c r="W9" s="249" t="str">
        <f>IF(T9="Có",L9*(1-$P9)*0.37,"")</f>
        <v/>
      </c>
      <c r="X9" s="249" t="str">
        <f t="shared" si="4"/>
        <v/>
      </c>
      <c r="Y9" s="249" t="str">
        <f t="shared" si="5"/>
        <v/>
      </c>
      <c r="Z9" s="249">
        <f t="shared" si="6"/>
        <v>5.4</v>
      </c>
      <c r="AA9" s="249">
        <f t="shared" ref="AA9:AB14" si="7">IF(OR(M9="",U9="Có"),"",IF(X9="",M9*(1-$P9),M9*(1-$P9)-X9))</f>
        <v>0</v>
      </c>
      <c r="AB9" s="249">
        <f t="shared" si="7"/>
        <v>0</v>
      </c>
    </row>
    <row r="10" spans="1:28" ht="19.5" thickBot="1">
      <c r="A10" s="246">
        <v>3</v>
      </c>
      <c r="B10" s="270"/>
      <c r="C10" s="306" t="s">
        <v>239</v>
      </c>
      <c r="D10" s="190"/>
      <c r="E10" s="303"/>
      <c r="F10" s="268">
        <f t="shared" si="0"/>
        <v>5.4</v>
      </c>
      <c r="G10" s="268">
        <f t="shared" si="1"/>
        <v>5.4</v>
      </c>
      <c r="H10" s="268">
        <f t="shared" si="2"/>
        <v>0</v>
      </c>
      <c r="I10" s="268">
        <f t="shared" si="3"/>
        <v>0</v>
      </c>
      <c r="J10" s="297" t="s">
        <v>236</v>
      </c>
      <c r="K10" s="244" t="str">
        <f>IF(J10="","",VLOOKUP(J10,'Định nghĩa Loại Chức năng'!$B$4:$C$63,2,FALSE))</f>
        <v>Khảo sát nghiệp vụ bài toán trung bình</v>
      </c>
      <c r="L10" s="245">
        <f>_xlfn.IFNA(IF(J10="","",VLOOKUP(J10&amp;$L$7,CSDL_CN!$E$4:$F$40,2,FALSE)),0)</f>
        <v>6</v>
      </c>
      <c r="M10" s="245">
        <f>_xlfn.IFNA(IF(J10="","",VLOOKUP(J10&amp;$M$7,CSDL_CN!$E$4:$F$40,2,FALSE)),0)</f>
        <v>0</v>
      </c>
      <c r="N10" s="245">
        <f>_xlfn.IFNA(IF(J10="","",VLOOKUP(J10&amp;$N$7,CSDL_CN!$E$4:$F$40,2,FALSE)),0)</f>
        <v>0</v>
      </c>
      <c r="O10" s="245">
        <f t="array" ref="O10">SUM(IFERROR(L10:N10,0))</f>
        <v>6</v>
      </c>
      <c r="P10" s="275">
        <v>0.1</v>
      </c>
      <c r="Q10" s="280"/>
      <c r="R10" s="246"/>
      <c r="S10" s="247"/>
      <c r="T10" s="248" t="s">
        <v>237</v>
      </c>
      <c r="U10" s="248" t="s">
        <v>237</v>
      </c>
      <c r="V10" s="248" t="s">
        <v>237</v>
      </c>
      <c r="W10" s="249" t="str">
        <f t="shared" ref="W10:W26" si="8">IF(T10="Có",L10*(1-$P10),"")</f>
        <v/>
      </c>
      <c r="X10" s="249" t="str">
        <f t="shared" si="4"/>
        <v/>
      </c>
      <c r="Y10" s="249" t="str">
        <f t="shared" si="5"/>
        <v/>
      </c>
      <c r="Z10" s="249">
        <f t="shared" si="6"/>
        <v>5.4</v>
      </c>
      <c r="AA10" s="249">
        <f t="shared" si="7"/>
        <v>0</v>
      </c>
      <c r="AB10" s="249">
        <f t="shared" si="7"/>
        <v>0</v>
      </c>
    </row>
    <row r="11" spans="1:28" ht="35.25" customHeight="1" thickBot="1">
      <c r="A11" s="246">
        <v>4</v>
      </c>
      <c r="B11" s="270"/>
      <c r="C11" s="306" t="s">
        <v>240</v>
      </c>
      <c r="D11" s="190"/>
      <c r="E11" s="303"/>
      <c r="F11" s="268">
        <f t="shared" si="0"/>
        <v>5.4</v>
      </c>
      <c r="G11" s="268">
        <f t="shared" si="1"/>
        <v>5.4</v>
      </c>
      <c r="H11" s="268">
        <f t="shared" si="2"/>
        <v>0</v>
      </c>
      <c r="I11" s="268">
        <f t="shared" si="3"/>
        <v>0</v>
      </c>
      <c r="J11" s="297" t="s">
        <v>236</v>
      </c>
      <c r="K11" s="244" t="str">
        <f>IF(J11="","",VLOOKUP(J11,'Định nghĩa Loại Chức năng'!$B$4:$C$63,2,FALSE))</f>
        <v>Khảo sát nghiệp vụ bài toán trung bình</v>
      </c>
      <c r="L11" s="245">
        <f>_xlfn.IFNA(IF(J11="","",VLOOKUP(J11&amp;$L$7,CSDL_CN!$E$4:$F$40,2,FALSE)),0)</f>
        <v>6</v>
      </c>
      <c r="M11" s="245">
        <f>_xlfn.IFNA(IF(J11="","",VLOOKUP(J11&amp;$M$7,CSDL_CN!$E$4:$F$40,2,FALSE)),0)</f>
        <v>0</v>
      </c>
      <c r="N11" s="245">
        <f>_xlfn.IFNA(IF(J11="","",VLOOKUP(J11&amp;$N$7,CSDL_CN!$E$4:$F$40,2,FALSE)),0)</f>
        <v>0</v>
      </c>
      <c r="O11" s="245">
        <f t="array" ref="O11">SUM(IFERROR(L11:N11,0))</f>
        <v>6</v>
      </c>
      <c r="P11" s="275">
        <v>0.1</v>
      </c>
      <c r="Q11" s="280"/>
      <c r="R11" s="246"/>
      <c r="S11" s="247"/>
      <c r="T11" s="248" t="s">
        <v>237</v>
      </c>
      <c r="U11" s="248" t="s">
        <v>237</v>
      </c>
      <c r="V11" s="248" t="s">
        <v>237</v>
      </c>
      <c r="W11" s="249" t="str">
        <f t="shared" si="8"/>
        <v/>
      </c>
      <c r="X11" s="249" t="str">
        <f t="shared" si="4"/>
        <v/>
      </c>
      <c r="Y11" s="249" t="str">
        <f t="shared" si="5"/>
        <v/>
      </c>
      <c r="Z11" s="249">
        <f t="shared" si="6"/>
        <v>5.4</v>
      </c>
      <c r="AA11" s="249">
        <f t="shared" si="7"/>
        <v>0</v>
      </c>
      <c r="AB11" s="249">
        <f t="shared" si="7"/>
        <v>0</v>
      </c>
    </row>
    <row r="12" spans="1:28" ht="35.25" customHeight="1" thickBot="1">
      <c r="A12" s="246">
        <v>5</v>
      </c>
      <c r="B12" s="270"/>
      <c r="C12" s="306" t="s">
        <v>241</v>
      </c>
      <c r="D12" s="190"/>
      <c r="E12" s="303"/>
      <c r="F12" s="268">
        <f t="shared" si="0"/>
        <v>1.8</v>
      </c>
      <c r="G12" s="268">
        <f t="shared" si="1"/>
        <v>0</v>
      </c>
      <c r="H12" s="268">
        <f t="shared" si="2"/>
        <v>1.8</v>
      </c>
      <c r="I12" s="268">
        <f t="shared" si="3"/>
        <v>0</v>
      </c>
      <c r="J12" s="299" t="s">
        <v>242</v>
      </c>
      <c r="K12" s="244" t="str">
        <f>IF(J12="","",VLOOKUP(J12,'Định nghĩa Loại Chức năng'!$B$4:$C$63,2,FALSE))</f>
        <v>Tìm hiểu đặc tính các trường dữ liệu</v>
      </c>
      <c r="L12" s="245">
        <f>_xlfn.IFNA(IF(J12="","",VLOOKUP(J12&amp;$L$7,CSDL_CN!$E$4:$F$40,2,FALSE)),0)</f>
        <v>0</v>
      </c>
      <c r="M12" s="245">
        <f>_xlfn.IFNA(IF(J12="","",VLOOKUP(J12&amp;$M$7,CSDL_CN!$E$4:$F$40,2,FALSE)),0)</f>
        <v>2</v>
      </c>
      <c r="N12" s="245">
        <f>_xlfn.IFNA(IF(J12="","",VLOOKUP(J12&amp;$N$7,CSDL_CN!$E$4:$F$40,2,FALSE)),0)</f>
        <v>0</v>
      </c>
      <c r="O12" s="245">
        <f t="array" ref="O12">SUM(IFERROR(L12:N12,0))</f>
        <v>2</v>
      </c>
      <c r="P12" s="275">
        <v>0.1</v>
      </c>
      <c r="Q12" s="280"/>
      <c r="R12" s="246"/>
      <c r="S12" s="247"/>
      <c r="T12" s="248" t="s">
        <v>237</v>
      </c>
      <c r="U12" s="248" t="s">
        <v>237</v>
      </c>
      <c r="V12" s="248" t="s">
        <v>237</v>
      </c>
      <c r="W12" s="249" t="str">
        <f t="shared" si="8"/>
        <v/>
      </c>
      <c r="X12" s="249" t="str">
        <f t="shared" si="4"/>
        <v/>
      </c>
      <c r="Y12" s="249" t="str">
        <f t="shared" si="5"/>
        <v/>
      </c>
      <c r="Z12" s="249">
        <f t="shared" si="6"/>
        <v>0</v>
      </c>
      <c r="AA12" s="249">
        <f>IF(OR(M12="",U12="Có"),"",IF(X12="",M12*(1-$P12),M12*(1-$P12)-X12))</f>
        <v>1.8</v>
      </c>
      <c r="AB12" s="249">
        <f>IF(OR(N12="",V12="Có"),"",IF(Y12="",N12*(1-$P12),N12*(1-$P12)-Y12))</f>
        <v>0</v>
      </c>
    </row>
    <row r="13" spans="1:28" ht="36" customHeight="1" thickBot="1">
      <c r="A13" s="246">
        <v>6</v>
      </c>
      <c r="B13" s="270"/>
      <c r="C13" s="307" t="s">
        <v>243</v>
      </c>
      <c r="D13" s="190"/>
      <c r="E13" s="303"/>
      <c r="F13" s="268">
        <f t="shared" si="0"/>
        <v>1.8</v>
      </c>
      <c r="G13" s="268">
        <f t="shared" si="1"/>
        <v>0</v>
      </c>
      <c r="H13" s="268">
        <f t="shared" si="2"/>
        <v>1.8</v>
      </c>
      <c r="I13" s="268">
        <f t="shared" si="3"/>
        <v>0</v>
      </c>
      <c r="J13" s="299" t="s">
        <v>244</v>
      </c>
      <c r="K13" s="244" t="str">
        <f>IF(J13="","",VLOOKUP(J13,'Định nghĩa Loại Chức năng'!$B$4:$C$63,2,FALSE))</f>
        <v>Thực hiện feature engineering</v>
      </c>
      <c r="L13" s="245">
        <f>_xlfn.IFNA(IF(J13="","",VLOOKUP(J13&amp;$L$7,CSDL_CN!$E$4:$F$40,2,FALSE)),0)</f>
        <v>0</v>
      </c>
      <c r="M13" s="245">
        <f>_xlfn.IFNA(IF(J13="","",VLOOKUP(J13&amp;$M$7,CSDL_CN!$E$4:$F$40,2,FALSE)),0)</f>
        <v>2</v>
      </c>
      <c r="N13" s="245">
        <f>_xlfn.IFNA(IF(J13="","",VLOOKUP(J13&amp;$N$7,CSDL_CN!$E$4:$F$40,2,FALSE)),0)</f>
        <v>0</v>
      </c>
      <c r="O13" s="245">
        <f t="array" ref="O13">SUM(IFERROR(L13:N13,0))</f>
        <v>2</v>
      </c>
      <c r="P13" s="275">
        <v>0.1</v>
      </c>
      <c r="Q13" s="280"/>
      <c r="R13" s="246"/>
      <c r="S13" s="247"/>
      <c r="T13" s="248" t="s">
        <v>237</v>
      </c>
      <c r="U13" s="248" t="s">
        <v>237</v>
      </c>
      <c r="V13" s="248" t="s">
        <v>237</v>
      </c>
      <c r="W13" s="249" t="str">
        <f t="shared" si="8"/>
        <v/>
      </c>
      <c r="X13" s="249" t="str">
        <f t="shared" si="4"/>
        <v/>
      </c>
      <c r="Y13" s="249" t="str">
        <f t="shared" si="5"/>
        <v/>
      </c>
      <c r="Z13" s="249">
        <f t="shared" si="6"/>
        <v>0</v>
      </c>
      <c r="AA13" s="249">
        <f t="shared" si="7"/>
        <v>1.8</v>
      </c>
      <c r="AB13" s="249">
        <f t="shared" si="7"/>
        <v>0</v>
      </c>
    </row>
    <row r="14" spans="1:28" ht="19.5" thickBot="1">
      <c r="A14" s="246">
        <v>7</v>
      </c>
      <c r="B14" s="270"/>
      <c r="C14" s="306" t="s">
        <v>245</v>
      </c>
      <c r="D14" s="190"/>
      <c r="E14" s="303"/>
      <c r="F14" s="268">
        <f t="shared" si="0"/>
        <v>4.05</v>
      </c>
      <c r="G14" s="268">
        <f t="shared" si="1"/>
        <v>0</v>
      </c>
      <c r="H14" s="268">
        <f t="shared" si="2"/>
        <v>4.05</v>
      </c>
      <c r="I14" s="268">
        <f t="shared" si="3"/>
        <v>0</v>
      </c>
      <c r="J14" s="300" t="s">
        <v>246</v>
      </c>
      <c r="K14" s="244" t="str">
        <f>IF(J14="","",VLOOKUP(J14,'Định nghĩa Loại Chức năng'!$B$4:$C$63,2,FALSE))</f>
        <v>Tổng hợp dữ liệu đơn giản</v>
      </c>
      <c r="L14" s="245">
        <f>_xlfn.IFNA(IF(J14="","",VLOOKUP(J14&amp;$L$7,CSDL_CN!$E$4:$F$40,2,FALSE)),0)</f>
        <v>0</v>
      </c>
      <c r="M14" s="245">
        <f>_xlfn.IFNA(IF(J14="","",VLOOKUP(J14&amp;$M$7,CSDL_CN!$E$4:$F$40,2,FALSE)),0)</f>
        <v>4.5</v>
      </c>
      <c r="N14" s="245">
        <f>_xlfn.IFNA(IF(J14="","",VLOOKUP(J14&amp;$N$7,CSDL_CN!$E$4:$F$40,2,FALSE)),0)</f>
        <v>0</v>
      </c>
      <c r="O14" s="245">
        <f t="array" ref="O14">SUM(IFERROR(L14:N14,0))</f>
        <v>4.5</v>
      </c>
      <c r="P14" s="275">
        <v>0.1</v>
      </c>
      <c r="Q14" s="280"/>
      <c r="R14" s="246"/>
      <c r="S14" s="247"/>
      <c r="T14" s="248" t="s">
        <v>237</v>
      </c>
      <c r="U14" s="248" t="s">
        <v>237</v>
      </c>
      <c r="V14" s="248" t="s">
        <v>237</v>
      </c>
      <c r="W14" s="249" t="str">
        <f t="shared" si="8"/>
        <v/>
      </c>
      <c r="X14" s="249" t="str">
        <f t="shared" si="4"/>
        <v/>
      </c>
      <c r="Y14" s="249" t="str">
        <f t="shared" si="5"/>
        <v/>
      </c>
      <c r="Z14" s="249">
        <f t="shared" si="6"/>
        <v>0</v>
      </c>
      <c r="AA14" s="249">
        <f t="shared" si="7"/>
        <v>4.05</v>
      </c>
      <c r="AB14" s="249">
        <f t="shared" si="7"/>
        <v>0</v>
      </c>
    </row>
    <row r="15" spans="1:28" ht="19.5" thickBot="1">
      <c r="A15" s="246">
        <v>8</v>
      </c>
      <c r="B15" s="270"/>
      <c r="C15" s="306" t="s">
        <v>247</v>
      </c>
      <c r="D15" s="190"/>
      <c r="E15" s="303"/>
      <c r="F15" s="268">
        <f t="shared" si="0"/>
        <v>1.8</v>
      </c>
      <c r="G15" s="268">
        <f t="shared" si="1"/>
        <v>0</v>
      </c>
      <c r="H15" s="268">
        <f t="shared" si="2"/>
        <v>1.8</v>
      </c>
      <c r="I15" s="268">
        <f t="shared" si="3"/>
        <v>0</v>
      </c>
      <c r="J15" s="299" t="s">
        <v>244</v>
      </c>
      <c r="K15" s="244" t="str">
        <f>IF(J15="","",VLOOKUP(J15,'Định nghĩa Loại Chức năng'!$B$4:$C$63,2,FALSE))</f>
        <v>Thực hiện feature engineering</v>
      </c>
      <c r="L15" s="245">
        <f>_xlfn.IFNA(IF(J15="","",VLOOKUP(J15&amp;$L$7,CSDL_CN!$E$4:$F$40,2,FALSE)),0)</f>
        <v>0</v>
      </c>
      <c r="M15" s="245">
        <f>_xlfn.IFNA(IF(J15="","",VLOOKUP(J15&amp;$M$7,CSDL_CN!$E$4:$F$40,2,FALSE)),0)</f>
        <v>2</v>
      </c>
      <c r="N15" s="245">
        <f>_xlfn.IFNA(IF(J15="","",VLOOKUP(J15&amp;$N$7,CSDL_CN!$E$4:$F$40,2,FALSE)),0)</f>
        <v>0</v>
      </c>
      <c r="O15" s="245">
        <f t="array" ref="O15">SUM(IFERROR(L15:N15,0))</f>
        <v>2</v>
      </c>
      <c r="P15" s="275">
        <v>0.1</v>
      </c>
      <c r="Q15" s="280"/>
      <c r="R15" s="246"/>
      <c r="S15" s="247"/>
      <c r="T15" s="248" t="s">
        <v>237</v>
      </c>
      <c r="U15" s="248" t="s">
        <v>237</v>
      </c>
      <c r="V15" s="248" t="s">
        <v>237</v>
      </c>
      <c r="W15" s="249" t="str">
        <f t="shared" si="8"/>
        <v/>
      </c>
      <c r="X15" s="249" t="str">
        <f t="shared" si="4"/>
        <v/>
      </c>
      <c r="Y15" s="249" t="str">
        <f t="shared" si="5"/>
        <v/>
      </c>
      <c r="Z15" s="249">
        <f t="shared" si="6"/>
        <v>0</v>
      </c>
      <c r="AA15" s="249">
        <f t="shared" ref="AA15:AB17" si="9">IF(OR(M15="",U15="Có"),"",IF(X15="",M15*(1-$P15),M15*(1-$P15)-X15))</f>
        <v>1.8</v>
      </c>
      <c r="AB15" s="249">
        <f t="shared" si="9"/>
        <v>0</v>
      </c>
    </row>
    <row r="16" spans="1:28" ht="36" customHeight="1" thickBot="1">
      <c r="A16" s="246">
        <v>9</v>
      </c>
      <c r="B16" s="270"/>
      <c r="C16" s="306" t="s">
        <v>248</v>
      </c>
      <c r="D16" s="190"/>
      <c r="E16" s="303"/>
      <c r="F16" s="268">
        <f t="shared" si="0"/>
        <v>1.8</v>
      </c>
      <c r="G16" s="268">
        <f t="shared" si="1"/>
        <v>0</v>
      </c>
      <c r="H16" s="268">
        <f t="shared" si="2"/>
        <v>1.8</v>
      </c>
      <c r="I16" s="268">
        <f t="shared" si="3"/>
        <v>0</v>
      </c>
      <c r="J16" s="299" t="s">
        <v>242</v>
      </c>
      <c r="K16" s="244" t="str">
        <f>IF(J16="","",VLOOKUP(J16,'Định nghĩa Loại Chức năng'!$B$4:$C$63,2,FALSE))</f>
        <v>Tìm hiểu đặc tính các trường dữ liệu</v>
      </c>
      <c r="L16" s="245">
        <f>_xlfn.IFNA(IF(J16="","",VLOOKUP(J16&amp;$L$7,CSDL_CN!$E$4:$F$40,2,FALSE)),0)</f>
        <v>0</v>
      </c>
      <c r="M16" s="245">
        <f>_xlfn.IFNA(IF(J16="","",VLOOKUP(J16&amp;$M$7,CSDL_CN!$E$4:$F$40,2,FALSE)),0)</f>
        <v>2</v>
      </c>
      <c r="N16" s="245">
        <f>_xlfn.IFNA(IF(J16="","",VLOOKUP(J16&amp;$N$7,CSDL_CN!$E$4:$F$40,2,FALSE)),0)</f>
        <v>0</v>
      </c>
      <c r="O16" s="245">
        <f t="array" ref="O16">SUM(IFERROR(L16:N16,0))</f>
        <v>2</v>
      </c>
      <c r="P16" s="275">
        <v>0.1</v>
      </c>
      <c r="Q16" s="280"/>
      <c r="R16" s="246"/>
      <c r="S16" s="247"/>
      <c r="T16" s="248" t="s">
        <v>237</v>
      </c>
      <c r="U16" s="248" t="s">
        <v>237</v>
      </c>
      <c r="V16" s="248" t="s">
        <v>237</v>
      </c>
      <c r="W16" s="249" t="str">
        <f t="shared" si="8"/>
        <v/>
      </c>
      <c r="X16" s="249" t="str">
        <f t="shared" si="4"/>
        <v/>
      </c>
      <c r="Y16" s="249" t="str">
        <f t="shared" si="5"/>
        <v/>
      </c>
      <c r="Z16" s="249">
        <f t="shared" si="6"/>
        <v>0</v>
      </c>
      <c r="AA16" s="249">
        <f t="shared" si="9"/>
        <v>1.8</v>
      </c>
      <c r="AB16" s="249">
        <f t="shared" si="9"/>
        <v>0</v>
      </c>
    </row>
    <row r="17" spans="1:28" ht="35.25" customHeight="1" thickBot="1">
      <c r="A17" s="246">
        <v>10</v>
      </c>
      <c r="B17" s="270"/>
      <c r="C17" s="306" t="s">
        <v>249</v>
      </c>
      <c r="D17" s="190"/>
      <c r="E17" s="303"/>
      <c r="F17" s="268">
        <f t="shared" si="0"/>
        <v>1.8</v>
      </c>
      <c r="G17" s="268">
        <f t="shared" si="1"/>
        <v>0</v>
      </c>
      <c r="H17" s="268">
        <f t="shared" si="2"/>
        <v>1.8</v>
      </c>
      <c r="I17" s="268">
        <f t="shared" si="3"/>
        <v>0</v>
      </c>
      <c r="J17" s="299" t="s">
        <v>242</v>
      </c>
      <c r="K17" s="244" t="str">
        <f>IF(J17="","",VLOOKUP(J17,'Định nghĩa Loại Chức năng'!$B$4:$C$63,2,FALSE))</f>
        <v>Tìm hiểu đặc tính các trường dữ liệu</v>
      </c>
      <c r="L17" s="245">
        <f>_xlfn.IFNA(IF(J17="","",VLOOKUP(J17&amp;$L$7,CSDL_CN!$E$4:$F$40,2,FALSE)),0)</f>
        <v>0</v>
      </c>
      <c r="M17" s="245">
        <f>_xlfn.IFNA(IF(J17="","",VLOOKUP(J17&amp;$M$7,CSDL_CN!$E$4:$F$40,2,FALSE)),0)</f>
        <v>2</v>
      </c>
      <c r="N17" s="245">
        <f>_xlfn.IFNA(IF(J17="","",VLOOKUP(J17&amp;$N$7,CSDL_CN!$E$4:$F$40,2,FALSE)),0)</f>
        <v>0</v>
      </c>
      <c r="O17" s="245">
        <f t="array" ref="O17">SUM(IFERROR(L17:N17,0))</f>
        <v>2</v>
      </c>
      <c r="P17" s="275">
        <v>0.1</v>
      </c>
      <c r="Q17" s="280"/>
      <c r="R17" s="246"/>
      <c r="S17" s="247"/>
      <c r="T17" s="248" t="s">
        <v>237</v>
      </c>
      <c r="U17" s="248" t="s">
        <v>237</v>
      </c>
      <c r="V17" s="248" t="s">
        <v>237</v>
      </c>
      <c r="W17" s="249" t="str">
        <f t="shared" si="8"/>
        <v/>
      </c>
      <c r="X17" s="249" t="str">
        <f t="shared" si="4"/>
        <v/>
      </c>
      <c r="Y17" s="249" t="str">
        <f t="shared" si="5"/>
        <v/>
      </c>
      <c r="Z17" s="249">
        <f t="shared" si="6"/>
        <v>0</v>
      </c>
      <c r="AA17" s="249">
        <f t="shared" si="9"/>
        <v>1.8</v>
      </c>
      <c r="AB17" s="249">
        <f t="shared" si="9"/>
        <v>0</v>
      </c>
    </row>
    <row r="18" spans="1:28" ht="35.25" customHeight="1" thickBot="1">
      <c r="A18" s="246">
        <v>11</v>
      </c>
      <c r="B18" s="270"/>
      <c r="C18" s="308" t="s">
        <v>250</v>
      </c>
      <c r="D18" s="190"/>
      <c r="E18" s="303"/>
      <c r="F18" s="268">
        <f t="shared" si="0"/>
        <v>1.8</v>
      </c>
      <c r="G18" s="268">
        <f t="shared" si="1"/>
        <v>0</v>
      </c>
      <c r="H18" s="268">
        <f t="shared" si="2"/>
        <v>1.8</v>
      </c>
      <c r="I18" s="268">
        <f t="shared" si="3"/>
        <v>0</v>
      </c>
      <c r="J18" s="299" t="s">
        <v>244</v>
      </c>
      <c r="K18" s="244" t="str">
        <f>IF(J18="","",VLOOKUP(J18,'Định nghĩa Loại Chức năng'!$B$4:$C$63,2,FALSE))</f>
        <v>Thực hiện feature engineering</v>
      </c>
      <c r="L18" s="245">
        <f>_xlfn.IFNA(IF(J18="","",VLOOKUP(J18&amp;$L$7,CSDL_CN!$E$4:$F$40,2,FALSE)),0)</f>
        <v>0</v>
      </c>
      <c r="M18" s="245">
        <f>_xlfn.IFNA(IF(J18="","",VLOOKUP(J18&amp;$M$7,CSDL_CN!$E$4:$F$40,2,FALSE)),0)</f>
        <v>2</v>
      </c>
      <c r="N18" s="245">
        <f>_xlfn.IFNA(IF(J18="","",VLOOKUP(J18&amp;$N$7,CSDL_CN!$E$4:$F$40,2,FALSE)),0)</f>
        <v>0</v>
      </c>
      <c r="O18" s="245">
        <f t="array" ref="O18">SUM(IFERROR(L18:N18,0))</f>
        <v>2</v>
      </c>
      <c r="P18" s="275">
        <v>0.1</v>
      </c>
      <c r="Q18" s="280"/>
      <c r="R18" s="246"/>
      <c r="S18" s="247"/>
      <c r="T18" s="248" t="s">
        <v>237</v>
      </c>
      <c r="U18" s="248" t="s">
        <v>237</v>
      </c>
      <c r="V18" s="248" t="s">
        <v>237</v>
      </c>
      <c r="W18" s="249" t="str">
        <f t="shared" si="8"/>
        <v/>
      </c>
      <c r="X18" s="249" t="str">
        <f t="shared" si="4"/>
        <v/>
      </c>
      <c r="Y18" s="249" t="str">
        <f t="shared" si="5"/>
        <v/>
      </c>
      <c r="Z18" s="249">
        <f t="shared" si="6"/>
        <v>0</v>
      </c>
      <c r="AA18" s="249">
        <f t="shared" ref="AA18:AA30" si="10">IF(OR(M18="",U18="Có"),"",IF(X18="",M18*(1-$P18),M18*(1-$P18)-X18))</f>
        <v>1.8</v>
      </c>
      <c r="AB18" s="249">
        <f t="shared" ref="AB18:AB30" si="11">IF(OR(N18="",V18="Có"),"",IF(Y18="",N18*(1-$P18),N18*(1-$P18)-Y18))</f>
        <v>0</v>
      </c>
    </row>
    <row r="19" spans="1:28" ht="36" customHeight="1" thickBot="1">
      <c r="A19" s="246">
        <v>12</v>
      </c>
      <c r="B19" s="270"/>
      <c r="C19" s="308" t="s">
        <v>251</v>
      </c>
      <c r="D19" s="190"/>
      <c r="E19" s="303"/>
      <c r="F19" s="268">
        <f t="shared" si="0"/>
        <v>1.8</v>
      </c>
      <c r="G19" s="268">
        <f t="shared" si="1"/>
        <v>0</v>
      </c>
      <c r="H19" s="268">
        <f t="shared" si="2"/>
        <v>1.8</v>
      </c>
      <c r="I19" s="268">
        <f t="shared" si="3"/>
        <v>0</v>
      </c>
      <c r="J19" s="299" t="s">
        <v>244</v>
      </c>
      <c r="K19" s="244" t="str">
        <f>IF(J19="","",VLOOKUP(J19,'Định nghĩa Loại Chức năng'!$B$4:$C$63,2,FALSE))</f>
        <v>Thực hiện feature engineering</v>
      </c>
      <c r="L19" s="245">
        <f>_xlfn.IFNA(IF(J19="","",VLOOKUP(J19&amp;$L$7,CSDL_CN!$E$4:$F$40,2,FALSE)),0)</f>
        <v>0</v>
      </c>
      <c r="M19" s="245">
        <f>_xlfn.IFNA(IF(J19="","",VLOOKUP(J19&amp;$M$7,CSDL_CN!$E$4:$F$40,2,FALSE)),0)</f>
        <v>2</v>
      </c>
      <c r="N19" s="245">
        <f>_xlfn.IFNA(IF(J19="","",VLOOKUP(J19&amp;$N$7,CSDL_CN!$E$4:$F$40,2,FALSE)),0)</f>
        <v>0</v>
      </c>
      <c r="O19" s="245">
        <f t="array" ref="O19">SUM(IFERROR(L19:N19,0))</f>
        <v>2</v>
      </c>
      <c r="P19" s="275">
        <v>0.1</v>
      </c>
      <c r="Q19" s="280"/>
      <c r="R19" s="246"/>
      <c r="S19" s="247"/>
      <c r="T19" s="248" t="s">
        <v>237</v>
      </c>
      <c r="U19" s="248" t="s">
        <v>237</v>
      </c>
      <c r="V19" s="248" t="s">
        <v>237</v>
      </c>
      <c r="W19" s="249" t="str">
        <f t="shared" si="8"/>
        <v/>
      </c>
      <c r="X19" s="249" t="str">
        <f t="shared" si="4"/>
        <v/>
      </c>
      <c r="Y19" s="249" t="str">
        <f t="shared" si="5"/>
        <v/>
      </c>
      <c r="Z19" s="249">
        <f t="shared" si="6"/>
        <v>0</v>
      </c>
      <c r="AA19" s="249">
        <f t="shared" si="10"/>
        <v>1.8</v>
      </c>
      <c r="AB19" s="249">
        <f t="shared" si="11"/>
        <v>0</v>
      </c>
    </row>
    <row r="20" spans="1:28" ht="19.5" thickBot="1">
      <c r="A20" s="246">
        <v>13</v>
      </c>
      <c r="B20" s="270"/>
      <c r="C20" s="306" t="s">
        <v>252</v>
      </c>
      <c r="D20" s="190"/>
      <c r="E20" s="303"/>
      <c r="F20" s="268">
        <f t="shared" si="0"/>
        <v>4.05</v>
      </c>
      <c r="G20" s="268">
        <f t="shared" si="1"/>
        <v>0</v>
      </c>
      <c r="H20" s="268">
        <f t="shared" si="2"/>
        <v>4.05</v>
      </c>
      <c r="I20" s="268">
        <f t="shared" si="3"/>
        <v>0</v>
      </c>
      <c r="J20" s="300" t="s">
        <v>246</v>
      </c>
      <c r="K20" s="244" t="str">
        <f>IF(J20="","",VLOOKUP(J20,'Định nghĩa Loại Chức năng'!$B$4:$C$63,2,FALSE))</f>
        <v>Tổng hợp dữ liệu đơn giản</v>
      </c>
      <c r="L20" s="245">
        <f>_xlfn.IFNA(IF(J20="","",VLOOKUP(J20&amp;$L$7,CSDL_CN!$E$4:$F$40,2,FALSE)),0)</f>
        <v>0</v>
      </c>
      <c r="M20" s="245">
        <f>_xlfn.IFNA(IF(J20="","",VLOOKUP(J20&amp;$M$7,CSDL_CN!$E$4:$F$40,2,FALSE)),0)</f>
        <v>4.5</v>
      </c>
      <c r="N20" s="245">
        <f>_xlfn.IFNA(IF(J20="","",VLOOKUP(J20&amp;$N$7,CSDL_CN!$E$4:$F$40,2,FALSE)),0)</f>
        <v>0</v>
      </c>
      <c r="O20" s="245">
        <f t="array" ref="O20">SUM(IFERROR(L20:N20,0))</f>
        <v>4.5</v>
      </c>
      <c r="P20" s="275">
        <v>0.1</v>
      </c>
      <c r="Q20" s="280"/>
      <c r="R20" s="246"/>
      <c r="S20" s="247"/>
      <c r="T20" s="248" t="s">
        <v>237</v>
      </c>
      <c r="U20" s="248" t="s">
        <v>237</v>
      </c>
      <c r="V20" s="248" t="s">
        <v>237</v>
      </c>
      <c r="W20" s="249" t="str">
        <f t="shared" si="8"/>
        <v/>
      </c>
      <c r="X20" s="249" t="str">
        <f t="shared" si="4"/>
        <v/>
      </c>
      <c r="Y20" s="249" t="str">
        <f t="shared" si="5"/>
        <v/>
      </c>
      <c r="Z20" s="249">
        <f t="shared" si="6"/>
        <v>0</v>
      </c>
      <c r="AA20" s="249">
        <f t="shared" si="10"/>
        <v>4.05</v>
      </c>
      <c r="AB20" s="249">
        <f t="shared" si="11"/>
        <v>0</v>
      </c>
    </row>
    <row r="21" spans="1:28" ht="19.5" thickBot="1">
      <c r="A21" s="246">
        <v>14</v>
      </c>
      <c r="B21" s="270"/>
      <c r="C21" s="306" t="s">
        <v>253</v>
      </c>
      <c r="D21" s="190"/>
      <c r="E21" s="303"/>
      <c r="F21" s="268">
        <f t="shared" si="0"/>
        <v>1.8</v>
      </c>
      <c r="G21" s="268">
        <f t="shared" si="1"/>
        <v>0</v>
      </c>
      <c r="H21" s="268">
        <f t="shared" si="2"/>
        <v>1.8</v>
      </c>
      <c r="I21" s="268">
        <f t="shared" si="3"/>
        <v>0</v>
      </c>
      <c r="J21" s="299" t="s">
        <v>244</v>
      </c>
      <c r="K21" s="244" t="str">
        <f>IF(J21="","",VLOOKUP(J21,'Định nghĩa Loại Chức năng'!$B$4:$C$63,2,FALSE))</f>
        <v>Thực hiện feature engineering</v>
      </c>
      <c r="L21" s="245">
        <f>_xlfn.IFNA(IF(J21="","",VLOOKUP(J21&amp;$L$7,CSDL_CN!$E$4:$F$40,2,FALSE)),0)</f>
        <v>0</v>
      </c>
      <c r="M21" s="245">
        <f>_xlfn.IFNA(IF(J21="","",VLOOKUP(J21&amp;$M$7,CSDL_CN!$E$4:$F$40,2,FALSE)),0)</f>
        <v>2</v>
      </c>
      <c r="N21" s="245">
        <f>_xlfn.IFNA(IF(J21="","",VLOOKUP(J21&amp;$N$7,CSDL_CN!$E$4:$F$40,2,FALSE)),0)</f>
        <v>0</v>
      </c>
      <c r="O21" s="245">
        <f t="array" ref="O21">SUM(IFERROR(L21:N21,0))</f>
        <v>2</v>
      </c>
      <c r="P21" s="275">
        <v>0.1</v>
      </c>
      <c r="Q21" s="280"/>
      <c r="R21" s="246"/>
      <c r="S21" s="247"/>
      <c r="T21" s="248" t="s">
        <v>237</v>
      </c>
      <c r="U21" s="248" t="s">
        <v>237</v>
      </c>
      <c r="V21" s="248" t="s">
        <v>237</v>
      </c>
      <c r="W21" s="249" t="str">
        <f t="shared" si="8"/>
        <v/>
      </c>
      <c r="X21" s="249" t="str">
        <f t="shared" si="4"/>
        <v/>
      </c>
      <c r="Y21" s="249" t="str">
        <f t="shared" si="5"/>
        <v/>
      </c>
      <c r="Z21" s="249">
        <f t="shared" si="6"/>
        <v>0</v>
      </c>
      <c r="AA21" s="249">
        <f t="shared" si="10"/>
        <v>1.8</v>
      </c>
      <c r="AB21" s="249">
        <f t="shared" si="11"/>
        <v>0</v>
      </c>
    </row>
    <row r="22" spans="1:28" ht="19.5" thickBot="1">
      <c r="A22" s="246">
        <v>15</v>
      </c>
      <c r="B22" s="270"/>
      <c r="C22" s="306" t="s">
        <v>254</v>
      </c>
      <c r="D22" s="190"/>
      <c r="E22" s="303"/>
      <c r="F22" s="268">
        <f t="shared" si="0"/>
        <v>1.8</v>
      </c>
      <c r="G22" s="268">
        <f t="shared" si="1"/>
        <v>0</v>
      </c>
      <c r="H22" s="268">
        <f t="shared" si="2"/>
        <v>1.8</v>
      </c>
      <c r="I22" s="268">
        <f t="shared" si="3"/>
        <v>0</v>
      </c>
      <c r="J22" s="299" t="s">
        <v>244</v>
      </c>
      <c r="K22" s="244" t="str">
        <f>IF(J22="","",VLOOKUP(J22,'Định nghĩa Loại Chức năng'!$B$4:$C$63,2,FALSE))</f>
        <v>Thực hiện feature engineering</v>
      </c>
      <c r="L22" s="245">
        <f>_xlfn.IFNA(IF(J22="","",VLOOKUP(J22&amp;$L$7,CSDL_CN!$E$4:$F$40,2,FALSE)),0)</f>
        <v>0</v>
      </c>
      <c r="M22" s="245">
        <f>_xlfn.IFNA(IF(J22="","",VLOOKUP(J22&amp;$M$7,CSDL_CN!$E$4:$F$40,2,FALSE)),0)</f>
        <v>2</v>
      </c>
      <c r="N22" s="245">
        <f>_xlfn.IFNA(IF(J22="","",VLOOKUP(J22&amp;$N$7,CSDL_CN!$E$4:$F$40,2,FALSE)),0)</f>
        <v>0</v>
      </c>
      <c r="O22" s="245">
        <f t="array" ref="O22">SUM(IFERROR(L22:N22,0))</f>
        <v>2</v>
      </c>
      <c r="P22" s="275">
        <v>0.1</v>
      </c>
      <c r="Q22" s="280"/>
      <c r="R22" s="246"/>
      <c r="S22" s="247"/>
      <c r="T22" s="248" t="s">
        <v>237</v>
      </c>
      <c r="U22" s="248" t="s">
        <v>237</v>
      </c>
      <c r="V22" s="248" t="s">
        <v>237</v>
      </c>
      <c r="W22" s="249" t="str">
        <f t="shared" si="8"/>
        <v/>
      </c>
      <c r="X22" s="249" t="str">
        <f t="shared" si="4"/>
        <v/>
      </c>
      <c r="Y22" s="249" t="str">
        <f t="shared" si="5"/>
        <v/>
      </c>
      <c r="Z22" s="249">
        <f t="shared" si="6"/>
        <v>0</v>
      </c>
      <c r="AA22" s="249">
        <f t="shared" si="10"/>
        <v>1.8</v>
      </c>
      <c r="AB22" s="249">
        <f t="shared" si="11"/>
        <v>0</v>
      </c>
    </row>
    <row r="23" spans="1:28" ht="19.5" thickBot="1">
      <c r="A23" s="246">
        <v>16</v>
      </c>
      <c r="B23" s="270"/>
      <c r="C23" s="306" t="s">
        <v>255</v>
      </c>
      <c r="D23" s="190"/>
      <c r="E23" s="303"/>
      <c r="F23" s="268">
        <f t="shared" si="0"/>
        <v>1.8</v>
      </c>
      <c r="G23" s="268">
        <f t="shared" si="1"/>
        <v>0</v>
      </c>
      <c r="H23" s="268">
        <f t="shared" si="2"/>
        <v>1.8</v>
      </c>
      <c r="I23" s="268">
        <f t="shared" si="3"/>
        <v>0</v>
      </c>
      <c r="J23" s="299" t="s">
        <v>242</v>
      </c>
      <c r="K23" s="244" t="str">
        <f>IF(J23="","",VLOOKUP(J23,'Định nghĩa Loại Chức năng'!$B$4:$C$63,2,FALSE))</f>
        <v>Tìm hiểu đặc tính các trường dữ liệu</v>
      </c>
      <c r="L23" s="245">
        <f>_xlfn.IFNA(IF(J23="","",VLOOKUP(J23&amp;$L$7,CSDL_CN!$E$4:$F$40,2,FALSE)),0)</f>
        <v>0</v>
      </c>
      <c r="M23" s="245">
        <f>_xlfn.IFNA(IF(J23="","",VLOOKUP(J23&amp;$M$7,CSDL_CN!$E$4:$F$40,2,FALSE)),0)</f>
        <v>2</v>
      </c>
      <c r="N23" s="245">
        <f>_xlfn.IFNA(IF(J23="","",VLOOKUP(J23&amp;$N$7,CSDL_CN!$E$4:$F$40,2,FALSE)),0)</f>
        <v>0</v>
      </c>
      <c r="O23" s="245">
        <f t="array" ref="O23">SUM(IFERROR(L23:N23,0))</f>
        <v>2</v>
      </c>
      <c r="P23" s="275">
        <v>0.1</v>
      </c>
      <c r="Q23" s="280"/>
      <c r="R23" s="246"/>
      <c r="S23" s="247"/>
      <c r="T23" s="248" t="s">
        <v>237</v>
      </c>
      <c r="U23" s="248" t="s">
        <v>237</v>
      </c>
      <c r="V23" s="248" t="s">
        <v>237</v>
      </c>
      <c r="W23" s="249" t="str">
        <f t="shared" si="8"/>
        <v/>
      </c>
      <c r="X23" s="249" t="str">
        <f t="shared" si="4"/>
        <v/>
      </c>
      <c r="Y23" s="249" t="str">
        <f t="shared" si="5"/>
        <v/>
      </c>
      <c r="Z23" s="249">
        <f t="shared" si="6"/>
        <v>0</v>
      </c>
      <c r="AA23" s="249">
        <f t="shared" si="10"/>
        <v>1.8</v>
      </c>
      <c r="AB23" s="249">
        <f t="shared" si="11"/>
        <v>0</v>
      </c>
    </row>
    <row r="24" spans="1:28" ht="19.5" thickBot="1">
      <c r="A24" s="246">
        <v>17</v>
      </c>
      <c r="B24" s="270"/>
      <c r="C24" s="308" t="s">
        <v>256</v>
      </c>
      <c r="D24" s="190"/>
      <c r="E24" s="303"/>
      <c r="F24" s="268">
        <f t="shared" si="0"/>
        <v>1.8</v>
      </c>
      <c r="G24" s="268">
        <f t="shared" si="1"/>
        <v>0</v>
      </c>
      <c r="H24" s="268">
        <f t="shared" si="2"/>
        <v>1.8</v>
      </c>
      <c r="I24" s="268">
        <f t="shared" si="3"/>
        <v>0</v>
      </c>
      <c r="J24" s="299" t="s">
        <v>244</v>
      </c>
      <c r="K24" s="244" t="str">
        <f>IF(J24="","",VLOOKUP(J24,'Định nghĩa Loại Chức năng'!$B$4:$C$63,2,FALSE))</f>
        <v>Thực hiện feature engineering</v>
      </c>
      <c r="L24" s="245">
        <f>_xlfn.IFNA(IF(J24="","",VLOOKUP(J24&amp;$L$7,CSDL_CN!$E$4:$F$40,2,FALSE)),0)</f>
        <v>0</v>
      </c>
      <c r="M24" s="245">
        <f>_xlfn.IFNA(IF(J24="","",VLOOKUP(J24&amp;$M$7,CSDL_CN!$E$4:$F$40,2,FALSE)),0)</f>
        <v>2</v>
      </c>
      <c r="N24" s="245">
        <f>_xlfn.IFNA(IF(J24="","",VLOOKUP(J24&amp;$N$7,CSDL_CN!$E$4:$F$40,2,FALSE)),0)</f>
        <v>0</v>
      </c>
      <c r="O24" s="245">
        <f t="array" ref="O24">SUM(IFERROR(L24:N24,0))</f>
        <v>2</v>
      </c>
      <c r="P24" s="275">
        <v>0.1</v>
      </c>
      <c r="Q24" s="280"/>
      <c r="R24" s="246"/>
      <c r="S24" s="247"/>
      <c r="T24" s="248" t="s">
        <v>237</v>
      </c>
      <c r="U24" s="248" t="s">
        <v>237</v>
      </c>
      <c r="V24" s="248" t="s">
        <v>237</v>
      </c>
      <c r="W24" s="249" t="str">
        <f t="shared" si="8"/>
        <v/>
      </c>
      <c r="X24" s="249" t="str">
        <f t="shared" si="4"/>
        <v/>
      </c>
      <c r="Y24" s="249" t="str">
        <f t="shared" si="5"/>
        <v/>
      </c>
      <c r="Z24" s="249">
        <f t="shared" si="6"/>
        <v>0</v>
      </c>
      <c r="AA24" s="249">
        <f t="shared" si="10"/>
        <v>1.8</v>
      </c>
      <c r="AB24" s="249">
        <f t="shared" si="11"/>
        <v>0</v>
      </c>
    </row>
    <row r="25" spans="1:28" ht="19.5" thickBot="1">
      <c r="A25" s="246">
        <v>18</v>
      </c>
      <c r="B25" s="270"/>
      <c r="C25" s="308" t="s">
        <v>257</v>
      </c>
      <c r="D25" s="190"/>
      <c r="E25" s="303"/>
      <c r="F25" s="268">
        <f t="shared" si="0"/>
        <v>1.8</v>
      </c>
      <c r="G25" s="268">
        <f t="shared" si="1"/>
        <v>0</v>
      </c>
      <c r="H25" s="268">
        <f t="shared" si="2"/>
        <v>1.8</v>
      </c>
      <c r="I25" s="268">
        <f t="shared" si="3"/>
        <v>0</v>
      </c>
      <c r="J25" s="299" t="s">
        <v>244</v>
      </c>
      <c r="K25" s="244" t="str">
        <f>IF(J25="","",VLOOKUP(J25,'Định nghĩa Loại Chức năng'!$B$4:$C$63,2,FALSE))</f>
        <v>Thực hiện feature engineering</v>
      </c>
      <c r="L25" s="245">
        <f>_xlfn.IFNA(IF(J25="","",VLOOKUP(J25&amp;$L$7,CSDL_CN!$E$4:$F$40,2,FALSE)),0)</f>
        <v>0</v>
      </c>
      <c r="M25" s="245">
        <f>_xlfn.IFNA(IF(J25="","",VLOOKUP(J25&amp;$M$7,CSDL_CN!$E$4:$F$40,2,FALSE)),0)</f>
        <v>2</v>
      </c>
      <c r="N25" s="245">
        <f>_xlfn.IFNA(IF(J25="","",VLOOKUP(J25&amp;$N$7,CSDL_CN!$E$4:$F$40,2,FALSE)),0)</f>
        <v>0</v>
      </c>
      <c r="O25" s="245">
        <f t="array" ref="O25">SUM(IFERROR(L25:N25,0))</f>
        <v>2</v>
      </c>
      <c r="P25" s="275">
        <v>0.1</v>
      </c>
      <c r="Q25" s="280"/>
      <c r="R25" s="246"/>
      <c r="S25" s="247"/>
      <c r="T25" s="248" t="s">
        <v>237</v>
      </c>
      <c r="U25" s="248" t="s">
        <v>237</v>
      </c>
      <c r="V25" s="248" t="s">
        <v>237</v>
      </c>
      <c r="W25" s="249" t="str">
        <f t="shared" si="8"/>
        <v/>
      </c>
      <c r="X25" s="249" t="str">
        <f t="shared" si="4"/>
        <v/>
      </c>
      <c r="Y25" s="249" t="str">
        <f t="shared" si="5"/>
        <v/>
      </c>
      <c r="Z25" s="249">
        <f t="shared" si="6"/>
        <v>0</v>
      </c>
      <c r="AA25" s="249">
        <f t="shared" si="10"/>
        <v>1.8</v>
      </c>
      <c r="AB25" s="249">
        <f t="shared" si="11"/>
        <v>0</v>
      </c>
    </row>
    <row r="26" spans="1:28" ht="19.5" thickBot="1">
      <c r="A26" s="246">
        <v>19</v>
      </c>
      <c r="B26" s="270"/>
      <c r="C26" s="307" t="s">
        <v>258</v>
      </c>
      <c r="D26" s="190"/>
      <c r="E26" s="303"/>
      <c r="F26" s="268">
        <f t="shared" si="0"/>
        <v>1.8</v>
      </c>
      <c r="G26" s="268">
        <f t="shared" si="1"/>
        <v>0</v>
      </c>
      <c r="H26" s="268">
        <f t="shared" si="2"/>
        <v>1.8</v>
      </c>
      <c r="I26" s="268">
        <f t="shared" si="3"/>
        <v>0</v>
      </c>
      <c r="J26" s="299" t="s">
        <v>244</v>
      </c>
      <c r="K26" s="244" t="str">
        <f>IF(J26="","",VLOOKUP(J26,'Định nghĩa Loại Chức năng'!$B$4:$C$63,2,FALSE))</f>
        <v>Thực hiện feature engineering</v>
      </c>
      <c r="L26" s="245">
        <f>_xlfn.IFNA(IF(J26="","",VLOOKUP(J26&amp;$L$7,CSDL_CN!$E$4:$F$40,2,FALSE)),0)</f>
        <v>0</v>
      </c>
      <c r="M26" s="245">
        <f>_xlfn.IFNA(IF(J26="","",VLOOKUP(J26&amp;$M$7,CSDL_CN!$E$4:$F$40,2,FALSE)),0)</f>
        <v>2</v>
      </c>
      <c r="N26" s="245">
        <f>_xlfn.IFNA(IF(J26="","",VLOOKUP(J26&amp;$N$7,CSDL_CN!$E$4:$F$40,2,FALSE)),0)</f>
        <v>0</v>
      </c>
      <c r="O26" s="245">
        <f t="array" ref="O26">SUM(IFERROR(L26:N26,0))</f>
        <v>2</v>
      </c>
      <c r="P26" s="275">
        <v>0.1</v>
      </c>
      <c r="Q26" s="280"/>
      <c r="R26" s="246"/>
      <c r="S26" s="247"/>
      <c r="T26" s="248" t="s">
        <v>237</v>
      </c>
      <c r="U26" s="248" t="s">
        <v>237</v>
      </c>
      <c r="V26" s="248" t="s">
        <v>237</v>
      </c>
      <c r="W26" s="249" t="str">
        <f t="shared" si="8"/>
        <v/>
      </c>
      <c r="X26" s="249" t="str">
        <f t="shared" si="4"/>
        <v/>
      </c>
      <c r="Y26" s="249" t="str">
        <f t="shared" si="5"/>
        <v/>
      </c>
      <c r="Z26" s="249">
        <f t="shared" si="6"/>
        <v>0</v>
      </c>
      <c r="AA26" s="249">
        <f t="shared" si="10"/>
        <v>1.8</v>
      </c>
      <c r="AB26" s="249">
        <f t="shared" si="11"/>
        <v>0</v>
      </c>
    </row>
    <row r="27" spans="1:28" ht="19.5" thickBot="1">
      <c r="A27" s="246">
        <v>20</v>
      </c>
      <c r="B27" s="270"/>
      <c r="C27" s="306" t="s">
        <v>259</v>
      </c>
      <c r="D27" s="190"/>
      <c r="E27" s="303"/>
      <c r="F27" s="268">
        <f t="shared" si="0"/>
        <v>4.05</v>
      </c>
      <c r="G27" s="268">
        <f t="shared" ref="G27:I28" si="12">_xlfn.IFNA(L27*(1-$P27),0)</f>
        <v>0</v>
      </c>
      <c r="H27" s="268">
        <f t="shared" si="12"/>
        <v>4.05</v>
      </c>
      <c r="I27" s="268">
        <f t="shared" si="12"/>
        <v>0</v>
      </c>
      <c r="J27" s="300" t="s">
        <v>246</v>
      </c>
      <c r="K27" s="244" t="str">
        <f>IF(J27="","",VLOOKUP(J27,'Định nghĩa Loại Chức năng'!$B$4:$C$63,2,FALSE))</f>
        <v>Tổng hợp dữ liệu đơn giản</v>
      </c>
      <c r="L27" s="245">
        <f>_xlfn.IFNA(IF(J27="","",VLOOKUP(J27&amp;$L$7,CSDL_CN!$E$4:$F$40,2,FALSE)),0)</f>
        <v>0</v>
      </c>
      <c r="M27" s="245">
        <f>_xlfn.IFNA(IF(J27="","",VLOOKUP(J27&amp;$M$7,CSDL_CN!$E$4:$F$40,2,FALSE)),0)</f>
        <v>4.5</v>
      </c>
      <c r="N27" s="245">
        <f>_xlfn.IFNA(IF(J27="","",VLOOKUP(J27&amp;$N$7,CSDL_CN!$E$4:$F$40,2,FALSE)),0)</f>
        <v>0</v>
      </c>
      <c r="O27" s="245">
        <f t="array" ref="O27">SUM(IFERROR(L27:N27,0))</f>
        <v>4.5</v>
      </c>
      <c r="P27" s="275">
        <v>0.1</v>
      </c>
      <c r="Q27" s="280"/>
      <c r="R27" s="246"/>
      <c r="S27" s="247"/>
      <c r="T27" s="248" t="s">
        <v>237</v>
      </c>
      <c r="U27" s="248" t="s">
        <v>237</v>
      </c>
      <c r="V27" s="248" t="s">
        <v>237</v>
      </c>
      <c r="W27" s="249" t="str">
        <f t="shared" ref="W27:Y28" si="13">IF(T27="Có",L27*(1-$P27),"")</f>
        <v/>
      </c>
      <c r="X27" s="249" t="str">
        <f t="shared" si="13"/>
        <v/>
      </c>
      <c r="Y27" s="249" t="str">
        <f t="shared" si="13"/>
        <v/>
      </c>
      <c r="Z27" s="249">
        <f t="shared" si="6"/>
        <v>0</v>
      </c>
      <c r="AA27" s="249">
        <f t="shared" si="10"/>
        <v>4.05</v>
      </c>
      <c r="AB27" s="249">
        <f t="shared" si="11"/>
        <v>0</v>
      </c>
    </row>
    <row r="28" spans="1:28" ht="19.5" thickBot="1">
      <c r="A28" s="246">
        <v>21</v>
      </c>
      <c r="B28" s="270"/>
      <c r="C28" s="306" t="s">
        <v>260</v>
      </c>
      <c r="D28" s="190"/>
      <c r="E28" s="303"/>
      <c r="F28" s="268">
        <f t="shared" si="0"/>
        <v>1.8</v>
      </c>
      <c r="G28" s="268">
        <f t="shared" si="12"/>
        <v>0</v>
      </c>
      <c r="H28" s="268">
        <f t="shared" si="12"/>
        <v>1.8</v>
      </c>
      <c r="I28" s="268">
        <f t="shared" si="12"/>
        <v>0</v>
      </c>
      <c r="J28" s="299" t="s">
        <v>244</v>
      </c>
      <c r="K28" s="244" t="str">
        <f>IF(J28="","",VLOOKUP(J28,'Định nghĩa Loại Chức năng'!$B$4:$C$63,2,FALSE))</f>
        <v>Thực hiện feature engineering</v>
      </c>
      <c r="L28" s="245">
        <f>_xlfn.IFNA(IF(J28="","",VLOOKUP(J28&amp;$L$7,CSDL_CN!$E$4:$F$40,2,FALSE)),0)</f>
        <v>0</v>
      </c>
      <c r="M28" s="245">
        <f>_xlfn.IFNA(IF(J28="","",VLOOKUP(J28&amp;$M$7,CSDL_CN!$E$4:$F$40,2,FALSE)),0)</f>
        <v>2</v>
      </c>
      <c r="N28" s="245">
        <f>_xlfn.IFNA(IF(J28="","",VLOOKUP(J28&amp;$N$7,CSDL_CN!$E$4:$F$40,2,FALSE)),0)</f>
        <v>0</v>
      </c>
      <c r="O28" s="245">
        <f t="array" ref="O28">SUM(IFERROR(L28:N28,0))</f>
        <v>2</v>
      </c>
      <c r="P28" s="275">
        <v>0.1</v>
      </c>
      <c r="Q28" s="280"/>
      <c r="R28" s="246"/>
      <c r="S28" s="247"/>
      <c r="T28" s="248" t="s">
        <v>237</v>
      </c>
      <c r="U28" s="248" t="s">
        <v>237</v>
      </c>
      <c r="V28" s="248" t="s">
        <v>237</v>
      </c>
      <c r="W28" s="249" t="str">
        <f t="shared" si="13"/>
        <v/>
      </c>
      <c r="X28" s="249" t="str">
        <f t="shared" si="13"/>
        <v/>
      </c>
      <c r="Y28" s="249" t="str">
        <f t="shared" si="13"/>
        <v/>
      </c>
      <c r="Z28" s="249">
        <f t="shared" si="6"/>
        <v>0</v>
      </c>
      <c r="AA28" s="249">
        <f t="shared" si="10"/>
        <v>1.8</v>
      </c>
      <c r="AB28" s="249">
        <f t="shared" si="11"/>
        <v>0</v>
      </c>
    </row>
    <row r="29" spans="1:28" ht="19.5" thickBot="1">
      <c r="A29" s="246">
        <v>22</v>
      </c>
      <c r="B29" s="270"/>
      <c r="C29" s="306" t="s">
        <v>261</v>
      </c>
      <c r="D29" s="190"/>
      <c r="E29" s="303"/>
      <c r="F29" s="268">
        <f t="shared" si="0"/>
        <v>1.8</v>
      </c>
      <c r="G29" s="268">
        <f t="shared" ref="G29:I33" si="14">_xlfn.IFNA(L29*(1-$P29),0)</f>
        <v>0</v>
      </c>
      <c r="H29" s="268">
        <f t="shared" si="14"/>
        <v>1.8</v>
      </c>
      <c r="I29" s="268">
        <f t="shared" si="14"/>
        <v>0</v>
      </c>
      <c r="J29" s="299" t="s">
        <v>242</v>
      </c>
      <c r="K29" s="244" t="str">
        <f>IF(J29="","",VLOOKUP(J29,'Định nghĩa Loại Chức năng'!$B$4:$C$63,2,FALSE))</f>
        <v>Tìm hiểu đặc tính các trường dữ liệu</v>
      </c>
      <c r="L29" s="245">
        <f>_xlfn.IFNA(IF(J29="","",VLOOKUP(J29&amp;$L$7,CSDL_CN!$E$4:$F$40,2,FALSE)),0)</f>
        <v>0</v>
      </c>
      <c r="M29" s="245">
        <f>_xlfn.IFNA(IF(J29="","",VLOOKUP(J29&amp;$M$7,CSDL_CN!$E$4:$F$40,2,FALSE)),0)</f>
        <v>2</v>
      </c>
      <c r="N29" s="245">
        <f>_xlfn.IFNA(IF(J29="","",VLOOKUP(J29&amp;$N$7,CSDL_CN!$E$4:$F$40,2,FALSE)),0)</f>
        <v>0</v>
      </c>
      <c r="O29" s="245">
        <f t="array" ref="O29">SUM(IFERROR(L29:N29,0))</f>
        <v>2</v>
      </c>
      <c r="P29" s="275">
        <v>0.1</v>
      </c>
      <c r="Q29" s="280"/>
      <c r="R29" s="246"/>
      <c r="S29" s="247"/>
      <c r="T29" s="248" t="s">
        <v>237</v>
      </c>
      <c r="U29" s="248" t="s">
        <v>237</v>
      </c>
      <c r="V29" s="248" t="s">
        <v>237</v>
      </c>
      <c r="W29" s="249" t="str">
        <f t="shared" ref="W29:Y33" si="15">IF(T29="Có",L29*(1-$P29),"")</f>
        <v/>
      </c>
      <c r="X29" s="249" t="str">
        <f t="shared" si="15"/>
        <v/>
      </c>
      <c r="Y29" s="249" t="str">
        <f t="shared" si="15"/>
        <v/>
      </c>
      <c r="Z29" s="249">
        <f t="shared" si="6"/>
        <v>0</v>
      </c>
      <c r="AA29" s="249">
        <f t="shared" si="10"/>
        <v>1.8</v>
      </c>
      <c r="AB29" s="249">
        <f t="shared" si="11"/>
        <v>0</v>
      </c>
    </row>
    <row r="30" spans="1:28" ht="36" customHeight="1" thickBot="1">
      <c r="A30" s="246">
        <v>23</v>
      </c>
      <c r="B30" s="270"/>
      <c r="C30" s="306" t="s">
        <v>262</v>
      </c>
      <c r="D30" s="190"/>
      <c r="E30" s="303"/>
      <c r="F30" s="268">
        <f t="shared" si="0"/>
        <v>1.8</v>
      </c>
      <c r="G30" s="268">
        <f t="shared" si="14"/>
        <v>0</v>
      </c>
      <c r="H30" s="268">
        <f t="shared" si="14"/>
        <v>1.8</v>
      </c>
      <c r="I30" s="268">
        <f t="shared" si="14"/>
        <v>0</v>
      </c>
      <c r="J30" s="299" t="s">
        <v>244</v>
      </c>
      <c r="K30" s="244" t="str">
        <f>IF(J30="","",VLOOKUP(J30,'Định nghĩa Loại Chức năng'!$B$4:$C$63,2,FALSE))</f>
        <v>Thực hiện feature engineering</v>
      </c>
      <c r="L30" s="245">
        <f>_xlfn.IFNA(IF(J30="","",VLOOKUP(J30&amp;$L$7,CSDL_CN!$E$4:$F$40,2,FALSE)),0)</f>
        <v>0</v>
      </c>
      <c r="M30" s="245">
        <f>_xlfn.IFNA(IF(J30="","",VLOOKUP(J30&amp;$M$7,CSDL_CN!$E$4:$F$40,2,FALSE)),0)</f>
        <v>2</v>
      </c>
      <c r="N30" s="245">
        <f>_xlfn.IFNA(IF(J30="","",VLOOKUP(J30&amp;$N$7,CSDL_CN!$E$4:$F$40,2,FALSE)),0)</f>
        <v>0</v>
      </c>
      <c r="O30" s="245">
        <f t="array" ref="O30">SUM(IFERROR(L30:N30,0))</f>
        <v>2</v>
      </c>
      <c r="P30" s="275">
        <v>0.1</v>
      </c>
      <c r="Q30" s="280"/>
      <c r="R30" s="246"/>
      <c r="S30" s="247"/>
      <c r="T30" s="248" t="s">
        <v>237</v>
      </c>
      <c r="U30" s="248" t="s">
        <v>237</v>
      </c>
      <c r="V30" s="248" t="s">
        <v>237</v>
      </c>
      <c r="W30" s="249" t="str">
        <f t="shared" si="15"/>
        <v/>
      </c>
      <c r="X30" s="249" t="str">
        <f t="shared" si="15"/>
        <v/>
      </c>
      <c r="Y30" s="249" t="str">
        <f t="shared" si="15"/>
        <v/>
      </c>
      <c r="Z30" s="249">
        <f t="shared" si="6"/>
        <v>0</v>
      </c>
      <c r="AA30" s="249">
        <f t="shared" si="10"/>
        <v>1.8</v>
      </c>
      <c r="AB30" s="249">
        <f t="shared" si="11"/>
        <v>0</v>
      </c>
    </row>
    <row r="31" spans="1:28" ht="36" customHeight="1" thickBot="1">
      <c r="A31" s="246">
        <v>24</v>
      </c>
      <c r="B31" s="270"/>
      <c r="C31" s="308" t="s">
        <v>263</v>
      </c>
      <c r="D31" s="190"/>
      <c r="E31" s="303"/>
      <c r="F31" s="268">
        <f t="shared" si="0"/>
        <v>1.8</v>
      </c>
      <c r="G31" s="268">
        <f t="shared" si="14"/>
        <v>0</v>
      </c>
      <c r="H31" s="268">
        <f t="shared" si="14"/>
        <v>1.8</v>
      </c>
      <c r="I31" s="268">
        <f t="shared" si="14"/>
        <v>0</v>
      </c>
      <c r="J31" s="299" t="s">
        <v>244</v>
      </c>
      <c r="K31" s="244" t="str">
        <f>IF(J31="","",VLOOKUP(J31,'Định nghĩa Loại Chức năng'!$B$4:$C$63,2,FALSE))</f>
        <v>Thực hiện feature engineering</v>
      </c>
      <c r="L31" s="245">
        <f>_xlfn.IFNA(IF(J31="","",VLOOKUP(J31&amp;$L$7,CSDL_CN!$E$4:$F$40,2,FALSE)),0)</f>
        <v>0</v>
      </c>
      <c r="M31" s="245">
        <f>_xlfn.IFNA(IF(J31="","",VLOOKUP(J31&amp;$M$7,CSDL_CN!$E$4:$F$40,2,FALSE)),0)</f>
        <v>2</v>
      </c>
      <c r="N31" s="245">
        <f>_xlfn.IFNA(IF(J31="","",VLOOKUP(J31&amp;$N$7,CSDL_CN!$E$4:$F$40,2,FALSE)),0)</f>
        <v>0</v>
      </c>
      <c r="O31" s="245">
        <f t="array" ref="O31">SUM(IFERROR(L31:N31,0))</f>
        <v>2</v>
      </c>
      <c r="P31" s="275">
        <v>0.1</v>
      </c>
      <c r="Q31" s="280"/>
      <c r="R31" s="246"/>
      <c r="S31" s="247"/>
      <c r="T31" s="248" t="s">
        <v>237</v>
      </c>
      <c r="U31" s="248" t="s">
        <v>237</v>
      </c>
      <c r="V31" s="248" t="s">
        <v>237</v>
      </c>
      <c r="W31" s="249" t="str">
        <f t="shared" si="15"/>
        <v/>
      </c>
      <c r="X31" s="249" t="str">
        <f t="shared" si="15"/>
        <v/>
      </c>
      <c r="Y31" s="249" t="str">
        <f t="shared" si="15"/>
        <v/>
      </c>
      <c r="Z31" s="249">
        <f t="shared" si="6"/>
        <v>0</v>
      </c>
      <c r="AA31" s="249">
        <f t="shared" ref="AA31:AB33" si="16">IF(OR(M31="",U31="Có"),"",IF(X31="",M31*(1-$P31),M31*(1-$P31)-X31))</f>
        <v>1.8</v>
      </c>
      <c r="AB31" s="249">
        <f t="shared" si="16"/>
        <v>0</v>
      </c>
    </row>
    <row r="32" spans="1:28" ht="27.2" customHeight="1" thickBot="1">
      <c r="A32" s="246">
        <v>25</v>
      </c>
      <c r="B32" s="270"/>
      <c r="C32" s="308" t="s">
        <v>264</v>
      </c>
      <c r="D32" s="190"/>
      <c r="E32" s="303"/>
      <c r="F32" s="268">
        <f t="shared" si="0"/>
        <v>1.8</v>
      </c>
      <c r="G32" s="268">
        <f t="shared" si="14"/>
        <v>0</v>
      </c>
      <c r="H32" s="268">
        <f t="shared" si="14"/>
        <v>1.8</v>
      </c>
      <c r="I32" s="268">
        <f t="shared" si="14"/>
        <v>0</v>
      </c>
      <c r="J32" s="299" t="s">
        <v>244</v>
      </c>
      <c r="K32" s="244" t="str">
        <f>IF(J32="","",VLOOKUP(J32,'Định nghĩa Loại Chức năng'!$B$4:$C$63,2,FALSE))</f>
        <v>Thực hiện feature engineering</v>
      </c>
      <c r="L32" s="245">
        <f>_xlfn.IFNA(IF(J32="","",VLOOKUP(J32&amp;$L$7,CSDL_CN!$E$4:$F$40,2,FALSE)),0)</f>
        <v>0</v>
      </c>
      <c r="M32" s="245">
        <f>_xlfn.IFNA(IF(J32="","",VLOOKUP(J32&amp;$M$7,CSDL_CN!$E$4:$F$40,2,FALSE)),0)</f>
        <v>2</v>
      </c>
      <c r="N32" s="245">
        <f>_xlfn.IFNA(IF(J32="","",VLOOKUP(J32&amp;$N$7,CSDL_CN!$E$4:$F$40,2,FALSE)),0)</f>
        <v>0</v>
      </c>
      <c r="O32" s="245">
        <f t="array" ref="O32">SUM(IFERROR(L32:N32,0))</f>
        <v>2</v>
      </c>
      <c r="P32" s="275">
        <v>0.1</v>
      </c>
      <c r="Q32" s="280"/>
      <c r="R32" s="246"/>
      <c r="S32" s="247"/>
      <c r="T32" s="248" t="s">
        <v>237</v>
      </c>
      <c r="U32" s="248" t="s">
        <v>237</v>
      </c>
      <c r="V32" s="248" t="s">
        <v>237</v>
      </c>
      <c r="W32" s="249" t="str">
        <f t="shared" si="15"/>
        <v/>
      </c>
      <c r="X32" s="249" t="str">
        <f t="shared" si="15"/>
        <v/>
      </c>
      <c r="Y32" s="249" t="str">
        <f t="shared" si="15"/>
        <v/>
      </c>
      <c r="Z32" s="249">
        <f t="shared" si="6"/>
        <v>0</v>
      </c>
      <c r="AA32" s="249">
        <f t="shared" si="16"/>
        <v>1.8</v>
      </c>
      <c r="AB32" s="249">
        <f t="shared" si="16"/>
        <v>0</v>
      </c>
    </row>
    <row r="33" spans="1:28" ht="42.2" customHeight="1" thickBot="1">
      <c r="A33" s="246">
        <v>26</v>
      </c>
      <c r="B33" s="270"/>
      <c r="C33" s="306" t="s">
        <v>265</v>
      </c>
      <c r="D33" s="190"/>
      <c r="E33" s="303"/>
      <c r="F33" s="268">
        <f t="shared" si="0"/>
        <v>4.05</v>
      </c>
      <c r="G33" s="268">
        <f t="shared" si="14"/>
        <v>0</v>
      </c>
      <c r="H33" s="268">
        <f t="shared" si="14"/>
        <v>4.05</v>
      </c>
      <c r="I33" s="268">
        <f t="shared" si="14"/>
        <v>0</v>
      </c>
      <c r="J33" s="300" t="s">
        <v>246</v>
      </c>
      <c r="K33" s="244" t="str">
        <f>IF(J33="","",VLOOKUP(J33,'Định nghĩa Loại Chức năng'!$B$4:$C$63,2,FALSE))</f>
        <v>Tổng hợp dữ liệu đơn giản</v>
      </c>
      <c r="L33" s="245">
        <f>_xlfn.IFNA(IF(J33="","",VLOOKUP(J33&amp;$L$7,CSDL_CN!$E$4:$F$40,2,FALSE)),0)</f>
        <v>0</v>
      </c>
      <c r="M33" s="245">
        <f>_xlfn.IFNA(IF(J33="","",VLOOKUP(J33&amp;$M$7,CSDL_CN!$E$4:$F$40,2,FALSE)),0)</f>
        <v>4.5</v>
      </c>
      <c r="N33" s="245">
        <f>_xlfn.IFNA(IF(J33="","",VLOOKUP(J33&amp;$N$7,CSDL_CN!$E$4:$F$40,2,FALSE)),0)</f>
        <v>0</v>
      </c>
      <c r="O33" s="245">
        <f t="array" ref="O33">SUM(IFERROR(L33:N33,0))</f>
        <v>4.5</v>
      </c>
      <c r="P33" s="275">
        <v>0.1</v>
      </c>
      <c r="Q33" s="280"/>
      <c r="R33" s="246"/>
      <c r="S33" s="247"/>
      <c r="T33" s="248" t="s">
        <v>237</v>
      </c>
      <c r="U33" s="248" t="s">
        <v>237</v>
      </c>
      <c r="V33" s="248" t="s">
        <v>237</v>
      </c>
      <c r="W33" s="249" t="str">
        <f t="shared" si="15"/>
        <v/>
      </c>
      <c r="X33" s="249" t="str">
        <f t="shared" si="15"/>
        <v/>
      </c>
      <c r="Y33" s="249" t="str">
        <f t="shared" si="15"/>
        <v/>
      </c>
      <c r="Z33" s="249">
        <f t="shared" si="6"/>
        <v>0</v>
      </c>
      <c r="AA33" s="249">
        <f t="shared" si="16"/>
        <v>4.05</v>
      </c>
      <c r="AB33" s="249">
        <f t="shared" si="16"/>
        <v>0</v>
      </c>
    </row>
    <row r="34" spans="1:28" ht="36" customHeight="1" thickBot="1">
      <c r="A34" s="246">
        <v>27</v>
      </c>
      <c r="B34" s="270"/>
      <c r="C34" s="306" t="s">
        <v>266</v>
      </c>
      <c r="D34" s="190"/>
      <c r="E34" s="303"/>
      <c r="F34" s="268">
        <f t="shared" ref="F34:F53" si="17">O34*(1-P34)</f>
        <v>1.8</v>
      </c>
      <c r="G34" s="268">
        <f t="shared" ref="G34:G44" si="18">_xlfn.IFNA(L34*(1-$P34),0)</f>
        <v>0</v>
      </c>
      <c r="H34" s="268">
        <f t="shared" ref="H34:H44" si="19">_xlfn.IFNA(M34*(1-$P34),0)</f>
        <v>1.8</v>
      </c>
      <c r="I34" s="268">
        <f t="shared" ref="I34:I44" si="20">_xlfn.IFNA(N34*(1-$P34),0)</f>
        <v>0</v>
      </c>
      <c r="J34" s="299" t="s">
        <v>244</v>
      </c>
      <c r="K34" s="244" t="str">
        <f>IF(J34="","",VLOOKUP(J34,'Định nghĩa Loại Chức năng'!$B$4:$C$63,2,FALSE))</f>
        <v>Thực hiện feature engineering</v>
      </c>
      <c r="L34" s="245">
        <f>_xlfn.IFNA(IF(J34="","",VLOOKUP(J34&amp;$L$7,CSDL_CN!$E$4:$F$40,2,FALSE)),0)</f>
        <v>0</v>
      </c>
      <c r="M34" s="245">
        <f>_xlfn.IFNA(IF(J34="","",VLOOKUP(J34&amp;$M$7,CSDL_CN!$E$4:$F$40,2,FALSE)),0)</f>
        <v>2</v>
      </c>
      <c r="N34" s="245">
        <f>_xlfn.IFNA(IF(J34="","",VLOOKUP(J34&amp;$N$7,CSDL_CN!$E$4:$F$40,2,FALSE)),0)</f>
        <v>0</v>
      </c>
      <c r="O34" s="245">
        <f t="array" ref="O34">SUM(IFERROR(L34:N34,0))</f>
        <v>2</v>
      </c>
      <c r="P34" s="275">
        <v>0.1</v>
      </c>
      <c r="Q34" s="280"/>
      <c r="R34" s="246"/>
      <c r="S34" s="247"/>
      <c r="T34" s="248" t="s">
        <v>237</v>
      </c>
      <c r="U34" s="248" t="s">
        <v>237</v>
      </c>
      <c r="V34" s="248" t="s">
        <v>237</v>
      </c>
      <c r="W34" s="249" t="str">
        <f t="shared" ref="W34:W44" si="21">IF(T34="Có",L34*(1-$P34),"")</f>
        <v/>
      </c>
      <c r="X34" s="249" t="str">
        <f t="shared" ref="X34:X44" si="22">IF(U34="Có",M34*(1-$P34),"")</f>
        <v/>
      </c>
      <c r="Y34" s="249" t="str">
        <f t="shared" ref="Y34:Y44" si="23">IF(V34="Có",N34*(1-$P34),"")</f>
        <v/>
      </c>
      <c r="Z34" s="249">
        <f t="shared" ref="Z34:Z53" si="24">IF(L34="","",IF(W34="",L34*(1-$P34),L34*(1-$P34)-W34))</f>
        <v>0</v>
      </c>
      <c r="AA34" s="249">
        <f t="shared" ref="AA34:AA53" si="25">IF(OR(M34="",U34="Có"),"",IF(X34="",M34*(1-$P34),M34*(1-$P34)-X34))</f>
        <v>1.8</v>
      </c>
      <c r="AB34" s="249">
        <f t="shared" ref="AB34:AB53" si="26">IF(OR(N34="",V34="Có"),"",IF(Y34="",N34*(1-$P34),N34*(1-$P34)-Y34))</f>
        <v>0</v>
      </c>
    </row>
    <row r="35" spans="1:28" ht="36" customHeight="1" thickBot="1">
      <c r="A35" s="246">
        <v>28</v>
      </c>
      <c r="B35" s="270"/>
      <c r="C35" s="306" t="s">
        <v>267</v>
      </c>
      <c r="D35" s="190"/>
      <c r="E35" s="303"/>
      <c r="F35" s="268">
        <f>O35*(1-P35)</f>
        <v>1.8</v>
      </c>
      <c r="G35" s="268">
        <f t="shared" si="18"/>
        <v>0</v>
      </c>
      <c r="H35" s="268">
        <f t="shared" si="19"/>
        <v>1.8</v>
      </c>
      <c r="I35" s="268">
        <f t="shared" si="20"/>
        <v>0</v>
      </c>
      <c r="J35" s="299" t="s">
        <v>244</v>
      </c>
      <c r="K35" s="244" t="str">
        <f>IF(J35="","",VLOOKUP(J35,'Định nghĩa Loại Chức năng'!$B$4:$C$63,2,FALSE))</f>
        <v>Thực hiện feature engineering</v>
      </c>
      <c r="L35" s="245">
        <f>_xlfn.IFNA(IF(J35="","",VLOOKUP(J35&amp;$L$7,CSDL_CN!$E$4:$F$40,2,FALSE)),0)</f>
        <v>0</v>
      </c>
      <c r="M35" s="245">
        <f>_xlfn.IFNA(IF(J35="","",VLOOKUP(J35&amp;$M$7,CSDL_CN!$E$4:$F$40,2,FALSE)),0)</f>
        <v>2</v>
      </c>
      <c r="N35" s="245">
        <f>_xlfn.IFNA(IF(J35="","",VLOOKUP(J35&amp;$N$7,CSDL_CN!$E$4:$F$40,2,FALSE)),0)</f>
        <v>0</v>
      </c>
      <c r="O35" s="245">
        <f t="array" ref="O35">SUM(IFERROR(L35:N35,0))</f>
        <v>2</v>
      </c>
      <c r="P35" s="275">
        <v>0.1</v>
      </c>
      <c r="Q35" s="280"/>
      <c r="R35" s="246"/>
      <c r="S35" s="247"/>
      <c r="T35" s="248" t="s">
        <v>237</v>
      </c>
      <c r="U35" s="248" t="s">
        <v>237</v>
      </c>
      <c r="V35" s="248" t="s">
        <v>237</v>
      </c>
      <c r="W35" s="249" t="str">
        <f t="shared" si="21"/>
        <v/>
      </c>
      <c r="X35" s="249" t="str">
        <f t="shared" si="22"/>
        <v/>
      </c>
      <c r="Y35" s="249" t="str">
        <f t="shared" si="23"/>
        <v/>
      </c>
      <c r="Z35" s="249">
        <f t="shared" si="24"/>
        <v>0</v>
      </c>
      <c r="AA35" s="249">
        <f t="shared" si="25"/>
        <v>1.8</v>
      </c>
      <c r="AB35" s="249">
        <f t="shared" si="26"/>
        <v>0</v>
      </c>
    </row>
    <row r="36" spans="1:28" ht="19.5" thickBot="1">
      <c r="A36" s="246">
        <v>29</v>
      </c>
      <c r="B36" s="270"/>
      <c r="C36" s="306" t="s">
        <v>268</v>
      </c>
      <c r="D36" s="190"/>
      <c r="E36" s="303"/>
      <c r="F36" s="268">
        <f>O36*(1-P36)</f>
        <v>1.8</v>
      </c>
      <c r="G36" s="268">
        <f t="shared" si="18"/>
        <v>0</v>
      </c>
      <c r="H36" s="268">
        <f t="shared" si="19"/>
        <v>1.8</v>
      </c>
      <c r="I36" s="268">
        <f t="shared" si="20"/>
        <v>0</v>
      </c>
      <c r="J36" s="299" t="s">
        <v>244</v>
      </c>
      <c r="K36" s="244" t="str">
        <f>IF(J36="","",VLOOKUP(J36,'Định nghĩa Loại Chức năng'!$B$4:$C$63,2,FALSE))</f>
        <v>Thực hiện feature engineering</v>
      </c>
      <c r="L36" s="245">
        <f>_xlfn.IFNA(IF(J36="","",VLOOKUP(J36&amp;$L$7,CSDL_CN!$E$4:$F$40,2,FALSE)),0)</f>
        <v>0</v>
      </c>
      <c r="M36" s="245">
        <f>_xlfn.IFNA(IF(J36="","",VLOOKUP(J36&amp;$M$7,CSDL_CN!$E$4:$F$40,2,FALSE)),0)</f>
        <v>2</v>
      </c>
      <c r="N36" s="245">
        <f>_xlfn.IFNA(IF(J36="","",VLOOKUP(J36&amp;$N$7,CSDL_CN!$E$4:$F$40,2,FALSE)),0)</f>
        <v>0</v>
      </c>
      <c r="O36" s="245">
        <f t="array" ref="O36">SUM(IFERROR(L36:N36,0))</f>
        <v>2</v>
      </c>
      <c r="P36" s="275">
        <v>0.1</v>
      </c>
      <c r="Q36" s="280"/>
      <c r="R36" s="246"/>
      <c r="S36" s="247"/>
      <c r="T36" s="248" t="s">
        <v>237</v>
      </c>
      <c r="U36" s="248" t="s">
        <v>237</v>
      </c>
      <c r="V36" s="248" t="s">
        <v>237</v>
      </c>
      <c r="W36" s="249" t="str">
        <f t="shared" si="21"/>
        <v/>
      </c>
      <c r="X36" s="249" t="str">
        <f t="shared" si="22"/>
        <v/>
      </c>
      <c r="Y36" s="249" t="str">
        <f t="shared" si="23"/>
        <v/>
      </c>
      <c r="Z36" s="249">
        <f t="shared" si="24"/>
        <v>0</v>
      </c>
      <c r="AA36" s="249">
        <f t="shared" si="25"/>
        <v>1.8</v>
      </c>
      <c r="AB36" s="249">
        <f t="shared" si="26"/>
        <v>0</v>
      </c>
    </row>
    <row r="37" spans="1:28" ht="19.5" thickBot="1">
      <c r="A37" s="246">
        <v>30</v>
      </c>
      <c r="B37" s="270"/>
      <c r="C37" s="308" t="s">
        <v>269</v>
      </c>
      <c r="D37" s="190"/>
      <c r="E37" s="303"/>
      <c r="F37" s="268">
        <f>O37*(1-P37)</f>
        <v>1.8</v>
      </c>
      <c r="G37" s="268">
        <f t="shared" si="18"/>
        <v>0</v>
      </c>
      <c r="H37" s="268">
        <f t="shared" si="19"/>
        <v>1.8</v>
      </c>
      <c r="I37" s="268">
        <f t="shared" si="20"/>
        <v>0</v>
      </c>
      <c r="J37" s="299" t="s">
        <v>244</v>
      </c>
      <c r="K37" s="244" t="str">
        <f>IF(J37="","",VLOOKUP(J37,'Định nghĩa Loại Chức năng'!$B$4:$C$63,2,FALSE))</f>
        <v>Thực hiện feature engineering</v>
      </c>
      <c r="L37" s="245">
        <f>_xlfn.IFNA(IF(J37="","",VLOOKUP(J37&amp;$L$7,CSDL_CN!$E$4:$F$40,2,FALSE)),0)</f>
        <v>0</v>
      </c>
      <c r="M37" s="245">
        <f>_xlfn.IFNA(IF(J37="","",VLOOKUP(J37&amp;$M$7,CSDL_CN!$E$4:$F$40,2,FALSE)),0)</f>
        <v>2</v>
      </c>
      <c r="N37" s="245">
        <f>_xlfn.IFNA(IF(J37="","",VLOOKUP(J37&amp;$N$7,CSDL_CN!$E$4:$F$40,2,FALSE)),0)</f>
        <v>0</v>
      </c>
      <c r="O37" s="245">
        <f t="array" ref="O37">SUM(IFERROR(L37:N37,0))</f>
        <v>2</v>
      </c>
      <c r="P37" s="275">
        <v>0.1</v>
      </c>
      <c r="Q37" s="280"/>
      <c r="R37" s="246"/>
      <c r="S37" s="247"/>
      <c r="T37" s="248" t="s">
        <v>237</v>
      </c>
      <c r="U37" s="248" t="s">
        <v>237</v>
      </c>
      <c r="V37" s="248" t="s">
        <v>237</v>
      </c>
      <c r="W37" s="249" t="str">
        <f t="shared" si="21"/>
        <v/>
      </c>
      <c r="X37" s="249" t="str">
        <f t="shared" si="22"/>
        <v/>
      </c>
      <c r="Y37" s="249" t="str">
        <f t="shared" si="23"/>
        <v/>
      </c>
      <c r="Z37" s="249">
        <f t="shared" si="24"/>
        <v>0</v>
      </c>
      <c r="AA37" s="249">
        <f t="shared" si="25"/>
        <v>1.8</v>
      </c>
      <c r="AB37" s="249">
        <f t="shared" si="26"/>
        <v>0</v>
      </c>
    </row>
    <row r="38" spans="1:28" ht="19.5" thickBot="1">
      <c r="A38" s="246">
        <v>31</v>
      </c>
      <c r="B38" s="270"/>
      <c r="C38" s="308" t="s">
        <v>270</v>
      </c>
      <c r="D38" s="190"/>
      <c r="E38" s="303"/>
      <c r="F38" s="268">
        <f>O38*(1-P38)</f>
        <v>1.8</v>
      </c>
      <c r="G38" s="268">
        <f t="shared" si="18"/>
        <v>0</v>
      </c>
      <c r="H38" s="268">
        <f t="shared" si="19"/>
        <v>1.8</v>
      </c>
      <c r="I38" s="268">
        <f t="shared" si="20"/>
        <v>0</v>
      </c>
      <c r="J38" s="299" t="s">
        <v>244</v>
      </c>
      <c r="K38" s="244" t="str">
        <f>IF(J38="","",VLOOKUP(J38,'Định nghĩa Loại Chức năng'!$B$4:$C$63,2,FALSE))</f>
        <v>Thực hiện feature engineering</v>
      </c>
      <c r="L38" s="245">
        <f>_xlfn.IFNA(IF(J38="","",VLOOKUP(J38&amp;$L$7,CSDL_CN!$E$4:$F$40,2,FALSE)),0)</f>
        <v>0</v>
      </c>
      <c r="M38" s="245">
        <f>_xlfn.IFNA(IF(J38="","",VLOOKUP(J38&amp;$M$7,CSDL_CN!$E$4:$F$40,2,FALSE)),0)</f>
        <v>2</v>
      </c>
      <c r="N38" s="245">
        <f>_xlfn.IFNA(IF(J38="","",VLOOKUP(J38&amp;$N$7,CSDL_CN!$E$4:$F$40,2,FALSE)),0)</f>
        <v>0</v>
      </c>
      <c r="O38" s="245">
        <f t="array" ref="O38">SUM(IFERROR(L38:N38,0))</f>
        <v>2</v>
      </c>
      <c r="P38" s="275">
        <v>0.1</v>
      </c>
      <c r="Q38" s="280"/>
      <c r="R38" s="246"/>
      <c r="S38" s="247"/>
      <c r="T38" s="248" t="s">
        <v>237</v>
      </c>
      <c r="U38" s="248" t="s">
        <v>237</v>
      </c>
      <c r="V38" s="248" t="s">
        <v>237</v>
      </c>
      <c r="W38" s="249" t="str">
        <f t="shared" si="21"/>
        <v/>
      </c>
      <c r="X38" s="249" t="str">
        <f t="shared" si="22"/>
        <v/>
      </c>
      <c r="Y38" s="249" t="str">
        <f t="shared" si="23"/>
        <v/>
      </c>
      <c r="Z38" s="249">
        <f t="shared" si="24"/>
        <v>0</v>
      </c>
      <c r="AA38" s="249">
        <f t="shared" si="25"/>
        <v>1.8</v>
      </c>
      <c r="AB38" s="249">
        <f t="shared" si="26"/>
        <v>0</v>
      </c>
    </row>
    <row r="39" spans="1:28" ht="36" customHeight="1" thickBot="1">
      <c r="A39" s="246">
        <v>32</v>
      </c>
      <c r="B39" s="270"/>
      <c r="C39" s="307" t="s">
        <v>271</v>
      </c>
      <c r="D39" s="190"/>
      <c r="E39" s="303"/>
      <c r="F39" s="268">
        <f t="shared" si="17"/>
        <v>1.8</v>
      </c>
      <c r="G39" s="268">
        <f t="shared" si="18"/>
        <v>0</v>
      </c>
      <c r="H39" s="268">
        <f t="shared" si="19"/>
        <v>1.8</v>
      </c>
      <c r="I39" s="268">
        <f t="shared" si="20"/>
        <v>0</v>
      </c>
      <c r="J39" s="299" t="s">
        <v>244</v>
      </c>
      <c r="K39" s="244" t="str">
        <f>IF(J39="","",VLOOKUP(J39,'Định nghĩa Loại Chức năng'!$B$4:$C$63,2,FALSE))</f>
        <v>Thực hiện feature engineering</v>
      </c>
      <c r="L39" s="245">
        <f>_xlfn.IFNA(IF(J39="","",VLOOKUP(J39&amp;$L$7,CSDL_CN!$E$4:$F$40,2,FALSE)),0)</f>
        <v>0</v>
      </c>
      <c r="M39" s="245">
        <f>_xlfn.IFNA(IF(J39="","",VLOOKUP(J39&amp;$M$7,CSDL_CN!$E$4:$F$40,2,FALSE)),0)</f>
        <v>2</v>
      </c>
      <c r="N39" s="245">
        <f>_xlfn.IFNA(IF(J39="","",VLOOKUP(J39&amp;$N$7,CSDL_CN!$E$4:$F$40,2,FALSE)),0)</f>
        <v>0</v>
      </c>
      <c r="O39" s="245">
        <f t="array" ref="O39">SUM(IFERROR(L39:N39,0))</f>
        <v>2</v>
      </c>
      <c r="P39" s="275">
        <v>0.1</v>
      </c>
      <c r="Q39" s="280"/>
      <c r="R39" s="246"/>
      <c r="S39" s="247"/>
      <c r="T39" s="248" t="s">
        <v>237</v>
      </c>
      <c r="U39" s="248" t="s">
        <v>237</v>
      </c>
      <c r="V39" s="248" t="s">
        <v>237</v>
      </c>
      <c r="W39" s="249" t="str">
        <f t="shared" si="21"/>
        <v/>
      </c>
      <c r="X39" s="249" t="str">
        <f t="shared" si="22"/>
        <v/>
      </c>
      <c r="Y39" s="249" t="str">
        <f t="shared" si="23"/>
        <v/>
      </c>
      <c r="Z39" s="249">
        <f t="shared" si="24"/>
        <v>0</v>
      </c>
      <c r="AA39" s="249">
        <f t="shared" si="25"/>
        <v>1.8</v>
      </c>
      <c r="AB39" s="249">
        <f t="shared" si="26"/>
        <v>0</v>
      </c>
    </row>
    <row r="40" spans="1:28" ht="19.5" thickBot="1">
      <c r="A40" s="246">
        <v>33</v>
      </c>
      <c r="B40" s="270"/>
      <c r="C40" s="306" t="s">
        <v>272</v>
      </c>
      <c r="D40" s="190"/>
      <c r="E40" s="303"/>
      <c r="F40" s="268">
        <f t="shared" si="17"/>
        <v>4.05</v>
      </c>
      <c r="G40" s="268">
        <f t="shared" si="18"/>
        <v>0</v>
      </c>
      <c r="H40" s="268">
        <f t="shared" si="19"/>
        <v>4.05</v>
      </c>
      <c r="I40" s="268">
        <f t="shared" si="20"/>
        <v>0</v>
      </c>
      <c r="J40" s="300" t="s">
        <v>246</v>
      </c>
      <c r="K40" s="244" t="str">
        <f>IF(J40="","",VLOOKUP(J40,'Định nghĩa Loại Chức năng'!$B$4:$C$63,2,FALSE))</f>
        <v>Tổng hợp dữ liệu đơn giản</v>
      </c>
      <c r="L40" s="245">
        <f>_xlfn.IFNA(IF(J40="","",VLOOKUP(J40&amp;$L$7,CSDL_CN!$E$4:$F$40,2,FALSE)),0)</f>
        <v>0</v>
      </c>
      <c r="M40" s="245">
        <f>_xlfn.IFNA(IF(J40="","",VLOOKUP(J40&amp;$M$7,CSDL_CN!$E$4:$F$40,2,FALSE)),0)</f>
        <v>4.5</v>
      </c>
      <c r="N40" s="245">
        <f>_xlfn.IFNA(IF(J40="","",VLOOKUP(J40&amp;$N$7,CSDL_CN!$E$4:$F$40,2,FALSE)),0)</f>
        <v>0</v>
      </c>
      <c r="O40" s="245">
        <f t="array" ref="O40">SUM(IFERROR(L40:N40,0))</f>
        <v>4.5</v>
      </c>
      <c r="P40" s="275">
        <v>0.1</v>
      </c>
      <c r="Q40" s="280"/>
      <c r="R40" s="246"/>
      <c r="S40" s="247"/>
      <c r="T40" s="248" t="s">
        <v>237</v>
      </c>
      <c r="U40" s="248" t="s">
        <v>237</v>
      </c>
      <c r="V40" s="248" t="s">
        <v>237</v>
      </c>
      <c r="W40" s="249" t="str">
        <f t="shared" si="21"/>
        <v/>
      </c>
      <c r="X40" s="249" t="str">
        <f t="shared" si="22"/>
        <v/>
      </c>
      <c r="Y40" s="249" t="str">
        <f t="shared" si="23"/>
        <v/>
      </c>
      <c r="Z40" s="249">
        <f t="shared" si="24"/>
        <v>0</v>
      </c>
      <c r="AA40" s="249">
        <f t="shared" si="25"/>
        <v>4.05</v>
      </c>
      <c r="AB40" s="249">
        <f t="shared" si="26"/>
        <v>0</v>
      </c>
    </row>
    <row r="41" spans="1:28" ht="19.5" thickBot="1">
      <c r="A41" s="246">
        <v>34</v>
      </c>
      <c r="B41" s="270"/>
      <c r="C41" s="308" t="s">
        <v>273</v>
      </c>
      <c r="D41" s="190"/>
      <c r="E41" s="303"/>
      <c r="F41" s="268">
        <f t="shared" si="17"/>
        <v>3.6</v>
      </c>
      <c r="G41" s="268">
        <f t="shared" si="18"/>
        <v>0</v>
      </c>
      <c r="H41" s="268">
        <f t="shared" si="19"/>
        <v>3.6</v>
      </c>
      <c r="I41" s="268">
        <f t="shared" si="20"/>
        <v>0</v>
      </c>
      <c r="J41" s="304" t="s">
        <v>274</v>
      </c>
      <c r="K41" s="244" t="str">
        <f>IF(J41="","",VLOOKUP(J41,'Định nghĩa Loại Chức năng'!$B$4:$C$63,2,FALSE))</f>
        <v>Fine-tune hyperparameters</v>
      </c>
      <c r="L41" s="245">
        <f>_xlfn.IFNA(IF(J41="","",VLOOKUP(J41&amp;$L$7,CSDL_CN!$E$4:$F$40,2,FALSE)),0)</f>
        <v>0</v>
      </c>
      <c r="M41" s="245">
        <f>_xlfn.IFNA(IF(J41="","",VLOOKUP(J41&amp;$M$7,CSDL_CN!$E$4:$F$40,2,FALSE)),0)</f>
        <v>4</v>
      </c>
      <c r="N41" s="245">
        <f>_xlfn.IFNA(IF(J41="","",VLOOKUP(J41&amp;$N$7,CSDL_CN!$E$4:$F$40,2,FALSE)),0)</f>
        <v>0</v>
      </c>
      <c r="O41" s="245">
        <f t="array" ref="O41">SUM(IFERROR(L41:N41,0))</f>
        <v>4</v>
      </c>
      <c r="P41" s="275">
        <v>0.1</v>
      </c>
      <c r="Q41" s="280"/>
      <c r="R41" s="246"/>
      <c r="S41" s="247"/>
      <c r="T41" s="248" t="s">
        <v>237</v>
      </c>
      <c r="U41" s="248" t="s">
        <v>237</v>
      </c>
      <c r="V41" s="248" t="s">
        <v>237</v>
      </c>
      <c r="W41" s="249" t="str">
        <f t="shared" si="21"/>
        <v/>
      </c>
      <c r="X41" s="249" t="str">
        <f t="shared" si="22"/>
        <v/>
      </c>
      <c r="Y41" s="249" t="str">
        <f t="shared" si="23"/>
        <v/>
      </c>
      <c r="Z41" s="249">
        <f t="shared" si="24"/>
        <v>0</v>
      </c>
      <c r="AA41" s="249">
        <f t="shared" si="25"/>
        <v>3.6</v>
      </c>
      <c r="AB41" s="249">
        <f t="shared" si="26"/>
        <v>0</v>
      </c>
    </row>
    <row r="42" spans="1:28" ht="19.5" thickBot="1">
      <c r="A42" s="246">
        <v>35</v>
      </c>
      <c r="B42" s="270"/>
      <c r="C42" s="308" t="s">
        <v>275</v>
      </c>
      <c r="D42" s="190"/>
      <c r="E42" s="303"/>
      <c r="F42" s="268">
        <f t="shared" si="17"/>
        <v>3.6</v>
      </c>
      <c r="G42" s="268">
        <f t="shared" si="18"/>
        <v>0</v>
      </c>
      <c r="H42" s="268">
        <f t="shared" si="19"/>
        <v>3.6</v>
      </c>
      <c r="I42" s="268">
        <f t="shared" si="20"/>
        <v>0</v>
      </c>
      <c r="J42" s="304" t="s">
        <v>274</v>
      </c>
      <c r="K42" s="244" t="str">
        <f>IF(J42="","",VLOOKUP(J42,'Định nghĩa Loại Chức năng'!$B$4:$C$63,2,FALSE))</f>
        <v>Fine-tune hyperparameters</v>
      </c>
      <c r="L42" s="245">
        <f>_xlfn.IFNA(IF(J42="","",VLOOKUP(J42&amp;$L$7,CSDL_CN!$E$4:$F$40,2,FALSE)),0)</f>
        <v>0</v>
      </c>
      <c r="M42" s="245">
        <f>_xlfn.IFNA(IF(J42="","",VLOOKUP(J42&amp;$M$7,CSDL_CN!$E$4:$F$40,2,FALSE)),0)</f>
        <v>4</v>
      </c>
      <c r="N42" s="245">
        <f>_xlfn.IFNA(IF(J42="","",VLOOKUP(J42&amp;$N$7,CSDL_CN!$E$4:$F$40,2,FALSE)),0)</f>
        <v>0</v>
      </c>
      <c r="O42" s="245">
        <f t="array" ref="O42">SUM(IFERROR(L42:N42,0))</f>
        <v>4</v>
      </c>
      <c r="P42" s="275">
        <v>0.1</v>
      </c>
      <c r="Q42" s="280"/>
      <c r="R42" s="246"/>
      <c r="S42" s="247"/>
      <c r="T42" s="248" t="s">
        <v>237</v>
      </c>
      <c r="U42" s="248" t="s">
        <v>237</v>
      </c>
      <c r="V42" s="248" t="s">
        <v>237</v>
      </c>
      <c r="W42" s="249" t="str">
        <f t="shared" si="21"/>
        <v/>
      </c>
      <c r="X42" s="249" t="str">
        <f t="shared" si="22"/>
        <v/>
      </c>
      <c r="Y42" s="249" t="str">
        <f t="shared" si="23"/>
        <v/>
      </c>
      <c r="Z42" s="249">
        <f t="shared" si="24"/>
        <v>0</v>
      </c>
      <c r="AA42" s="249">
        <f t="shared" si="25"/>
        <v>3.6</v>
      </c>
      <c r="AB42" s="249">
        <f t="shared" si="26"/>
        <v>0</v>
      </c>
    </row>
    <row r="43" spans="1:28" ht="19.5" thickBot="1">
      <c r="A43" s="246">
        <v>36</v>
      </c>
      <c r="B43" s="270"/>
      <c r="C43" s="308" t="s">
        <v>276</v>
      </c>
      <c r="D43" s="190"/>
      <c r="E43" s="303"/>
      <c r="F43" s="268">
        <f t="shared" si="17"/>
        <v>3.6</v>
      </c>
      <c r="G43" s="268">
        <f t="shared" si="18"/>
        <v>0</v>
      </c>
      <c r="H43" s="268">
        <f t="shared" si="19"/>
        <v>3.6</v>
      </c>
      <c r="I43" s="268">
        <f t="shared" si="20"/>
        <v>0</v>
      </c>
      <c r="J43" s="304" t="s">
        <v>274</v>
      </c>
      <c r="K43" s="244" t="str">
        <f>IF(J43="","",VLOOKUP(J43,'Định nghĩa Loại Chức năng'!$B$4:$C$63,2,FALSE))</f>
        <v>Fine-tune hyperparameters</v>
      </c>
      <c r="L43" s="245">
        <f>_xlfn.IFNA(IF(J43="","",VLOOKUP(J43&amp;$L$7,CSDL_CN!$E$4:$F$40,2,FALSE)),0)</f>
        <v>0</v>
      </c>
      <c r="M43" s="245">
        <f>_xlfn.IFNA(IF(J43="","",VLOOKUP(J43&amp;$M$7,CSDL_CN!$E$4:$F$40,2,FALSE)),0)</f>
        <v>4</v>
      </c>
      <c r="N43" s="245">
        <f>_xlfn.IFNA(IF(J43="","",VLOOKUP(J43&amp;$N$7,CSDL_CN!$E$4:$F$40,2,FALSE)),0)</f>
        <v>0</v>
      </c>
      <c r="O43" s="245">
        <f t="array" ref="O43">SUM(IFERROR(L43:N43,0))</f>
        <v>4</v>
      </c>
      <c r="P43" s="275">
        <v>0.1</v>
      </c>
      <c r="Q43" s="280"/>
      <c r="R43" s="246"/>
      <c r="S43" s="247"/>
      <c r="T43" s="248" t="s">
        <v>237</v>
      </c>
      <c r="U43" s="248" t="s">
        <v>237</v>
      </c>
      <c r="V43" s="248" t="s">
        <v>237</v>
      </c>
      <c r="W43" s="249" t="str">
        <f t="shared" si="21"/>
        <v/>
      </c>
      <c r="X43" s="249" t="str">
        <f t="shared" si="22"/>
        <v/>
      </c>
      <c r="Y43" s="249" t="str">
        <f t="shared" si="23"/>
        <v/>
      </c>
      <c r="Z43" s="249">
        <f t="shared" si="24"/>
        <v>0</v>
      </c>
      <c r="AA43" s="249">
        <f t="shared" si="25"/>
        <v>3.6</v>
      </c>
      <c r="AB43" s="249">
        <f t="shared" si="26"/>
        <v>0</v>
      </c>
    </row>
    <row r="44" spans="1:28" ht="19.5" thickBot="1">
      <c r="A44" s="246">
        <v>37</v>
      </c>
      <c r="B44" s="270"/>
      <c r="C44" s="308" t="s">
        <v>277</v>
      </c>
      <c r="D44" s="190"/>
      <c r="E44" s="303"/>
      <c r="F44" s="268">
        <f t="shared" si="17"/>
        <v>3.6</v>
      </c>
      <c r="G44" s="268">
        <f t="shared" si="18"/>
        <v>0</v>
      </c>
      <c r="H44" s="268">
        <f t="shared" si="19"/>
        <v>3.6</v>
      </c>
      <c r="I44" s="268">
        <f t="shared" si="20"/>
        <v>0</v>
      </c>
      <c r="J44" s="304" t="s">
        <v>274</v>
      </c>
      <c r="K44" s="244" t="str">
        <f>IF(J44="","",VLOOKUP(J44,'Định nghĩa Loại Chức năng'!$B$4:$C$63,2,FALSE))</f>
        <v>Fine-tune hyperparameters</v>
      </c>
      <c r="L44" s="245">
        <f>_xlfn.IFNA(IF(J44="","",VLOOKUP(J44&amp;$L$7,CSDL_CN!$E$4:$F$40,2,FALSE)),0)</f>
        <v>0</v>
      </c>
      <c r="M44" s="245">
        <f>_xlfn.IFNA(IF(J44="","",VLOOKUP(J44&amp;$M$7,CSDL_CN!$E$4:$F$40,2,FALSE)),0)</f>
        <v>4</v>
      </c>
      <c r="N44" s="245">
        <f>_xlfn.IFNA(IF(J44="","",VLOOKUP(J44&amp;$N$7,CSDL_CN!$E$4:$F$40,2,FALSE)),0)</f>
        <v>0</v>
      </c>
      <c r="O44" s="245">
        <f t="array" ref="O44">SUM(IFERROR(L44:N44,0))</f>
        <v>4</v>
      </c>
      <c r="P44" s="275">
        <v>0.1</v>
      </c>
      <c r="Q44" s="280"/>
      <c r="R44" s="246"/>
      <c r="S44" s="247"/>
      <c r="T44" s="248" t="s">
        <v>237</v>
      </c>
      <c r="U44" s="248" t="s">
        <v>237</v>
      </c>
      <c r="V44" s="248" t="s">
        <v>237</v>
      </c>
      <c r="W44" s="249" t="str">
        <f t="shared" si="21"/>
        <v/>
      </c>
      <c r="X44" s="249" t="str">
        <f t="shared" si="22"/>
        <v/>
      </c>
      <c r="Y44" s="249" t="str">
        <f t="shared" si="23"/>
        <v/>
      </c>
      <c r="Z44" s="249">
        <f t="shared" si="24"/>
        <v>0</v>
      </c>
      <c r="AA44" s="249">
        <f t="shared" si="25"/>
        <v>3.6</v>
      </c>
      <c r="AB44" s="249">
        <f t="shared" si="26"/>
        <v>0</v>
      </c>
    </row>
    <row r="45" spans="1:28" ht="19.5" thickBot="1">
      <c r="A45" s="246">
        <v>38</v>
      </c>
      <c r="B45" s="270"/>
      <c r="C45" s="308" t="s">
        <v>278</v>
      </c>
      <c r="D45" s="190"/>
      <c r="E45" s="303"/>
      <c r="F45" s="268">
        <f>O45*(1-P45)</f>
        <v>3.6</v>
      </c>
      <c r="G45" s="268">
        <f t="shared" ref="G45:I46" si="27">_xlfn.IFNA(L45*(1-$P45),0)</f>
        <v>0</v>
      </c>
      <c r="H45" s="268">
        <f t="shared" si="27"/>
        <v>3.6</v>
      </c>
      <c r="I45" s="268">
        <f t="shared" si="27"/>
        <v>0</v>
      </c>
      <c r="J45" s="304" t="s">
        <v>274</v>
      </c>
      <c r="K45" s="244" t="str">
        <f>IF(J45="","",VLOOKUP(J45,'Định nghĩa Loại Chức năng'!$B$4:$C$63,2,FALSE))</f>
        <v>Fine-tune hyperparameters</v>
      </c>
      <c r="L45" s="245">
        <f>_xlfn.IFNA(IF(J45="","",VLOOKUP(J45&amp;$L$7,CSDL_CN!$E$4:$F$40,2,FALSE)),0)</f>
        <v>0</v>
      </c>
      <c r="M45" s="245">
        <f>_xlfn.IFNA(IF(J45="","",VLOOKUP(J45&amp;$M$7,CSDL_CN!$E$4:$F$40,2,FALSE)),0)</f>
        <v>4</v>
      </c>
      <c r="N45" s="245">
        <f>_xlfn.IFNA(IF(J45="","",VLOOKUP(J45&amp;$N$7,CSDL_CN!$E$4:$F$40,2,FALSE)),0)</f>
        <v>0</v>
      </c>
      <c r="O45" s="245">
        <f t="array" ref="O45">SUM(IFERROR(L45:N45,0))</f>
        <v>4</v>
      </c>
      <c r="P45" s="275">
        <v>0.1</v>
      </c>
      <c r="Q45" s="280"/>
      <c r="R45" s="246"/>
      <c r="S45" s="247"/>
      <c r="T45" s="248" t="s">
        <v>237</v>
      </c>
      <c r="U45" s="248" t="s">
        <v>237</v>
      </c>
      <c r="V45" s="248" t="s">
        <v>237</v>
      </c>
      <c r="W45" s="249" t="str">
        <f t="shared" ref="W45:Y46" si="28">IF(T45="Có",L45*(1-$P45),"")</f>
        <v/>
      </c>
      <c r="X45" s="249" t="str">
        <f t="shared" si="28"/>
        <v/>
      </c>
      <c r="Y45" s="249" t="str">
        <f t="shared" si="28"/>
        <v/>
      </c>
      <c r="Z45" s="249">
        <f t="shared" si="24"/>
        <v>0</v>
      </c>
      <c r="AA45" s="249">
        <f t="shared" si="25"/>
        <v>3.6</v>
      </c>
      <c r="AB45" s="249">
        <f t="shared" si="26"/>
        <v>0</v>
      </c>
    </row>
    <row r="46" spans="1:28" ht="19.5" thickBot="1">
      <c r="A46" s="246">
        <v>39</v>
      </c>
      <c r="B46" s="270"/>
      <c r="C46" s="308" t="s">
        <v>279</v>
      </c>
      <c r="D46" s="190"/>
      <c r="E46" s="303"/>
      <c r="F46" s="268">
        <f>O46*(1-P46)</f>
        <v>3.6</v>
      </c>
      <c r="G46" s="268">
        <f t="shared" si="27"/>
        <v>0</v>
      </c>
      <c r="H46" s="268">
        <f t="shared" si="27"/>
        <v>3.6</v>
      </c>
      <c r="I46" s="268">
        <f t="shared" si="27"/>
        <v>0</v>
      </c>
      <c r="J46" s="304" t="s">
        <v>274</v>
      </c>
      <c r="K46" s="244" t="str">
        <f>IF(J46="","",VLOOKUP(J46,'Định nghĩa Loại Chức năng'!$B$4:$C$63,2,FALSE))</f>
        <v>Fine-tune hyperparameters</v>
      </c>
      <c r="L46" s="245">
        <f>_xlfn.IFNA(IF(J46="","",VLOOKUP(J46&amp;$L$7,CSDL_CN!$E$4:$F$40,2,FALSE)),0)</f>
        <v>0</v>
      </c>
      <c r="M46" s="245">
        <f>_xlfn.IFNA(IF(J46="","",VLOOKUP(J46&amp;$M$7,CSDL_CN!$E$4:$F$40,2,FALSE)),0)</f>
        <v>4</v>
      </c>
      <c r="N46" s="245">
        <f>_xlfn.IFNA(IF(J46="","",VLOOKUP(J46&amp;$N$7,CSDL_CN!$E$4:$F$40,2,FALSE)),0)</f>
        <v>0</v>
      </c>
      <c r="O46" s="245">
        <f t="array" ref="O46">SUM(IFERROR(L46:N46,0))</f>
        <v>4</v>
      </c>
      <c r="P46" s="275">
        <v>0.1</v>
      </c>
      <c r="Q46" s="280"/>
      <c r="R46" s="246"/>
      <c r="S46" s="247"/>
      <c r="T46" s="248" t="s">
        <v>237</v>
      </c>
      <c r="U46" s="248" t="s">
        <v>237</v>
      </c>
      <c r="V46" s="248" t="s">
        <v>237</v>
      </c>
      <c r="W46" s="249" t="str">
        <f t="shared" si="28"/>
        <v/>
      </c>
      <c r="X46" s="249" t="str">
        <f t="shared" si="28"/>
        <v/>
      </c>
      <c r="Y46" s="249" t="str">
        <f t="shared" si="28"/>
        <v/>
      </c>
      <c r="Z46" s="249">
        <f t="shared" si="24"/>
        <v>0</v>
      </c>
      <c r="AA46" s="249">
        <f t="shared" si="25"/>
        <v>3.6</v>
      </c>
      <c r="AB46" s="249">
        <f t="shared" si="26"/>
        <v>0</v>
      </c>
    </row>
    <row r="47" spans="1:28" ht="19.5" thickBot="1">
      <c r="A47" s="246">
        <v>40</v>
      </c>
      <c r="B47" s="270"/>
      <c r="C47" s="308" t="s">
        <v>280</v>
      </c>
      <c r="D47" s="190"/>
      <c r="E47" s="303"/>
      <c r="F47" s="268">
        <f t="shared" si="17"/>
        <v>3.6</v>
      </c>
      <c r="G47" s="268">
        <f t="shared" ref="G47:I53" si="29">_xlfn.IFNA(L47*(1-$P47),0)</f>
        <v>0</v>
      </c>
      <c r="H47" s="268">
        <f t="shared" si="29"/>
        <v>3.6</v>
      </c>
      <c r="I47" s="268">
        <f t="shared" si="29"/>
        <v>0</v>
      </c>
      <c r="J47" s="304" t="s">
        <v>274</v>
      </c>
      <c r="K47" s="244" t="str">
        <f>IF(J47="","",VLOOKUP(J47,'Định nghĩa Loại Chức năng'!$B$4:$C$63,2,FALSE))</f>
        <v>Fine-tune hyperparameters</v>
      </c>
      <c r="L47" s="245">
        <f>_xlfn.IFNA(IF(J47="","",VLOOKUP(J47&amp;$L$7,CSDL_CN!$E$4:$F$40,2,FALSE)),0)</f>
        <v>0</v>
      </c>
      <c r="M47" s="245">
        <f>_xlfn.IFNA(IF(J47="","",VLOOKUP(J47&amp;$M$7,CSDL_CN!$E$4:$F$40,2,FALSE)),0)</f>
        <v>4</v>
      </c>
      <c r="N47" s="245">
        <f>_xlfn.IFNA(IF(J47="","",VLOOKUP(J47&amp;$N$7,CSDL_CN!$E$4:$F$40,2,FALSE)),0)</f>
        <v>0</v>
      </c>
      <c r="O47" s="245">
        <f t="array" ref="O47">SUM(IFERROR(L47:N47,0))</f>
        <v>4</v>
      </c>
      <c r="P47" s="275">
        <v>0.1</v>
      </c>
      <c r="Q47" s="280"/>
      <c r="R47" s="246"/>
      <c r="S47" s="247"/>
      <c r="T47" s="248" t="s">
        <v>237</v>
      </c>
      <c r="U47" s="248" t="s">
        <v>237</v>
      </c>
      <c r="V47" s="248" t="s">
        <v>237</v>
      </c>
      <c r="W47" s="249" t="str">
        <f t="shared" ref="W47:Y53" si="30">IF(T47="Có",L47*(1-$P47),"")</f>
        <v/>
      </c>
      <c r="X47" s="249" t="str">
        <f t="shared" si="30"/>
        <v/>
      </c>
      <c r="Y47" s="249" t="str">
        <f t="shared" si="30"/>
        <v/>
      </c>
      <c r="Z47" s="249">
        <f t="shared" si="24"/>
        <v>0</v>
      </c>
      <c r="AA47" s="249">
        <f t="shared" si="25"/>
        <v>3.6</v>
      </c>
      <c r="AB47" s="249">
        <f t="shared" si="26"/>
        <v>0</v>
      </c>
    </row>
    <row r="48" spans="1:28" ht="48" customHeight="1" thickBot="1">
      <c r="A48" s="246">
        <v>41</v>
      </c>
      <c r="B48" s="270"/>
      <c r="C48" s="308" t="s">
        <v>281</v>
      </c>
      <c r="D48" s="190"/>
      <c r="E48" s="303"/>
      <c r="F48" s="268">
        <f t="shared" si="17"/>
        <v>3.6</v>
      </c>
      <c r="G48" s="268">
        <f t="shared" si="29"/>
        <v>0</v>
      </c>
      <c r="H48" s="268">
        <f t="shared" si="29"/>
        <v>3.6</v>
      </c>
      <c r="I48" s="268">
        <f t="shared" si="29"/>
        <v>0</v>
      </c>
      <c r="J48" s="304" t="s">
        <v>274</v>
      </c>
      <c r="K48" s="244" t="str">
        <f>IF(J48="","",VLOOKUP(J48,'Định nghĩa Loại Chức năng'!$B$4:$C$63,2,FALSE))</f>
        <v>Fine-tune hyperparameters</v>
      </c>
      <c r="L48" s="245">
        <f>_xlfn.IFNA(IF(J48="","",VLOOKUP(J48&amp;$L$7,CSDL_CN!$E$4:$F$40,2,FALSE)),0)</f>
        <v>0</v>
      </c>
      <c r="M48" s="245">
        <f>_xlfn.IFNA(IF(J48="","",VLOOKUP(J48&amp;$M$7,CSDL_CN!$E$4:$F$40,2,FALSE)),0)</f>
        <v>4</v>
      </c>
      <c r="N48" s="245">
        <f>_xlfn.IFNA(IF(J48="","",VLOOKUP(J48&amp;$N$7,CSDL_CN!$E$4:$F$40,2,FALSE)),0)</f>
        <v>0</v>
      </c>
      <c r="O48" s="245">
        <f t="array" ref="O48">SUM(IFERROR(L48:N48,0))</f>
        <v>4</v>
      </c>
      <c r="P48" s="275">
        <v>0.1</v>
      </c>
      <c r="Q48" s="280"/>
      <c r="R48" s="246"/>
      <c r="S48" s="247"/>
      <c r="T48" s="248" t="s">
        <v>237</v>
      </c>
      <c r="U48" s="248" t="s">
        <v>237</v>
      </c>
      <c r="V48" s="248" t="s">
        <v>237</v>
      </c>
      <c r="W48" s="249" t="str">
        <f t="shared" si="30"/>
        <v/>
      </c>
      <c r="X48" s="249" t="str">
        <f t="shared" si="30"/>
        <v/>
      </c>
      <c r="Y48" s="249" t="str">
        <f t="shared" si="30"/>
        <v/>
      </c>
      <c r="Z48" s="249">
        <f t="shared" si="24"/>
        <v>0</v>
      </c>
      <c r="AA48" s="249">
        <f t="shared" si="25"/>
        <v>3.6</v>
      </c>
      <c r="AB48" s="249">
        <f t="shared" si="26"/>
        <v>0</v>
      </c>
    </row>
    <row r="49" spans="1:31" ht="48" customHeight="1" thickBot="1">
      <c r="A49" s="246">
        <v>42</v>
      </c>
      <c r="B49" s="270"/>
      <c r="C49" s="308" t="s">
        <v>282</v>
      </c>
      <c r="D49" s="190"/>
      <c r="E49" s="303"/>
      <c r="F49" s="268">
        <f>O49*(1-P49)</f>
        <v>3.6</v>
      </c>
      <c r="G49" s="268">
        <f t="shared" si="29"/>
        <v>0</v>
      </c>
      <c r="H49" s="268">
        <f t="shared" si="29"/>
        <v>3.6</v>
      </c>
      <c r="I49" s="268">
        <f t="shared" si="29"/>
        <v>0</v>
      </c>
      <c r="J49" s="304" t="s">
        <v>274</v>
      </c>
      <c r="K49" s="244" t="str">
        <f>IF(J49="","",VLOOKUP(J49,'Định nghĩa Loại Chức năng'!$B$4:$C$63,2,FALSE))</f>
        <v>Fine-tune hyperparameters</v>
      </c>
      <c r="L49" s="245">
        <f>_xlfn.IFNA(IF(J49="","",VLOOKUP(J49&amp;$L$7,CSDL_CN!$E$4:$F$40,2,FALSE)),0)</f>
        <v>0</v>
      </c>
      <c r="M49" s="245">
        <f>_xlfn.IFNA(IF(J49="","",VLOOKUP(J49&amp;$M$7,CSDL_CN!$E$4:$F$40,2,FALSE)),0)</f>
        <v>4</v>
      </c>
      <c r="N49" s="245">
        <f>_xlfn.IFNA(IF(J49="","",VLOOKUP(J49&amp;$N$7,CSDL_CN!$E$4:$F$40,2,FALSE)),0)</f>
        <v>0</v>
      </c>
      <c r="O49" s="245">
        <f t="array" ref="O49">SUM(IFERROR(L49:N49,0))</f>
        <v>4</v>
      </c>
      <c r="P49" s="275">
        <v>0.1</v>
      </c>
      <c r="Q49" s="280"/>
      <c r="R49" s="246"/>
      <c r="S49" s="247"/>
      <c r="T49" s="248" t="s">
        <v>237</v>
      </c>
      <c r="U49" s="248" t="s">
        <v>237</v>
      </c>
      <c r="V49" s="248" t="s">
        <v>237</v>
      </c>
      <c r="W49" s="249" t="str">
        <f t="shared" si="30"/>
        <v/>
      </c>
      <c r="X49" s="249" t="str">
        <f t="shared" si="30"/>
        <v/>
      </c>
      <c r="Y49" s="249" t="str">
        <f t="shared" si="30"/>
        <v/>
      </c>
      <c r="Z49" s="249">
        <f t="shared" si="24"/>
        <v>0</v>
      </c>
      <c r="AA49" s="249">
        <f t="shared" si="25"/>
        <v>3.6</v>
      </c>
      <c r="AB49" s="249">
        <f t="shared" si="26"/>
        <v>0</v>
      </c>
    </row>
    <row r="50" spans="1:31" ht="48" customHeight="1" thickBot="1">
      <c r="A50" s="246">
        <v>43</v>
      </c>
      <c r="B50" s="270"/>
      <c r="C50" s="308" t="s">
        <v>283</v>
      </c>
      <c r="D50" s="190"/>
      <c r="E50" s="303"/>
      <c r="F50" s="268">
        <f t="shared" si="17"/>
        <v>3.6</v>
      </c>
      <c r="G50" s="268">
        <f t="shared" si="29"/>
        <v>0</v>
      </c>
      <c r="H50" s="268">
        <f t="shared" si="29"/>
        <v>3.6</v>
      </c>
      <c r="I50" s="268">
        <f t="shared" si="29"/>
        <v>0</v>
      </c>
      <c r="J50" s="304" t="s">
        <v>274</v>
      </c>
      <c r="K50" s="244" t="str">
        <f>IF(J50="","",VLOOKUP(J50,'Định nghĩa Loại Chức năng'!$B$4:$C$63,2,FALSE))</f>
        <v>Fine-tune hyperparameters</v>
      </c>
      <c r="L50" s="245">
        <f>_xlfn.IFNA(IF(J50="","",VLOOKUP(J50&amp;$L$7,CSDL_CN!$E$4:$F$40,2,FALSE)),0)</f>
        <v>0</v>
      </c>
      <c r="M50" s="245">
        <f>_xlfn.IFNA(IF(J50="","",VLOOKUP(J50&amp;$M$7,CSDL_CN!$E$4:$F$40,2,FALSE)),0)</f>
        <v>4</v>
      </c>
      <c r="N50" s="245">
        <f>_xlfn.IFNA(IF(J50="","",VLOOKUP(J50&amp;$N$7,CSDL_CN!$E$4:$F$40,2,FALSE)),0)</f>
        <v>0</v>
      </c>
      <c r="O50" s="245">
        <f t="array" ref="O50">SUM(IFERROR(L50:N50,0))</f>
        <v>4</v>
      </c>
      <c r="P50" s="275">
        <v>0.1</v>
      </c>
      <c r="Q50" s="280"/>
      <c r="R50" s="246"/>
      <c r="S50" s="247"/>
      <c r="T50" s="248" t="s">
        <v>237</v>
      </c>
      <c r="U50" s="248" t="s">
        <v>237</v>
      </c>
      <c r="V50" s="248" t="s">
        <v>237</v>
      </c>
      <c r="W50" s="249" t="str">
        <f t="shared" si="30"/>
        <v/>
      </c>
      <c r="X50" s="249" t="str">
        <f t="shared" si="30"/>
        <v/>
      </c>
      <c r="Y50" s="249" t="str">
        <f t="shared" si="30"/>
        <v/>
      </c>
      <c r="Z50" s="249">
        <f t="shared" si="24"/>
        <v>0</v>
      </c>
      <c r="AA50" s="249">
        <f t="shared" si="25"/>
        <v>3.6</v>
      </c>
      <c r="AB50" s="249">
        <f t="shared" si="26"/>
        <v>0</v>
      </c>
    </row>
    <row r="51" spans="1:31" ht="48" customHeight="1" thickBot="1">
      <c r="A51" s="246">
        <v>44</v>
      </c>
      <c r="B51" s="270"/>
      <c r="C51" s="306" t="s">
        <v>284</v>
      </c>
      <c r="D51" s="190"/>
      <c r="E51" s="303"/>
      <c r="F51" s="268">
        <f>O51*(1-P51)</f>
        <v>3.6</v>
      </c>
      <c r="G51" s="268">
        <f t="shared" si="29"/>
        <v>0</v>
      </c>
      <c r="H51" s="268">
        <f t="shared" si="29"/>
        <v>3.6</v>
      </c>
      <c r="I51" s="268">
        <f t="shared" si="29"/>
        <v>0</v>
      </c>
      <c r="J51" s="304" t="s">
        <v>274</v>
      </c>
      <c r="K51" s="244" t="str">
        <f>IF(J51="","",VLOOKUP(J51,'Định nghĩa Loại Chức năng'!$B$4:$C$63,2,FALSE))</f>
        <v>Fine-tune hyperparameters</v>
      </c>
      <c r="L51" s="245">
        <f>_xlfn.IFNA(IF(J51="","",VLOOKUP(J51&amp;$L$7,CSDL_CN!$E$4:$F$40,2,FALSE)),0)</f>
        <v>0</v>
      </c>
      <c r="M51" s="245">
        <f>_xlfn.IFNA(IF(J51="","",VLOOKUP(J51&amp;$M$7,CSDL_CN!$E$4:$F$40,2,FALSE)),0)</f>
        <v>4</v>
      </c>
      <c r="N51" s="245">
        <f>_xlfn.IFNA(IF(J51="","",VLOOKUP(J51&amp;$N$7,CSDL_CN!$E$4:$F$40,2,FALSE)),0)</f>
        <v>0</v>
      </c>
      <c r="O51" s="245">
        <f t="array" ref="O51">SUM(IFERROR(L51:N51,0))</f>
        <v>4</v>
      </c>
      <c r="P51" s="275">
        <v>0.1</v>
      </c>
      <c r="Q51" s="280"/>
      <c r="R51" s="246"/>
      <c r="S51" s="247"/>
      <c r="T51" s="248" t="s">
        <v>237</v>
      </c>
      <c r="U51" s="248" t="s">
        <v>237</v>
      </c>
      <c r="V51" s="248" t="s">
        <v>237</v>
      </c>
      <c r="W51" s="249" t="str">
        <f t="shared" si="30"/>
        <v/>
      </c>
      <c r="X51" s="249" t="str">
        <f t="shared" si="30"/>
        <v/>
      </c>
      <c r="Y51" s="249" t="str">
        <f t="shared" si="30"/>
        <v/>
      </c>
      <c r="Z51" s="249">
        <f t="shared" si="24"/>
        <v>0</v>
      </c>
      <c r="AA51" s="249">
        <f t="shared" si="25"/>
        <v>3.6</v>
      </c>
      <c r="AB51" s="249">
        <f t="shared" si="26"/>
        <v>0</v>
      </c>
    </row>
    <row r="52" spans="1:31" ht="48" customHeight="1" thickBot="1">
      <c r="A52" s="246">
        <v>45</v>
      </c>
      <c r="B52" s="270"/>
      <c r="C52" s="309" t="s">
        <v>285</v>
      </c>
      <c r="D52" s="190"/>
      <c r="E52" s="303"/>
      <c r="F52" s="268">
        <f t="shared" si="17"/>
        <v>3.6</v>
      </c>
      <c r="G52" s="268">
        <f t="shared" si="29"/>
        <v>0</v>
      </c>
      <c r="H52" s="268">
        <f t="shared" si="29"/>
        <v>3.6</v>
      </c>
      <c r="I52" s="268">
        <f t="shared" si="29"/>
        <v>0</v>
      </c>
      <c r="J52" s="304" t="s">
        <v>274</v>
      </c>
      <c r="K52" s="244" t="str">
        <f>IF(J52="","",VLOOKUP(J52,'Định nghĩa Loại Chức năng'!$B$4:$C$63,2,FALSE))</f>
        <v>Fine-tune hyperparameters</v>
      </c>
      <c r="L52" s="245">
        <f>_xlfn.IFNA(IF(J52="","",VLOOKUP(J52&amp;$L$7,CSDL_CN!$E$4:$F$40,2,FALSE)),0)</f>
        <v>0</v>
      </c>
      <c r="M52" s="245">
        <f>_xlfn.IFNA(IF(J52="","",VLOOKUP(J52&amp;$M$7,CSDL_CN!$E$4:$F$40,2,FALSE)),0)</f>
        <v>4</v>
      </c>
      <c r="N52" s="245">
        <f>_xlfn.IFNA(IF(J52="","",VLOOKUP(J52&amp;$N$7,CSDL_CN!$E$4:$F$40,2,FALSE)),0)</f>
        <v>0</v>
      </c>
      <c r="O52" s="245">
        <f t="array" ref="O52">SUM(IFERROR(L52:N52,0))</f>
        <v>4</v>
      </c>
      <c r="P52" s="275">
        <v>0.1</v>
      </c>
      <c r="Q52" s="280"/>
      <c r="R52" s="246"/>
      <c r="S52" s="247"/>
      <c r="T52" s="248" t="s">
        <v>237</v>
      </c>
      <c r="U52" s="248" t="s">
        <v>237</v>
      </c>
      <c r="V52" s="248" t="s">
        <v>237</v>
      </c>
      <c r="W52" s="249" t="str">
        <f t="shared" si="30"/>
        <v/>
      </c>
      <c r="X52" s="249" t="str">
        <f t="shared" si="30"/>
        <v/>
      </c>
      <c r="Y52" s="249" t="str">
        <f t="shared" si="30"/>
        <v/>
      </c>
      <c r="Z52" s="249">
        <f t="shared" si="24"/>
        <v>0</v>
      </c>
      <c r="AA52" s="249">
        <f t="shared" si="25"/>
        <v>3.6</v>
      </c>
      <c r="AB52" s="249">
        <f t="shared" si="26"/>
        <v>0</v>
      </c>
    </row>
    <row r="53" spans="1:31" ht="48" customHeight="1" thickBot="1">
      <c r="A53" s="246">
        <v>46</v>
      </c>
      <c r="B53" s="270"/>
      <c r="C53" s="309" t="s">
        <v>286</v>
      </c>
      <c r="D53" s="190"/>
      <c r="E53" s="303"/>
      <c r="F53" s="268">
        <f t="shared" si="17"/>
        <v>3.6</v>
      </c>
      <c r="G53" s="268">
        <f t="shared" si="29"/>
        <v>0</v>
      </c>
      <c r="H53" s="268">
        <f t="shared" si="29"/>
        <v>3.6</v>
      </c>
      <c r="I53" s="268">
        <f t="shared" si="29"/>
        <v>0</v>
      </c>
      <c r="J53" s="304" t="s">
        <v>274</v>
      </c>
      <c r="K53" s="244" t="str">
        <f>IF(J53="","",VLOOKUP(J53,'Định nghĩa Loại Chức năng'!$B$4:$C$63,2,FALSE))</f>
        <v>Fine-tune hyperparameters</v>
      </c>
      <c r="L53" s="245">
        <f>_xlfn.IFNA(IF(J53="","",VLOOKUP(J53&amp;$L$7,CSDL_CN!$E$4:$F$40,2,FALSE)),0)</f>
        <v>0</v>
      </c>
      <c r="M53" s="245">
        <f>_xlfn.IFNA(IF(J53="","",VLOOKUP(J53&amp;$M$7,CSDL_CN!$E$4:$F$40,2,FALSE)),0)</f>
        <v>4</v>
      </c>
      <c r="N53" s="245">
        <f>_xlfn.IFNA(IF(J53="","",VLOOKUP(J53&amp;$N$7,CSDL_CN!$E$4:$F$40,2,FALSE)),0)</f>
        <v>0</v>
      </c>
      <c r="O53" s="245">
        <f t="array" ref="O53">SUM(IFERROR(L53:N53,0))</f>
        <v>4</v>
      </c>
      <c r="P53" s="275">
        <v>0.1</v>
      </c>
      <c r="Q53" s="280"/>
      <c r="R53" s="246"/>
      <c r="S53" s="247"/>
      <c r="T53" s="248" t="s">
        <v>237</v>
      </c>
      <c r="U53" s="248" t="s">
        <v>237</v>
      </c>
      <c r="V53" s="248" t="s">
        <v>237</v>
      </c>
      <c r="W53" s="249" t="str">
        <f t="shared" si="30"/>
        <v/>
      </c>
      <c r="X53" s="249" t="str">
        <f t="shared" si="30"/>
        <v/>
      </c>
      <c r="Y53" s="249" t="str">
        <f t="shared" si="30"/>
        <v/>
      </c>
      <c r="Z53" s="249">
        <f t="shared" si="24"/>
        <v>0</v>
      </c>
      <c r="AA53" s="249">
        <f t="shared" si="25"/>
        <v>3.6</v>
      </c>
      <c r="AB53" s="249">
        <f t="shared" si="26"/>
        <v>0</v>
      </c>
    </row>
    <row r="54" spans="1:31">
      <c r="B54" s="252" t="s">
        <v>287</v>
      </c>
      <c r="F54" s="253">
        <f>SUM(F8:F53)</f>
        <v>131.84999999999988</v>
      </c>
      <c r="G54" s="253">
        <f>SUM(G8:G53)</f>
        <v>21.6</v>
      </c>
      <c r="H54" s="253">
        <f>SUM(H8:H53)</f>
        <v>110.2499999999999</v>
      </c>
      <c r="I54" s="253">
        <f>SUM(I8:I53)</f>
        <v>0</v>
      </c>
      <c r="L54" s="254">
        <f>SUM(L8:L53)</f>
        <v>24</v>
      </c>
      <c r="M54" s="254">
        <f>SUM(M8:M53)</f>
        <v>122.5</v>
      </c>
      <c r="N54" s="254">
        <f>SUM(N8:N53)</f>
        <v>0</v>
      </c>
      <c r="O54" s="255">
        <f>SUM(O8:O53)</f>
        <v>146.5</v>
      </c>
      <c r="P54" s="256"/>
      <c r="Q54" s="257"/>
      <c r="R54" s="257"/>
      <c r="T54" s="258">
        <f>SUM(W54,Z54)</f>
        <v>21.6</v>
      </c>
      <c r="U54" s="258">
        <f>SUM(X54,AA54)</f>
        <v>110.2499999999999</v>
      </c>
      <c r="V54" s="258">
        <f>SUM(Y54,AB54)</f>
        <v>0</v>
      </c>
      <c r="W54" s="258">
        <f t="shared" ref="W54:AB54" si="31">SUM(W8:W53)</f>
        <v>0</v>
      </c>
      <c r="X54" s="258">
        <f t="shared" si="31"/>
        <v>0</v>
      </c>
      <c r="Y54" s="258">
        <f t="shared" si="31"/>
        <v>0</v>
      </c>
      <c r="Z54" s="258">
        <f t="shared" si="31"/>
        <v>21.6</v>
      </c>
      <c r="AA54" s="258">
        <f t="shared" si="31"/>
        <v>110.2499999999999</v>
      </c>
      <c r="AB54" s="258">
        <f t="shared" si="31"/>
        <v>0</v>
      </c>
    </row>
    <row r="55" spans="1:31">
      <c r="B55" s="252" t="s">
        <v>288</v>
      </c>
      <c r="F55" s="253">
        <f>F54/8</f>
        <v>16.481249999999985</v>
      </c>
      <c r="G55" s="253">
        <f>G54/8</f>
        <v>2.7</v>
      </c>
      <c r="H55" s="253">
        <f>H54/8</f>
        <v>13.781249999999988</v>
      </c>
      <c r="I55" s="253">
        <f>I54/8</f>
        <v>0</v>
      </c>
      <c r="L55" s="253">
        <f>L54/8</f>
        <v>3</v>
      </c>
      <c r="M55" s="253">
        <f>M54/8</f>
        <v>15.3125</v>
      </c>
      <c r="N55" s="253">
        <f>N54/8</f>
        <v>0</v>
      </c>
      <c r="O55" s="253">
        <f>O54/8</f>
        <v>18.3125</v>
      </c>
      <c r="P55" s="256"/>
      <c r="Q55" s="257"/>
      <c r="R55" s="257"/>
      <c r="T55" s="258">
        <f>T54/8</f>
        <v>2.7</v>
      </c>
      <c r="U55" s="258">
        <f>U54/8</f>
        <v>13.781249999999988</v>
      </c>
      <c r="V55" s="258">
        <f>V54/8</f>
        <v>0</v>
      </c>
      <c r="W55" s="259"/>
      <c r="X55" s="259"/>
      <c r="Y55" s="259"/>
      <c r="Z55" s="259"/>
      <c r="AA55" s="259"/>
      <c r="AB55" s="259"/>
      <c r="AC55" s="253"/>
      <c r="AD55" s="253"/>
      <c r="AE55" s="253"/>
    </row>
    <row r="56" spans="1:31">
      <c r="B56" s="252"/>
      <c r="F56" s="253"/>
      <c r="G56" s="253"/>
      <c r="H56" s="253"/>
      <c r="I56" s="253"/>
      <c r="O56" s="255"/>
      <c r="P56" s="250"/>
      <c r="Q56" s="257"/>
      <c r="R56" s="257"/>
      <c r="W56" s="258"/>
      <c r="X56" s="258"/>
      <c r="Y56" s="258"/>
      <c r="Z56" s="258"/>
      <c r="AA56" s="258"/>
      <c r="AB56" s="258"/>
    </row>
    <row r="57" spans="1:31">
      <c r="B57" s="260" t="s">
        <v>289</v>
      </c>
      <c r="C57" s="260"/>
      <c r="D57" s="260"/>
      <c r="E57" s="260"/>
      <c r="F57" s="261"/>
      <c r="G57" s="261"/>
      <c r="H57" s="261"/>
      <c r="I57" s="261"/>
      <c r="O57" s="257"/>
      <c r="P57" s="257"/>
      <c r="Q57" s="257"/>
      <c r="R57" s="257"/>
      <c r="W57" s="263"/>
      <c r="Z57" s="263"/>
    </row>
    <row r="58" spans="1:31" ht="69.75" customHeight="1">
      <c r="B58" s="329" t="s">
        <v>290</v>
      </c>
      <c r="C58" s="329"/>
      <c r="D58" s="329"/>
      <c r="E58" s="329"/>
      <c r="F58" s="329"/>
      <c r="G58" s="329"/>
      <c r="H58" s="329"/>
      <c r="I58" s="329"/>
      <c r="J58" s="329"/>
      <c r="K58" s="262"/>
      <c r="L58" s="262"/>
      <c r="M58" s="262"/>
      <c r="N58" s="262"/>
      <c r="O58" s="257"/>
      <c r="P58" s="257"/>
      <c r="Q58" s="257"/>
      <c r="R58" s="257"/>
    </row>
    <row r="59" spans="1:31">
      <c r="K59" s="262"/>
      <c r="L59" s="231"/>
      <c r="M59" s="231"/>
      <c r="N59" s="231"/>
    </row>
  </sheetData>
  <dataConsolidate/>
  <mergeCells count="19">
    <mergeCell ref="A1:S1"/>
    <mergeCell ref="A2:S2"/>
    <mergeCell ref="A4:R4"/>
    <mergeCell ref="A6:A7"/>
    <mergeCell ref="B6:B7"/>
    <mergeCell ref="C6:C7"/>
    <mergeCell ref="F6:I6"/>
    <mergeCell ref="D6:D7"/>
    <mergeCell ref="J6:K6"/>
    <mergeCell ref="L6:O6"/>
    <mergeCell ref="E6:E7"/>
    <mergeCell ref="Z6:AB6"/>
    <mergeCell ref="B58:J58"/>
    <mergeCell ref="P6:P7"/>
    <mergeCell ref="Q6:Q7"/>
    <mergeCell ref="R6:R7"/>
    <mergeCell ref="S6:S7"/>
    <mergeCell ref="T6:V6"/>
    <mergeCell ref="W6:Y6"/>
  </mergeCells>
  <phoneticPr fontId="52" type="noConversion"/>
  <dataValidations count="1">
    <dataValidation type="list" allowBlank="1" showInputMessage="1" showErrorMessage="1" sqref="T8:V53" xr:uid="{00000000-0002-0000-0400-000000000000}">
      <formula1>"Có, Không"</formula1>
    </dataValidation>
  </dataValidations>
  <pageMargins left="0.4" right="0.2" top="0.75" bottom="0.83712121212121204" header="0.2" footer="0.2"/>
  <pageSetup scale="33" fitToHeight="0" orientation="landscape" r:id="rId1"/>
  <headerFooter>
    <oddFooter>&amp;L&amp;"Arial,Italic"HD.VTS.QLCL.01&amp;C&amp;"Arial,Italic"Lần ban hành:     /Ngày&amp;R&amp;P/&amp;N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I18"/>
  <sheetViews>
    <sheetView view="pageBreakPreview" zoomScale="70" zoomScaleNormal="100" zoomScaleSheetLayoutView="70" zoomScalePageLayoutView="85" workbookViewId="0">
      <selection activeCell="I17" sqref="I17"/>
    </sheetView>
  </sheetViews>
  <sheetFormatPr defaultColWidth="11.42578125" defaultRowHeight="15.75"/>
  <cols>
    <col min="1" max="1" width="5" style="235" customWidth="1"/>
    <col min="2" max="2" width="39.140625" style="235" customWidth="1"/>
    <col min="3" max="3" width="53.7109375" style="235" customWidth="1"/>
    <col min="4" max="4" width="14.42578125" style="236" customWidth="1"/>
    <col min="5" max="5" width="20.42578125" style="237" customWidth="1"/>
    <col min="6" max="6" width="9.42578125" style="250" customWidth="1"/>
    <col min="7" max="16384" width="11.42578125" style="231"/>
  </cols>
  <sheetData>
    <row r="1" spans="1:9" ht="20.25">
      <c r="A1" s="330" t="s">
        <v>291</v>
      </c>
      <c r="B1" s="330"/>
      <c r="C1" s="330"/>
      <c r="D1" s="330"/>
      <c r="E1" s="330"/>
      <c r="F1" s="330"/>
    </row>
    <row r="2" spans="1:9" ht="18.75">
      <c r="A2" s="331" t="s">
        <v>31</v>
      </c>
      <c r="B2" s="331"/>
      <c r="C2" s="331"/>
      <c r="D2" s="331"/>
      <c r="E2" s="331"/>
      <c r="F2" s="331"/>
    </row>
    <row r="3" spans="1:9" ht="18.75">
      <c r="A3" s="287" t="s">
        <v>216</v>
      </c>
      <c r="B3" s="232"/>
      <c r="C3" s="232"/>
      <c r="D3" s="233"/>
      <c r="E3" s="234"/>
      <c r="F3" s="286"/>
    </row>
    <row r="4" spans="1:9" ht="51" customHeight="1">
      <c r="A4" s="332" t="s">
        <v>217</v>
      </c>
      <c r="B4" s="343"/>
      <c r="C4" s="343"/>
      <c r="D4" s="343"/>
      <c r="E4" s="343"/>
      <c r="F4" s="343"/>
    </row>
    <row r="5" spans="1:9" s="235" customFormat="1">
      <c r="D5" s="236"/>
      <c r="E5" s="237"/>
      <c r="F5" s="236"/>
    </row>
    <row r="6" spans="1:9" s="236" customFormat="1" ht="31.5" customHeight="1">
      <c r="A6" s="333" t="s">
        <v>218</v>
      </c>
      <c r="B6" s="344" t="s">
        <v>292</v>
      </c>
      <c r="C6" s="344" t="s">
        <v>293</v>
      </c>
      <c r="D6" s="345" t="s">
        <v>62</v>
      </c>
      <c r="E6" s="346"/>
      <c r="F6" s="341" t="s">
        <v>224</v>
      </c>
    </row>
    <row r="7" spans="1:9" s="236" customFormat="1" ht="84.95" customHeight="1">
      <c r="A7" s="334"/>
      <c r="B7" s="344"/>
      <c r="C7" s="344"/>
      <c r="D7" s="240" t="s">
        <v>294</v>
      </c>
      <c r="E7" s="240" t="s">
        <v>295</v>
      </c>
      <c r="F7" s="342"/>
    </row>
    <row r="8" spans="1:9" s="250" customFormat="1" ht="15.75" customHeight="1">
      <c r="A8" s="242"/>
      <c r="B8" s="274"/>
      <c r="C8" s="270"/>
      <c r="D8" s="243"/>
      <c r="E8" s="244"/>
      <c r="F8" s="245"/>
    </row>
    <row r="9" spans="1:9" ht="31.5">
      <c r="A9" s="246">
        <v>1</v>
      </c>
      <c r="B9" s="12" t="s">
        <v>296</v>
      </c>
      <c r="C9" s="270"/>
      <c r="D9" s="297" t="s">
        <v>297</v>
      </c>
      <c r="E9" s="244" t="str">
        <f>IF(D9="","",VLOOKUP(D9,'Định nghĩa Loại Chức năng'!$B$4:$C$63,2,FALSE))</f>
        <v>Chuẩn bị và xây dựng các tài liệu liên quan</v>
      </c>
      <c r="F9" s="245"/>
    </row>
    <row r="10" spans="1:9" ht="15.75" customHeight="1">
      <c r="A10" s="246"/>
      <c r="B10" s="273"/>
      <c r="C10" s="12"/>
      <c r="D10" s="180"/>
      <c r="E10" s="244" t="str">
        <f>IF(D10="","",VLOOKUP(D10,'Định nghĩa Loại Chức năng'!$B$4:$C$63,2,FALSE))</f>
        <v/>
      </c>
      <c r="F10" s="245" t="str">
        <f>IF(D10="","",VLOOKUP(D10,'CSDL Phi CN'!$C$4:$D$26,2,FALSE))</f>
        <v/>
      </c>
    </row>
    <row r="11" spans="1:9">
      <c r="A11" s="246"/>
      <c r="B11" s="270"/>
      <c r="C11" s="270"/>
      <c r="D11" s="180"/>
      <c r="E11" s="244" t="str">
        <f>IF(D11="","",VLOOKUP(D11,'Định nghĩa Loại Chức năng'!$B$4:$C$63,2,FALSE))</f>
        <v/>
      </c>
      <c r="F11" s="245" t="str">
        <f>IF(D11="","",VLOOKUP(D11,'CSDL Phi CN'!$C$4:$D$26,2,FALSE))</f>
        <v/>
      </c>
    </row>
    <row r="12" spans="1:9">
      <c r="A12" s="246"/>
      <c r="B12" s="251"/>
      <c r="C12" s="251"/>
      <c r="D12" s="278"/>
      <c r="E12" s="244"/>
      <c r="F12" s="245"/>
    </row>
    <row r="13" spans="1:9">
      <c r="E13" s="252" t="s">
        <v>287</v>
      </c>
      <c r="F13" s="254">
        <f t="array" ref="F13">SUM(IFERROR(F9:F12,0))</f>
        <v>0</v>
      </c>
    </row>
    <row r="14" spans="1:9">
      <c r="E14" s="252" t="s">
        <v>288</v>
      </c>
      <c r="F14" s="253">
        <f>F13/8</f>
        <v>0</v>
      </c>
      <c r="G14" s="253"/>
      <c r="H14" s="253"/>
      <c r="I14" s="253"/>
    </row>
    <row r="16" spans="1:9">
      <c r="B16" s="260"/>
      <c r="C16" s="260"/>
    </row>
    <row r="17" spans="2:6" ht="69.75" customHeight="1">
      <c r="B17" s="329"/>
      <c r="C17" s="329"/>
      <c r="D17" s="340"/>
      <c r="E17" s="262"/>
      <c r="F17" s="262"/>
    </row>
    <row r="18" spans="2:6">
      <c r="E18" s="262"/>
      <c r="F18" s="231"/>
    </row>
  </sheetData>
  <dataConsolidate/>
  <mergeCells count="9">
    <mergeCell ref="B17:D17"/>
    <mergeCell ref="F6:F7"/>
    <mergeCell ref="A1:F1"/>
    <mergeCell ref="A2:F2"/>
    <mergeCell ref="A4:F4"/>
    <mergeCell ref="A6:A7"/>
    <mergeCell ref="B6:B7"/>
    <mergeCell ref="C6:C7"/>
    <mergeCell ref="D6:E6"/>
  </mergeCells>
  <conditionalFormatting sqref="E9:F12">
    <cfRule type="cellIs" dxfId="22" priority="6" stopIfTrue="1" operator="equal">
      <formula>" "</formula>
    </cfRule>
  </conditionalFormatting>
  <conditionalFormatting sqref="F8">
    <cfRule type="cellIs" dxfId="21" priority="4" stopIfTrue="1" operator="equal">
      <formula>" "</formula>
    </cfRule>
  </conditionalFormatting>
  <conditionalFormatting sqref="E8">
    <cfRule type="cellIs" dxfId="20" priority="3" stopIfTrue="1" operator="equal">
      <formula>" "</formula>
    </cfRule>
  </conditionalFormatting>
  <dataValidations count="1">
    <dataValidation type="list" allowBlank="1" showInputMessage="1" showErrorMessage="1" sqref="E8" xr:uid="{00000000-0002-0000-0500-000000000000}">
      <formula1>"WFW, Tiến trình, PHP, Mobile Client, ERP"</formula1>
    </dataValidation>
  </dataValidations>
  <pageMargins left="0.4" right="0.2" top="0.75" bottom="0.83712121212121204" header="0.2" footer="0.2"/>
  <pageSetup scale="76" fitToHeight="0" orientation="landscape" r:id="rId1"/>
  <headerFooter>
    <oddFooter>&amp;L&amp;"Arial,Italic"HD.VTS.QLCL.01&amp;C&amp;"Arial,Italic"Lần ban hành:     /Ngày&amp;R&amp;P/&amp;N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65"/>
  <sheetViews>
    <sheetView view="pageBreakPreview" topLeftCell="A28" zoomScale="60" zoomScaleNormal="55" zoomScalePageLayoutView="70" workbookViewId="0">
      <selection activeCell="F40" sqref="F40"/>
    </sheetView>
  </sheetViews>
  <sheetFormatPr defaultColWidth="11.42578125" defaultRowHeight="15.75"/>
  <cols>
    <col min="1" max="1" width="5" style="8" customWidth="1"/>
    <col min="2" max="2" width="17.42578125" style="8" customWidth="1"/>
    <col min="3" max="3" width="9" style="8" customWidth="1"/>
    <col min="4" max="4" width="6.42578125" style="8" customWidth="1"/>
    <col min="5" max="5" width="31.140625" style="4" customWidth="1"/>
    <col min="6" max="6" width="14.28515625" style="9" customWidth="1"/>
    <col min="7" max="7" width="12.42578125" style="9" customWidth="1"/>
    <col min="8" max="8" width="7.28515625" style="9" customWidth="1"/>
    <col min="9" max="9" width="8" style="9" customWidth="1"/>
    <col min="10" max="10" width="7.42578125" style="9" customWidth="1"/>
    <col min="11" max="11" width="7.140625" style="9" customWidth="1"/>
    <col min="12" max="12" width="6.28515625" style="9" customWidth="1"/>
    <col min="13" max="13" width="7.7109375" style="9" customWidth="1"/>
    <col min="14" max="14" width="8.28515625" style="9" customWidth="1"/>
    <col min="15" max="15" width="7.42578125" style="9" customWidth="1"/>
    <col min="16" max="16" width="6.42578125" style="9" customWidth="1"/>
    <col min="17" max="17" width="6.140625" style="9" customWidth="1"/>
    <col min="18" max="18" width="6.85546875" style="9" customWidth="1"/>
    <col min="19" max="19" width="10.42578125" style="9" customWidth="1"/>
    <col min="20" max="20" width="10" style="9" customWidth="1"/>
    <col min="21" max="21" width="7.85546875" style="9" customWidth="1"/>
    <col min="22" max="22" width="9" style="9" customWidth="1"/>
    <col min="23" max="23" width="8.85546875" style="9" customWidth="1"/>
    <col min="24" max="24" width="13.140625" style="9" customWidth="1"/>
    <col min="25" max="25" width="9.42578125" style="9" customWidth="1"/>
    <col min="26" max="26" width="8.42578125" style="9" customWidth="1"/>
    <col min="27" max="27" width="13.140625" style="4" bestFit="1" customWidth="1"/>
    <col min="28" max="16384" width="11.42578125" style="4"/>
  </cols>
  <sheetData>
    <row r="1" spans="1:26" ht="27.75" customHeight="1">
      <c r="B1" s="15"/>
      <c r="C1" s="15"/>
      <c r="D1" s="16" t="s">
        <v>298</v>
      </c>
      <c r="E1" s="15"/>
      <c r="F1" s="15"/>
      <c r="G1" s="15"/>
      <c r="H1" s="15"/>
      <c r="I1" s="15"/>
      <c r="J1" s="15"/>
      <c r="K1" s="15"/>
      <c r="L1" s="15"/>
      <c r="M1" s="15"/>
      <c r="N1" s="15"/>
      <c r="O1" s="15"/>
      <c r="P1" s="15"/>
      <c r="Q1" s="15"/>
      <c r="R1" s="15"/>
      <c r="S1" s="15"/>
      <c r="T1" s="15"/>
      <c r="U1" s="15"/>
      <c r="V1" s="15"/>
      <c r="W1" s="15"/>
      <c r="X1" s="15"/>
      <c r="Y1" s="15"/>
      <c r="Z1" s="15"/>
    </row>
    <row r="2" spans="1:26" ht="18.75">
      <c r="A2" s="5" t="s">
        <v>216</v>
      </c>
      <c r="B2" s="5"/>
      <c r="C2" s="5"/>
      <c r="D2" s="6"/>
      <c r="E2" s="6"/>
      <c r="F2" s="6"/>
      <c r="G2" s="6"/>
      <c r="H2" s="6"/>
      <c r="I2" s="6"/>
      <c r="J2" s="6"/>
      <c r="K2" s="6"/>
      <c r="L2" s="6"/>
    </row>
    <row r="3" spans="1:26" s="67" customFormat="1" ht="19.5">
      <c r="A3" s="64" t="s">
        <v>299</v>
      </c>
      <c r="B3" s="64"/>
      <c r="C3" s="64"/>
      <c r="D3" s="65"/>
      <c r="E3" s="65"/>
      <c r="F3" s="65"/>
      <c r="G3" s="65"/>
      <c r="H3" s="65"/>
      <c r="I3" s="65"/>
      <c r="J3" s="65"/>
      <c r="K3" s="65"/>
      <c r="L3" s="65"/>
      <c r="M3" s="65"/>
      <c r="N3" s="65"/>
      <c r="O3" s="65"/>
      <c r="P3" s="65"/>
      <c r="Q3" s="65"/>
      <c r="R3" s="65"/>
      <c r="S3" s="65"/>
      <c r="T3" s="65"/>
      <c r="U3" s="65"/>
      <c r="V3" s="65"/>
      <c r="W3" s="66"/>
      <c r="X3" s="355"/>
      <c r="Y3" s="355"/>
      <c r="Z3" s="355"/>
    </row>
    <row r="4" spans="1:26" s="7" customFormat="1" ht="132.75" customHeight="1">
      <c r="A4" s="14" t="s">
        <v>218</v>
      </c>
      <c r="B4" s="13" t="s">
        <v>219</v>
      </c>
      <c r="C4" s="13" t="s">
        <v>233</v>
      </c>
      <c r="D4" s="3" t="s">
        <v>300</v>
      </c>
      <c r="E4" s="13" t="s">
        <v>301</v>
      </c>
      <c r="F4" s="13" t="s">
        <v>302</v>
      </c>
      <c r="G4" s="13" t="s">
        <v>303</v>
      </c>
      <c r="H4" s="13" t="s">
        <v>304</v>
      </c>
      <c r="I4" s="13" t="s">
        <v>305</v>
      </c>
      <c r="J4" s="13" t="s">
        <v>306</v>
      </c>
      <c r="K4" s="68" t="s">
        <v>307</v>
      </c>
      <c r="L4" s="68" t="s">
        <v>308</v>
      </c>
      <c r="M4" s="68" t="s">
        <v>309</v>
      </c>
      <c r="N4" s="68" t="s">
        <v>310</v>
      </c>
      <c r="O4" s="17" t="s">
        <v>311</v>
      </c>
      <c r="P4" s="68" t="s">
        <v>312</v>
      </c>
      <c r="Q4" s="68" t="s">
        <v>313</v>
      </c>
      <c r="R4" s="68" t="s">
        <v>314</v>
      </c>
      <c r="S4" s="68" t="s">
        <v>315</v>
      </c>
      <c r="T4" s="68" t="s">
        <v>316</v>
      </c>
      <c r="U4" s="68" t="s">
        <v>317</v>
      </c>
      <c r="V4" s="68" t="s">
        <v>318</v>
      </c>
      <c r="W4" s="68" t="s">
        <v>319</v>
      </c>
      <c r="X4" s="68" t="s">
        <v>320</v>
      </c>
      <c r="Y4" s="68" t="s">
        <v>321</v>
      </c>
      <c r="Z4" s="68" t="s">
        <v>228</v>
      </c>
    </row>
    <row r="5" spans="1:26" s="7" customFormat="1" ht="24.2" customHeight="1">
      <c r="A5" s="14" t="s">
        <v>27</v>
      </c>
      <c r="B5" s="13" t="s">
        <v>322</v>
      </c>
      <c r="C5" s="13" t="s">
        <v>323</v>
      </c>
      <c r="D5" s="3" t="s">
        <v>324</v>
      </c>
      <c r="E5" s="13" t="s">
        <v>325</v>
      </c>
      <c r="F5" s="13" t="s">
        <v>326</v>
      </c>
      <c r="G5" s="13" t="s">
        <v>327</v>
      </c>
      <c r="H5" s="13" t="s">
        <v>328</v>
      </c>
      <c r="I5" s="13" t="s">
        <v>329</v>
      </c>
      <c r="J5" s="13" t="s">
        <v>330</v>
      </c>
      <c r="K5" s="13" t="s">
        <v>331</v>
      </c>
      <c r="L5" s="13" t="s">
        <v>332</v>
      </c>
      <c r="M5" s="13" t="s">
        <v>333</v>
      </c>
      <c r="N5" s="13" t="s">
        <v>334</v>
      </c>
      <c r="O5" s="3" t="s">
        <v>335</v>
      </c>
      <c r="P5" s="13" t="s">
        <v>336</v>
      </c>
      <c r="Q5" s="13" t="s">
        <v>337</v>
      </c>
      <c r="R5" s="13" t="s">
        <v>338</v>
      </c>
      <c r="S5" s="13" t="s">
        <v>339</v>
      </c>
      <c r="T5" s="13" t="s">
        <v>340</v>
      </c>
      <c r="U5" s="13" t="s">
        <v>341</v>
      </c>
      <c r="V5" s="13" t="s">
        <v>342</v>
      </c>
      <c r="W5" s="13" t="s">
        <v>343</v>
      </c>
      <c r="X5" s="13" t="s">
        <v>344</v>
      </c>
      <c r="Y5" s="13" t="s">
        <v>345</v>
      </c>
      <c r="Z5" s="13" t="s">
        <v>346</v>
      </c>
    </row>
    <row r="6" spans="1:26" s="9" customFormat="1" ht="25.5" customHeight="1">
      <c r="A6" s="18">
        <v>1</v>
      </c>
      <c r="B6" s="20" t="s">
        <v>347</v>
      </c>
      <c r="C6" s="20" t="s">
        <v>348</v>
      </c>
      <c r="D6" s="69" t="s">
        <v>349</v>
      </c>
      <c r="E6" s="70" t="s">
        <v>350</v>
      </c>
      <c r="F6" s="20" t="s">
        <v>351</v>
      </c>
      <c r="G6" s="11">
        <v>1</v>
      </c>
      <c r="H6" s="11">
        <v>1</v>
      </c>
      <c r="I6" s="11">
        <v>1</v>
      </c>
      <c r="J6" s="11">
        <v>0</v>
      </c>
      <c r="K6" s="71">
        <f t="shared" ref="K6:K14" si="0">IF(G6=1,2+(H6*2)+I6*5+J6*10,(IF(G6=2,5+(H6*2)+I6*5+J6*10,10+(H6*2)+I6*5+J6*10)))</f>
        <v>9</v>
      </c>
      <c r="L6" s="71" t="str">
        <f>IF(G6=1,"30",(IF(G6=2,"45","60")))</f>
        <v>30</v>
      </c>
      <c r="M6" s="71">
        <f t="shared" ref="M6:M14" si="1">K6+L6</f>
        <v>39</v>
      </c>
      <c r="N6" s="71">
        <f t="shared" ref="N6:N14" si="2">IF(G6=1,R6*0.5,(IF(G6=2,R6*1,R6*1.5)))</f>
        <v>25</v>
      </c>
      <c r="O6" s="11">
        <v>1</v>
      </c>
      <c r="P6" s="11">
        <v>5</v>
      </c>
      <c r="Q6" s="71">
        <f t="shared" ref="Q6:Q14" si="3">O6*P6</f>
        <v>5</v>
      </c>
      <c r="R6" s="11">
        <v>50</v>
      </c>
      <c r="S6" s="11">
        <f>1/60</f>
        <v>1.6666666666666666E-2</v>
      </c>
      <c r="T6" s="11">
        <f>1/60</f>
        <v>1.6666666666666666E-2</v>
      </c>
      <c r="U6" s="11">
        <v>1</v>
      </c>
      <c r="V6" s="71">
        <f>R6*S6+R6*T6+2+U6</f>
        <v>4.666666666666667</v>
      </c>
      <c r="W6" s="71">
        <f t="shared" ref="W6:X14" si="4">IF(G6="",0,5)</f>
        <v>5</v>
      </c>
      <c r="X6" s="71">
        <f t="shared" si="4"/>
        <v>5</v>
      </c>
      <c r="Y6" s="71">
        <f t="shared" ref="Y6:Y14" si="5">SUM(M6,N6*5,Q6,V6*5,W6*5,X6*5)</f>
        <v>242.33333333333334</v>
      </c>
      <c r="Z6" s="20"/>
    </row>
    <row r="7" spans="1:26" s="9" customFormat="1" ht="21.75" customHeight="1">
      <c r="A7" s="18">
        <v>2</v>
      </c>
      <c r="B7" s="20" t="s">
        <v>352</v>
      </c>
      <c r="C7" s="12" t="s">
        <v>353</v>
      </c>
      <c r="D7" s="72" t="s">
        <v>354</v>
      </c>
      <c r="E7" s="72" t="s">
        <v>355</v>
      </c>
      <c r="F7" s="12" t="s">
        <v>356</v>
      </c>
      <c r="G7" s="11">
        <v>2</v>
      </c>
      <c r="H7" s="11">
        <v>0</v>
      </c>
      <c r="I7" s="11">
        <v>0</v>
      </c>
      <c r="J7" s="11">
        <v>0</v>
      </c>
      <c r="K7" s="71">
        <f t="shared" si="0"/>
        <v>5</v>
      </c>
      <c r="L7" s="71" t="str">
        <f t="shared" ref="L7:L14" si="6">IF(G7=1,"30",(IF(G7=2,"45","60")))</f>
        <v>45</v>
      </c>
      <c r="M7" s="71">
        <f t="shared" si="1"/>
        <v>50</v>
      </c>
      <c r="N7" s="71">
        <f t="shared" si="2"/>
        <v>40</v>
      </c>
      <c r="O7" s="11">
        <v>1</v>
      </c>
      <c r="P7" s="11">
        <v>5</v>
      </c>
      <c r="Q7" s="71">
        <f t="shared" si="3"/>
        <v>5</v>
      </c>
      <c r="R7" s="11">
        <v>40</v>
      </c>
      <c r="S7" s="11">
        <f t="shared" ref="S7:T14" si="7">1/60</f>
        <v>1.6666666666666666E-2</v>
      </c>
      <c r="T7" s="11">
        <f t="shared" si="7"/>
        <v>1.6666666666666666E-2</v>
      </c>
      <c r="U7" s="11">
        <v>3</v>
      </c>
      <c r="V7" s="71">
        <f t="shared" ref="V7:V14" si="8">R7*S7+R7*T7+2+U7</f>
        <v>6.333333333333333</v>
      </c>
      <c r="W7" s="71">
        <f t="shared" si="4"/>
        <v>5</v>
      </c>
      <c r="X7" s="71">
        <f t="shared" si="4"/>
        <v>5</v>
      </c>
      <c r="Y7" s="71">
        <f t="shared" si="5"/>
        <v>336.66666666666669</v>
      </c>
      <c r="Z7" s="20"/>
    </row>
    <row r="8" spans="1:26" s="9" customFormat="1" ht="22.5" customHeight="1">
      <c r="A8" s="18">
        <v>3</v>
      </c>
      <c r="B8" s="20" t="s">
        <v>357</v>
      </c>
      <c r="C8" s="12" t="s">
        <v>358</v>
      </c>
      <c r="D8" s="72" t="s">
        <v>359</v>
      </c>
      <c r="E8" s="72" t="s">
        <v>360</v>
      </c>
      <c r="F8" s="12" t="s">
        <v>361</v>
      </c>
      <c r="G8" s="11">
        <v>1</v>
      </c>
      <c r="H8" s="11">
        <v>0</v>
      </c>
      <c r="I8" s="11">
        <v>0</v>
      </c>
      <c r="J8" s="11">
        <v>0</v>
      </c>
      <c r="K8" s="71">
        <f t="shared" si="0"/>
        <v>2</v>
      </c>
      <c r="L8" s="71" t="str">
        <f t="shared" si="6"/>
        <v>30</v>
      </c>
      <c r="M8" s="71">
        <f t="shared" si="1"/>
        <v>32</v>
      </c>
      <c r="N8" s="71">
        <f t="shared" si="2"/>
        <v>15</v>
      </c>
      <c r="O8" s="11">
        <v>1</v>
      </c>
      <c r="P8" s="11">
        <v>5</v>
      </c>
      <c r="Q8" s="71">
        <f t="shared" si="3"/>
        <v>5</v>
      </c>
      <c r="R8" s="11">
        <v>30</v>
      </c>
      <c r="S8" s="11">
        <f t="shared" si="7"/>
        <v>1.6666666666666666E-2</v>
      </c>
      <c r="T8" s="11">
        <f t="shared" si="7"/>
        <v>1.6666666666666666E-2</v>
      </c>
      <c r="U8" s="11">
        <v>1</v>
      </c>
      <c r="V8" s="71">
        <f t="shared" si="8"/>
        <v>4</v>
      </c>
      <c r="W8" s="71">
        <f t="shared" si="4"/>
        <v>5</v>
      </c>
      <c r="X8" s="71">
        <f t="shared" si="4"/>
        <v>5</v>
      </c>
      <c r="Y8" s="71">
        <f t="shared" si="5"/>
        <v>182</v>
      </c>
      <c r="Z8" s="12"/>
    </row>
    <row r="9" spans="1:26" s="9" customFormat="1" ht="20.45" customHeight="1">
      <c r="A9" s="18">
        <v>4</v>
      </c>
      <c r="B9" s="20" t="s">
        <v>362</v>
      </c>
      <c r="C9" s="12" t="s">
        <v>363</v>
      </c>
      <c r="D9" s="72" t="s">
        <v>364</v>
      </c>
      <c r="E9" s="72" t="s">
        <v>365</v>
      </c>
      <c r="F9" s="12" t="s">
        <v>366</v>
      </c>
      <c r="G9" s="11">
        <v>3</v>
      </c>
      <c r="H9" s="11">
        <v>0</v>
      </c>
      <c r="I9" s="11">
        <v>0</v>
      </c>
      <c r="J9" s="11">
        <v>0</v>
      </c>
      <c r="K9" s="71">
        <f t="shared" si="0"/>
        <v>10</v>
      </c>
      <c r="L9" s="71" t="str">
        <f t="shared" si="6"/>
        <v>60</v>
      </c>
      <c r="M9" s="71">
        <f t="shared" si="1"/>
        <v>70</v>
      </c>
      <c r="N9" s="71">
        <f t="shared" si="2"/>
        <v>75</v>
      </c>
      <c r="O9" s="11">
        <v>1</v>
      </c>
      <c r="P9" s="11">
        <v>5</v>
      </c>
      <c r="Q9" s="71">
        <f t="shared" si="3"/>
        <v>5</v>
      </c>
      <c r="R9" s="11">
        <v>50</v>
      </c>
      <c r="S9" s="11">
        <f t="shared" si="7"/>
        <v>1.6666666666666666E-2</v>
      </c>
      <c r="T9" s="11">
        <f t="shared" si="7"/>
        <v>1.6666666666666666E-2</v>
      </c>
      <c r="U9" s="11">
        <v>4</v>
      </c>
      <c r="V9" s="71">
        <f t="shared" si="8"/>
        <v>7.666666666666667</v>
      </c>
      <c r="W9" s="71">
        <f t="shared" si="4"/>
        <v>5</v>
      </c>
      <c r="X9" s="71">
        <f t="shared" si="4"/>
        <v>5</v>
      </c>
      <c r="Y9" s="71">
        <f t="shared" si="5"/>
        <v>538.33333333333326</v>
      </c>
      <c r="Z9" s="12"/>
    </row>
    <row r="10" spans="1:26" s="9" customFormat="1" ht="20.45" customHeight="1">
      <c r="A10" s="18">
        <v>5</v>
      </c>
      <c r="B10" s="20" t="s">
        <v>367</v>
      </c>
      <c r="C10" s="12" t="s">
        <v>368</v>
      </c>
      <c r="D10" s="72" t="s">
        <v>369</v>
      </c>
      <c r="E10" s="72" t="s">
        <v>370</v>
      </c>
      <c r="F10" s="12" t="s">
        <v>371</v>
      </c>
      <c r="G10" s="11">
        <v>3</v>
      </c>
      <c r="H10" s="11">
        <v>0</v>
      </c>
      <c r="I10" s="11">
        <v>0</v>
      </c>
      <c r="J10" s="11">
        <v>0</v>
      </c>
      <c r="K10" s="71">
        <f t="shared" si="0"/>
        <v>10</v>
      </c>
      <c r="L10" s="71" t="str">
        <f t="shared" si="6"/>
        <v>60</v>
      </c>
      <c r="M10" s="71">
        <f t="shared" si="1"/>
        <v>70</v>
      </c>
      <c r="N10" s="71">
        <f t="shared" si="2"/>
        <v>15</v>
      </c>
      <c r="O10" s="11">
        <v>1</v>
      </c>
      <c r="P10" s="11">
        <v>5</v>
      </c>
      <c r="Q10" s="71">
        <f t="shared" si="3"/>
        <v>5</v>
      </c>
      <c r="R10" s="11">
        <v>10</v>
      </c>
      <c r="S10" s="11">
        <f t="shared" si="7"/>
        <v>1.6666666666666666E-2</v>
      </c>
      <c r="T10" s="11">
        <f t="shared" si="7"/>
        <v>1.6666666666666666E-2</v>
      </c>
      <c r="U10" s="11">
        <v>4</v>
      </c>
      <c r="V10" s="71">
        <f t="shared" si="8"/>
        <v>6.3333333333333339</v>
      </c>
      <c r="W10" s="71">
        <f t="shared" si="4"/>
        <v>5</v>
      </c>
      <c r="X10" s="71">
        <f t="shared" si="4"/>
        <v>5</v>
      </c>
      <c r="Y10" s="71">
        <f t="shared" si="5"/>
        <v>231.66666666666669</v>
      </c>
      <c r="Z10" s="12"/>
    </row>
    <row r="11" spans="1:26" s="9" customFormat="1" ht="31.5" customHeight="1">
      <c r="A11" s="18">
        <v>6</v>
      </c>
      <c r="B11" s="20" t="s">
        <v>372</v>
      </c>
      <c r="C11" s="12" t="s">
        <v>373</v>
      </c>
      <c r="D11" s="72" t="s">
        <v>374</v>
      </c>
      <c r="E11" s="72" t="s">
        <v>375</v>
      </c>
      <c r="F11" s="12" t="s">
        <v>376</v>
      </c>
      <c r="G11" s="11">
        <v>3</v>
      </c>
      <c r="H11" s="11">
        <v>1</v>
      </c>
      <c r="I11" s="11">
        <v>2</v>
      </c>
      <c r="J11" s="11">
        <v>3</v>
      </c>
      <c r="K11" s="71">
        <f t="shared" si="0"/>
        <v>52</v>
      </c>
      <c r="L11" s="71" t="str">
        <f t="shared" si="6"/>
        <v>60</v>
      </c>
      <c r="M11" s="71">
        <f t="shared" si="1"/>
        <v>112</v>
      </c>
      <c r="N11" s="71">
        <f t="shared" si="2"/>
        <v>15</v>
      </c>
      <c r="O11" s="11">
        <v>1</v>
      </c>
      <c r="P11" s="11">
        <v>5</v>
      </c>
      <c r="Q11" s="71">
        <f t="shared" si="3"/>
        <v>5</v>
      </c>
      <c r="R11" s="11">
        <v>10</v>
      </c>
      <c r="S11" s="11">
        <f t="shared" si="7"/>
        <v>1.6666666666666666E-2</v>
      </c>
      <c r="T11" s="11">
        <f t="shared" si="7"/>
        <v>1.6666666666666666E-2</v>
      </c>
      <c r="U11" s="11">
        <v>4</v>
      </c>
      <c r="V11" s="71">
        <f t="shared" si="8"/>
        <v>6.3333333333333339</v>
      </c>
      <c r="W11" s="71">
        <f t="shared" si="4"/>
        <v>5</v>
      </c>
      <c r="X11" s="71">
        <f t="shared" si="4"/>
        <v>5</v>
      </c>
      <c r="Y11" s="71">
        <f t="shared" si="5"/>
        <v>273.66666666666669</v>
      </c>
      <c r="Z11" s="12"/>
    </row>
    <row r="12" spans="1:26" s="9" customFormat="1" ht="20.45" customHeight="1">
      <c r="A12" s="18">
        <v>7</v>
      </c>
      <c r="B12" s="20" t="s">
        <v>377</v>
      </c>
      <c r="C12" s="12" t="s">
        <v>378</v>
      </c>
      <c r="D12" s="72" t="s">
        <v>379</v>
      </c>
      <c r="E12" s="72" t="s">
        <v>380</v>
      </c>
      <c r="F12" s="12" t="s">
        <v>381</v>
      </c>
      <c r="G12" s="11">
        <v>2</v>
      </c>
      <c r="H12" s="11">
        <v>0</v>
      </c>
      <c r="I12" s="11">
        <v>0</v>
      </c>
      <c r="J12" s="11">
        <v>0</v>
      </c>
      <c r="K12" s="71">
        <f t="shared" si="0"/>
        <v>5</v>
      </c>
      <c r="L12" s="71" t="str">
        <f t="shared" si="6"/>
        <v>45</v>
      </c>
      <c r="M12" s="71">
        <f t="shared" si="1"/>
        <v>50</v>
      </c>
      <c r="N12" s="71">
        <f t="shared" si="2"/>
        <v>25</v>
      </c>
      <c r="O12" s="11">
        <v>1</v>
      </c>
      <c r="P12" s="11">
        <v>5</v>
      </c>
      <c r="Q12" s="71">
        <f t="shared" si="3"/>
        <v>5</v>
      </c>
      <c r="R12" s="11">
        <v>25</v>
      </c>
      <c r="S12" s="11">
        <f t="shared" si="7"/>
        <v>1.6666666666666666E-2</v>
      </c>
      <c r="T12" s="11">
        <f t="shared" si="7"/>
        <v>1.6666666666666666E-2</v>
      </c>
      <c r="U12" s="11">
        <v>3</v>
      </c>
      <c r="V12" s="71">
        <f t="shared" si="8"/>
        <v>5.8333333333333339</v>
      </c>
      <c r="W12" s="71">
        <f t="shared" si="4"/>
        <v>5</v>
      </c>
      <c r="X12" s="71">
        <f t="shared" si="4"/>
        <v>5</v>
      </c>
      <c r="Y12" s="71">
        <f t="shared" si="5"/>
        <v>259.16666666666669</v>
      </c>
      <c r="Z12" s="12"/>
    </row>
    <row r="13" spans="1:26" s="9" customFormat="1" ht="20.45" customHeight="1">
      <c r="A13" s="18">
        <v>8</v>
      </c>
      <c r="B13" s="20" t="s">
        <v>382</v>
      </c>
      <c r="C13" s="12" t="s">
        <v>383</v>
      </c>
      <c r="D13" s="72" t="s">
        <v>384</v>
      </c>
      <c r="E13" s="72" t="s">
        <v>385</v>
      </c>
      <c r="F13" s="12" t="s">
        <v>386</v>
      </c>
      <c r="G13" s="11">
        <v>2</v>
      </c>
      <c r="H13" s="11">
        <v>0</v>
      </c>
      <c r="I13" s="11">
        <v>0</v>
      </c>
      <c r="J13" s="11">
        <v>0</v>
      </c>
      <c r="K13" s="71">
        <f t="shared" si="0"/>
        <v>5</v>
      </c>
      <c r="L13" s="71" t="str">
        <f t="shared" si="6"/>
        <v>45</v>
      </c>
      <c r="M13" s="71">
        <f t="shared" si="1"/>
        <v>50</v>
      </c>
      <c r="N13" s="71">
        <f t="shared" si="2"/>
        <v>30</v>
      </c>
      <c r="O13" s="11">
        <v>1</v>
      </c>
      <c r="P13" s="11">
        <v>5</v>
      </c>
      <c r="Q13" s="71">
        <f t="shared" si="3"/>
        <v>5</v>
      </c>
      <c r="R13" s="11">
        <v>30</v>
      </c>
      <c r="S13" s="11">
        <f t="shared" si="7"/>
        <v>1.6666666666666666E-2</v>
      </c>
      <c r="T13" s="11">
        <f t="shared" si="7"/>
        <v>1.6666666666666666E-2</v>
      </c>
      <c r="U13" s="11">
        <v>3</v>
      </c>
      <c r="V13" s="71">
        <f t="shared" si="8"/>
        <v>6</v>
      </c>
      <c r="W13" s="71">
        <f t="shared" si="4"/>
        <v>5</v>
      </c>
      <c r="X13" s="71">
        <f t="shared" si="4"/>
        <v>5</v>
      </c>
      <c r="Y13" s="71">
        <f t="shared" si="5"/>
        <v>285</v>
      </c>
      <c r="Z13" s="12"/>
    </row>
    <row r="14" spans="1:26" s="9" customFormat="1" ht="32.25" customHeight="1">
      <c r="A14" s="18">
        <v>9</v>
      </c>
      <c r="B14" s="20" t="s">
        <v>387</v>
      </c>
      <c r="C14" s="12" t="s">
        <v>383</v>
      </c>
      <c r="D14" s="72" t="s">
        <v>388</v>
      </c>
      <c r="E14" s="72" t="s">
        <v>389</v>
      </c>
      <c r="F14" s="12" t="s">
        <v>389</v>
      </c>
      <c r="G14" s="11">
        <v>2</v>
      </c>
      <c r="H14" s="11">
        <v>0</v>
      </c>
      <c r="I14" s="11">
        <v>0</v>
      </c>
      <c r="J14" s="11">
        <v>0</v>
      </c>
      <c r="K14" s="71">
        <f t="shared" si="0"/>
        <v>5</v>
      </c>
      <c r="L14" s="71" t="str">
        <f t="shared" si="6"/>
        <v>45</v>
      </c>
      <c r="M14" s="71">
        <f t="shared" si="1"/>
        <v>50</v>
      </c>
      <c r="N14" s="71">
        <f t="shared" si="2"/>
        <v>40</v>
      </c>
      <c r="O14" s="11">
        <v>1</v>
      </c>
      <c r="P14" s="11">
        <v>5</v>
      </c>
      <c r="Q14" s="71">
        <f t="shared" si="3"/>
        <v>5</v>
      </c>
      <c r="R14" s="11">
        <v>40</v>
      </c>
      <c r="S14" s="11">
        <f t="shared" si="7"/>
        <v>1.6666666666666666E-2</v>
      </c>
      <c r="T14" s="11">
        <f t="shared" si="7"/>
        <v>1.6666666666666666E-2</v>
      </c>
      <c r="U14" s="11">
        <v>3</v>
      </c>
      <c r="V14" s="71">
        <f t="shared" si="8"/>
        <v>6.333333333333333</v>
      </c>
      <c r="W14" s="71">
        <f t="shared" si="4"/>
        <v>5</v>
      </c>
      <c r="X14" s="71">
        <f t="shared" si="4"/>
        <v>5</v>
      </c>
      <c r="Y14" s="71">
        <f t="shared" si="5"/>
        <v>336.66666666666669</v>
      </c>
      <c r="Z14" s="12"/>
    </row>
    <row r="15" spans="1:26" ht="23.25" customHeight="1">
      <c r="A15" s="73"/>
      <c r="B15" s="74"/>
      <c r="C15" s="74"/>
      <c r="D15" s="73"/>
      <c r="E15" s="73"/>
      <c r="F15" s="73"/>
      <c r="G15" s="73"/>
      <c r="H15" s="75"/>
      <c r="I15" s="75"/>
      <c r="J15" s="76"/>
      <c r="K15" s="76"/>
      <c r="L15" s="77"/>
      <c r="N15" s="78"/>
      <c r="O15" s="356"/>
      <c r="P15" s="356"/>
      <c r="Q15" s="356"/>
      <c r="R15" s="356"/>
      <c r="S15" s="356"/>
      <c r="U15" s="4"/>
      <c r="V15" s="79"/>
      <c r="W15" s="79"/>
      <c r="X15" s="4"/>
      <c r="Y15" s="4"/>
      <c r="Z15" s="4"/>
    </row>
    <row r="16" spans="1:26" ht="23.25" customHeight="1">
      <c r="A16" s="104" t="s">
        <v>390</v>
      </c>
      <c r="B16" s="80"/>
      <c r="C16" s="80"/>
      <c r="D16" s="81"/>
      <c r="E16" s="81"/>
      <c r="F16" s="67"/>
      <c r="G16" s="67"/>
      <c r="H16" s="65"/>
      <c r="I16" s="65"/>
      <c r="J16" s="65"/>
      <c r="K16" s="66" t="s">
        <v>391</v>
      </c>
      <c r="L16" s="82">
        <f>SUM(SUM(Y6:Y14))/(60*8)</f>
        <v>5.5947916666666666</v>
      </c>
      <c r="M16" s="83" t="s">
        <v>392</v>
      </c>
      <c r="N16" s="65"/>
      <c r="O16" s="353"/>
      <c r="P16" s="353"/>
      <c r="V16" s="78"/>
      <c r="W16" s="353"/>
      <c r="X16" s="353"/>
    </row>
    <row r="17" spans="1:26" s="67" customFormat="1" ht="19.5">
      <c r="A17" s="73"/>
      <c r="B17" s="74"/>
      <c r="C17" s="73"/>
      <c r="D17" s="84"/>
      <c r="E17" s="84"/>
      <c r="F17" s="84"/>
      <c r="G17" s="85"/>
      <c r="H17" s="84"/>
      <c r="I17" s="84"/>
      <c r="M17" s="86"/>
      <c r="N17" s="105"/>
      <c r="O17" s="357"/>
      <c r="P17" s="357"/>
      <c r="Q17" s="357"/>
      <c r="R17" s="357"/>
      <c r="S17" s="74"/>
      <c r="T17" s="65"/>
      <c r="U17" s="9"/>
      <c r="V17" s="78"/>
      <c r="W17" s="353"/>
      <c r="X17" s="353"/>
      <c r="Y17" s="353"/>
      <c r="Z17" s="353"/>
    </row>
    <row r="18" spans="1:26" s="67" customFormat="1" ht="19.5">
      <c r="A18" s="64" t="s">
        <v>393</v>
      </c>
      <c r="B18" s="64"/>
      <c r="C18" s="64"/>
      <c r="D18" s="65"/>
      <c r="E18" s="65"/>
      <c r="F18" s="65"/>
      <c r="G18" s="65"/>
      <c r="H18" s="65"/>
      <c r="I18" s="65"/>
      <c r="J18" s="65"/>
      <c r="K18" s="65"/>
      <c r="L18" s="65"/>
      <c r="W18" s="87"/>
      <c r="X18" s="65"/>
      <c r="Y18" s="65"/>
      <c r="Z18" s="65"/>
    </row>
    <row r="19" spans="1:26" s="8" customFormat="1" ht="98.25" customHeight="1">
      <c r="A19" s="14" t="s">
        <v>218</v>
      </c>
      <c r="B19" s="13" t="s">
        <v>219</v>
      </c>
      <c r="C19" s="13" t="s">
        <v>233</v>
      </c>
      <c r="D19" s="3" t="s">
        <v>300</v>
      </c>
      <c r="E19" s="13" t="s">
        <v>301</v>
      </c>
      <c r="F19" s="13" t="s">
        <v>302</v>
      </c>
      <c r="G19" s="13" t="s">
        <v>303</v>
      </c>
      <c r="H19" s="13" t="s">
        <v>304</v>
      </c>
      <c r="I19" s="13" t="s">
        <v>305</v>
      </c>
      <c r="J19" s="13" t="s">
        <v>306</v>
      </c>
      <c r="K19" s="68" t="s">
        <v>307</v>
      </c>
      <c r="L19" s="68" t="s">
        <v>308</v>
      </c>
      <c r="M19" s="68" t="s">
        <v>394</v>
      </c>
      <c r="N19" s="68" t="s">
        <v>395</v>
      </c>
      <c r="O19" s="68" t="s">
        <v>396</v>
      </c>
      <c r="P19" s="68" t="s">
        <v>315</v>
      </c>
      <c r="Q19" s="68" t="s">
        <v>316</v>
      </c>
      <c r="R19" s="68" t="s">
        <v>317</v>
      </c>
      <c r="S19" s="68" t="s">
        <v>318</v>
      </c>
      <c r="T19" s="68" t="s">
        <v>397</v>
      </c>
      <c r="U19" s="68" t="s">
        <v>398</v>
      </c>
      <c r="V19" s="68" t="s">
        <v>228</v>
      </c>
      <c r="W19" s="53"/>
      <c r="X19" s="53"/>
      <c r="Y19" s="53"/>
      <c r="Z19" s="7"/>
    </row>
    <row r="20" spans="1:26" s="8" customFormat="1" ht="31.5">
      <c r="A20" s="18">
        <v>1</v>
      </c>
      <c r="B20" s="20" t="s">
        <v>347</v>
      </c>
      <c r="C20" s="20" t="s">
        <v>348</v>
      </c>
      <c r="D20" s="69" t="s">
        <v>349</v>
      </c>
      <c r="E20" s="70" t="s">
        <v>350</v>
      </c>
      <c r="F20" s="20" t="s">
        <v>351</v>
      </c>
      <c r="G20" s="11">
        <v>1</v>
      </c>
      <c r="H20" s="11">
        <v>1</v>
      </c>
      <c r="I20" s="11">
        <v>1</v>
      </c>
      <c r="J20" s="11">
        <v>0</v>
      </c>
      <c r="K20" s="71">
        <f>IF(G20=1,2+(H20*2)+I20*5+J20*10,(IF(G20=2,5+(H20*2)+I20*5+J20*10,10+(H20*2)+I20*5+J20*10)))</f>
        <v>9</v>
      </c>
      <c r="L20" s="71" t="str">
        <f>IF(G20=1,"30",(IF(G20=2,"45","60")))</f>
        <v>30</v>
      </c>
      <c r="M20" s="71">
        <f>K20+L20</f>
        <v>39</v>
      </c>
      <c r="N20" s="71">
        <f>IF(G20=1,O20*0.5,(IF(G20=2,O20*1,O20*1.5)))</f>
        <v>25</v>
      </c>
      <c r="O20" s="11">
        <v>50</v>
      </c>
      <c r="P20" s="11">
        <f>1/60</f>
        <v>1.6666666666666666E-2</v>
      </c>
      <c r="Q20" s="11">
        <f>1/60</f>
        <v>1.6666666666666666E-2</v>
      </c>
      <c r="R20" s="11">
        <v>1</v>
      </c>
      <c r="S20" s="71">
        <f>O20*P20+O20*Q20+2+R20</f>
        <v>4.666666666666667</v>
      </c>
      <c r="T20" s="88" t="s">
        <v>399</v>
      </c>
      <c r="U20" s="71">
        <f>IF(T20="1",SUM(N20*5,S20*5),IF(T20="0",SUM(M20,N20*5,S20*5),"0"))</f>
        <v>148.33333333333334</v>
      </c>
      <c r="V20" s="20"/>
      <c r="W20" s="350"/>
      <c r="X20" s="349"/>
      <c r="Y20" s="349"/>
      <c r="Z20" s="349"/>
    </row>
    <row r="21" spans="1:26" s="8" customFormat="1" ht="31.5">
      <c r="A21" s="18">
        <v>2</v>
      </c>
      <c r="B21" s="20" t="s">
        <v>352</v>
      </c>
      <c r="C21" s="12" t="s">
        <v>353</v>
      </c>
      <c r="D21" s="72" t="s">
        <v>354</v>
      </c>
      <c r="E21" s="72" t="s">
        <v>355</v>
      </c>
      <c r="F21" s="12" t="s">
        <v>356</v>
      </c>
      <c r="G21" s="11">
        <v>2</v>
      </c>
      <c r="H21" s="11">
        <v>0</v>
      </c>
      <c r="I21" s="11">
        <v>0</v>
      </c>
      <c r="J21" s="11">
        <v>0</v>
      </c>
      <c r="K21" s="71">
        <f>IF(G21=1,2+(H21*2)+I21*5+J21*10,(IF(G21=2,5+(H21*2)+I21*5+J21*10,10+(H21*2)+I21*5+J21*10)))</f>
        <v>5</v>
      </c>
      <c r="L21" s="71" t="str">
        <f>IF(G21=1,"30",(IF(G21=2,"45","60")))</f>
        <v>45</v>
      </c>
      <c r="M21" s="71">
        <f>K21+L21</f>
        <v>50</v>
      </c>
      <c r="N21" s="71">
        <f>IF(G21=1,O21*0.5,(IF(G21=2,O21*1,O21*1.5)))</f>
        <v>40</v>
      </c>
      <c r="O21" s="11">
        <v>40</v>
      </c>
      <c r="P21" s="11">
        <f>1/60</f>
        <v>1.6666666666666666E-2</v>
      </c>
      <c r="Q21" s="11">
        <f>1/60</f>
        <v>1.6666666666666666E-2</v>
      </c>
      <c r="R21" s="11">
        <v>3</v>
      </c>
      <c r="S21" s="71">
        <f>O21*P21+O21*Q21+2+R21</f>
        <v>6.333333333333333</v>
      </c>
      <c r="T21" s="88" t="s">
        <v>399</v>
      </c>
      <c r="U21" s="71">
        <f>IF(T21="1",SUM(N21*5,S21*5),IF(T21="0",SUM(M21,N21*5,S21*5),"0"))</f>
        <v>231.66666666666666</v>
      </c>
      <c r="V21" s="20"/>
      <c r="W21" s="350"/>
      <c r="X21" s="349"/>
      <c r="Y21" s="349"/>
      <c r="Z21" s="349"/>
    </row>
    <row r="22" spans="1:26" ht="23.25" customHeight="1">
      <c r="A22" s="73"/>
      <c r="B22" s="74"/>
      <c r="C22" s="74"/>
      <c r="D22" s="73"/>
      <c r="E22" s="73"/>
      <c r="F22" s="73"/>
      <c r="G22" s="73"/>
      <c r="H22" s="75"/>
      <c r="I22" s="75"/>
      <c r="J22" s="76"/>
      <c r="K22" s="76"/>
      <c r="L22" s="77"/>
      <c r="N22" s="78"/>
      <c r="O22" s="351"/>
      <c r="P22" s="351"/>
      <c r="Q22" s="351"/>
      <c r="R22" s="351"/>
      <c r="S22" s="351"/>
      <c r="T22" s="351"/>
    </row>
    <row r="23" spans="1:26" ht="23.25" customHeight="1">
      <c r="A23" s="352" t="s">
        <v>400</v>
      </c>
      <c r="B23" s="352"/>
      <c r="C23" s="352"/>
      <c r="D23" s="352"/>
      <c r="E23" s="352"/>
      <c r="F23" s="352"/>
      <c r="G23" s="352"/>
      <c r="H23" s="66" t="s">
        <v>391</v>
      </c>
      <c r="I23" s="82">
        <f>SUM(SUM(U20:U21))/(60*8)+(5+5*5+5*5)/(60*8)</f>
        <v>0.90625</v>
      </c>
      <c r="J23" s="83" t="s">
        <v>392</v>
      </c>
      <c r="N23" s="78"/>
      <c r="O23" s="353"/>
      <c r="P23" s="353"/>
      <c r="Q23" s="353"/>
      <c r="R23" s="353"/>
      <c r="S23" s="353"/>
      <c r="T23" s="354"/>
      <c r="U23" s="354"/>
      <c r="V23" s="354"/>
      <c r="W23" s="354"/>
      <c r="X23" s="354"/>
    </row>
    <row r="24" spans="1:26" ht="23.25" customHeight="1">
      <c r="A24" s="73"/>
      <c r="B24" s="74"/>
      <c r="C24" s="73"/>
      <c r="D24" s="84"/>
      <c r="E24" s="84"/>
      <c r="F24" s="84"/>
      <c r="G24" s="85"/>
      <c r="H24" s="84"/>
      <c r="I24" s="84"/>
      <c r="J24" s="67"/>
      <c r="K24" s="67"/>
      <c r="L24" s="67"/>
      <c r="M24" s="86"/>
      <c r="N24" s="105"/>
      <c r="O24" s="105"/>
      <c r="P24" s="105"/>
      <c r="Q24" s="105"/>
      <c r="R24" s="105"/>
      <c r="S24" s="105"/>
      <c r="T24" s="105"/>
      <c r="U24" s="105"/>
    </row>
    <row r="25" spans="1:26" ht="23.25" customHeight="1">
      <c r="B25" s="53"/>
      <c r="C25" s="53"/>
      <c r="D25" s="53"/>
      <c r="E25" s="53"/>
      <c r="F25" s="53"/>
      <c r="G25" s="53"/>
      <c r="H25" s="53"/>
      <c r="I25" s="53"/>
      <c r="J25" s="53"/>
    </row>
    <row r="26" spans="1:26" s="67" customFormat="1" ht="19.5">
      <c r="A26" s="67" t="s">
        <v>401</v>
      </c>
      <c r="F26" s="67">
        <v>240</v>
      </c>
      <c r="G26" s="53" t="s">
        <v>402</v>
      </c>
    </row>
    <row r="27" spans="1:26" s="67" customFormat="1" ht="133.5" customHeight="1">
      <c r="A27" s="347" t="s">
        <v>403</v>
      </c>
      <c r="B27" s="347"/>
      <c r="C27" s="347"/>
      <c r="D27" s="347"/>
      <c r="E27" s="347"/>
      <c r="F27" s="347"/>
      <c r="G27" s="347"/>
      <c r="H27" s="89">
        <v>960</v>
      </c>
      <c r="I27" s="53" t="s">
        <v>402</v>
      </c>
      <c r="L27" s="89"/>
      <c r="M27" s="89"/>
      <c r="N27" s="89"/>
      <c r="O27" s="89"/>
      <c r="P27" s="89"/>
      <c r="Q27" s="65"/>
      <c r="R27" s="65"/>
      <c r="S27" s="65"/>
      <c r="T27" s="65"/>
      <c r="U27" s="65"/>
      <c r="V27" s="65"/>
      <c r="W27" s="65"/>
      <c r="X27" s="65"/>
      <c r="Y27" s="65"/>
      <c r="Z27" s="65"/>
    </row>
    <row r="28" spans="1:26" s="67" customFormat="1" ht="23.25" customHeight="1">
      <c r="A28" s="67" t="s">
        <v>404</v>
      </c>
      <c r="E28" s="67">
        <f>SUM(F30:F38)</f>
        <v>240</v>
      </c>
      <c r="F28" s="90" t="s">
        <v>405</v>
      </c>
      <c r="G28" s="91"/>
      <c r="H28" s="92"/>
      <c r="I28" s="91"/>
      <c r="J28" s="90"/>
      <c r="L28" s="89"/>
      <c r="M28" s="89"/>
      <c r="N28" s="89"/>
      <c r="O28" s="89"/>
      <c r="P28" s="89"/>
      <c r="Q28" s="65"/>
      <c r="R28" s="65"/>
      <c r="S28" s="65"/>
      <c r="T28" s="65"/>
      <c r="U28" s="65"/>
      <c r="V28" s="65"/>
      <c r="W28" s="65"/>
      <c r="X28" s="65"/>
      <c r="Y28" s="65"/>
      <c r="Z28" s="65"/>
    </row>
    <row r="29" spans="1:26" s="67" customFormat="1" ht="23.25" customHeight="1">
      <c r="A29" s="93"/>
      <c r="B29" s="93" t="s">
        <v>406</v>
      </c>
      <c r="C29" s="93"/>
      <c r="D29" s="93"/>
      <c r="E29" s="93" t="s">
        <v>407</v>
      </c>
      <c r="F29" s="93" t="s">
        <v>408</v>
      </c>
      <c r="G29" s="53"/>
      <c r="H29" s="89"/>
      <c r="I29" s="53"/>
      <c r="L29" s="89"/>
      <c r="M29" s="89"/>
      <c r="N29" s="89"/>
      <c r="O29" s="89"/>
      <c r="P29" s="89"/>
      <c r="Q29" s="65"/>
      <c r="R29" s="65"/>
      <c r="S29" s="65"/>
      <c r="T29" s="65"/>
      <c r="U29" s="65"/>
      <c r="V29" s="65"/>
      <c r="W29" s="65"/>
      <c r="X29" s="65"/>
      <c r="Y29" s="65"/>
      <c r="Z29" s="65"/>
    </row>
    <row r="30" spans="1:26" s="67" customFormat="1" ht="23.25" customHeight="1">
      <c r="B30" s="20" t="s">
        <v>351</v>
      </c>
      <c r="E30" s="72">
        <v>3</v>
      </c>
      <c r="F30" s="75">
        <f>E30*10</f>
        <v>30</v>
      </c>
      <c r="G30" s="53"/>
      <c r="H30" s="89"/>
      <c r="I30" s="53"/>
      <c r="L30" s="89"/>
      <c r="M30" s="89"/>
      <c r="N30" s="89"/>
      <c r="O30" s="89"/>
      <c r="P30" s="89"/>
      <c r="Q30" s="65"/>
      <c r="R30" s="65"/>
      <c r="S30" s="65"/>
      <c r="T30" s="65"/>
      <c r="U30" s="65"/>
      <c r="V30" s="65"/>
      <c r="W30" s="65"/>
      <c r="X30" s="65"/>
      <c r="Y30" s="65"/>
      <c r="Z30" s="65"/>
    </row>
    <row r="31" spans="1:26" s="67" customFormat="1" ht="23.25" customHeight="1">
      <c r="B31" s="12" t="s">
        <v>356</v>
      </c>
      <c r="E31" s="72">
        <v>4</v>
      </c>
      <c r="F31" s="75">
        <f t="shared" ref="F31:F38" si="9">E31*10</f>
        <v>40</v>
      </c>
      <c r="G31" s="53"/>
      <c r="H31" s="89"/>
      <c r="I31" s="53"/>
      <c r="L31" s="89"/>
      <c r="M31" s="89"/>
      <c r="N31" s="89"/>
      <c r="O31" s="89"/>
      <c r="P31" s="89"/>
      <c r="Q31" s="65"/>
      <c r="R31" s="65"/>
      <c r="S31" s="65"/>
      <c r="T31" s="65"/>
      <c r="U31" s="65"/>
      <c r="V31" s="65"/>
      <c r="W31" s="65"/>
      <c r="X31" s="65"/>
      <c r="Y31" s="65"/>
      <c r="Z31" s="65"/>
    </row>
    <row r="32" spans="1:26" s="67" customFormat="1" ht="23.25" customHeight="1">
      <c r="B32" s="12" t="s">
        <v>361</v>
      </c>
      <c r="E32" s="72">
        <v>2</v>
      </c>
      <c r="F32" s="75">
        <f t="shared" si="9"/>
        <v>20</v>
      </c>
      <c r="G32" s="53"/>
      <c r="H32" s="89"/>
      <c r="I32" s="53"/>
      <c r="L32" s="89"/>
      <c r="M32" s="89"/>
      <c r="N32" s="89"/>
      <c r="O32" s="89"/>
      <c r="P32" s="89"/>
      <c r="Q32" s="65"/>
      <c r="R32" s="65"/>
      <c r="S32" s="65"/>
      <c r="T32" s="65"/>
      <c r="U32" s="65"/>
      <c r="V32" s="65"/>
      <c r="W32" s="65"/>
      <c r="X32" s="65"/>
      <c r="Y32" s="65"/>
      <c r="Z32" s="65"/>
    </row>
    <row r="33" spans="1:26" s="67" customFormat="1" ht="23.25" customHeight="1">
      <c r="B33" s="12" t="s">
        <v>366</v>
      </c>
      <c r="E33" s="72">
        <v>1</v>
      </c>
      <c r="F33" s="75">
        <f t="shared" si="9"/>
        <v>10</v>
      </c>
      <c r="G33" s="53"/>
      <c r="H33" s="89"/>
      <c r="I33" s="53"/>
      <c r="L33" s="89"/>
      <c r="M33" s="89"/>
      <c r="N33" s="89"/>
      <c r="O33" s="89"/>
      <c r="P33" s="89"/>
      <c r="Q33" s="65"/>
      <c r="R33" s="65"/>
      <c r="S33" s="65"/>
      <c r="T33" s="65"/>
      <c r="U33" s="65"/>
      <c r="V33" s="65"/>
      <c r="W33" s="65"/>
      <c r="X33" s="65"/>
      <c r="Y33" s="65"/>
      <c r="Z33" s="65"/>
    </row>
    <row r="34" spans="1:26" s="67" customFormat="1" ht="23.25" customHeight="1">
      <c r="B34" s="12" t="s">
        <v>371</v>
      </c>
      <c r="E34" s="72">
        <v>5</v>
      </c>
      <c r="F34" s="75">
        <f t="shared" si="9"/>
        <v>50</v>
      </c>
      <c r="G34" s="53"/>
      <c r="H34" s="89"/>
      <c r="I34" s="53"/>
      <c r="L34" s="89"/>
      <c r="M34" s="89"/>
      <c r="N34" s="89"/>
      <c r="O34" s="89"/>
      <c r="P34" s="89"/>
      <c r="Q34" s="65"/>
      <c r="R34" s="65"/>
      <c r="S34" s="65"/>
      <c r="T34" s="65"/>
      <c r="U34" s="65"/>
      <c r="V34" s="65"/>
      <c r="W34" s="65"/>
      <c r="X34" s="65"/>
      <c r="Y34" s="65"/>
      <c r="Z34" s="65"/>
    </row>
    <row r="35" spans="1:26" s="67" customFormat="1" ht="23.25" customHeight="1">
      <c r="B35" s="12" t="s">
        <v>376</v>
      </c>
      <c r="E35" s="72">
        <v>2</v>
      </c>
      <c r="F35" s="75">
        <f t="shared" si="9"/>
        <v>20</v>
      </c>
      <c r="G35" s="53"/>
      <c r="H35" s="89"/>
      <c r="I35" s="53"/>
      <c r="L35" s="89"/>
      <c r="M35" s="89"/>
      <c r="N35" s="89"/>
      <c r="O35" s="89"/>
      <c r="P35" s="89"/>
      <c r="Q35" s="65"/>
      <c r="R35" s="65"/>
      <c r="S35" s="65"/>
      <c r="T35" s="65"/>
      <c r="U35" s="65"/>
      <c r="V35" s="65"/>
      <c r="W35" s="65"/>
      <c r="X35" s="65"/>
      <c r="Y35" s="65"/>
      <c r="Z35" s="65"/>
    </row>
    <row r="36" spans="1:26" s="67" customFormat="1" ht="23.25" customHeight="1">
      <c r="B36" s="12" t="s">
        <v>381</v>
      </c>
      <c r="E36" s="72">
        <v>3</v>
      </c>
      <c r="F36" s="75">
        <f t="shared" si="9"/>
        <v>30</v>
      </c>
      <c r="G36" s="53"/>
      <c r="H36" s="89"/>
      <c r="I36" s="53"/>
      <c r="L36" s="89"/>
      <c r="M36" s="89"/>
      <c r="N36" s="89"/>
      <c r="O36" s="89"/>
      <c r="P36" s="89"/>
      <c r="Q36" s="65"/>
      <c r="R36" s="65"/>
      <c r="S36" s="65"/>
      <c r="T36" s="65"/>
      <c r="U36" s="65"/>
      <c r="V36" s="65"/>
      <c r="W36" s="65"/>
      <c r="X36" s="65"/>
      <c r="Y36" s="65"/>
      <c r="Z36" s="65"/>
    </row>
    <row r="37" spans="1:26" s="67" customFormat="1" ht="23.25" customHeight="1">
      <c r="B37" s="12" t="s">
        <v>386</v>
      </c>
      <c r="E37" s="72">
        <v>2</v>
      </c>
      <c r="F37" s="75">
        <f t="shared" si="9"/>
        <v>20</v>
      </c>
      <c r="G37" s="53"/>
      <c r="H37" s="89"/>
      <c r="I37" s="53"/>
      <c r="L37" s="89"/>
      <c r="M37" s="89"/>
      <c r="N37" s="89"/>
      <c r="O37" s="89"/>
      <c r="P37" s="89"/>
      <c r="Q37" s="65"/>
      <c r="R37" s="65"/>
      <c r="S37" s="65"/>
      <c r="T37" s="65"/>
      <c r="U37" s="65"/>
      <c r="V37" s="65"/>
      <c r="W37" s="65"/>
      <c r="X37" s="65"/>
      <c r="Y37" s="65"/>
      <c r="Z37" s="65"/>
    </row>
    <row r="38" spans="1:26" s="67" customFormat="1" ht="33" customHeight="1">
      <c r="B38" s="12" t="s">
        <v>389</v>
      </c>
      <c r="E38" s="72">
        <v>2</v>
      </c>
      <c r="F38" s="75">
        <f t="shared" si="9"/>
        <v>20</v>
      </c>
      <c r="G38" s="53"/>
      <c r="H38" s="89"/>
      <c r="I38" s="53"/>
      <c r="L38" s="89"/>
      <c r="M38" s="89"/>
      <c r="N38" s="89"/>
      <c r="O38" s="89"/>
      <c r="P38" s="89"/>
      <c r="Q38" s="65"/>
      <c r="R38" s="65"/>
      <c r="S38" s="65"/>
      <c r="T38" s="65"/>
      <c r="U38" s="65"/>
      <c r="V38" s="65"/>
      <c r="W38" s="65"/>
      <c r="X38" s="65"/>
      <c r="Y38" s="65"/>
      <c r="Z38" s="65"/>
    </row>
    <row r="39" spans="1:26" s="67" customFormat="1" ht="23.25" customHeight="1">
      <c r="B39" s="53"/>
      <c r="C39" s="53"/>
      <c r="D39" s="53"/>
      <c r="E39" s="53"/>
      <c r="F39" s="75"/>
      <c r="G39" s="53"/>
      <c r="H39" s="89"/>
      <c r="I39" s="53"/>
      <c r="L39" s="89"/>
      <c r="M39" s="89"/>
      <c r="N39" s="89"/>
      <c r="O39" s="89"/>
      <c r="P39" s="89"/>
      <c r="Q39" s="65"/>
      <c r="R39" s="65"/>
      <c r="S39" s="65"/>
      <c r="T39" s="65"/>
      <c r="U39" s="65"/>
      <c r="V39" s="65"/>
      <c r="W39" s="65"/>
      <c r="X39" s="65"/>
      <c r="Y39" s="65"/>
      <c r="Z39" s="65"/>
    </row>
    <row r="40" spans="1:26" ht="23.25" customHeight="1">
      <c r="A40" s="80" t="s">
        <v>409</v>
      </c>
      <c r="B40" s="80"/>
      <c r="C40" s="80"/>
      <c r="D40" s="81"/>
      <c r="E40" s="81"/>
      <c r="F40" s="94">
        <f>SUM((F26+H27+E28)/(60*8)+L16+I23)</f>
        <v>9.5010416666666657</v>
      </c>
      <c r="G40" s="81" t="s">
        <v>392</v>
      </c>
      <c r="H40" s="65"/>
      <c r="I40" s="53"/>
      <c r="J40" s="53"/>
    </row>
    <row r="41" spans="1:26" ht="44.25" customHeight="1">
      <c r="A41" s="80" t="s">
        <v>410</v>
      </c>
      <c r="B41" s="80"/>
      <c r="C41" s="80"/>
      <c r="D41" s="53"/>
      <c r="E41" s="53"/>
      <c r="F41" s="348" t="s">
        <v>411</v>
      </c>
      <c r="G41" s="348"/>
      <c r="H41" s="348"/>
      <c r="I41" s="348"/>
      <c r="J41" s="348"/>
    </row>
    <row r="42" spans="1:26" ht="23.25" customHeight="1">
      <c r="B42" s="53"/>
      <c r="C42" s="53"/>
      <c r="D42" s="53"/>
      <c r="E42" s="53"/>
      <c r="F42" s="53"/>
      <c r="G42" s="53"/>
      <c r="H42" s="53"/>
      <c r="I42" s="53"/>
      <c r="J42" s="53"/>
    </row>
    <row r="43" spans="1:26" ht="23.25" customHeight="1">
      <c r="B43" s="53"/>
      <c r="C43" s="53"/>
      <c r="D43" s="53"/>
      <c r="E43" s="53"/>
      <c r="F43" s="53"/>
      <c r="G43" s="53"/>
      <c r="H43" s="53"/>
      <c r="I43" s="53"/>
      <c r="J43" s="53"/>
    </row>
    <row r="44" spans="1:26" ht="23.25" customHeight="1">
      <c r="B44" s="53"/>
      <c r="C44" s="53"/>
      <c r="D44" s="53"/>
      <c r="E44" s="53"/>
      <c r="F44" s="53"/>
      <c r="G44" s="53"/>
      <c r="H44" s="53"/>
      <c r="I44" s="53"/>
      <c r="J44" s="53"/>
    </row>
    <row r="45" spans="1:26" ht="23.25" customHeight="1">
      <c r="B45" s="53"/>
      <c r="C45" s="53"/>
      <c r="D45" s="53"/>
      <c r="E45" s="53"/>
      <c r="F45" s="53"/>
      <c r="G45" s="53"/>
      <c r="H45" s="53"/>
      <c r="I45" s="53"/>
      <c r="J45" s="53"/>
    </row>
    <row r="46" spans="1:26" ht="23.25" customHeight="1">
      <c r="B46" s="53"/>
      <c r="C46" s="53"/>
      <c r="D46" s="53"/>
      <c r="E46" s="53"/>
      <c r="F46" s="53"/>
      <c r="G46" s="53"/>
      <c r="H46" s="53"/>
      <c r="I46" s="53"/>
      <c r="J46" s="53"/>
    </row>
    <row r="47" spans="1:26" ht="23.25" customHeight="1">
      <c r="B47" s="53"/>
      <c r="C47" s="53"/>
      <c r="D47" s="53"/>
      <c r="E47" s="53"/>
      <c r="F47" s="53"/>
      <c r="G47" s="53"/>
      <c r="H47" s="53"/>
      <c r="I47" s="53"/>
      <c r="J47" s="53"/>
    </row>
    <row r="48" spans="1:26" ht="23.25" customHeight="1">
      <c r="B48" s="53"/>
      <c r="C48" s="53"/>
      <c r="D48" s="53"/>
      <c r="E48" s="53"/>
      <c r="F48" s="53"/>
      <c r="G48" s="53"/>
      <c r="H48" s="53"/>
      <c r="I48" s="53"/>
      <c r="J48" s="53"/>
    </row>
    <row r="49" spans="1:26" ht="23.25" customHeight="1">
      <c r="B49" s="53"/>
      <c r="C49" s="53"/>
      <c r="D49" s="53"/>
      <c r="E49" s="53"/>
      <c r="F49" s="53"/>
      <c r="G49" s="53"/>
      <c r="H49" s="53"/>
      <c r="I49" s="53"/>
      <c r="J49" s="53"/>
    </row>
    <row r="50" spans="1:26" ht="23.25" customHeight="1">
      <c r="A50" s="4"/>
      <c r="B50" s="53"/>
      <c r="C50" s="53"/>
      <c r="D50" s="53"/>
      <c r="E50" s="53"/>
      <c r="F50" s="53"/>
      <c r="G50" s="53"/>
      <c r="H50" s="53"/>
      <c r="I50" s="53"/>
      <c r="J50" s="53"/>
    </row>
    <row r="51" spans="1:26" ht="23.25" customHeight="1">
      <c r="A51" s="4"/>
      <c r="B51" s="53"/>
      <c r="C51" s="53"/>
      <c r="D51" s="53"/>
      <c r="E51" s="53"/>
      <c r="F51" s="53"/>
      <c r="G51" s="53"/>
      <c r="H51" s="53"/>
      <c r="I51" s="53"/>
      <c r="J51" s="53"/>
    </row>
    <row r="52" spans="1:26" ht="23.25" customHeight="1">
      <c r="A52" s="4"/>
      <c r="B52" s="53"/>
      <c r="C52" s="53"/>
      <c r="D52" s="53"/>
      <c r="E52" s="53"/>
      <c r="F52" s="53"/>
      <c r="G52" s="53"/>
      <c r="H52" s="53"/>
      <c r="I52" s="53"/>
      <c r="J52" s="53"/>
    </row>
    <row r="53" spans="1:26">
      <c r="A53" s="4"/>
      <c r="D53" s="19"/>
      <c r="E53" s="10"/>
      <c r="K53" s="21"/>
      <c r="L53" s="21"/>
      <c r="M53" s="21"/>
      <c r="N53" s="21"/>
      <c r="P53" s="21"/>
      <c r="Q53" s="21"/>
      <c r="R53" s="21"/>
      <c r="S53" s="21"/>
      <c r="T53" s="21"/>
      <c r="U53" s="21"/>
      <c r="V53" s="21"/>
      <c r="W53" s="21"/>
      <c r="X53" s="21"/>
      <c r="Y53" s="21"/>
      <c r="Z53" s="21"/>
    </row>
    <row r="54" spans="1:26" ht="63.75" customHeight="1">
      <c r="A54" s="4"/>
      <c r="B54" s="349"/>
      <c r="C54" s="349"/>
      <c r="D54" s="349"/>
      <c r="E54" s="349"/>
      <c r="F54" s="349"/>
      <c r="G54" s="53"/>
      <c r="H54" s="53"/>
      <c r="I54" s="53"/>
      <c r="J54" s="53"/>
    </row>
    <row r="55" spans="1:26">
      <c r="A55" s="4"/>
      <c r="C55" s="75"/>
      <c r="D55" s="75"/>
      <c r="E55" s="73"/>
      <c r="F55" s="4"/>
      <c r="G55" s="4"/>
      <c r="H55" s="4"/>
      <c r="I55" s="4"/>
      <c r="J55" s="4"/>
      <c r="K55" s="4"/>
      <c r="L55" s="4"/>
      <c r="M55" s="4"/>
      <c r="N55" s="4"/>
      <c r="O55" s="4"/>
      <c r="P55" s="4"/>
      <c r="Q55" s="4"/>
      <c r="R55" s="4"/>
      <c r="S55" s="4"/>
      <c r="T55" s="4"/>
      <c r="U55" s="4"/>
      <c r="V55" s="4"/>
      <c r="W55" s="4"/>
      <c r="X55" s="4"/>
      <c r="Y55" s="4"/>
      <c r="Z55" s="4"/>
    </row>
    <row r="56" spans="1:26" ht="34.700000000000003" customHeight="1">
      <c r="A56" s="4"/>
      <c r="C56" s="75"/>
      <c r="D56" s="95">
        <v>1</v>
      </c>
      <c r="E56" s="73"/>
    </row>
    <row r="57" spans="1:26">
      <c r="A57" s="4"/>
      <c r="C57" s="75"/>
      <c r="D57" s="95">
        <v>2</v>
      </c>
      <c r="E57" s="73"/>
      <c r="F57" s="96"/>
      <c r="G57" s="96" t="s">
        <v>351</v>
      </c>
    </row>
    <row r="58" spans="1:26" ht="36" customHeight="1">
      <c r="A58" s="4"/>
      <c r="C58" s="75"/>
      <c r="D58" s="95">
        <v>3</v>
      </c>
      <c r="E58" s="73"/>
      <c r="F58" s="96"/>
      <c r="G58" s="96" t="s">
        <v>356</v>
      </c>
    </row>
    <row r="59" spans="1:26">
      <c r="A59" s="4"/>
      <c r="C59" s="75"/>
      <c r="D59" s="75"/>
      <c r="E59" s="73"/>
      <c r="F59" s="96"/>
      <c r="G59" s="96" t="s">
        <v>361</v>
      </c>
    </row>
    <row r="60" spans="1:26">
      <c r="A60" s="4"/>
      <c r="C60" s="75"/>
      <c r="D60" s="75"/>
      <c r="E60" s="73"/>
      <c r="F60" s="96"/>
      <c r="G60" s="96" t="s">
        <v>366</v>
      </c>
    </row>
    <row r="61" spans="1:26" ht="31.5">
      <c r="A61" s="4"/>
      <c r="C61" s="75"/>
      <c r="D61" s="75"/>
      <c r="E61" s="73"/>
      <c r="F61" s="96"/>
      <c r="G61" s="96" t="s">
        <v>376</v>
      </c>
    </row>
    <row r="62" spans="1:26">
      <c r="A62" s="4"/>
      <c r="C62" s="75"/>
      <c r="D62" s="75"/>
      <c r="E62" s="73"/>
      <c r="F62" s="96"/>
      <c r="G62" s="96" t="s">
        <v>371</v>
      </c>
    </row>
    <row r="63" spans="1:26">
      <c r="A63" s="4"/>
      <c r="C63" s="75"/>
      <c r="D63" s="75"/>
      <c r="E63" s="73"/>
      <c r="F63" s="96"/>
      <c r="G63" s="96" t="s">
        <v>381</v>
      </c>
    </row>
    <row r="64" spans="1:26">
      <c r="A64" s="4"/>
      <c r="C64" s="75"/>
      <c r="D64" s="75"/>
      <c r="E64" s="73"/>
      <c r="F64" s="96"/>
      <c r="G64" s="96" t="s">
        <v>386</v>
      </c>
    </row>
    <row r="65" spans="1:7" ht="47.25">
      <c r="A65" s="4"/>
      <c r="F65" s="96"/>
      <c r="G65" s="96" t="s">
        <v>389</v>
      </c>
    </row>
  </sheetData>
  <mergeCells count="15">
    <mergeCell ref="X3:Z3"/>
    <mergeCell ref="O15:S15"/>
    <mergeCell ref="O16:P16"/>
    <mergeCell ref="W16:X16"/>
    <mergeCell ref="O17:R17"/>
    <mergeCell ref="W17:Z17"/>
    <mergeCell ref="A27:G27"/>
    <mergeCell ref="F41:J41"/>
    <mergeCell ref="B54:F54"/>
    <mergeCell ref="W20:Z20"/>
    <mergeCell ref="W21:Z21"/>
    <mergeCell ref="O22:T22"/>
    <mergeCell ref="A23:G23"/>
    <mergeCell ref="O23:S23"/>
    <mergeCell ref="T23:X23"/>
  </mergeCells>
  <conditionalFormatting sqref="P40:Z907 K40:N907 M26:M39 P25:U25 K22:N25 T23 U22:U23 H16:K16 N16 K19:U21 L6:N14 K18:L18 H6:H15 S4:T5 M17:N17 Q16:S16 U16:W17 Y16:Z16 X18:Z18 T15:T17 Z19 K15:N15 V22:Z25 H18:H933">
    <cfRule type="cellIs" dxfId="19" priority="12" stopIfTrue="1" operator="equal">
      <formula>" "</formula>
    </cfRule>
  </conditionalFormatting>
  <conditionalFormatting sqref="P40:Z907 K40:N907 M26:M39 P25:U25 K22:N25 T23 V22:Y25 U22:U23 H16:K16 N16 K19:U21 L6:N14 K18:L18 H6:H15 S4:T5 M17:N17 Q16:S16 U16:W17 Y16:Z16 X18:Z18 T15:T17 Z19 K15:N15">
    <cfRule type="cellIs" dxfId="18" priority="11" stopIfTrue="1" operator="equal">
      <formula>" "</formula>
    </cfRule>
  </conditionalFormatting>
  <conditionalFormatting sqref="N6">
    <cfRule type="cellIs" dxfId="17" priority="10" stopIfTrue="1" operator="equal">
      <formula>" "</formula>
    </cfRule>
  </conditionalFormatting>
  <conditionalFormatting sqref="N7:N14">
    <cfRule type="cellIs" dxfId="16" priority="9" stopIfTrue="1" operator="equal">
      <formula>" "</formula>
    </cfRule>
  </conditionalFormatting>
  <conditionalFormatting sqref="P40:Z907 K40:N907 M26:M39 P25:U25 K22:N25 T23 V22:Y25 U22:U23 H16:K16 N16 L6:N14 K18:L18 H6:H15 S4:T5 M17:N17 Q16:S16 U16:W17 Y16:Z16 X18:Z18 T15:T17 Z19 K19:U21 K15:N15">
    <cfRule type="cellIs" dxfId="15" priority="8" stopIfTrue="1" operator="equal">
      <formula>" "</formula>
    </cfRule>
  </conditionalFormatting>
  <conditionalFormatting sqref="N6">
    <cfRule type="cellIs" dxfId="14" priority="7" stopIfTrue="1" operator="equal">
      <formula>" "</formula>
    </cfRule>
  </conditionalFormatting>
  <conditionalFormatting sqref="N7:N14">
    <cfRule type="cellIs" dxfId="13" priority="6" stopIfTrue="1" operator="equal">
      <formula>" "</formula>
    </cfRule>
  </conditionalFormatting>
  <conditionalFormatting sqref="X6:X14">
    <cfRule type="cellIs" dxfId="12" priority="5" stopIfTrue="1" operator="equal">
      <formula>" "</formula>
    </cfRule>
  </conditionalFormatting>
  <conditionalFormatting sqref="P40:Z907 K40:N907 M26:M39 P25:U25 K22:N25 T23 V22:Y25 U22:U23 H16:K16 N16 L6:N14 K18:L18 H6:H15 S4:T5 M17:N17 Q16:S16 U16:W17 Y16:Z16 X18:Z18 T15:T17 Z19 K19:U21 K15:N15">
    <cfRule type="cellIs" dxfId="11" priority="4" stopIfTrue="1" operator="equal">
      <formula>" "</formula>
    </cfRule>
  </conditionalFormatting>
  <conditionalFormatting sqref="N6">
    <cfRule type="cellIs" dxfId="10" priority="3" stopIfTrue="1" operator="equal">
      <formula>" "</formula>
    </cfRule>
  </conditionalFormatting>
  <conditionalFormatting sqref="N7:N14">
    <cfRule type="cellIs" dxfId="9" priority="2" stopIfTrue="1" operator="equal">
      <formula>" "</formula>
    </cfRule>
  </conditionalFormatting>
  <conditionalFormatting sqref="X6:X14">
    <cfRule type="cellIs" dxfId="8" priority="1" stopIfTrue="1" operator="equal">
      <formula>" "</formula>
    </cfRule>
  </conditionalFormatting>
  <dataValidations count="4">
    <dataValidation type="list" allowBlank="1" showInputMessage="1" showErrorMessage="1" sqref="F20 B30" xr:uid="{00000000-0002-0000-0600-000000000000}">
      <formula1>$G$24:$G$27</formula1>
    </dataValidation>
    <dataValidation type="list" allowBlank="1" showInputMessage="1" showErrorMessage="1" sqref="G20" xr:uid="{00000000-0002-0000-0600-000001000000}">
      <formula1>$D$52:$D$54</formula1>
    </dataValidation>
    <dataValidation type="list" allowBlank="1" showInputMessage="1" showErrorMessage="1" sqref="G21 G6:G14" xr:uid="{00000000-0002-0000-0600-000002000000}">
      <formula1>$D$56:$D$58</formula1>
    </dataValidation>
    <dataValidation type="list" allowBlank="1" showInputMessage="1" showErrorMessage="1" sqref="F21 F6:F14 B31:B38" xr:uid="{00000000-0002-0000-0600-000003000000}">
      <formula1>$G$57:$G$65</formula1>
    </dataValidation>
  </dataValidations>
  <pageMargins left="0.7" right="0.7" top="0.75" bottom="0.75" header="0.3" footer="0.3"/>
  <pageSetup orientation="landscape" horizontalDpi="300" verticalDpi="300" r:id="rId1"/>
  <headerFooter>
    <oddFooter>&amp;LBM.11.Qt.09.QLCL.03&amp;CLần ban hành:     /Ngày&amp;R&amp;P/&amp;N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40"/>
  <sheetViews>
    <sheetView topLeftCell="A28" zoomScale="85" zoomScaleNormal="85" workbookViewId="0">
      <selection activeCell="F26" sqref="F26"/>
    </sheetView>
  </sheetViews>
  <sheetFormatPr defaultColWidth="11.42578125" defaultRowHeight="12.75"/>
  <cols>
    <col min="1" max="1" width="6.42578125" style="106" customWidth="1"/>
    <col min="2" max="4" width="11.42578125" style="106" customWidth="1"/>
    <col min="5" max="5" width="14" style="106" customWidth="1"/>
    <col min="6" max="16384" width="11.42578125" style="106"/>
  </cols>
  <sheetData>
    <row r="2" spans="2:2" ht="20.25">
      <c r="B2" s="107" t="s">
        <v>412</v>
      </c>
    </row>
    <row r="3" spans="2:2" ht="20.25">
      <c r="B3" s="107"/>
    </row>
    <row r="4" spans="2:2" ht="18.75">
      <c r="B4" s="108" t="s">
        <v>413</v>
      </c>
    </row>
    <row r="5" spans="2:2">
      <c r="B5" s="109" t="s">
        <v>414</v>
      </c>
    </row>
    <row r="6" spans="2:2">
      <c r="B6" s="109" t="s">
        <v>415</v>
      </c>
    </row>
    <row r="7" spans="2:2">
      <c r="B7" s="109" t="s">
        <v>416</v>
      </c>
    </row>
    <row r="8" spans="2:2">
      <c r="B8" s="106" t="s">
        <v>417</v>
      </c>
    </row>
    <row r="10" spans="2:2" ht="18.75">
      <c r="B10" s="108" t="s">
        <v>418</v>
      </c>
    </row>
    <row r="11" spans="2:2">
      <c r="B11" s="106" t="s">
        <v>419</v>
      </c>
    </row>
    <row r="12" spans="2:2">
      <c r="B12" s="106" t="s">
        <v>420</v>
      </c>
    </row>
    <row r="13" spans="2:2">
      <c r="B13" s="106" t="s">
        <v>421</v>
      </c>
    </row>
    <row r="16" spans="2:2">
      <c r="B16" s="106" t="s">
        <v>422</v>
      </c>
    </row>
    <row r="17" spans="2:2">
      <c r="B17" s="106" t="s">
        <v>423</v>
      </c>
    </row>
    <row r="20" spans="2:2">
      <c r="B20" s="106" t="s">
        <v>424</v>
      </c>
    </row>
    <row r="21" spans="2:2">
      <c r="B21" s="106" t="s">
        <v>425</v>
      </c>
    </row>
    <row r="22" spans="2:2">
      <c r="B22" s="106" t="s">
        <v>426</v>
      </c>
    </row>
    <row r="25" spans="2:2">
      <c r="B25" s="106" t="s">
        <v>427</v>
      </c>
    </row>
    <row r="26" spans="2:2">
      <c r="B26" s="106" t="s">
        <v>428</v>
      </c>
    </row>
    <row r="27" spans="2:2">
      <c r="B27" s="106" t="s">
        <v>429</v>
      </c>
    </row>
    <row r="30" spans="2:2">
      <c r="B30" s="106" t="s">
        <v>430</v>
      </c>
    </row>
    <row r="31" spans="2:2">
      <c r="B31" s="106" t="s">
        <v>431</v>
      </c>
    </row>
    <row r="32" spans="2:2">
      <c r="B32" s="106" t="s">
        <v>432</v>
      </c>
    </row>
    <row r="33" spans="2:12">
      <c r="B33" s="106" t="s">
        <v>433</v>
      </c>
    </row>
    <row r="36" spans="2:12">
      <c r="B36" s="106" t="s">
        <v>434</v>
      </c>
    </row>
    <row r="37" spans="2:12">
      <c r="B37" s="106" t="s">
        <v>435</v>
      </c>
    </row>
    <row r="40" spans="2:12" ht="264.95" customHeight="1">
      <c r="B40" s="358" t="s">
        <v>436</v>
      </c>
      <c r="C40" s="358"/>
      <c r="D40" s="358"/>
      <c r="E40" s="358"/>
      <c r="F40" s="358"/>
      <c r="G40" s="358"/>
      <c r="H40" s="358"/>
      <c r="I40" s="358"/>
      <c r="J40" s="358"/>
      <c r="K40" s="358"/>
      <c r="L40" s="358"/>
    </row>
  </sheetData>
  <mergeCells count="1">
    <mergeCell ref="B40:L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J63"/>
  <sheetViews>
    <sheetView view="pageBreakPreview" topLeftCell="A19" zoomScale="85" zoomScaleNormal="70" zoomScaleSheetLayoutView="85" workbookViewId="0">
      <selection activeCell="D38" sqref="D38"/>
    </sheetView>
  </sheetViews>
  <sheetFormatPr defaultColWidth="11.42578125" defaultRowHeight="15"/>
  <cols>
    <col min="1" max="1" width="6.28515625" style="145" bestFit="1" customWidth="1"/>
    <col min="2" max="2" width="21.42578125" style="146" customWidth="1"/>
    <col min="3" max="3" width="56.28515625" style="147" customWidth="1"/>
    <col min="4" max="4" width="67" style="146" customWidth="1"/>
    <col min="5" max="5" width="18.85546875" style="146" bestFit="1" customWidth="1"/>
    <col min="6" max="16384" width="11.42578125" style="146"/>
  </cols>
  <sheetData>
    <row r="1" spans="1:4" s="204" customFormat="1" ht="45.75" customHeight="1">
      <c r="A1" s="321" t="s">
        <v>437</v>
      </c>
      <c r="B1" s="321"/>
      <c r="C1" s="321"/>
      <c r="D1" s="321"/>
    </row>
    <row r="3" spans="1:4" s="211" customFormat="1" ht="31.5">
      <c r="A3" s="212" t="s">
        <v>34</v>
      </c>
      <c r="B3" s="169" t="s">
        <v>69</v>
      </c>
      <c r="C3" s="169" t="s">
        <v>70</v>
      </c>
      <c r="D3" s="213" t="s">
        <v>72</v>
      </c>
    </row>
    <row r="4" spans="1:4" s="205" customFormat="1" ht="15.75">
      <c r="A4" s="180">
        <v>1</v>
      </c>
      <c r="B4" s="175" t="s">
        <v>438</v>
      </c>
      <c r="C4" s="170" t="s">
        <v>439</v>
      </c>
      <c r="D4" s="170" t="s">
        <v>440</v>
      </c>
    </row>
    <row r="5" spans="1:4" s="205" customFormat="1" ht="15.75">
      <c r="A5" s="180">
        <v>2</v>
      </c>
      <c r="B5" s="175" t="s">
        <v>236</v>
      </c>
      <c r="C5" s="170" t="s">
        <v>441</v>
      </c>
      <c r="D5" s="175" t="s">
        <v>442</v>
      </c>
    </row>
    <row r="6" spans="1:4" s="205" customFormat="1" ht="15.75">
      <c r="A6" s="180">
        <v>3</v>
      </c>
      <c r="B6" s="175" t="s">
        <v>443</v>
      </c>
      <c r="C6" s="170" t="s">
        <v>444</v>
      </c>
      <c r="D6" s="175" t="s">
        <v>445</v>
      </c>
    </row>
    <row r="7" spans="1:4" ht="15.75">
      <c r="A7" s="180">
        <v>4</v>
      </c>
      <c r="B7" s="175" t="s">
        <v>446</v>
      </c>
      <c r="C7" s="175" t="s">
        <v>447</v>
      </c>
      <c r="D7" s="170" t="s">
        <v>448</v>
      </c>
    </row>
    <row r="8" spans="1:4" ht="15.75">
      <c r="A8" s="180">
        <v>5</v>
      </c>
      <c r="B8" s="175" t="s">
        <v>449</v>
      </c>
      <c r="C8" s="170" t="s">
        <v>450</v>
      </c>
      <c r="D8" s="170" t="s">
        <v>451</v>
      </c>
    </row>
    <row r="9" spans="1:4" ht="15.75">
      <c r="A9" s="180">
        <v>6</v>
      </c>
      <c r="B9" s="175" t="s">
        <v>452</v>
      </c>
      <c r="C9" s="170" t="s">
        <v>453</v>
      </c>
      <c r="D9" s="175" t="s">
        <v>454</v>
      </c>
    </row>
    <row r="10" spans="1:4" ht="15.75">
      <c r="A10" s="180">
        <v>7</v>
      </c>
      <c r="B10" s="175" t="s">
        <v>455</v>
      </c>
      <c r="C10" s="170" t="s">
        <v>456</v>
      </c>
      <c r="D10" s="175" t="s">
        <v>457</v>
      </c>
    </row>
    <row r="11" spans="1:4" ht="15.75">
      <c r="A11" s="180">
        <v>8</v>
      </c>
      <c r="B11" s="175" t="s">
        <v>458</v>
      </c>
      <c r="C11" s="170" t="s">
        <v>459</v>
      </c>
      <c r="D11" s="170" t="s">
        <v>460</v>
      </c>
    </row>
    <row r="12" spans="1:4" ht="15.75">
      <c r="A12" s="180">
        <v>9</v>
      </c>
      <c r="B12" s="175" t="s">
        <v>461</v>
      </c>
      <c r="C12" s="170" t="s">
        <v>462</v>
      </c>
      <c r="D12" s="170" t="s">
        <v>463</v>
      </c>
    </row>
    <row r="13" spans="1:4" ht="15.75">
      <c r="A13" s="180">
        <v>10</v>
      </c>
      <c r="B13" s="175" t="s">
        <v>464</v>
      </c>
      <c r="C13" s="170" t="s">
        <v>465</v>
      </c>
      <c r="D13" s="170" t="s">
        <v>466</v>
      </c>
    </row>
    <row r="14" spans="1:4" ht="15.75">
      <c r="A14" s="180">
        <v>11</v>
      </c>
      <c r="B14" s="214" t="s">
        <v>467</v>
      </c>
      <c r="C14" s="170" t="s">
        <v>468</v>
      </c>
      <c r="D14" s="175" t="s">
        <v>469</v>
      </c>
    </row>
    <row r="15" spans="1:4" ht="15.75">
      <c r="A15" s="180">
        <v>12</v>
      </c>
      <c r="B15" s="214" t="s">
        <v>470</v>
      </c>
      <c r="C15" s="170" t="s">
        <v>471</v>
      </c>
      <c r="D15" s="175" t="s">
        <v>472</v>
      </c>
    </row>
    <row r="16" spans="1:4" ht="31.5">
      <c r="A16" s="180">
        <v>13</v>
      </c>
      <c r="B16" s="214" t="s">
        <v>473</v>
      </c>
      <c r="C16" s="170" t="s">
        <v>474</v>
      </c>
      <c r="D16" s="175" t="s">
        <v>475</v>
      </c>
    </row>
    <row r="17" spans="1:10" ht="31.5">
      <c r="A17" s="180">
        <v>14</v>
      </c>
      <c r="B17" s="214" t="s">
        <v>476</v>
      </c>
      <c r="C17" s="215" t="s">
        <v>477</v>
      </c>
      <c r="D17" s="215" t="s">
        <v>478</v>
      </c>
    </row>
    <row r="18" spans="1:10" ht="31.5">
      <c r="A18" s="180">
        <v>15</v>
      </c>
      <c r="B18" s="214" t="s">
        <v>479</v>
      </c>
      <c r="C18" s="215" t="s">
        <v>480</v>
      </c>
      <c r="D18" s="215" t="s">
        <v>481</v>
      </c>
    </row>
    <row r="19" spans="1:10" ht="47.25">
      <c r="A19" s="180">
        <v>16</v>
      </c>
      <c r="B19" s="214" t="s">
        <v>482</v>
      </c>
      <c r="C19" s="215" t="s">
        <v>483</v>
      </c>
      <c r="D19" s="215" t="s">
        <v>484</v>
      </c>
    </row>
    <row r="20" spans="1:10" ht="15.75">
      <c r="A20" s="180">
        <v>17</v>
      </c>
      <c r="B20" s="214" t="s">
        <v>485</v>
      </c>
      <c r="C20" s="215" t="s">
        <v>486</v>
      </c>
      <c r="D20" s="214" t="s">
        <v>487</v>
      </c>
    </row>
    <row r="21" spans="1:10" ht="15.75">
      <c r="A21" s="180">
        <v>18</v>
      </c>
      <c r="B21" s="214" t="s">
        <v>488</v>
      </c>
      <c r="C21" s="215" t="s">
        <v>489</v>
      </c>
      <c r="D21" s="214" t="s">
        <v>490</v>
      </c>
    </row>
    <row r="22" spans="1:10" ht="15.75">
      <c r="A22" s="180">
        <v>19</v>
      </c>
      <c r="B22" s="214" t="s">
        <v>491</v>
      </c>
      <c r="C22" s="215" t="s">
        <v>492</v>
      </c>
      <c r="D22" s="214" t="s">
        <v>493</v>
      </c>
    </row>
    <row r="23" spans="1:10" s="207" customFormat="1" ht="31.5">
      <c r="A23" s="180">
        <v>20</v>
      </c>
      <c r="B23" s="170" t="s">
        <v>494</v>
      </c>
      <c r="C23" s="170" t="s">
        <v>495</v>
      </c>
      <c r="D23" s="181" t="s">
        <v>496</v>
      </c>
      <c r="F23" s="208"/>
      <c r="G23" s="208"/>
      <c r="H23" s="208"/>
      <c r="I23" s="208"/>
      <c r="J23" s="208"/>
    </row>
    <row r="24" spans="1:10" s="209" customFormat="1" ht="47.25">
      <c r="A24" s="180">
        <v>21</v>
      </c>
      <c r="B24" s="170" t="s">
        <v>497</v>
      </c>
      <c r="C24" s="170" t="s">
        <v>498</v>
      </c>
      <c r="D24" s="181" t="s">
        <v>499</v>
      </c>
      <c r="F24" s="210"/>
      <c r="G24" s="210"/>
      <c r="H24" s="210"/>
      <c r="I24" s="210"/>
      <c r="J24" s="210"/>
    </row>
    <row r="25" spans="1:10" s="209" customFormat="1" ht="31.5">
      <c r="A25" s="180">
        <v>22</v>
      </c>
      <c r="B25" s="170" t="s">
        <v>500</v>
      </c>
      <c r="C25" s="170" t="s">
        <v>501</v>
      </c>
      <c r="D25" s="181" t="s">
        <v>502</v>
      </c>
      <c r="F25" s="210"/>
      <c r="G25" s="210"/>
      <c r="H25" s="210"/>
      <c r="I25" s="210"/>
      <c r="J25" s="210"/>
    </row>
    <row r="26" spans="1:10" s="209" customFormat="1" ht="47.25">
      <c r="A26" s="180">
        <v>23</v>
      </c>
      <c r="B26" s="170" t="s">
        <v>242</v>
      </c>
      <c r="C26" s="170" t="s">
        <v>503</v>
      </c>
      <c r="D26" s="181" t="s">
        <v>504</v>
      </c>
      <c r="F26" s="210"/>
      <c r="G26" s="210"/>
      <c r="H26" s="210"/>
      <c r="I26" s="210"/>
      <c r="J26" s="210"/>
    </row>
    <row r="27" spans="1:10" s="209" customFormat="1" ht="47.25">
      <c r="A27" s="180">
        <v>24</v>
      </c>
      <c r="B27" s="170" t="s">
        <v>505</v>
      </c>
      <c r="C27" s="170" t="s">
        <v>506</v>
      </c>
      <c r="D27" s="181" t="s">
        <v>507</v>
      </c>
      <c r="F27" s="210"/>
      <c r="G27" s="210"/>
      <c r="H27" s="210"/>
      <c r="I27" s="210"/>
      <c r="J27" s="210"/>
    </row>
    <row r="28" spans="1:10" s="209" customFormat="1" ht="31.5">
      <c r="A28" s="180">
        <v>25</v>
      </c>
      <c r="B28" s="170" t="s">
        <v>244</v>
      </c>
      <c r="C28" s="170" t="s">
        <v>508</v>
      </c>
      <c r="D28" s="181" t="s">
        <v>509</v>
      </c>
      <c r="F28" s="210"/>
      <c r="G28" s="210"/>
      <c r="H28" s="210"/>
      <c r="I28" s="210"/>
      <c r="J28" s="210"/>
    </row>
    <row r="29" spans="1:10" customFormat="1" ht="31.5">
      <c r="A29" s="180">
        <v>26</v>
      </c>
      <c r="B29" s="216" t="s">
        <v>510</v>
      </c>
      <c r="C29" s="173" t="s">
        <v>511</v>
      </c>
      <c r="D29" s="217" t="s">
        <v>511</v>
      </c>
      <c r="F29" s="206"/>
      <c r="G29" s="206"/>
      <c r="H29" s="206"/>
      <c r="I29" s="206"/>
      <c r="J29" s="206"/>
    </row>
    <row r="30" spans="1:10" customFormat="1" ht="31.5">
      <c r="A30" s="180">
        <v>27</v>
      </c>
      <c r="B30" s="216" t="s">
        <v>274</v>
      </c>
      <c r="C30" s="173" t="s">
        <v>512</v>
      </c>
      <c r="D30" s="217" t="s">
        <v>512</v>
      </c>
      <c r="F30" s="206"/>
      <c r="G30" s="206"/>
      <c r="H30" s="206"/>
      <c r="I30" s="206"/>
      <c r="J30" s="206"/>
    </row>
    <row r="31" spans="1:10" customFormat="1" ht="31.5">
      <c r="A31" s="180">
        <v>28</v>
      </c>
      <c r="B31" s="216" t="s">
        <v>513</v>
      </c>
      <c r="C31" s="173" t="s">
        <v>514</v>
      </c>
      <c r="D31" s="217" t="s">
        <v>514</v>
      </c>
      <c r="F31" s="206"/>
      <c r="G31" s="206"/>
      <c r="H31" s="206"/>
      <c r="I31" s="206"/>
      <c r="J31" s="206"/>
    </row>
    <row r="32" spans="1:10" ht="15.75">
      <c r="A32" s="180">
        <v>29</v>
      </c>
      <c r="B32" s="214" t="s">
        <v>515</v>
      </c>
      <c r="C32" s="215" t="s">
        <v>516</v>
      </c>
      <c r="D32" s="215" t="s">
        <v>516</v>
      </c>
    </row>
    <row r="33" spans="1:10" ht="15.75">
      <c r="A33" s="180">
        <v>30</v>
      </c>
      <c r="B33" s="214" t="s">
        <v>517</v>
      </c>
      <c r="C33" s="215" t="s">
        <v>518</v>
      </c>
      <c r="D33" s="215" t="s">
        <v>518</v>
      </c>
    </row>
    <row r="34" spans="1:10" ht="15.75">
      <c r="A34" s="180">
        <v>31</v>
      </c>
      <c r="B34" s="214" t="s">
        <v>519</v>
      </c>
      <c r="C34" s="215" t="s">
        <v>520</v>
      </c>
      <c r="D34" s="170" t="s">
        <v>521</v>
      </c>
    </row>
    <row r="35" spans="1:10" ht="15.75">
      <c r="A35" s="180">
        <v>32</v>
      </c>
      <c r="B35" s="214" t="s">
        <v>522</v>
      </c>
      <c r="C35" s="215" t="s">
        <v>523</v>
      </c>
      <c r="D35" s="175" t="s">
        <v>524</v>
      </c>
    </row>
    <row r="36" spans="1:10" ht="15.75">
      <c r="A36" s="180">
        <v>33</v>
      </c>
      <c r="B36" s="214" t="s">
        <v>525</v>
      </c>
      <c r="C36" s="215" t="s">
        <v>526</v>
      </c>
      <c r="D36" s="175" t="s">
        <v>527</v>
      </c>
    </row>
    <row r="37" spans="1:10" customFormat="1" ht="15.75">
      <c r="A37" s="180">
        <v>34</v>
      </c>
      <c r="B37" s="214" t="s">
        <v>528</v>
      </c>
      <c r="C37" s="214" t="s">
        <v>529</v>
      </c>
      <c r="D37" s="214" t="s">
        <v>530</v>
      </c>
      <c r="F37" s="206"/>
      <c r="G37" s="206"/>
      <c r="H37" s="206"/>
      <c r="I37" s="206"/>
      <c r="J37" s="206"/>
    </row>
    <row r="38" spans="1:10" ht="15.75">
      <c r="A38" s="180">
        <v>35</v>
      </c>
      <c r="B38" s="214" t="s">
        <v>246</v>
      </c>
      <c r="C38" s="214" t="s">
        <v>531</v>
      </c>
      <c r="D38" s="214" t="s">
        <v>532</v>
      </c>
    </row>
    <row r="39" spans="1:10" ht="15.75">
      <c r="A39" s="180">
        <v>36</v>
      </c>
      <c r="B39" s="214" t="s">
        <v>533</v>
      </c>
      <c r="C39" s="214" t="s">
        <v>534</v>
      </c>
      <c r="D39" s="214" t="s">
        <v>535</v>
      </c>
    </row>
    <row r="40" spans="1:10" ht="15.75">
      <c r="A40" s="180">
        <v>37</v>
      </c>
      <c r="B40" s="175" t="s">
        <v>536</v>
      </c>
      <c r="C40" s="173" t="s">
        <v>537</v>
      </c>
      <c r="D40" s="175" t="s">
        <v>538</v>
      </c>
    </row>
    <row r="41" spans="1:10" ht="15.75">
      <c r="A41" s="180">
        <v>38</v>
      </c>
      <c r="B41" s="175" t="s">
        <v>539</v>
      </c>
      <c r="C41" s="173" t="s">
        <v>540</v>
      </c>
      <c r="D41" s="175" t="s">
        <v>541</v>
      </c>
    </row>
    <row r="42" spans="1:10" ht="15.75">
      <c r="A42" s="180">
        <v>39</v>
      </c>
      <c r="B42" s="175" t="s">
        <v>542</v>
      </c>
      <c r="C42" s="173" t="s">
        <v>540</v>
      </c>
      <c r="D42" s="175" t="s">
        <v>543</v>
      </c>
    </row>
    <row r="43" spans="1:10" ht="15.75">
      <c r="A43" s="180">
        <v>40</v>
      </c>
      <c r="B43" s="190" t="s">
        <v>544</v>
      </c>
      <c r="C43" s="175" t="s">
        <v>540</v>
      </c>
      <c r="D43" s="70" t="s">
        <v>545</v>
      </c>
    </row>
    <row r="44" spans="1:10" ht="15.75">
      <c r="A44" s="180">
        <v>41</v>
      </c>
      <c r="B44" s="190" t="s">
        <v>546</v>
      </c>
      <c r="C44" s="175" t="s">
        <v>547</v>
      </c>
      <c r="D44" s="70" t="s">
        <v>541</v>
      </c>
    </row>
    <row r="45" spans="1:10" ht="15.75">
      <c r="A45" s="180">
        <v>42</v>
      </c>
      <c r="B45" s="190" t="s">
        <v>548</v>
      </c>
      <c r="C45" s="175" t="s">
        <v>547</v>
      </c>
      <c r="D45" s="70" t="s">
        <v>543</v>
      </c>
    </row>
    <row r="46" spans="1:10" ht="15.75">
      <c r="A46" s="180">
        <v>43</v>
      </c>
      <c r="B46" s="190" t="s">
        <v>549</v>
      </c>
      <c r="C46" s="175" t="s">
        <v>547</v>
      </c>
      <c r="D46" s="70" t="s">
        <v>545</v>
      </c>
    </row>
    <row r="47" spans="1:10" ht="15.75">
      <c r="A47" s="180">
        <v>44</v>
      </c>
      <c r="B47" s="190" t="s">
        <v>550</v>
      </c>
      <c r="C47" s="175" t="s">
        <v>551</v>
      </c>
      <c r="D47" s="70"/>
    </row>
    <row r="48" spans="1:10" ht="15.75">
      <c r="A48" s="180">
        <v>45</v>
      </c>
      <c r="B48" s="190" t="s">
        <v>552</v>
      </c>
      <c r="C48" s="175" t="s">
        <v>553</v>
      </c>
      <c r="D48" s="70" t="s">
        <v>554</v>
      </c>
    </row>
    <row r="49" spans="1:4" ht="15.75">
      <c r="A49" s="180">
        <v>46</v>
      </c>
      <c r="B49" s="190" t="s">
        <v>555</v>
      </c>
      <c r="C49" s="175" t="s">
        <v>556</v>
      </c>
      <c r="D49" s="70" t="s">
        <v>557</v>
      </c>
    </row>
    <row r="50" spans="1:4" ht="15.75">
      <c r="A50" s="180">
        <v>47</v>
      </c>
      <c r="B50" s="190" t="s">
        <v>558</v>
      </c>
      <c r="C50" s="175" t="s">
        <v>559</v>
      </c>
      <c r="D50" s="70" t="s">
        <v>560</v>
      </c>
    </row>
    <row r="51" spans="1:4" ht="15.75">
      <c r="A51" s="180">
        <v>48</v>
      </c>
      <c r="B51" s="190" t="s">
        <v>561</v>
      </c>
      <c r="C51" s="175" t="s">
        <v>562</v>
      </c>
      <c r="D51" s="70" t="s">
        <v>554</v>
      </c>
    </row>
    <row r="52" spans="1:4" ht="15.75">
      <c r="A52" s="180">
        <v>49</v>
      </c>
      <c r="B52" s="190" t="s">
        <v>563</v>
      </c>
      <c r="C52" s="170" t="s">
        <v>564</v>
      </c>
      <c r="D52" s="70" t="s">
        <v>557</v>
      </c>
    </row>
    <row r="53" spans="1:4" ht="15.75">
      <c r="A53" s="180">
        <v>50</v>
      </c>
      <c r="B53" s="190" t="s">
        <v>565</v>
      </c>
      <c r="C53" s="170" t="s">
        <v>566</v>
      </c>
      <c r="D53" s="70" t="s">
        <v>560</v>
      </c>
    </row>
    <row r="54" spans="1:4" ht="15.75">
      <c r="A54" s="180">
        <v>51</v>
      </c>
      <c r="B54" s="190" t="s">
        <v>567</v>
      </c>
      <c r="C54" s="170" t="s">
        <v>568</v>
      </c>
      <c r="D54" s="70" t="s">
        <v>569</v>
      </c>
    </row>
    <row r="55" spans="1:4" ht="15.75">
      <c r="A55" s="180">
        <v>52</v>
      </c>
      <c r="B55" s="70" t="s">
        <v>570</v>
      </c>
      <c r="C55" s="70" t="s">
        <v>571</v>
      </c>
      <c r="D55" s="70" t="s">
        <v>572</v>
      </c>
    </row>
    <row r="56" spans="1:4" ht="15.75">
      <c r="A56" s="180">
        <v>53</v>
      </c>
      <c r="B56" s="70" t="s">
        <v>573</v>
      </c>
      <c r="C56" s="70" t="s">
        <v>574</v>
      </c>
      <c r="D56" s="70" t="s">
        <v>575</v>
      </c>
    </row>
    <row r="57" spans="1:4" ht="15.75">
      <c r="A57" s="180">
        <v>54</v>
      </c>
      <c r="B57" s="70" t="s">
        <v>297</v>
      </c>
      <c r="C57" s="70" t="s">
        <v>576</v>
      </c>
      <c r="D57" s="70"/>
    </row>
    <row r="58" spans="1:4" ht="15.75">
      <c r="A58" s="180">
        <v>55</v>
      </c>
      <c r="B58" s="218" t="s">
        <v>577</v>
      </c>
      <c r="C58" s="218" t="s">
        <v>578</v>
      </c>
      <c r="D58" s="218" t="s">
        <v>579</v>
      </c>
    </row>
    <row r="59" spans="1:4" ht="15.75">
      <c r="A59" s="180">
        <v>56</v>
      </c>
      <c r="B59" s="218" t="s">
        <v>580</v>
      </c>
      <c r="C59" s="218" t="s">
        <v>581</v>
      </c>
      <c r="D59" s="218" t="s">
        <v>582</v>
      </c>
    </row>
    <row r="60" spans="1:4" ht="15.75">
      <c r="A60" s="180">
        <v>57</v>
      </c>
      <c r="B60" s="218" t="s">
        <v>583</v>
      </c>
      <c r="C60" s="218" t="s">
        <v>584</v>
      </c>
      <c r="D60" s="218" t="s">
        <v>585</v>
      </c>
    </row>
    <row r="61" spans="1:4" ht="15.75">
      <c r="A61" s="180">
        <v>58</v>
      </c>
      <c r="B61" s="218" t="s">
        <v>586</v>
      </c>
      <c r="C61" s="218" t="s">
        <v>587</v>
      </c>
      <c r="D61" s="218" t="s">
        <v>588</v>
      </c>
    </row>
    <row r="62" spans="1:4" ht="15.75">
      <c r="A62" s="180">
        <v>59</v>
      </c>
      <c r="B62" s="218" t="s">
        <v>589</v>
      </c>
      <c r="C62" s="218" t="s">
        <v>590</v>
      </c>
      <c r="D62" s="218" t="s">
        <v>591</v>
      </c>
    </row>
    <row r="63" spans="1:4" ht="15.75">
      <c r="A63" s="180">
        <v>60</v>
      </c>
      <c r="B63" s="218" t="s">
        <v>592</v>
      </c>
      <c r="C63" s="218" t="s">
        <v>593</v>
      </c>
      <c r="D63" s="218" t="s">
        <v>594</v>
      </c>
    </row>
  </sheetData>
  <mergeCells count="1">
    <mergeCell ref="A1:D1"/>
  </mergeCells>
  <conditionalFormatting sqref="B19">
    <cfRule type="duplicateValues" dxfId="7" priority="3"/>
  </conditionalFormatting>
  <conditionalFormatting sqref="B25">
    <cfRule type="duplicateValues" dxfId="6" priority="2"/>
  </conditionalFormatting>
  <conditionalFormatting sqref="B4:B18 B20:B24 B26 B28:B31">
    <cfRule type="expression" dxfId="5" priority="6" stopIfTrue="1">
      <formula>AND(COUNTIF($B$4:$B$18, B4)+COUNTIF($B$20:$B$24, B4)+COUNTIF($B$26:$B$26, B4)+COUNTIF($B$28:$B$31, B4)&gt;1,NOT(ISBLANK(B4)))</formula>
    </cfRule>
  </conditionalFormatting>
  <conditionalFormatting sqref="B27">
    <cfRule type="duplicateValues" dxfId="4" priority="1"/>
  </conditionalFormatting>
  <pageMargins left="0.7" right="0.7" top="0.75" bottom="0.75" header="0.3" footer="0.3"/>
  <pageSetup paperSize="9" scale="35" orientation="portrait" r:id="rId1"/>
  <colBreaks count="1" manualBreakCount="1">
    <brk id="4"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D64"/>
  <sheetViews>
    <sheetView view="pageBreakPreview" topLeftCell="A46" zoomScale="85" zoomScaleNormal="100" zoomScaleSheetLayoutView="85" workbookViewId="0">
      <selection activeCell="B36" sqref="B36"/>
    </sheetView>
  </sheetViews>
  <sheetFormatPr defaultColWidth="11.42578125" defaultRowHeight="15"/>
  <cols>
    <col min="1" max="1" width="5" style="219" customWidth="1"/>
    <col min="2" max="2" width="49.42578125" style="221" customWidth="1"/>
    <col min="3" max="3" width="9" style="147" customWidth="1"/>
    <col min="4" max="4" width="70.7109375" style="147" customWidth="1"/>
    <col min="5" max="16384" width="11.42578125" style="147"/>
  </cols>
  <sheetData>
    <row r="1" spans="1:4" s="204" customFormat="1" ht="45.75" customHeight="1">
      <c r="A1" s="321" t="s">
        <v>595</v>
      </c>
      <c r="B1" s="321"/>
      <c r="C1" s="321"/>
      <c r="D1" s="321"/>
    </row>
    <row r="3" spans="1:4" s="220" customFormat="1">
      <c r="A3" s="288" t="s">
        <v>34</v>
      </c>
      <c r="B3" s="288" t="s">
        <v>596</v>
      </c>
      <c r="C3" s="288" t="s">
        <v>597</v>
      </c>
      <c r="D3" s="288" t="s">
        <v>598</v>
      </c>
    </row>
    <row r="4" spans="1:4">
      <c r="A4" s="289" t="s">
        <v>329</v>
      </c>
      <c r="B4" s="290" t="s">
        <v>599</v>
      </c>
      <c r="C4" s="290"/>
      <c r="D4" s="290"/>
    </row>
    <row r="5" spans="1:4">
      <c r="A5" s="291">
        <v>1</v>
      </c>
      <c r="B5" s="292" t="s">
        <v>600</v>
      </c>
      <c r="C5" s="292" t="s">
        <v>601</v>
      </c>
      <c r="D5" s="292" t="s">
        <v>602</v>
      </c>
    </row>
    <row r="6" spans="1:4">
      <c r="A6" s="289" t="s">
        <v>603</v>
      </c>
      <c r="B6" s="290" t="s">
        <v>604</v>
      </c>
      <c r="C6" s="290"/>
      <c r="D6" s="290"/>
    </row>
    <row r="7" spans="1:4">
      <c r="A7" s="291">
        <v>1</v>
      </c>
      <c r="B7" s="290" t="s">
        <v>605</v>
      </c>
      <c r="C7" s="290"/>
      <c r="D7" s="290"/>
    </row>
    <row r="8" spans="1:4">
      <c r="A8" s="293">
        <v>1.1000000000000001</v>
      </c>
      <c r="B8" s="292" t="s">
        <v>606</v>
      </c>
      <c r="C8" s="292" t="s">
        <v>607</v>
      </c>
      <c r="D8" s="292" t="s">
        <v>608</v>
      </c>
    </row>
    <row r="9" spans="1:4">
      <c r="A9" s="293">
        <v>1.2</v>
      </c>
      <c r="B9" s="292" t="s">
        <v>609</v>
      </c>
      <c r="C9" s="292" t="s">
        <v>610</v>
      </c>
      <c r="D9" s="292" t="s">
        <v>611</v>
      </c>
    </row>
    <row r="10" spans="1:4">
      <c r="A10" s="293">
        <v>1.3</v>
      </c>
      <c r="B10" s="292" t="s">
        <v>612</v>
      </c>
      <c r="C10" s="292" t="s">
        <v>607</v>
      </c>
      <c r="D10" s="292" t="s">
        <v>613</v>
      </c>
    </row>
    <row r="11" spans="1:4">
      <c r="A11" s="293">
        <v>1.4</v>
      </c>
      <c r="B11" s="292" t="s">
        <v>614</v>
      </c>
      <c r="C11" s="292" t="s">
        <v>615</v>
      </c>
      <c r="D11" s="292" t="s">
        <v>613</v>
      </c>
    </row>
    <row r="12" spans="1:4">
      <c r="A12" s="294">
        <v>2</v>
      </c>
      <c r="B12" s="290" t="s">
        <v>616</v>
      </c>
      <c r="C12" s="290"/>
      <c r="D12" s="290"/>
    </row>
    <row r="13" spans="1:4">
      <c r="A13" s="293">
        <v>2.1</v>
      </c>
      <c r="B13" s="292" t="s">
        <v>617</v>
      </c>
      <c r="C13" s="292" t="s">
        <v>610</v>
      </c>
      <c r="D13" s="292" t="s">
        <v>618</v>
      </c>
    </row>
    <row r="14" spans="1:4">
      <c r="A14" s="293">
        <v>2.2000000000000002</v>
      </c>
      <c r="B14" s="292" t="s">
        <v>619</v>
      </c>
      <c r="C14" s="292" t="s">
        <v>620</v>
      </c>
      <c r="D14" s="292" t="s">
        <v>621</v>
      </c>
    </row>
    <row r="15" spans="1:4">
      <c r="A15" s="293">
        <v>2.2999999999999998</v>
      </c>
      <c r="B15" s="292" t="s">
        <v>622</v>
      </c>
      <c r="C15" s="292" t="s">
        <v>607</v>
      </c>
      <c r="D15" s="292" t="s">
        <v>623</v>
      </c>
    </row>
    <row r="16" spans="1:4">
      <c r="A16" s="293">
        <v>2.4</v>
      </c>
      <c r="B16" s="292" t="s">
        <v>624</v>
      </c>
      <c r="C16" s="292" t="s">
        <v>615</v>
      </c>
      <c r="D16" s="290"/>
    </row>
    <row r="17" spans="1:4">
      <c r="A17" s="294">
        <v>3</v>
      </c>
      <c r="B17" s="290" t="s">
        <v>625</v>
      </c>
      <c r="C17" s="290"/>
      <c r="D17" s="290"/>
    </row>
    <row r="18" spans="1:4">
      <c r="A18" s="293">
        <v>3.1</v>
      </c>
      <c r="B18" s="292" t="s">
        <v>625</v>
      </c>
      <c r="C18" s="292" t="s">
        <v>620</v>
      </c>
      <c r="D18" s="292" t="s">
        <v>626</v>
      </c>
    </row>
    <row r="19" spans="1:4">
      <c r="A19" s="294">
        <v>4</v>
      </c>
      <c r="B19" s="290" t="s">
        <v>627</v>
      </c>
      <c r="C19" s="290"/>
      <c r="D19" s="290"/>
    </row>
    <row r="20" spans="1:4">
      <c r="A20" s="293">
        <v>4.0999999999999996</v>
      </c>
      <c r="B20" s="292" t="s">
        <v>628</v>
      </c>
      <c r="C20" s="292" t="s">
        <v>607</v>
      </c>
      <c r="D20" s="292" t="s">
        <v>629</v>
      </c>
    </row>
    <row r="21" spans="1:4">
      <c r="A21" s="293">
        <v>4.2</v>
      </c>
      <c r="B21" s="292" t="s">
        <v>630</v>
      </c>
      <c r="C21" s="292" t="s">
        <v>631</v>
      </c>
      <c r="D21" s="292" t="s">
        <v>632</v>
      </c>
    </row>
    <row r="22" spans="1:4">
      <c r="A22" s="293">
        <v>4.3</v>
      </c>
      <c r="B22" s="292" t="s">
        <v>633</v>
      </c>
      <c r="C22" s="292" t="s">
        <v>615</v>
      </c>
      <c r="D22" s="292" t="s">
        <v>629</v>
      </c>
    </row>
    <row r="23" spans="1:4">
      <c r="A23" s="294">
        <v>5</v>
      </c>
      <c r="B23" s="290" t="s">
        <v>634</v>
      </c>
      <c r="C23" s="290"/>
      <c r="D23" s="290"/>
    </row>
    <row r="24" spans="1:4">
      <c r="A24" s="293">
        <v>5.0999999999999996</v>
      </c>
      <c r="B24" s="292" t="s">
        <v>483</v>
      </c>
      <c r="C24" s="292" t="s">
        <v>607</v>
      </c>
      <c r="D24" s="292" t="s">
        <v>635</v>
      </c>
    </row>
    <row r="25" spans="1:4">
      <c r="A25" s="293">
        <v>5.2</v>
      </c>
      <c r="B25" s="292" t="s">
        <v>486</v>
      </c>
      <c r="C25" s="292" t="s">
        <v>607</v>
      </c>
      <c r="D25" s="292" t="s">
        <v>636</v>
      </c>
    </row>
    <row r="26" spans="1:4">
      <c r="A26" s="293">
        <v>5.3</v>
      </c>
      <c r="B26" s="292" t="s">
        <v>489</v>
      </c>
      <c r="C26" s="292" t="s">
        <v>620</v>
      </c>
      <c r="D26" s="292" t="s">
        <v>637</v>
      </c>
    </row>
    <row r="27" spans="1:4">
      <c r="A27" s="293">
        <v>5.4</v>
      </c>
      <c r="B27" s="292" t="s">
        <v>492</v>
      </c>
      <c r="C27" s="292" t="s">
        <v>607</v>
      </c>
      <c r="D27" s="292" t="s">
        <v>638</v>
      </c>
    </row>
    <row r="28" spans="1:4" s="222" customFormat="1">
      <c r="A28" s="293">
        <v>5.5</v>
      </c>
      <c r="B28" s="292" t="s">
        <v>639</v>
      </c>
      <c r="C28" s="292" t="s">
        <v>631</v>
      </c>
      <c r="D28" s="292" t="s">
        <v>640</v>
      </c>
    </row>
    <row r="29" spans="1:4" s="222" customFormat="1">
      <c r="A29" s="293">
        <v>5.6</v>
      </c>
      <c r="B29" s="292" t="s">
        <v>495</v>
      </c>
      <c r="C29" s="292" t="s">
        <v>607</v>
      </c>
      <c r="D29" s="292" t="s">
        <v>641</v>
      </c>
    </row>
    <row r="30" spans="1:4" s="222" customFormat="1">
      <c r="A30" s="294">
        <v>6</v>
      </c>
      <c r="B30" s="290" t="s">
        <v>642</v>
      </c>
      <c r="C30" s="290"/>
      <c r="D30" s="290"/>
    </row>
    <row r="31" spans="1:4" s="222" customFormat="1">
      <c r="A31" s="293">
        <v>6.1</v>
      </c>
      <c r="B31" s="292" t="s">
        <v>643</v>
      </c>
      <c r="C31" s="292" t="s">
        <v>607</v>
      </c>
      <c r="D31" s="292" t="s">
        <v>644</v>
      </c>
    </row>
    <row r="32" spans="1:4" s="222" customFormat="1">
      <c r="A32" s="293">
        <v>6.2</v>
      </c>
      <c r="B32" s="292" t="s">
        <v>645</v>
      </c>
      <c r="C32" s="292" t="s">
        <v>615</v>
      </c>
      <c r="D32" s="292" t="s">
        <v>646</v>
      </c>
    </row>
    <row r="33" spans="1:4" s="222" customFormat="1">
      <c r="A33" s="294">
        <v>7</v>
      </c>
      <c r="B33" s="290" t="s">
        <v>647</v>
      </c>
      <c r="C33" s="290"/>
      <c r="D33" s="290"/>
    </row>
    <row r="34" spans="1:4" s="222" customFormat="1" ht="30">
      <c r="A34" s="293">
        <v>7.1</v>
      </c>
      <c r="B34" s="292" t="s">
        <v>648</v>
      </c>
      <c r="C34" s="292" t="s">
        <v>610</v>
      </c>
      <c r="D34" s="292" t="s">
        <v>649</v>
      </c>
    </row>
    <row r="35" spans="1:4" s="222" customFormat="1">
      <c r="A35" s="289" t="s">
        <v>650</v>
      </c>
      <c r="B35" s="290" t="s">
        <v>651</v>
      </c>
      <c r="C35" s="290"/>
      <c r="D35" s="290"/>
    </row>
    <row r="36" spans="1:4" s="222" customFormat="1">
      <c r="A36" s="291">
        <v>1</v>
      </c>
      <c r="B36" s="290" t="s">
        <v>652</v>
      </c>
      <c r="C36" s="290"/>
      <c r="D36" s="290"/>
    </row>
    <row r="37" spans="1:4" s="222" customFormat="1">
      <c r="A37" s="293">
        <v>1.1000000000000001</v>
      </c>
      <c r="B37" s="292" t="s">
        <v>653</v>
      </c>
      <c r="C37" s="292" t="s">
        <v>620</v>
      </c>
      <c r="D37" s="292" t="s">
        <v>654</v>
      </c>
    </row>
    <row r="38" spans="1:4" s="222" customFormat="1" ht="60">
      <c r="A38" s="293">
        <v>1.2</v>
      </c>
      <c r="B38" s="292" t="s">
        <v>655</v>
      </c>
      <c r="C38" s="292" t="s">
        <v>620</v>
      </c>
      <c r="D38" s="292" t="s">
        <v>656</v>
      </c>
    </row>
    <row r="39" spans="1:4" s="222" customFormat="1">
      <c r="A39" s="294">
        <v>2</v>
      </c>
      <c r="B39" s="290" t="s">
        <v>657</v>
      </c>
      <c r="C39" s="290"/>
      <c r="D39" s="290"/>
    </row>
    <row r="40" spans="1:4" s="222" customFormat="1">
      <c r="A40" s="293">
        <v>2.1</v>
      </c>
      <c r="B40" s="292" t="s">
        <v>503</v>
      </c>
      <c r="C40" s="292" t="s">
        <v>620</v>
      </c>
      <c r="D40" s="292" t="s">
        <v>658</v>
      </c>
    </row>
    <row r="41" spans="1:4" s="222" customFormat="1">
      <c r="A41" s="293">
        <v>2.2000000000000002</v>
      </c>
      <c r="B41" s="292" t="s">
        <v>659</v>
      </c>
      <c r="C41" s="292" t="s">
        <v>620</v>
      </c>
      <c r="D41" s="292" t="s">
        <v>658</v>
      </c>
    </row>
    <row r="42" spans="1:4" s="222" customFormat="1">
      <c r="A42" s="293">
        <v>2.2999999999999998</v>
      </c>
      <c r="B42" s="292" t="s">
        <v>660</v>
      </c>
      <c r="C42" s="292" t="s">
        <v>620</v>
      </c>
      <c r="D42" s="292" t="s">
        <v>661</v>
      </c>
    </row>
    <row r="43" spans="1:4" s="222" customFormat="1" ht="30">
      <c r="A43" s="293">
        <v>2.4</v>
      </c>
      <c r="B43" s="292" t="s">
        <v>662</v>
      </c>
      <c r="C43" s="292" t="s">
        <v>610</v>
      </c>
      <c r="D43" s="292" t="s">
        <v>663</v>
      </c>
    </row>
    <row r="44" spans="1:4">
      <c r="A44" s="294">
        <v>3</v>
      </c>
      <c r="B44" s="290" t="s">
        <v>664</v>
      </c>
      <c r="C44" s="290"/>
      <c r="D44" s="290"/>
    </row>
    <row r="45" spans="1:4" ht="30">
      <c r="A45" s="293">
        <v>3.1</v>
      </c>
      <c r="B45" s="292" t="s">
        <v>665</v>
      </c>
      <c r="C45" s="292" t="s">
        <v>620</v>
      </c>
      <c r="D45" s="292" t="s">
        <v>666</v>
      </c>
    </row>
    <row r="46" spans="1:4" ht="30">
      <c r="A46" s="293">
        <v>3.2</v>
      </c>
      <c r="B46" s="292" t="s">
        <v>667</v>
      </c>
      <c r="C46" s="292" t="s">
        <v>620</v>
      </c>
      <c r="D46" s="292" t="s">
        <v>668</v>
      </c>
    </row>
    <row r="47" spans="1:4" ht="30">
      <c r="A47" s="293">
        <v>3.3</v>
      </c>
      <c r="B47" s="292" t="s">
        <v>669</v>
      </c>
      <c r="C47" s="292" t="s">
        <v>620</v>
      </c>
      <c r="D47" s="292" t="s">
        <v>670</v>
      </c>
    </row>
    <row r="48" spans="1:4" ht="30">
      <c r="A48" s="293">
        <v>3.4</v>
      </c>
      <c r="B48" s="292" t="s">
        <v>508</v>
      </c>
      <c r="C48" s="292" t="s">
        <v>620</v>
      </c>
      <c r="D48" s="292" t="s">
        <v>671</v>
      </c>
    </row>
    <row r="49" spans="1:4">
      <c r="A49" s="294">
        <v>4</v>
      </c>
      <c r="B49" s="290" t="s">
        <v>672</v>
      </c>
      <c r="C49" s="290"/>
      <c r="D49" s="290"/>
    </row>
    <row r="50" spans="1:4" ht="60">
      <c r="A50" s="293">
        <v>4.0999999999999996</v>
      </c>
      <c r="B50" s="292" t="s">
        <v>673</v>
      </c>
      <c r="C50" s="292" t="s">
        <v>620</v>
      </c>
      <c r="D50" s="292" t="s">
        <v>674</v>
      </c>
    </row>
    <row r="51" spans="1:4">
      <c r="A51" s="293">
        <v>4.2</v>
      </c>
      <c r="B51" s="292" t="s">
        <v>675</v>
      </c>
      <c r="C51" s="292" t="s">
        <v>620</v>
      </c>
      <c r="D51" s="292" t="s">
        <v>676</v>
      </c>
    </row>
    <row r="52" spans="1:4">
      <c r="A52" s="293">
        <v>4.3</v>
      </c>
      <c r="B52" s="292" t="s">
        <v>677</v>
      </c>
      <c r="C52" s="292" t="s">
        <v>620</v>
      </c>
      <c r="D52" s="292" t="s">
        <v>676</v>
      </c>
    </row>
    <row r="53" spans="1:4" ht="60">
      <c r="A53" s="293">
        <v>4.4000000000000004</v>
      </c>
      <c r="B53" s="292" t="s">
        <v>678</v>
      </c>
      <c r="C53" s="292" t="s">
        <v>620</v>
      </c>
      <c r="D53" s="292" t="s">
        <v>674</v>
      </c>
    </row>
    <row r="54" spans="1:4">
      <c r="A54" s="294">
        <v>5</v>
      </c>
      <c r="B54" s="290" t="s">
        <v>679</v>
      </c>
      <c r="C54" s="290"/>
      <c r="D54" s="290"/>
    </row>
    <row r="55" spans="1:4" ht="60">
      <c r="A55" s="293">
        <v>5.0999999999999996</v>
      </c>
      <c r="B55" s="292" t="s">
        <v>512</v>
      </c>
      <c r="C55" s="292" t="s">
        <v>620</v>
      </c>
      <c r="D55" s="292" t="s">
        <v>674</v>
      </c>
    </row>
    <row r="56" spans="1:4" ht="60">
      <c r="A56" s="293">
        <v>5.2</v>
      </c>
      <c r="B56" s="292" t="s">
        <v>680</v>
      </c>
      <c r="C56" s="292" t="s">
        <v>620</v>
      </c>
      <c r="D56" s="292" t="s">
        <v>681</v>
      </c>
    </row>
    <row r="57" spans="1:4" ht="30">
      <c r="A57" s="293">
        <v>5.3</v>
      </c>
      <c r="B57" s="292" t="s">
        <v>516</v>
      </c>
      <c r="C57" s="292" t="s">
        <v>620</v>
      </c>
      <c r="D57" s="292" t="s">
        <v>682</v>
      </c>
    </row>
    <row r="58" spans="1:4">
      <c r="A58" s="294">
        <v>6</v>
      </c>
      <c r="B58" s="290" t="s">
        <v>683</v>
      </c>
      <c r="C58" s="290"/>
      <c r="D58" s="290"/>
    </row>
    <row r="59" spans="1:4">
      <c r="A59" s="293">
        <v>6.1</v>
      </c>
      <c r="B59" s="292" t="s">
        <v>518</v>
      </c>
      <c r="C59" s="292" t="s">
        <v>620</v>
      </c>
      <c r="D59" s="292" t="s">
        <v>684</v>
      </c>
    </row>
    <row r="60" spans="1:4">
      <c r="A60" s="293">
        <v>6.2</v>
      </c>
      <c r="B60" s="292" t="s">
        <v>685</v>
      </c>
      <c r="C60" s="292" t="s">
        <v>607</v>
      </c>
      <c r="D60" s="292" t="s">
        <v>686</v>
      </c>
    </row>
    <row r="61" spans="1:4">
      <c r="A61" s="294">
        <v>7</v>
      </c>
      <c r="B61" s="290" t="s">
        <v>687</v>
      </c>
      <c r="C61" s="290"/>
      <c r="D61" s="290"/>
    </row>
    <row r="62" spans="1:4">
      <c r="A62" s="293">
        <v>7.1</v>
      </c>
      <c r="B62" s="292" t="s">
        <v>688</v>
      </c>
      <c r="C62" s="292" t="s">
        <v>610</v>
      </c>
      <c r="D62" s="292" t="s">
        <v>689</v>
      </c>
    </row>
    <row r="63" spans="1:4" ht="30">
      <c r="A63" s="293">
        <v>7.2</v>
      </c>
      <c r="B63" s="292" t="s">
        <v>690</v>
      </c>
      <c r="C63" s="292" t="s">
        <v>610</v>
      </c>
      <c r="D63" s="292" t="s">
        <v>689</v>
      </c>
    </row>
    <row r="64" spans="1:4" ht="30">
      <c r="A64" s="293">
        <v>7.3</v>
      </c>
      <c r="B64" s="292" t="s">
        <v>691</v>
      </c>
      <c r="C64" s="292" t="s">
        <v>610</v>
      </c>
      <c r="D64" s="292"/>
    </row>
  </sheetData>
  <mergeCells count="1">
    <mergeCell ref="A1:D1"/>
  </mergeCells>
  <conditionalFormatting sqref="B21:B25">
    <cfRule type="duplicateValues" dxfId="3" priority="2"/>
  </conditionalFormatting>
  <conditionalFormatting sqref="C21:C23">
    <cfRule type="duplicateValues" dxfId="2" priority="1"/>
  </conditionalFormatting>
  <conditionalFormatting sqref="B26:B27">
    <cfRule type="duplicateValues" dxfId="1" priority="3"/>
  </conditionalFormatting>
  <conditionalFormatting sqref="C26:C27">
    <cfRule type="duplicateValues" dxfId="0" priority="4"/>
  </conditionalFormatting>
  <pageMargins left="0.7" right="0.7" top="0.75" bottom="0.75" header="0.3" footer="0.3"/>
  <pageSetup paperSize="9" scale="52"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56"/>
  <sheetViews>
    <sheetView topLeftCell="A20" zoomScaleNormal="100" zoomScaleSheetLayoutView="85" workbookViewId="0">
      <selection activeCell="C28" sqref="C28"/>
    </sheetView>
  </sheetViews>
  <sheetFormatPr defaultColWidth="11.42578125" defaultRowHeight="18.75"/>
  <cols>
    <col min="1" max="1" width="9.140625" style="299" customWidth="1"/>
    <col min="2" max="2" width="33" style="302" customWidth="1"/>
    <col min="3" max="3" width="38.7109375" style="299" bestFit="1" customWidth="1"/>
    <col min="4" max="4" width="26.42578125" style="299" bestFit="1" customWidth="1"/>
    <col min="5" max="5" width="26.42578125" style="299" customWidth="1"/>
    <col min="6" max="6" width="14.42578125" style="301" customWidth="1"/>
    <col min="7" max="11" width="11.42578125" style="295" customWidth="1"/>
    <col min="12" max="12" width="19.42578125" style="295" customWidth="1"/>
    <col min="13" max="16" width="16.140625" style="295" customWidth="1"/>
    <col min="17" max="16384" width="11.42578125" style="295"/>
  </cols>
  <sheetData>
    <row r="1" spans="1:6" ht="49.5" customHeight="1">
      <c r="A1" s="364" t="s">
        <v>692</v>
      </c>
      <c r="B1" s="365"/>
      <c r="C1" s="366"/>
      <c r="D1" s="366"/>
      <c r="E1" s="366"/>
      <c r="F1" s="367"/>
    </row>
    <row r="2" spans="1:6" ht="12.95" customHeight="1">
      <c r="A2" s="368" t="s">
        <v>218</v>
      </c>
      <c r="B2" s="369" t="s">
        <v>693</v>
      </c>
      <c r="C2" s="368" t="s">
        <v>302</v>
      </c>
      <c r="D2" s="368" t="s">
        <v>694</v>
      </c>
      <c r="E2" s="296"/>
      <c r="F2" s="368" t="s">
        <v>287</v>
      </c>
    </row>
    <row r="3" spans="1:6" ht="12.95" customHeight="1">
      <c r="A3" s="368"/>
      <c r="B3" s="370"/>
      <c r="C3" s="368" t="s">
        <v>695</v>
      </c>
      <c r="D3" s="368"/>
      <c r="E3" s="296"/>
      <c r="F3" s="368" t="s">
        <v>696</v>
      </c>
    </row>
    <row r="4" spans="1:6" ht="37.5">
      <c r="A4" s="223">
        <v>1</v>
      </c>
      <c r="B4" s="359" t="s">
        <v>697</v>
      </c>
      <c r="C4" s="297" t="s">
        <v>438</v>
      </c>
      <c r="D4" s="224" t="s">
        <v>41</v>
      </c>
      <c r="E4" s="224" t="str">
        <f>CHOOSE({1,2},C4:C40&amp;D4:D40,F4:F40)</f>
        <v>PTDL_KSNV1Giải pháp</v>
      </c>
      <c r="F4" s="299">
        <v>4</v>
      </c>
    </row>
    <row r="5" spans="1:6" ht="37.5">
      <c r="A5" s="223">
        <v>2</v>
      </c>
      <c r="B5" s="359"/>
      <c r="C5" s="297" t="s">
        <v>236</v>
      </c>
      <c r="D5" s="224" t="s">
        <v>41</v>
      </c>
      <c r="E5" s="224" t="str">
        <f>CHOOSE({1,2},C5:C41&amp;D5:D41,F5:F41)</f>
        <v>PTDL_KSNV2Giải pháp</v>
      </c>
      <c r="F5" s="299">
        <v>6</v>
      </c>
    </row>
    <row r="6" spans="1:6" ht="37.5" customHeight="1">
      <c r="A6" s="223">
        <v>3</v>
      </c>
      <c r="B6" s="359"/>
      <c r="C6" s="297" t="s">
        <v>443</v>
      </c>
      <c r="D6" s="224" t="s">
        <v>41</v>
      </c>
      <c r="E6" s="224" t="str">
        <f>CHOOSE({1,2},C6:C42&amp;D6:D42,F6:F42)</f>
        <v>PTDL_KSNV3Giải pháp</v>
      </c>
      <c r="F6" s="299">
        <v>8</v>
      </c>
    </row>
    <row r="7" spans="1:6" ht="37.5">
      <c r="A7" s="223">
        <v>4</v>
      </c>
      <c r="B7" s="359" t="s">
        <v>698</v>
      </c>
      <c r="C7" s="298" t="s">
        <v>446</v>
      </c>
      <c r="D7" s="224" t="s">
        <v>41</v>
      </c>
      <c r="E7" s="224" t="str">
        <f>CHOOSE({1,2},C7:C43&amp;D7:D43,F7:F43)</f>
        <v>PTDL_ĐGTNUC1Giải pháp</v>
      </c>
      <c r="F7" s="299">
        <v>2</v>
      </c>
    </row>
    <row r="8" spans="1:6" ht="37.5">
      <c r="A8" s="223">
        <v>5</v>
      </c>
      <c r="B8" s="359"/>
      <c r="C8" s="298" t="s">
        <v>449</v>
      </c>
      <c r="D8" s="224" t="s">
        <v>41</v>
      </c>
      <c r="E8" s="224" t="str">
        <f>CHOOSE({1,2},C8:C44&amp;D8:D44,F8:F44)</f>
        <v>PTDL_ĐGTNUC2Giải pháp</v>
      </c>
      <c r="F8" s="299">
        <v>4</v>
      </c>
    </row>
    <row r="9" spans="1:6" ht="37.5">
      <c r="A9" s="223">
        <v>6</v>
      </c>
      <c r="B9" s="359"/>
      <c r="C9" s="298" t="s">
        <v>452</v>
      </c>
      <c r="D9" s="224" t="s">
        <v>41</v>
      </c>
      <c r="E9" s="224" t="str">
        <f>CHOOSE({1,2},C9:C45&amp;D9:D45,F9:F45)</f>
        <v>PTDL_ĐGTNUC3Giải pháp</v>
      </c>
      <c r="F9" s="299">
        <v>6</v>
      </c>
    </row>
    <row r="10" spans="1:6" ht="37.5">
      <c r="A10" s="223">
        <v>7</v>
      </c>
      <c r="B10" s="359" t="s">
        <v>619</v>
      </c>
      <c r="C10" s="297" t="s">
        <v>455</v>
      </c>
      <c r="D10" s="224" t="s">
        <v>41</v>
      </c>
      <c r="E10" s="224" t="str">
        <f>CHOOSE({1,2},C10:C46&amp;D10:D46,F10:F46)</f>
        <v>PTDL_ĐXGPM1Giải pháp</v>
      </c>
      <c r="F10" s="299">
        <v>2</v>
      </c>
    </row>
    <row r="11" spans="1:6" ht="37.5">
      <c r="A11" s="223">
        <v>8</v>
      </c>
      <c r="B11" s="359"/>
      <c r="C11" s="297" t="s">
        <v>458</v>
      </c>
      <c r="D11" s="224" t="s">
        <v>41</v>
      </c>
      <c r="E11" s="224" t="str">
        <f>CHOOSE({1,2},C11:C47&amp;D11:D47,F11:F47)</f>
        <v>PTDL_ĐXGPM2Giải pháp</v>
      </c>
      <c r="F11" s="299">
        <v>4</v>
      </c>
    </row>
    <row r="12" spans="1:6" ht="37.5">
      <c r="A12" s="223">
        <v>9</v>
      </c>
      <c r="B12" s="359"/>
      <c r="C12" s="297" t="s">
        <v>461</v>
      </c>
      <c r="D12" s="224" t="s">
        <v>41</v>
      </c>
      <c r="E12" s="224" t="str">
        <f>CHOOSE({1,2},C12:C48&amp;D12:D48,F12:F48)</f>
        <v>PTDL_ĐXGPM3Giải pháp</v>
      </c>
      <c r="F12" s="299">
        <v>6</v>
      </c>
    </row>
    <row r="13" spans="1:6" ht="37.5">
      <c r="A13" s="223">
        <v>10</v>
      </c>
      <c r="B13" s="359" t="s">
        <v>622</v>
      </c>
      <c r="C13" s="297" t="s">
        <v>464</v>
      </c>
      <c r="D13" s="224" t="s">
        <v>41</v>
      </c>
      <c r="E13" s="224" t="str">
        <f>CHOOSE({1,2},C13:C49&amp;D13:D49,F13:F49)</f>
        <v>PTDL_TNGPM1Giải pháp</v>
      </c>
      <c r="F13" s="299">
        <v>1</v>
      </c>
    </row>
    <row r="14" spans="1:6" ht="37.5">
      <c r="A14" s="223">
        <v>11</v>
      </c>
      <c r="B14" s="359"/>
      <c r="C14" s="297" t="s">
        <v>467</v>
      </c>
      <c r="D14" s="224" t="s">
        <v>41</v>
      </c>
      <c r="E14" s="224" t="str">
        <f>CHOOSE({1,2},C14:C50&amp;D14:D50,F14:F50)</f>
        <v>PTDL_TNGPM2Giải pháp</v>
      </c>
      <c r="F14" s="299">
        <v>2</v>
      </c>
    </row>
    <row r="15" spans="1:6" ht="37.5">
      <c r="A15" s="223">
        <v>12</v>
      </c>
      <c r="B15" s="359"/>
      <c r="C15" s="297" t="s">
        <v>470</v>
      </c>
      <c r="D15" s="224" t="s">
        <v>41</v>
      </c>
      <c r="E15" s="224" t="str">
        <f>CHOOSE({1,2},C15:C51&amp;D15:D51,F15:F51)</f>
        <v>PTDL_TNGPM3Giải pháp</v>
      </c>
      <c r="F15" s="299">
        <v>4</v>
      </c>
    </row>
    <row r="16" spans="1:6" ht="37.5">
      <c r="A16" s="223">
        <v>13</v>
      </c>
      <c r="B16" s="359" t="s">
        <v>628</v>
      </c>
      <c r="C16" s="297" t="s">
        <v>473</v>
      </c>
      <c r="D16" s="224" t="s">
        <v>41</v>
      </c>
      <c r="E16" s="224" t="str">
        <f>CHOOSE({1,2},C16:C52&amp;D16:D52,F16:F52)</f>
        <v>PTDL_XDKBTĐ1Giải pháp</v>
      </c>
      <c r="F16" s="299">
        <v>4</v>
      </c>
    </row>
    <row r="17" spans="1:6" ht="37.5">
      <c r="A17" s="223">
        <v>14</v>
      </c>
      <c r="B17" s="359"/>
      <c r="C17" s="297" t="s">
        <v>476</v>
      </c>
      <c r="D17" s="224" t="s">
        <v>41</v>
      </c>
      <c r="E17" s="224" t="str">
        <f>CHOOSE({1,2},C17:C53&amp;D17:D53,F17:F53)</f>
        <v>PTDL_XDKBTĐ2Giải pháp</v>
      </c>
      <c r="F17" s="299">
        <v>8</v>
      </c>
    </row>
    <row r="18" spans="1:6" ht="37.5">
      <c r="A18" s="223">
        <v>15</v>
      </c>
      <c r="B18" s="359"/>
      <c r="C18" s="297" t="s">
        <v>479</v>
      </c>
      <c r="D18" s="224" t="s">
        <v>41</v>
      </c>
      <c r="E18" s="224" t="str">
        <f>CHOOSE({1,2},C18:C54&amp;D18:D54,F18:F54)</f>
        <v>PTDL_XDKBTĐ3Giải pháp</v>
      </c>
      <c r="F18" s="299">
        <v>12</v>
      </c>
    </row>
    <row r="19" spans="1:6" ht="37.5">
      <c r="A19" s="223">
        <v>16</v>
      </c>
      <c r="B19" s="298" t="s">
        <v>483</v>
      </c>
      <c r="C19" s="297" t="s">
        <v>482</v>
      </c>
      <c r="D19" s="224" t="s">
        <v>43</v>
      </c>
      <c r="E19" s="224" t="str">
        <f>CHOOSE({1,2},C19:C55&amp;D19:D55,F19:F55)</f>
        <v>PTDL_XDBC_HQTĐPhát triển</v>
      </c>
      <c r="F19" s="299">
        <v>2</v>
      </c>
    </row>
    <row r="20" spans="1:6" ht="37.5">
      <c r="A20" s="223">
        <v>17</v>
      </c>
      <c r="B20" s="298" t="s">
        <v>486</v>
      </c>
      <c r="C20" s="297" t="s">
        <v>485</v>
      </c>
      <c r="D20" s="224" t="s">
        <v>45</v>
      </c>
      <c r="E20" s="224" t="str">
        <f>CHOOSE({1,2},C20:C56&amp;D20:D56,F20:F56)</f>
        <v>PTDL_BLACKLISTKiểm thử</v>
      </c>
      <c r="F20" s="299">
        <v>1</v>
      </c>
    </row>
    <row r="21" spans="1:6" ht="37.5">
      <c r="A21" s="223">
        <v>18</v>
      </c>
      <c r="B21" s="298" t="s">
        <v>489</v>
      </c>
      <c r="C21" s="297" t="s">
        <v>488</v>
      </c>
      <c r="D21" s="224" t="s">
        <v>45</v>
      </c>
      <c r="E21" s="224" t="str">
        <f>CHOOSE({1,2},C21:C57&amp;D21:D57,F21:F57)</f>
        <v>PTDL_XUAT_BANG_TKKiểm thử</v>
      </c>
      <c r="F21" s="299">
        <v>4</v>
      </c>
    </row>
    <row r="22" spans="1:6" ht="37.5">
      <c r="A22" s="223">
        <v>19</v>
      </c>
      <c r="B22" s="298" t="s">
        <v>492</v>
      </c>
      <c r="C22" s="297" t="s">
        <v>491</v>
      </c>
      <c r="D22" s="224" t="s">
        <v>45</v>
      </c>
      <c r="E22" s="224" t="str">
        <f>CHOOSE({1,2},C22:C58&amp;D22:D58,F22:F58)</f>
        <v>PTDL_CHECK_DAIDIENKiểm thử</v>
      </c>
      <c r="F22" s="299">
        <v>1</v>
      </c>
    </row>
    <row r="23" spans="1:6" ht="37.5">
      <c r="A23" s="223">
        <v>20</v>
      </c>
      <c r="B23" s="298" t="s">
        <v>495</v>
      </c>
      <c r="C23" s="297" t="s">
        <v>494</v>
      </c>
      <c r="D23" s="224" t="s">
        <v>45</v>
      </c>
      <c r="E23" s="224" t="str">
        <f>CHOOSE({1,2},C23:C59&amp;D23:D59,F23:F59)</f>
        <v>PTDL_GIAMSAT_TACDONGKiểm thử</v>
      </c>
      <c r="F23" s="299">
        <v>0.5</v>
      </c>
    </row>
    <row r="24" spans="1:6" ht="37.5">
      <c r="A24" s="223">
        <v>21</v>
      </c>
      <c r="B24" s="359" t="s">
        <v>643</v>
      </c>
      <c r="C24" s="297" t="s">
        <v>497</v>
      </c>
      <c r="D24" s="224" t="s">
        <v>41</v>
      </c>
      <c r="E24" s="224" t="str">
        <f>CHOOSE({1,2},C24:C60&amp;D24:D60,F24:F60)</f>
        <v>PTDL_ĐGHQ_TACDONG1Giải pháp</v>
      </c>
      <c r="F24" s="299">
        <v>1</v>
      </c>
    </row>
    <row r="25" spans="1:6" ht="37.5">
      <c r="A25" s="223">
        <v>22</v>
      </c>
      <c r="B25" s="359"/>
      <c r="C25" s="297" t="s">
        <v>500</v>
      </c>
      <c r="D25" s="224" t="s">
        <v>41</v>
      </c>
      <c r="E25" s="224" t="str">
        <f>CHOOSE({1,2},C25:C61&amp;D25:D61,F25:F61)</f>
        <v>PTDL_ĐGHQ_TACDONG2Giải pháp</v>
      </c>
      <c r="F25" s="299">
        <v>7</v>
      </c>
    </row>
    <row r="26" spans="1:6" ht="37.5">
      <c r="A26" s="223">
        <v>23</v>
      </c>
      <c r="B26" s="302" t="s">
        <v>503</v>
      </c>
      <c r="C26" s="299" t="s">
        <v>242</v>
      </c>
      <c r="D26" s="224" t="s">
        <v>43</v>
      </c>
      <c r="E26" s="224" t="str">
        <f>CHOOSE({1,2},C26:C62&amp;D26:D62,F26:F62)</f>
        <v>PTDL_EXPLORE_DATAPhát triển</v>
      </c>
      <c r="F26" s="299">
        <v>2</v>
      </c>
    </row>
    <row r="27" spans="1:6" ht="37.5">
      <c r="A27" s="223">
        <v>24</v>
      </c>
      <c r="B27" s="299" t="s">
        <v>660</v>
      </c>
      <c r="C27" s="299" t="s">
        <v>505</v>
      </c>
      <c r="D27" s="224" t="s">
        <v>43</v>
      </c>
      <c r="E27" s="224" t="str">
        <f>CHOOSE({1,2},C27:C63&amp;D27:D63,F27:F63)</f>
        <v>PTDL_HYPOTHESISPhát triển</v>
      </c>
      <c r="F27" s="299">
        <v>2</v>
      </c>
    </row>
    <row r="28" spans="1:6" ht="56.25">
      <c r="A28" s="223">
        <v>25</v>
      </c>
      <c r="B28" s="302" t="s">
        <v>508</v>
      </c>
      <c r="C28" s="299" t="s">
        <v>244</v>
      </c>
      <c r="D28" s="224" t="s">
        <v>43</v>
      </c>
      <c r="E28" s="224" t="str">
        <f>CHOOSE({1,2},C28:C64&amp;D28:D64,F28:F64)</f>
        <v>PTDL_FEATURE_ENGINEERINGPhát triển</v>
      </c>
      <c r="F28" s="299">
        <v>2</v>
      </c>
    </row>
    <row r="29" spans="1:6" ht="37.5">
      <c r="A29" s="223">
        <v>26</v>
      </c>
      <c r="B29" s="302" t="s">
        <v>511</v>
      </c>
      <c r="C29" s="299" t="s">
        <v>510</v>
      </c>
      <c r="D29" s="224" t="s">
        <v>43</v>
      </c>
      <c r="E29" s="224" t="str">
        <f>CHOOSE({1,2},C29:C65&amp;D29:D65,F29:F65)</f>
        <v>PTDL_TRAIN_MODEL_BASEPhát triển</v>
      </c>
      <c r="F29" s="299">
        <v>2</v>
      </c>
    </row>
    <row r="30" spans="1:6" ht="37.5">
      <c r="A30" s="223">
        <v>27</v>
      </c>
      <c r="B30" s="302" t="s">
        <v>512</v>
      </c>
      <c r="C30" s="299" t="s">
        <v>274</v>
      </c>
      <c r="D30" s="224" t="s">
        <v>43</v>
      </c>
      <c r="E30" s="224" t="str">
        <f>CHOOSE({1,2},C30:C66&amp;D30:D66,F30:F66)</f>
        <v>PTDL_MODEL_TUNINGPhát triển</v>
      </c>
      <c r="F30" s="299">
        <v>4</v>
      </c>
    </row>
    <row r="31" spans="1:6" ht="37.5">
      <c r="A31" s="223">
        <v>28</v>
      </c>
      <c r="B31" s="302" t="s">
        <v>514</v>
      </c>
      <c r="C31" s="299" t="s">
        <v>513</v>
      </c>
      <c r="D31" s="224" t="s">
        <v>43</v>
      </c>
      <c r="E31" s="224" t="str">
        <f>CHOOSE({1,2},C31:C67&amp;D31:D67,F31:F67)</f>
        <v>PTDL_ENSEMBLE_MODELPhát triển</v>
      </c>
      <c r="F31" s="299">
        <v>4</v>
      </c>
    </row>
    <row r="32" spans="1:6" ht="37.5">
      <c r="A32" s="223">
        <v>29</v>
      </c>
      <c r="B32" s="302" t="s">
        <v>516</v>
      </c>
      <c r="C32" s="299" t="s">
        <v>515</v>
      </c>
      <c r="D32" s="224" t="s">
        <v>43</v>
      </c>
      <c r="E32" s="224" t="str">
        <f>CHOOSE({1,2},C32:C68&amp;D32:D68,F32:F68)</f>
        <v>PTDL_TEST_MODELPhát triển</v>
      </c>
      <c r="F32" s="299">
        <v>1</v>
      </c>
    </row>
    <row r="33" spans="1:6" ht="37.5">
      <c r="A33" s="223">
        <v>30</v>
      </c>
      <c r="B33" s="302" t="s">
        <v>518</v>
      </c>
      <c r="C33" s="299" t="s">
        <v>517</v>
      </c>
      <c r="D33" s="224" t="s">
        <v>41</v>
      </c>
      <c r="E33" s="224" t="str">
        <f>CHOOSE({1,2},C33:C69&amp;D33:D69,F33:F69)</f>
        <v>PTDL_BC_KQ_MODELGiải pháp</v>
      </c>
      <c r="F33" s="299">
        <v>1</v>
      </c>
    </row>
    <row r="34" spans="1:6" ht="37.5">
      <c r="A34" s="223">
        <v>31</v>
      </c>
      <c r="B34" s="360" t="s">
        <v>699</v>
      </c>
      <c r="C34" s="300" t="s">
        <v>519</v>
      </c>
      <c r="D34" s="224" t="s">
        <v>43</v>
      </c>
      <c r="E34" s="224" t="str">
        <f>CHOOSE({1,2},C34:C70&amp;D34:D70,F34:F70)</f>
        <v>PTDL_DONGBO_DULIEU1Phát triển</v>
      </c>
      <c r="F34" s="299">
        <v>3</v>
      </c>
    </row>
    <row r="35" spans="1:6" ht="37.5">
      <c r="A35" s="223">
        <v>32</v>
      </c>
      <c r="B35" s="360"/>
      <c r="C35" s="300" t="s">
        <v>522</v>
      </c>
      <c r="D35" s="224" t="s">
        <v>43</v>
      </c>
      <c r="E35" s="224" t="str">
        <f>CHOOSE({1,2},C35:C71&amp;D35:D71,F35:F71)</f>
        <v>PTDL_DONGBO_DULIEU2Phát triển</v>
      </c>
      <c r="F35" s="299">
        <v>6.5</v>
      </c>
    </row>
    <row r="36" spans="1:6" ht="37.5">
      <c r="A36" s="223">
        <v>33</v>
      </c>
      <c r="B36" s="360"/>
      <c r="C36" s="300" t="s">
        <v>525</v>
      </c>
      <c r="D36" s="224" t="s">
        <v>43</v>
      </c>
      <c r="E36" s="224" t="str">
        <f>CHOOSE({1,2},C36:C72&amp;D36:D72,F36:F72)</f>
        <v>PTDL_DONGBO_DULIEU3Phát triển</v>
      </c>
      <c r="F36" s="299">
        <v>9.5</v>
      </c>
    </row>
    <row r="37" spans="1:6" ht="37.5">
      <c r="A37" s="223">
        <v>34</v>
      </c>
      <c r="B37" s="361" t="s">
        <v>700</v>
      </c>
      <c r="C37" s="300" t="s">
        <v>528</v>
      </c>
      <c r="D37" s="224" t="s">
        <v>43</v>
      </c>
      <c r="E37" s="224" t="str">
        <f>CHOOSE({1,2},C37:C73&amp;D37:D73,F37:F73)</f>
        <v>PTDL_TONGHOP_FEATURE1Phát triển</v>
      </c>
      <c r="F37" s="299">
        <v>2</v>
      </c>
    </row>
    <row r="38" spans="1:6" ht="37.5">
      <c r="A38" s="223">
        <v>35</v>
      </c>
      <c r="B38" s="362"/>
      <c r="C38" s="300" t="s">
        <v>246</v>
      </c>
      <c r="D38" s="224" t="s">
        <v>43</v>
      </c>
      <c r="E38" s="224" t="str">
        <f>CHOOSE({1,2},C38:C74&amp;D38:D74,F38:F74)</f>
        <v>PTDL_TONGHOP_FEATURE2Phát triển</v>
      </c>
      <c r="F38" s="299">
        <v>4.5</v>
      </c>
    </row>
    <row r="39" spans="1:6" ht="37.5">
      <c r="A39" s="223">
        <v>36</v>
      </c>
      <c r="B39" s="362"/>
      <c r="C39" s="300" t="s">
        <v>533</v>
      </c>
      <c r="D39" s="224" t="s">
        <v>43</v>
      </c>
      <c r="E39" s="224" t="str">
        <f>CHOOSE({1,2},C39:C75&amp;D39:D75,F39:F75)</f>
        <v>PTDL_TONGHOP_FEATURE3Phát triển</v>
      </c>
      <c r="F39" s="299">
        <v>8.25</v>
      </c>
    </row>
    <row r="40" spans="1:6" ht="37.5">
      <c r="A40" s="223">
        <v>37</v>
      </c>
      <c r="B40" s="363"/>
      <c r="C40" s="300" t="s">
        <v>536</v>
      </c>
      <c r="D40" s="224" t="s">
        <v>43</v>
      </c>
      <c r="E40" s="224" t="str">
        <f>CHOOSE({1,2},C40:C76&amp;D40:D76,F40:F76)</f>
        <v>PTDL_TONGHOP_FEATURE4Phát triển</v>
      </c>
      <c r="F40" s="299">
        <v>12</v>
      </c>
    </row>
    <row r="41" spans="1:6">
      <c r="A41" s="223"/>
      <c r="B41" s="223"/>
      <c r="C41" s="227"/>
      <c r="D41" s="227"/>
      <c r="E41" s="227"/>
      <c r="F41" s="229"/>
    </row>
    <row r="42" spans="1:6">
      <c r="A42" s="223"/>
      <c r="B42" s="223"/>
      <c r="C42" s="227"/>
      <c r="D42" s="227"/>
      <c r="E42" s="227"/>
      <c r="F42" s="229"/>
    </row>
    <row r="43" spans="1:6">
      <c r="A43" s="223"/>
      <c r="B43" s="223"/>
      <c r="C43" s="227"/>
      <c r="D43" s="227"/>
      <c r="E43" s="227"/>
      <c r="F43" s="229"/>
    </row>
    <row r="44" spans="1:6">
      <c r="A44" s="223"/>
      <c r="B44" s="223"/>
      <c r="C44" s="227"/>
      <c r="D44" s="227"/>
      <c r="E44" s="227"/>
      <c r="F44" s="229"/>
    </row>
    <row r="45" spans="1:6">
      <c r="A45" s="223"/>
      <c r="B45" s="223"/>
      <c r="C45" s="227"/>
      <c r="D45" s="227"/>
      <c r="E45" s="227"/>
      <c r="F45" s="229"/>
    </row>
    <row r="46" spans="1:6">
      <c r="A46" s="223"/>
      <c r="B46" s="223"/>
      <c r="C46" s="227"/>
      <c r="D46" s="227"/>
      <c r="E46" s="227"/>
      <c r="F46" s="229"/>
    </row>
    <row r="47" spans="1:6">
      <c r="A47" s="223"/>
      <c r="B47" s="223"/>
      <c r="C47" s="227"/>
      <c r="D47" s="227"/>
      <c r="E47" s="227"/>
      <c r="F47" s="229"/>
    </row>
    <row r="48" spans="1:6">
      <c r="A48" s="223"/>
      <c r="B48" s="223"/>
      <c r="C48" s="227"/>
      <c r="D48" s="227"/>
      <c r="E48" s="227"/>
      <c r="F48" s="229"/>
    </row>
    <row r="49" spans="1:6">
      <c r="A49" s="223"/>
      <c r="B49" s="223"/>
      <c r="C49" s="227"/>
      <c r="D49" s="227"/>
      <c r="E49" s="227"/>
      <c r="F49" s="229"/>
    </row>
    <row r="50" spans="1:6">
      <c r="A50" s="223"/>
      <c r="B50" s="223"/>
      <c r="C50" s="227"/>
      <c r="D50" s="227"/>
      <c r="E50" s="227"/>
      <c r="F50" s="229"/>
    </row>
    <row r="51" spans="1:6">
      <c r="A51" s="223"/>
      <c r="B51" s="223"/>
      <c r="C51" s="227"/>
      <c r="D51" s="227"/>
      <c r="E51" s="227"/>
      <c r="F51" s="229"/>
    </row>
    <row r="52" spans="1:6">
      <c r="A52" s="223"/>
      <c r="B52" s="223"/>
      <c r="C52" s="227"/>
      <c r="D52" s="227"/>
      <c r="E52" s="227"/>
      <c r="F52" s="229"/>
    </row>
    <row r="53" spans="1:6">
      <c r="A53" s="223"/>
      <c r="B53" s="223"/>
      <c r="C53" s="227"/>
      <c r="D53" s="227"/>
      <c r="E53" s="227"/>
      <c r="F53" s="229"/>
    </row>
    <row r="54" spans="1:6">
      <c r="A54" s="223"/>
      <c r="B54" s="223"/>
      <c r="C54" s="227"/>
      <c r="D54" s="227"/>
      <c r="E54" s="227"/>
      <c r="F54" s="229"/>
    </row>
    <row r="55" spans="1:6">
      <c r="A55" s="223"/>
      <c r="B55" s="223"/>
      <c r="C55" s="226"/>
      <c r="D55" s="225"/>
      <c r="E55" s="225"/>
      <c r="F55" s="228"/>
    </row>
    <row r="56" spans="1:6">
      <c r="A56" s="223"/>
      <c r="B56" s="223"/>
      <c r="C56" s="225"/>
      <c r="D56" s="225"/>
      <c r="E56" s="225"/>
      <c r="F56" s="228"/>
    </row>
  </sheetData>
  <mergeCells count="14">
    <mergeCell ref="B34:B36"/>
    <mergeCell ref="B37:B40"/>
    <mergeCell ref="A1:F1"/>
    <mergeCell ref="A2:A3"/>
    <mergeCell ref="C2:C3"/>
    <mergeCell ref="D2:D3"/>
    <mergeCell ref="F2:F3"/>
    <mergeCell ref="B2:B3"/>
    <mergeCell ref="B4:B6"/>
    <mergeCell ref="B7:B9"/>
    <mergeCell ref="B10:B12"/>
    <mergeCell ref="B13:B15"/>
    <mergeCell ref="B16:B18"/>
    <mergeCell ref="B24:B25"/>
  </mergeCells>
  <pageMargins left="0.7" right="0.7" top="0.75" bottom="0.75" header="0.3" footer="0.3"/>
  <pageSetup scale="70" orientation="portrait"/>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D42"/>
  <sheetViews>
    <sheetView topLeftCell="A10" zoomScaleNormal="100" zoomScaleSheetLayoutView="85" workbookViewId="0">
      <selection activeCell="J17" sqref="J17"/>
    </sheetView>
  </sheetViews>
  <sheetFormatPr defaultColWidth="11.42578125" defaultRowHeight="18.75"/>
  <cols>
    <col min="1" max="1" width="9.140625" style="299" customWidth="1"/>
    <col min="2" max="2" width="33" style="302" customWidth="1"/>
    <col min="3" max="3" width="38.7109375" style="299" bestFit="1" customWidth="1"/>
    <col min="4" max="4" width="14.42578125" style="301" customWidth="1"/>
    <col min="5" max="9" width="11.42578125" style="295" customWidth="1"/>
    <col min="10" max="10" width="19.42578125" style="295" customWidth="1"/>
    <col min="11" max="14" width="16.140625" style="295" customWidth="1"/>
    <col min="15" max="16384" width="11.42578125" style="295"/>
  </cols>
  <sheetData>
    <row r="1" spans="1:4" ht="49.5" customHeight="1">
      <c r="A1" s="364" t="s">
        <v>692</v>
      </c>
      <c r="B1" s="365"/>
      <c r="C1" s="366"/>
      <c r="D1" s="367"/>
    </row>
    <row r="2" spans="1:4" ht="12.95" customHeight="1">
      <c r="A2" s="368" t="s">
        <v>218</v>
      </c>
      <c r="B2" s="369" t="s">
        <v>693</v>
      </c>
      <c r="C2" s="296" t="s">
        <v>302</v>
      </c>
      <c r="D2" s="368" t="s">
        <v>287</v>
      </c>
    </row>
    <row r="3" spans="1:4" ht="26.25" customHeight="1">
      <c r="A3" s="368"/>
      <c r="B3" s="370"/>
      <c r="C3" s="296" t="s">
        <v>695</v>
      </c>
      <c r="D3" s="368" t="s">
        <v>696</v>
      </c>
    </row>
    <row r="4" spans="1:4">
      <c r="A4" s="223">
        <v>1</v>
      </c>
      <c r="B4" s="371" t="s">
        <v>701</v>
      </c>
      <c r="C4" s="297" t="s">
        <v>539</v>
      </c>
      <c r="D4" s="299">
        <v>3</v>
      </c>
    </row>
    <row r="5" spans="1:4">
      <c r="A5" s="223">
        <v>2</v>
      </c>
      <c r="B5" s="371"/>
      <c r="C5" s="297" t="s">
        <v>542</v>
      </c>
      <c r="D5" s="299">
        <v>4</v>
      </c>
    </row>
    <row r="6" spans="1:4" ht="37.5" customHeight="1">
      <c r="A6" s="223">
        <v>3</v>
      </c>
      <c r="B6" s="371"/>
      <c r="C6" s="297" t="s">
        <v>544</v>
      </c>
      <c r="D6" s="299">
        <v>6</v>
      </c>
    </row>
    <row r="7" spans="1:4">
      <c r="A7" s="223">
        <v>4</v>
      </c>
      <c r="B7" s="359" t="s">
        <v>702</v>
      </c>
      <c r="C7" s="298" t="s">
        <v>546</v>
      </c>
      <c r="D7" s="299">
        <v>0.25</v>
      </c>
    </row>
    <row r="8" spans="1:4">
      <c r="A8" s="223">
        <v>5</v>
      </c>
      <c r="B8" s="359"/>
      <c r="C8" s="298" t="s">
        <v>548</v>
      </c>
      <c r="D8" s="299">
        <v>0.5</v>
      </c>
    </row>
    <row r="9" spans="1:4">
      <c r="A9" s="223">
        <v>6</v>
      </c>
      <c r="B9" s="359"/>
      <c r="C9" s="298" t="s">
        <v>549</v>
      </c>
      <c r="D9" s="299">
        <v>0.75</v>
      </c>
    </row>
    <row r="10" spans="1:4" ht="37.5">
      <c r="A10" s="223">
        <v>7</v>
      </c>
      <c r="B10" s="298" t="s">
        <v>703</v>
      </c>
      <c r="C10" s="297" t="s">
        <v>550</v>
      </c>
      <c r="D10" s="299">
        <v>0.5</v>
      </c>
    </row>
    <row r="11" spans="1:4">
      <c r="A11" s="223">
        <v>8</v>
      </c>
      <c r="B11" s="371" t="s">
        <v>704</v>
      </c>
      <c r="C11" s="297" t="s">
        <v>552</v>
      </c>
      <c r="D11" s="299">
        <v>1</v>
      </c>
    </row>
    <row r="12" spans="1:4">
      <c r="A12" s="223">
        <v>9</v>
      </c>
      <c r="B12" s="371"/>
      <c r="C12" s="297" t="s">
        <v>555</v>
      </c>
      <c r="D12" s="299">
        <v>2</v>
      </c>
    </row>
    <row r="13" spans="1:4">
      <c r="A13" s="223">
        <v>10</v>
      </c>
      <c r="B13" s="371"/>
      <c r="C13" s="297" t="s">
        <v>558</v>
      </c>
      <c r="D13" s="299">
        <v>3</v>
      </c>
    </row>
    <row r="14" spans="1:4">
      <c r="A14" s="223">
        <v>11</v>
      </c>
      <c r="B14" s="371" t="s">
        <v>705</v>
      </c>
      <c r="C14" s="297" t="s">
        <v>561</v>
      </c>
      <c r="D14" s="299">
        <v>1</v>
      </c>
    </row>
    <row r="15" spans="1:4">
      <c r="A15" s="223">
        <v>12</v>
      </c>
      <c r="B15" s="371"/>
      <c r="C15" s="297" t="s">
        <v>563</v>
      </c>
      <c r="D15" s="299">
        <v>2</v>
      </c>
    </row>
    <row r="16" spans="1:4">
      <c r="A16" s="223">
        <v>13</v>
      </c>
      <c r="B16" s="371"/>
      <c r="C16" s="297" t="s">
        <v>565</v>
      </c>
      <c r="D16" s="299">
        <v>3</v>
      </c>
    </row>
    <row r="17" spans="1:4">
      <c r="A17" s="223">
        <v>14</v>
      </c>
      <c r="B17" s="371" t="s">
        <v>706</v>
      </c>
      <c r="C17" s="297" t="s">
        <v>567</v>
      </c>
      <c r="D17" s="299">
        <v>1</v>
      </c>
    </row>
    <row r="18" spans="1:4">
      <c r="A18" s="223">
        <v>15</v>
      </c>
      <c r="B18" s="371"/>
      <c r="C18" s="297" t="s">
        <v>570</v>
      </c>
      <c r="D18" s="299">
        <v>2</v>
      </c>
    </row>
    <row r="19" spans="1:4" ht="37.5" customHeight="1">
      <c r="A19" s="223">
        <v>16</v>
      </c>
      <c r="B19" s="371"/>
      <c r="C19" s="297" t="s">
        <v>573</v>
      </c>
      <c r="D19" s="299">
        <v>3</v>
      </c>
    </row>
    <row r="20" spans="1:4" ht="37.5" customHeight="1">
      <c r="A20" s="223">
        <v>17</v>
      </c>
      <c r="B20" s="298" t="s">
        <v>707</v>
      </c>
      <c r="C20" s="297" t="s">
        <v>297</v>
      </c>
      <c r="D20" s="299">
        <v>2</v>
      </c>
    </row>
    <row r="21" spans="1:4" ht="37.5" customHeight="1">
      <c r="A21" s="223">
        <v>18</v>
      </c>
      <c r="B21" s="360" t="s">
        <v>708</v>
      </c>
      <c r="C21" s="298" t="s">
        <v>577</v>
      </c>
      <c r="D21" s="299">
        <v>0.5</v>
      </c>
    </row>
    <row r="22" spans="1:4" ht="37.5" customHeight="1">
      <c r="A22" s="223">
        <v>19</v>
      </c>
      <c r="B22" s="360"/>
      <c r="C22" s="298" t="s">
        <v>580</v>
      </c>
      <c r="D22" s="299">
        <v>1</v>
      </c>
    </row>
    <row r="23" spans="1:4" ht="37.5" customHeight="1">
      <c r="A23" s="223">
        <v>20</v>
      </c>
      <c r="B23" s="360"/>
      <c r="C23" s="298" t="s">
        <v>583</v>
      </c>
      <c r="D23" s="299">
        <v>2</v>
      </c>
    </row>
    <row r="24" spans="1:4">
      <c r="A24" s="223">
        <v>21</v>
      </c>
      <c r="B24" s="372" t="s">
        <v>709</v>
      </c>
      <c r="C24" s="298" t="s">
        <v>586</v>
      </c>
      <c r="D24" s="299">
        <v>0.5</v>
      </c>
    </row>
    <row r="25" spans="1:4">
      <c r="A25" s="223">
        <v>22</v>
      </c>
      <c r="B25" s="373"/>
      <c r="C25" s="298" t="s">
        <v>589</v>
      </c>
      <c r="D25" s="299">
        <v>1</v>
      </c>
    </row>
    <row r="26" spans="1:4" ht="37.5" customHeight="1">
      <c r="A26" s="223">
        <v>23</v>
      </c>
      <c r="B26" s="374"/>
      <c r="C26" s="298" t="s">
        <v>592</v>
      </c>
      <c r="D26" s="299">
        <v>2</v>
      </c>
    </row>
    <row r="27" spans="1:4">
      <c r="A27" s="223"/>
      <c r="B27" s="223"/>
      <c r="C27" s="227"/>
      <c r="D27" s="229"/>
    </row>
    <row r="28" spans="1:4">
      <c r="A28" s="223"/>
      <c r="B28" s="223"/>
      <c r="C28" s="227"/>
      <c r="D28" s="229"/>
    </row>
    <row r="29" spans="1:4">
      <c r="A29" s="223"/>
      <c r="B29" s="223"/>
      <c r="C29" s="227"/>
      <c r="D29" s="229"/>
    </row>
    <row r="30" spans="1:4">
      <c r="A30" s="223"/>
      <c r="B30" s="223"/>
      <c r="C30" s="227"/>
      <c r="D30" s="229"/>
    </row>
    <row r="31" spans="1:4">
      <c r="A31" s="223"/>
      <c r="B31" s="223"/>
      <c r="C31" s="227"/>
      <c r="D31" s="229"/>
    </row>
    <row r="32" spans="1:4">
      <c r="A32" s="223"/>
      <c r="B32" s="223"/>
      <c r="C32" s="227"/>
      <c r="D32" s="229"/>
    </row>
    <row r="33" spans="1:4">
      <c r="A33" s="223"/>
      <c r="B33" s="223"/>
      <c r="C33" s="227"/>
      <c r="D33" s="229"/>
    </row>
    <row r="34" spans="1:4">
      <c r="A34" s="223"/>
      <c r="B34" s="223"/>
      <c r="C34" s="227"/>
      <c r="D34" s="229"/>
    </row>
    <row r="35" spans="1:4">
      <c r="A35" s="223"/>
      <c r="B35" s="223"/>
      <c r="C35" s="227"/>
      <c r="D35" s="229"/>
    </row>
    <row r="36" spans="1:4">
      <c r="A36" s="223"/>
      <c r="B36" s="223"/>
      <c r="C36" s="227"/>
      <c r="D36" s="229"/>
    </row>
    <row r="37" spans="1:4">
      <c r="A37" s="223"/>
      <c r="B37" s="223"/>
      <c r="C37" s="227"/>
      <c r="D37" s="229"/>
    </row>
    <row r="38" spans="1:4">
      <c r="A38" s="223"/>
      <c r="B38" s="223"/>
      <c r="C38" s="227"/>
      <c r="D38" s="229"/>
    </row>
    <row r="39" spans="1:4">
      <c r="A39" s="223"/>
      <c r="B39" s="223"/>
      <c r="C39" s="227"/>
      <c r="D39" s="229"/>
    </row>
    <row r="40" spans="1:4">
      <c r="A40" s="223"/>
      <c r="B40" s="223"/>
      <c r="C40" s="227"/>
      <c r="D40" s="229"/>
    </row>
    <row r="41" spans="1:4">
      <c r="A41" s="223"/>
      <c r="B41" s="223"/>
      <c r="C41" s="226"/>
      <c r="D41" s="228"/>
    </row>
    <row r="42" spans="1:4">
      <c r="A42" s="223"/>
      <c r="B42" s="223"/>
      <c r="C42" s="225"/>
      <c r="D42" s="228"/>
    </row>
  </sheetData>
  <mergeCells count="11">
    <mergeCell ref="B7:B9"/>
    <mergeCell ref="B11:B13"/>
    <mergeCell ref="B14:B16"/>
    <mergeCell ref="B17:B19"/>
    <mergeCell ref="B21:B23"/>
    <mergeCell ref="B24:B26"/>
    <mergeCell ref="A1:D1"/>
    <mergeCell ref="A2:A3"/>
    <mergeCell ref="B2:B3"/>
    <mergeCell ref="D2:D3"/>
    <mergeCell ref="B4:B6"/>
  </mergeCells>
  <pageMargins left="0.7" right="0.7" top="0.75" bottom="0.75" header="0.3" footer="0.3"/>
  <pageSetup scale="70"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L12"/>
  <sheetViews>
    <sheetView topLeftCell="A4" workbookViewId="0">
      <selection activeCell="G12" sqref="G12"/>
    </sheetView>
  </sheetViews>
  <sheetFormatPr defaultColWidth="8.85546875" defaultRowHeight="12.75"/>
  <cols>
    <col min="1" max="1" width="8.85546875" customWidth="1"/>
    <col min="2" max="2" width="20" customWidth="1"/>
    <col min="3" max="3" width="8.85546875" customWidth="1"/>
    <col min="4" max="4" width="22" customWidth="1"/>
    <col min="5" max="5" width="10" hidden="1" customWidth="1"/>
    <col min="6" max="8" width="8.85546875" customWidth="1"/>
    <col min="9" max="9" width="12.42578125" customWidth="1"/>
  </cols>
  <sheetData>
    <row r="4" spans="1:12" ht="15.75" customHeight="1">
      <c r="A4" s="377" t="s">
        <v>710</v>
      </c>
      <c r="B4" s="378"/>
      <c r="C4" s="378"/>
      <c r="D4" s="378"/>
      <c r="E4" s="378"/>
      <c r="F4" s="378"/>
      <c r="G4" s="379"/>
      <c r="H4" s="159"/>
      <c r="I4" s="159"/>
      <c r="J4" s="119"/>
      <c r="K4" s="119"/>
      <c r="L4" s="119"/>
    </row>
    <row r="5" spans="1:12" ht="15.75">
      <c r="A5" s="318" t="s">
        <v>33</v>
      </c>
      <c r="B5" s="319"/>
      <c r="C5" s="319"/>
      <c r="D5" s="319"/>
      <c r="E5" s="319"/>
      <c r="F5" s="319"/>
      <c r="G5" s="320"/>
      <c r="H5" s="119"/>
      <c r="I5" s="119"/>
      <c r="J5" s="119"/>
      <c r="K5" s="119"/>
      <c r="L5" s="119"/>
    </row>
    <row r="6" spans="1:12" ht="47.25">
      <c r="A6" s="54" t="s">
        <v>34</v>
      </c>
      <c r="B6" s="55" t="s">
        <v>35</v>
      </c>
      <c r="C6" s="382" t="s">
        <v>36</v>
      </c>
      <c r="D6" s="383"/>
      <c r="E6" s="56" t="s">
        <v>288</v>
      </c>
      <c r="F6" s="160" t="s">
        <v>711</v>
      </c>
      <c r="G6" s="161" t="s">
        <v>712</v>
      </c>
    </row>
    <row r="7" spans="1:12" ht="48" customHeight="1">
      <c r="A7" s="50">
        <v>1</v>
      </c>
      <c r="B7" s="51" t="s">
        <v>713</v>
      </c>
      <c r="C7" s="380" t="s">
        <v>714</v>
      </c>
      <c r="D7" s="381"/>
      <c r="E7" s="52">
        <v>20.5</v>
      </c>
      <c r="F7" s="162">
        <f t="shared" ref="F7:F12" si="0">E7/E$12</f>
        <v>9.1517857142857137E-2</v>
      </c>
      <c r="G7" s="163" t="s">
        <v>715</v>
      </c>
    </row>
    <row r="8" spans="1:12" ht="105" customHeight="1">
      <c r="A8" s="50">
        <v>2</v>
      </c>
      <c r="B8" s="51" t="s">
        <v>716</v>
      </c>
      <c r="C8" s="380" t="s">
        <v>717</v>
      </c>
      <c r="D8" s="381"/>
      <c r="E8" s="52">
        <v>10</v>
      </c>
      <c r="F8" s="162">
        <f t="shared" si="0"/>
        <v>4.4642857142857144E-2</v>
      </c>
      <c r="G8" s="118" t="s">
        <v>715</v>
      </c>
    </row>
    <row r="9" spans="1:12" ht="44.25" customHeight="1">
      <c r="A9" s="50">
        <v>3</v>
      </c>
      <c r="B9" s="51" t="s">
        <v>718</v>
      </c>
      <c r="C9" s="380" t="s">
        <v>719</v>
      </c>
      <c r="D9" s="381"/>
      <c r="E9" s="52">
        <v>15</v>
      </c>
      <c r="F9" s="162">
        <f t="shared" si="0"/>
        <v>6.6964285714285712E-2</v>
      </c>
      <c r="G9" s="118" t="s">
        <v>715</v>
      </c>
    </row>
    <row r="10" spans="1:12" ht="31.5">
      <c r="A10" s="50">
        <v>4</v>
      </c>
      <c r="B10" s="51" t="s">
        <v>720</v>
      </c>
      <c r="C10" s="380" t="s">
        <v>721</v>
      </c>
      <c r="D10" s="381"/>
      <c r="E10" s="52">
        <v>98</v>
      </c>
      <c r="F10" s="162">
        <f t="shared" si="0"/>
        <v>0.4375</v>
      </c>
      <c r="G10" s="166" t="s">
        <v>715</v>
      </c>
    </row>
    <row r="11" spans="1:12" ht="65.25" customHeight="1">
      <c r="A11" s="50">
        <v>5</v>
      </c>
      <c r="B11" s="57" t="s">
        <v>722</v>
      </c>
      <c r="C11" s="380" t="s">
        <v>723</v>
      </c>
      <c r="D11" s="381"/>
      <c r="E11" s="52">
        <v>80.5</v>
      </c>
      <c r="F11" s="162">
        <f t="shared" si="0"/>
        <v>0.359375</v>
      </c>
      <c r="G11" s="167" t="s">
        <v>715</v>
      </c>
    </row>
    <row r="12" spans="1:12" ht="60.75">
      <c r="A12" s="56">
        <v>7</v>
      </c>
      <c r="B12" s="58" t="s">
        <v>64</v>
      </c>
      <c r="C12" s="375" t="s">
        <v>724</v>
      </c>
      <c r="D12" s="376"/>
      <c r="E12" s="164">
        <f>SUM(E7:E11)</f>
        <v>224</v>
      </c>
      <c r="F12" s="162">
        <f t="shared" si="0"/>
        <v>1</v>
      </c>
      <c r="G12" s="165"/>
    </row>
  </sheetData>
  <mergeCells count="9">
    <mergeCell ref="C12:D12"/>
    <mergeCell ref="A4:G4"/>
    <mergeCell ref="C11:D11"/>
    <mergeCell ref="C9:D9"/>
    <mergeCell ref="C10:D10"/>
    <mergeCell ref="A5:G5"/>
    <mergeCell ref="C6:D6"/>
    <mergeCell ref="C7:D7"/>
    <mergeCell ref="C8:D8"/>
  </mergeCells>
  <dataValidations count="1">
    <dataValidation type="list" allowBlank="1" showInputMessage="1" showErrorMessage="1" sqref="G8:G9 G11" xr:uid="{00000000-0002-0000-0C00-000000000000}">
      <formula1>"Có,Không"</formula1>
    </dataValidation>
  </dataValidations>
  <pageMargins left="0.7" right="0.7" top="0.75" bottom="0.75" header="0.3" footer="0.3"/>
  <pageSetup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H12"/>
  <sheetViews>
    <sheetView zoomScaleNormal="100" zoomScaleSheetLayoutView="80" workbookViewId="0">
      <selection activeCell="J9" sqref="J9"/>
    </sheetView>
  </sheetViews>
  <sheetFormatPr defaultColWidth="11.42578125" defaultRowHeight="15.75"/>
  <cols>
    <col min="1" max="1" width="6.85546875" style="182" customWidth="1"/>
    <col min="2" max="2" width="16.42578125" style="182" customWidth="1"/>
    <col min="3" max="3" width="38.28515625" style="182" customWidth="1"/>
    <col min="4" max="4" width="10.140625" style="182" customWidth="1"/>
    <col min="5" max="5" width="15.42578125" style="182" customWidth="1"/>
    <col min="6" max="6" width="37.42578125" style="182" customWidth="1"/>
    <col min="7" max="7" width="12.28515625" style="182" customWidth="1"/>
    <col min="8" max="8" width="14.140625" style="182" customWidth="1"/>
    <col min="9" max="16384" width="11.42578125" style="182"/>
  </cols>
  <sheetData>
    <row r="1" spans="1:8" ht="35.25" customHeight="1">
      <c r="A1" s="384" t="s">
        <v>725</v>
      </c>
      <c r="B1" s="384"/>
      <c r="C1" s="384"/>
      <c r="D1" s="384"/>
      <c r="E1" s="384"/>
      <c r="F1" s="384"/>
      <c r="G1" s="384"/>
      <c r="H1" s="384"/>
    </row>
    <row r="2" spans="1:8">
      <c r="A2" s="385" t="s">
        <v>726</v>
      </c>
      <c r="B2" s="385"/>
      <c r="C2" s="385"/>
      <c r="D2" s="385"/>
      <c r="E2" s="385"/>
      <c r="F2" s="385"/>
      <c r="G2" s="385"/>
      <c r="H2" s="385"/>
    </row>
    <row r="3" spans="1:8">
      <c r="A3" s="183"/>
      <c r="B3" s="386" t="s">
        <v>727</v>
      </c>
      <c r="C3" s="386"/>
      <c r="D3" s="386"/>
      <c r="E3" s="386"/>
      <c r="F3" s="386"/>
      <c r="G3" s="386"/>
      <c r="H3" s="386"/>
    </row>
    <row r="4" spans="1:8">
      <c r="A4" s="185"/>
      <c r="B4" s="186" t="s">
        <v>728</v>
      </c>
      <c r="C4" s="186"/>
      <c r="D4" s="186"/>
      <c r="E4" s="186"/>
      <c r="F4" s="185"/>
      <c r="G4" s="185"/>
      <c r="H4" s="185"/>
    </row>
    <row r="5" spans="1:8">
      <c r="A5" s="385" t="s">
        <v>729</v>
      </c>
      <c r="B5" s="385"/>
      <c r="C5" s="385"/>
      <c r="D5" s="385"/>
      <c r="E5" s="385"/>
      <c r="F5" s="385"/>
      <c r="G5" s="385"/>
      <c r="H5" s="385"/>
    </row>
    <row r="6" spans="1:8" s="184" customFormat="1" ht="82.5" customHeight="1">
      <c r="A6" s="168" t="s">
        <v>730</v>
      </c>
      <c r="B6" s="389"/>
      <c r="C6" s="390"/>
      <c r="D6" s="387" t="s">
        <v>731</v>
      </c>
      <c r="E6" s="387"/>
      <c r="F6" s="387"/>
      <c r="G6" s="387"/>
      <c r="H6" s="387"/>
    </row>
    <row r="7" spans="1:8" s="184" customFormat="1" ht="87.75" customHeight="1">
      <c r="A7" s="168" t="s">
        <v>732</v>
      </c>
      <c r="B7" s="389"/>
      <c r="C7" s="390"/>
      <c r="D7" s="388" t="s">
        <v>733</v>
      </c>
      <c r="E7" s="388"/>
      <c r="F7" s="388"/>
      <c r="G7" s="388"/>
      <c r="H7" s="388"/>
    </row>
    <row r="8" spans="1:8" s="184" customFormat="1" ht="113.25" customHeight="1">
      <c r="A8" s="168" t="s">
        <v>734</v>
      </c>
      <c r="B8" s="389"/>
      <c r="C8" s="390"/>
      <c r="D8" s="391" t="s">
        <v>735</v>
      </c>
      <c r="E8" s="392"/>
      <c r="F8" s="392"/>
      <c r="G8" s="392"/>
      <c r="H8" s="393"/>
    </row>
    <row r="9" spans="1:8" s="184" customFormat="1" ht="82.5" customHeight="1">
      <c r="A9" s="168" t="s">
        <v>736</v>
      </c>
      <c r="B9" s="389"/>
      <c r="C9" s="390"/>
      <c r="D9" s="387" t="s">
        <v>737</v>
      </c>
      <c r="E9" s="387"/>
      <c r="F9" s="387"/>
      <c r="G9" s="387"/>
      <c r="H9" s="387"/>
    </row>
    <row r="10" spans="1:8" s="184" customFormat="1" ht="82.5" customHeight="1">
      <c r="A10" s="168" t="s">
        <v>738</v>
      </c>
      <c r="B10" s="389"/>
      <c r="C10" s="390"/>
      <c r="D10" s="387" t="s">
        <v>739</v>
      </c>
      <c r="E10" s="387"/>
      <c r="F10" s="387"/>
      <c r="G10" s="387"/>
      <c r="H10" s="387"/>
    </row>
    <row r="12" spans="1:8">
      <c r="B12" s="394"/>
      <c r="C12" s="394"/>
      <c r="D12" s="394"/>
      <c r="E12" s="394"/>
      <c r="F12" s="394"/>
      <c r="G12" s="394"/>
      <c r="H12" s="394"/>
    </row>
  </sheetData>
  <mergeCells count="15">
    <mergeCell ref="D7:H7"/>
    <mergeCell ref="B8:C8"/>
    <mergeCell ref="D8:H8"/>
    <mergeCell ref="D9:H9"/>
    <mergeCell ref="B12:H12"/>
    <mergeCell ref="B7:C7"/>
    <mergeCell ref="B9:C9"/>
    <mergeCell ref="B10:C10"/>
    <mergeCell ref="D10:H10"/>
    <mergeCell ref="A1:H1"/>
    <mergeCell ref="A2:H2"/>
    <mergeCell ref="B3:H3"/>
    <mergeCell ref="A5:H5"/>
    <mergeCell ref="D6:H6"/>
    <mergeCell ref="B6:C6"/>
  </mergeCells>
  <pageMargins left="0.7" right="0.7" top="0.75" bottom="0.75" header="0.3" footer="0.3"/>
  <pageSetup paperSize="9" scale="5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F15"/>
  <sheetViews>
    <sheetView topLeftCell="A4" zoomScale="85" zoomScaleNormal="85" workbookViewId="0">
      <selection activeCell="C11" sqref="C11:F11"/>
    </sheetView>
  </sheetViews>
  <sheetFormatPr defaultColWidth="11.42578125" defaultRowHeight="12.75"/>
  <cols>
    <col min="1" max="1" width="9.85546875" style="192" customWidth="1"/>
    <col min="2" max="2" width="38.28515625" style="192" customWidth="1"/>
    <col min="3" max="3" width="10.140625" style="192" customWidth="1"/>
    <col min="4" max="4" width="15.42578125" style="192" customWidth="1"/>
    <col min="5" max="5" width="12.28515625" style="192" customWidth="1"/>
    <col min="6" max="6" width="65.140625" style="192" customWidth="1"/>
    <col min="7" max="16384" width="11.42578125" style="192"/>
  </cols>
  <sheetData>
    <row r="1" spans="1:6" ht="35.25" customHeight="1">
      <c r="A1" s="397" t="s">
        <v>740</v>
      </c>
      <c r="B1" s="397"/>
      <c r="C1" s="397"/>
      <c r="D1" s="397"/>
      <c r="E1" s="397"/>
      <c r="F1" s="397"/>
    </row>
    <row r="2" spans="1:6" ht="45.75" customHeight="1">
      <c r="A2" s="398" t="s">
        <v>741</v>
      </c>
      <c r="B2" s="398"/>
      <c r="C2" s="398"/>
      <c r="D2" s="398"/>
      <c r="E2" s="398"/>
      <c r="F2" s="398"/>
    </row>
    <row r="3" spans="1:6" ht="19.5">
      <c r="A3" s="398" t="s">
        <v>742</v>
      </c>
      <c r="B3" s="398"/>
      <c r="C3" s="398"/>
      <c r="D3" s="398"/>
      <c r="E3" s="398"/>
      <c r="F3" s="398"/>
    </row>
    <row r="4" spans="1:6" ht="19.5">
      <c r="A4" s="193"/>
      <c r="B4" s="193"/>
      <c r="C4" s="193"/>
      <c r="D4" s="193"/>
      <c r="E4" s="193"/>
      <c r="F4" s="193"/>
    </row>
    <row r="5" spans="1:6" s="196" customFormat="1" ht="31.5">
      <c r="A5" s="194" t="s">
        <v>34</v>
      </c>
      <c r="B5" s="195" t="s">
        <v>743</v>
      </c>
      <c r="C5" s="195" t="s">
        <v>744</v>
      </c>
      <c r="D5" s="195" t="s">
        <v>745</v>
      </c>
      <c r="E5" s="195" t="s">
        <v>744</v>
      </c>
      <c r="F5" s="195" t="s">
        <v>745</v>
      </c>
    </row>
    <row r="6" spans="1:6" s="196" customFormat="1" ht="213" customHeight="1">
      <c r="A6" s="197">
        <v>1</v>
      </c>
      <c r="B6" s="198" t="s">
        <v>746</v>
      </c>
      <c r="C6" s="199" t="s">
        <v>747</v>
      </c>
      <c r="D6" s="200" t="s">
        <v>748</v>
      </c>
      <c r="E6" s="199" t="s">
        <v>749</v>
      </c>
      <c r="F6" s="200" t="s">
        <v>750</v>
      </c>
    </row>
    <row r="7" spans="1:6" ht="16.5">
      <c r="A7" s="201"/>
      <c r="B7" s="202"/>
      <c r="C7" s="202"/>
      <c r="D7" s="202"/>
      <c r="E7" s="201"/>
      <c r="F7" s="201"/>
    </row>
    <row r="8" spans="1:6" ht="19.5">
      <c r="A8" s="398" t="s">
        <v>751</v>
      </c>
      <c r="B8" s="398"/>
      <c r="C8" s="398"/>
      <c r="D8" s="398"/>
      <c r="E8" s="398"/>
      <c r="F8" s="398"/>
    </row>
    <row r="9" spans="1:6" s="203" customFormat="1" ht="82.5" customHeight="1">
      <c r="A9" s="168" t="s">
        <v>730</v>
      </c>
      <c r="B9" s="191"/>
      <c r="C9" s="387" t="s">
        <v>752</v>
      </c>
      <c r="D9" s="387"/>
      <c r="E9" s="387"/>
      <c r="F9" s="387"/>
    </row>
    <row r="10" spans="1:6" s="203" customFormat="1" ht="87.75" customHeight="1">
      <c r="A10" s="168" t="s">
        <v>732</v>
      </c>
      <c r="B10" s="191"/>
      <c r="C10" s="388" t="s">
        <v>753</v>
      </c>
      <c r="D10" s="388"/>
      <c r="E10" s="388"/>
      <c r="F10" s="388"/>
    </row>
    <row r="11" spans="1:6" s="203" customFormat="1" ht="188.25" customHeight="1">
      <c r="A11" s="168" t="s">
        <v>734</v>
      </c>
      <c r="B11" s="191"/>
      <c r="C11" s="395" t="s">
        <v>754</v>
      </c>
      <c r="D11" s="392"/>
      <c r="E11" s="392"/>
      <c r="F11" s="393"/>
    </row>
    <row r="12" spans="1:6" s="203" customFormat="1" ht="82.5" customHeight="1">
      <c r="A12" s="168" t="s">
        <v>736</v>
      </c>
      <c r="B12" s="191"/>
      <c r="C12" s="387" t="s">
        <v>755</v>
      </c>
      <c r="D12" s="387"/>
      <c r="E12" s="387"/>
      <c r="F12" s="387"/>
    </row>
    <row r="13" spans="1:6" s="203" customFormat="1" ht="82.5" customHeight="1">
      <c r="A13" s="168" t="s">
        <v>738</v>
      </c>
      <c r="B13" s="191"/>
      <c r="C13" s="387" t="s">
        <v>756</v>
      </c>
      <c r="D13" s="387"/>
      <c r="E13" s="387"/>
      <c r="F13" s="387"/>
    </row>
    <row r="15" spans="1:6">
      <c r="B15" s="396"/>
      <c r="C15" s="396"/>
      <c r="D15" s="396"/>
      <c r="E15" s="396"/>
      <c r="F15" s="396"/>
    </row>
  </sheetData>
  <mergeCells count="10">
    <mergeCell ref="C11:F11"/>
    <mergeCell ref="C12:F12"/>
    <mergeCell ref="C13:F13"/>
    <mergeCell ref="B15:F15"/>
    <mergeCell ref="A1:F1"/>
    <mergeCell ref="A2:F2"/>
    <mergeCell ref="A3:F3"/>
    <mergeCell ref="A8:F8"/>
    <mergeCell ref="C9:F9"/>
    <mergeCell ref="C10:F1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59"/>
  <sheetViews>
    <sheetView topLeftCell="A247" workbookViewId="0">
      <selection activeCell="H259" sqref="H259"/>
    </sheetView>
  </sheetViews>
  <sheetFormatPr defaultColWidth="8.85546875" defaultRowHeight="12.75"/>
  <cols>
    <col min="1" max="1" width="6.7109375" customWidth="1"/>
    <col min="2" max="2" width="14.28515625" customWidth="1"/>
    <col min="3" max="3" width="15.42578125" customWidth="1"/>
    <col min="4" max="4" width="37.42578125" customWidth="1"/>
    <col min="5" max="5" width="18" customWidth="1"/>
  </cols>
  <sheetData>
    <row r="1" spans="1:5" ht="48.95" customHeight="1">
      <c r="A1" s="321" t="s">
        <v>757</v>
      </c>
      <c r="B1" s="321"/>
      <c r="C1" s="321"/>
      <c r="D1" s="321"/>
      <c r="E1" s="321"/>
    </row>
    <row r="2" spans="1:5">
      <c r="A2" s="119"/>
      <c r="B2" s="119"/>
      <c r="C2" s="119"/>
      <c r="D2" s="119"/>
      <c r="E2" s="119"/>
    </row>
    <row r="3" spans="1:5">
      <c r="A3" s="344" t="s">
        <v>218</v>
      </c>
      <c r="B3" s="344" t="s">
        <v>302</v>
      </c>
      <c r="C3" s="344" t="s">
        <v>694</v>
      </c>
      <c r="D3" s="344" t="s">
        <v>35</v>
      </c>
      <c r="E3" s="344" t="s">
        <v>287</v>
      </c>
    </row>
    <row r="4" spans="1:5">
      <c r="A4" s="344"/>
      <c r="B4" s="344" t="s">
        <v>695</v>
      </c>
      <c r="C4" s="344"/>
      <c r="D4" s="344"/>
      <c r="E4" s="344" t="s">
        <v>696</v>
      </c>
    </row>
    <row r="5" spans="1:5" ht="15.75">
      <c r="A5" s="120">
        <v>1</v>
      </c>
      <c r="B5" s="121" t="s">
        <v>74</v>
      </c>
      <c r="C5" s="121" t="s">
        <v>758</v>
      </c>
      <c r="D5" s="121" t="str">
        <f>"Thực hiện "&amp;C5&amp;" cho "&amp;B5</f>
        <v>Thực hiện QTDA cho NVJ1-PTM</v>
      </c>
      <c r="E5" s="122">
        <v>3</v>
      </c>
    </row>
    <row r="6" spans="1:5" ht="15.75">
      <c r="A6" s="120">
        <v>2</v>
      </c>
      <c r="B6" s="121" t="s">
        <v>74</v>
      </c>
      <c r="C6" s="121" t="s">
        <v>759</v>
      </c>
      <c r="D6" s="121" t="str">
        <f t="shared" ref="D6:D31" si="0">"Thực hiện "&amp;C6&amp;" cho "&amp;B6</f>
        <v>Thực hiện tạo PTYC cho NVJ1-PTM</v>
      </c>
      <c r="E6" s="122">
        <v>2</v>
      </c>
    </row>
    <row r="7" spans="1:5" ht="15.75">
      <c r="A7" s="120">
        <v>3</v>
      </c>
      <c r="B7" s="121" t="s">
        <v>74</v>
      </c>
      <c r="C7" s="121" t="s">
        <v>760</v>
      </c>
      <c r="D7" s="121" t="str">
        <f t="shared" si="0"/>
        <v>Thực hiện TKCSDL cho NVJ1-PTM</v>
      </c>
      <c r="E7" s="122">
        <v>1</v>
      </c>
    </row>
    <row r="8" spans="1:5" ht="15.75">
      <c r="A8" s="120">
        <v>4</v>
      </c>
      <c r="B8" s="121" t="s">
        <v>74</v>
      </c>
      <c r="C8" s="121" t="s">
        <v>761</v>
      </c>
      <c r="D8" s="121" t="str">
        <f t="shared" si="0"/>
        <v>Thực hiện TKCT cho NVJ1-PTM</v>
      </c>
      <c r="E8" s="122">
        <v>1</v>
      </c>
    </row>
    <row r="9" spans="1:5" ht="15.75">
      <c r="A9" s="120">
        <v>5</v>
      </c>
      <c r="B9" s="121" t="s">
        <v>74</v>
      </c>
      <c r="C9" s="121" t="s">
        <v>762</v>
      </c>
      <c r="D9" s="121" t="str">
        <f t="shared" si="0"/>
        <v>Thực hiện Lập trình cho NVJ1-PTM</v>
      </c>
      <c r="E9" s="122">
        <v>10</v>
      </c>
    </row>
    <row r="10" spans="1:5" ht="15.75">
      <c r="A10" s="120">
        <v>6</v>
      </c>
      <c r="B10" s="121" t="s">
        <v>74</v>
      </c>
      <c r="C10" s="121" t="s">
        <v>763</v>
      </c>
      <c r="D10" s="121" t="str">
        <f t="shared" si="0"/>
        <v>Thực hiện viết Unit test cho NVJ1-PTM</v>
      </c>
      <c r="E10" s="122">
        <v>6</v>
      </c>
    </row>
    <row r="11" spans="1:5" ht="31.5">
      <c r="A11" s="120">
        <v>7</v>
      </c>
      <c r="B11" s="121" t="s">
        <v>74</v>
      </c>
      <c r="C11" s="121" t="s">
        <v>764</v>
      </c>
      <c r="D11" s="121" t="str">
        <f t="shared" si="0"/>
        <v>Thực hiện viết kịch bản kiểm thử cho NVJ1-PTM</v>
      </c>
      <c r="E11" s="122">
        <v>4</v>
      </c>
    </row>
    <row r="12" spans="1:5" ht="15.75">
      <c r="A12" s="120">
        <v>8</v>
      </c>
      <c r="B12" s="121" t="s">
        <v>74</v>
      </c>
      <c r="C12" s="121" t="s">
        <v>765</v>
      </c>
      <c r="D12" s="121" t="str">
        <f t="shared" si="0"/>
        <v>Thực hiện kiểm thử cho NVJ1-PTM</v>
      </c>
      <c r="E12" s="122">
        <v>4</v>
      </c>
    </row>
    <row r="13" spans="1:5" ht="15.75">
      <c r="A13" s="120">
        <v>9</v>
      </c>
      <c r="B13" s="121" t="s">
        <v>74</v>
      </c>
      <c r="C13" s="121" t="s">
        <v>766</v>
      </c>
      <c r="D13" s="121" t="str">
        <f t="shared" si="0"/>
        <v>Thực hiện viết HDSD cho NVJ1-PTM</v>
      </c>
      <c r="E13" s="122">
        <v>1</v>
      </c>
    </row>
    <row r="14" spans="1:5" ht="15.75">
      <c r="A14" s="120">
        <v>10</v>
      </c>
      <c r="B14" s="123" t="s">
        <v>79</v>
      </c>
      <c r="C14" s="123" t="s">
        <v>758</v>
      </c>
      <c r="D14" s="123" t="str">
        <f t="shared" si="0"/>
        <v>Thực hiện QTDA cho NVJ2-PTM</v>
      </c>
      <c r="E14" s="124">
        <v>5</v>
      </c>
    </row>
    <row r="15" spans="1:5" ht="15.75">
      <c r="A15" s="120">
        <v>11</v>
      </c>
      <c r="B15" s="123" t="s">
        <v>79</v>
      </c>
      <c r="C15" s="123" t="s">
        <v>759</v>
      </c>
      <c r="D15" s="123" t="str">
        <f t="shared" si="0"/>
        <v>Thực hiện tạo PTYC cho NVJ2-PTM</v>
      </c>
      <c r="E15" s="124">
        <v>4</v>
      </c>
    </row>
    <row r="16" spans="1:5" ht="15.75">
      <c r="A16" s="120">
        <v>12</v>
      </c>
      <c r="B16" s="123" t="s">
        <v>79</v>
      </c>
      <c r="C16" s="123" t="s">
        <v>760</v>
      </c>
      <c r="D16" s="123" t="str">
        <f t="shared" si="0"/>
        <v>Thực hiện TKCSDL cho NVJ2-PTM</v>
      </c>
      <c r="E16" s="124">
        <v>1</v>
      </c>
    </row>
    <row r="17" spans="1:5" ht="15.75">
      <c r="A17" s="120">
        <v>13</v>
      </c>
      <c r="B17" s="123" t="s">
        <v>79</v>
      </c>
      <c r="C17" s="123" t="s">
        <v>761</v>
      </c>
      <c r="D17" s="123" t="str">
        <f t="shared" si="0"/>
        <v>Thực hiện TKCT cho NVJ2-PTM</v>
      </c>
      <c r="E17" s="124">
        <v>2</v>
      </c>
    </row>
    <row r="18" spans="1:5" ht="15.75">
      <c r="A18" s="120">
        <v>14</v>
      </c>
      <c r="B18" s="123" t="s">
        <v>79</v>
      </c>
      <c r="C18" s="123" t="s">
        <v>762</v>
      </c>
      <c r="D18" s="123" t="str">
        <f t="shared" si="0"/>
        <v>Thực hiện Lập trình cho NVJ2-PTM</v>
      </c>
      <c r="E18" s="124">
        <v>14</v>
      </c>
    </row>
    <row r="19" spans="1:5" ht="15.75">
      <c r="A19" s="120">
        <v>15</v>
      </c>
      <c r="B19" s="123" t="s">
        <v>79</v>
      </c>
      <c r="C19" s="123" t="s">
        <v>763</v>
      </c>
      <c r="D19" s="123" t="str">
        <f t="shared" si="0"/>
        <v>Thực hiện viết Unit test cho NVJ2-PTM</v>
      </c>
      <c r="E19" s="124">
        <v>9</v>
      </c>
    </row>
    <row r="20" spans="1:5" ht="31.5">
      <c r="A20" s="120">
        <v>16</v>
      </c>
      <c r="B20" s="123" t="s">
        <v>79</v>
      </c>
      <c r="C20" s="123" t="s">
        <v>764</v>
      </c>
      <c r="D20" s="123" t="str">
        <f t="shared" si="0"/>
        <v>Thực hiện viết kịch bản kiểm thử cho NVJ2-PTM</v>
      </c>
      <c r="E20" s="124">
        <v>6</v>
      </c>
    </row>
    <row r="21" spans="1:5" ht="15.75">
      <c r="A21" s="120">
        <v>17</v>
      </c>
      <c r="B21" s="123" t="s">
        <v>79</v>
      </c>
      <c r="C21" s="123" t="s">
        <v>765</v>
      </c>
      <c r="D21" s="123" t="str">
        <f t="shared" si="0"/>
        <v>Thực hiện kiểm thử cho NVJ2-PTM</v>
      </c>
      <c r="E21" s="124">
        <v>6</v>
      </c>
    </row>
    <row r="22" spans="1:5" ht="15.75">
      <c r="A22" s="120">
        <v>18</v>
      </c>
      <c r="B22" s="123" t="s">
        <v>79</v>
      </c>
      <c r="C22" s="123" t="s">
        <v>766</v>
      </c>
      <c r="D22" s="123" t="str">
        <f t="shared" si="0"/>
        <v>Thực hiện viết HDSD cho NVJ2-PTM</v>
      </c>
      <c r="E22" s="124">
        <v>2</v>
      </c>
    </row>
    <row r="23" spans="1:5" ht="15.75">
      <c r="A23" s="120">
        <v>19</v>
      </c>
      <c r="B23" s="121" t="s">
        <v>83</v>
      </c>
      <c r="C23" s="121" t="s">
        <v>758</v>
      </c>
      <c r="D23" s="121" t="str">
        <f t="shared" si="0"/>
        <v>Thực hiện QTDA cho NVJ3-PTM</v>
      </c>
      <c r="E23" s="122">
        <v>8</v>
      </c>
    </row>
    <row r="24" spans="1:5" ht="15.75">
      <c r="A24" s="120">
        <v>20</v>
      </c>
      <c r="B24" s="121" t="s">
        <v>83</v>
      </c>
      <c r="C24" s="121" t="s">
        <v>759</v>
      </c>
      <c r="D24" s="121" t="str">
        <f t="shared" si="0"/>
        <v>Thực hiện tạo PTYC cho NVJ3-PTM</v>
      </c>
      <c r="E24" s="122">
        <v>8</v>
      </c>
    </row>
    <row r="25" spans="1:5" ht="15.75">
      <c r="A25" s="120">
        <v>21</v>
      </c>
      <c r="B25" s="121" t="s">
        <v>83</v>
      </c>
      <c r="C25" s="121" t="s">
        <v>760</v>
      </c>
      <c r="D25" s="121" t="str">
        <f t="shared" si="0"/>
        <v>Thực hiện TKCSDL cho NVJ3-PTM</v>
      </c>
      <c r="E25" s="122">
        <v>2</v>
      </c>
    </row>
    <row r="26" spans="1:5" ht="15.75">
      <c r="A26" s="120">
        <v>22</v>
      </c>
      <c r="B26" s="121" t="s">
        <v>83</v>
      </c>
      <c r="C26" s="121" t="s">
        <v>761</v>
      </c>
      <c r="D26" s="121" t="str">
        <f t="shared" si="0"/>
        <v>Thực hiện TKCT cho NVJ3-PTM</v>
      </c>
      <c r="E26" s="122">
        <v>2</v>
      </c>
    </row>
    <row r="27" spans="1:5" ht="15.75">
      <c r="A27" s="120">
        <v>23</v>
      </c>
      <c r="B27" s="121" t="s">
        <v>83</v>
      </c>
      <c r="C27" s="121" t="s">
        <v>762</v>
      </c>
      <c r="D27" s="121" t="str">
        <f t="shared" si="0"/>
        <v>Thực hiện Lập trình cho NVJ3-PTM</v>
      </c>
      <c r="E27" s="122">
        <v>18</v>
      </c>
    </row>
    <row r="28" spans="1:5" ht="15.75">
      <c r="A28" s="120">
        <v>24</v>
      </c>
      <c r="B28" s="121" t="s">
        <v>83</v>
      </c>
      <c r="C28" s="121" t="s">
        <v>763</v>
      </c>
      <c r="D28" s="121" t="str">
        <f t="shared" si="0"/>
        <v>Thực hiện viết Unit test cho NVJ3-PTM</v>
      </c>
      <c r="E28" s="122">
        <v>12</v>
      </c>
    </row>
    <row r="29" spans="1:5" ht="31.5">
      <c r="A29" s="120">
        <v>25</v>
      </c>
      <c r="B29" s="121" t="s">
        <v>83</v>
      </c>
      <c r="C29" s="121" t="s">
        <v>764</v>
      </c>
      <c r="D29" s="121" t="str">
        <f t="shared" si="0"/>
        <v>Thực hiện viết kịch bản kiểm thử cho NVJ3-PTM</v>
      </c>
      <c r="E29" s="122">
        <v>10</v>
      </c>
    </row>
    <row r="30" spans="1:5" ht="15.75">
      <c r="A30" s="120">
        <v>26</v>
      </c>
      <c r="B30" s="121" t="s">
        <v>83</v>
      </c>
      <c r="C30" s="121" t="s">
        <v>765</v>
      </c>
      <c r="D30" s="121" t="str">
        <f t="shared" si="0"/>
        <v>Thực hiện kiểm thử cho NVJ3-PTM</v>
      </c>
      <c r="E30" s="122">
        <v>10</v>
      </c>
    </row>
    <row r="31" spans="1:5" ht="15.75">
      <c r="A31" s="120">
        <v>27</v>
      </c>
      <c r="B31" s="121" t="s">
        <v>83</v>
      </c>
      <c r="C31" s="121" t="s">
        <v>766</v>
      </c>
      <c r="D31" s="121" t="str">
        <f t="shared" si="0"/>
        <v>Thực hiện viết HDSD cho NVJ3-PTM</v>
      </c>
      <c r="E31" s="122">
        <v>3</v>
      </c>
    </row>
    <row r="32" spans="1:5" ht="15.75">
      <c r="A32" s="120">
        <v>28</v>
      </c>
      <c r="B32" s="123" t="s">
        <v>91</v>
      </c>
      <c r="C32" s="123" t="s">
        <v>758</v>
      </c>
      <c r="D32" s="123" t="str">
        <f>"Thực hiện "&amp;C32&amp;" cho "&amp;B32</f>
        <v>Thực hiện QTDA cho GD_WEB1</v>
      </c>
      <c r="E32" s="124">
        <v>3</v>
      </c>
    </row>
    <row r="33" spans="1:5" ht="15.75">
      <c r="A33" s="120">
        <v>29</v>
      </c>
      <c r="B33" s="123" t="s">
        <v>91</v>
      </c>
      <c r="C33" s="123" t="s">
        <v>759</v>
      </c>
      <c r="D33" s="123" t="str">
        <f t="shared" ref="D33:D96" si="1">"Thực hiện "&amp;C33&amp;" cho "&amp;B33</f>
        <v>Thực hiện tạo PTYC cho GD_WEB1</v>
      </c>
      <c r="E33" s="124">
        <v>2</v>
      </c>
    </row>
    <row r="34" spans="1:5" ht="15.75">
      <c r="A34" s="120">
        <v>30</v>
      </c>
      <c r="B34" s="123" t="s">
        <v>91</v>
      </c>
      <c r="C34" s="123" t="s">
        <v>761</v>
      </c>
      <c r="D34" s="123" t="str">
        <f t="shared" si="1"/>
        <v>Thực hiện TKCT cho GD_WEB1</v>
      </c>
      <c r="E34" s="124">
        <v>1</v>
      </c>
    </row>
    <row r="35" spans="1:5" ht="15.75">
      <c r="A35" s="120">
        <v>31</v>
      </c>
      <c r="B35" s="123" t="s">
        <v>91</v>
      </c>
      <c r="C35" s="123" t="s">
        <v>762</v>
      </c>
      <c r="D35" s="123" t="str">
        <f t="shared" si="1"/>
        <v>Thực hiện Lập trình cho GD_WEB1</v>
      </c>
      <c r="E35" s="124">
        <v>8</v>
      </c>
    </row>
    <row r="36" spans="1:5" ht="31.5">
      <c r="A36" s="120">
        <v>32</v>
      </c>
      <c r="B36" s="123" t="s">
        <v>91</v>
      </c>
      <c r="C36" s="123" t="s">
        <v>764</v>
      </c>
      <c r="D36" s="123" t="str">
        <f t="shared" si="1"/>
        <v>Thực hiện viết kịch bản kiểm thử cho GD_WEB1</v>
      </c>
      <c r="E36" s="124">
        <v>4</v>
      </c>
    </row>
    <row r="37" spans="1:5" ht="15.75">
      <c r="A37" s="120">
        <v>33</v>
      </c>
      <c r="B37" s="123" t="s">
        <v>91</v>
      </c>
      <c r="C37" s="123" t="s">
        <v>765</v>
      </c>
      <c r="D37" s="123" t="str">
        <f t="shared" si="1"/>
        <v>Thực hiện kiểm thử cho GD_WEB1</v>
      </c>
      <c r="E37" s="124">
        <v>4</v>
      </c>
    </row>
    <row r="38" spans="1:5" ht="47.25">
      <c r="A38" s="120">
        <v>34</v>
      </c>
      <c r="B38" s="123" t="s">
        <v>91</v>
      </c>
      <c r="C38" s="123" t="s">
        <v>767</v>
      </c>
      <c r="D38" s="123" t="str">
        <f t="shared" si="1"/>
        <v>Thực hiện viết kịch bản kiểm thử tự động cho GD_WEB1</v>
      </c>
      <c r="E38" s="124">
        <v>6</v>
      </c>
    </row>
    <row r="39" spans="1:5" ht="15.75">
      <c r="A39" s="120">
        <v>35</v>
      </c>
      <c r="B39" s="123" t="s">
        <v>91</v>
      </c>
      <c r="C39" s="123" t="s">
        <v>766</v>
      </c>
      <c r="D39" s="123" t="str">
        <f t="shared" si="1"/>
        <v>Thực hiện viết HDSD cho GD_WEB1</v>
      </c>
      <c r="E39" s="124">
        <v>1</v>
      </c>
    </row>
    <row r="40" spans="1:5" ht="15.75">
      <c r="A40" s="120">
        <v>36</v>
      </c>
      <c r="B40" s="70" t="s">
        <v>94</v>
      </c>
      <c r="C40" s="121" t="s">
        <v>758</v>
      </c>
      <c r="D40" s="121" t="str">
        <f t="shared" si="1"/>
        <v>Thực hiện QTDA cho GD_WEB2</v>
      </c>
      <c r="E40" s="122">
        <v>5</v>
      </c>
    </row>
    <row r="41" spans="1:5" ht="15.75">
      <c r="A41" s="120">
        <v>37</v>
      </c>
      <c r="B41" s="70" t="s">
        <v>94</v>
      </c>
      <c r="C41" s="121" t="s">
        <v>759</v>
      </c>
      <c r="D41" s="121" t="str">
        <f t="shared" si="1"/>
        <v>Thực hiện tạo PTYC cho GD_WEB2</v>
      </c>
      <c r="E41" s="122">
        <v>2</v>
      </c>
    </row>
    <row r="42" spans="1:5" ht="15.75">
      <c r="A42" s="120">
        <v>38</v>
      </c>
      <c r="B42" s="70" t="s">
        <v>94</v>
      </c>
      <c r="C42" s="121" t="s">
        <v>761</v>
      </c>
      <c r="D42" s="121" t="str">
        <f t="shared" si="1"/>
        <v>Thực hiện TKCT cho GD_WEB2</v>
      </c>
      <c r="E42" s="122">
        <v>2</v>
      </c>
    </row>
    <row r="43" spans="1:5" ht="15.75">
      <c r="A43" s="120">
        <v>39</v>
      </c>
      <c r="B43" s="70" t="s">
        <v>94</v>
      </c>
      <c r="C43" s="121" t="s">
        <v>762</v>
      </c>
      <c r="D43" s="121" t="str">
        <f t="shared" si="1"/>
        <v>Thực hiện Lập trình cho GD_WEB2</v>
      </c>
      <c r="E43" s="122">
        <v>12</v>
      </c>
    </row>
    <row r="44" spans="1:5" ht="31.5">
      <c r="A44" s="120">
        <v>40</v>
      </c>
      <c r="B44" s="70" t="s">
        <v>94</v>
      </c>
      <c r="C44" s="121" t="s">
        <v>764</v>
      </c>
      <c r="D44" s="121" t="str">
        <f t="shared" si="1"/>
        <v>Thực hiện viết kịch bản kiểm thử cho GD_WEB2</v>
      </c>
      <c r="E44" s="122">
        <v>6</v>
      </c>
    </row>
    <row r="45" spans="1:5" ht="15.75">
      <c r="A45" s="120">
        <v>41</v>
      </c>
      <c r="B45" s="70" t="s">
        <v>94</v>
      </c>
      <c r="C45" s="121" t="s">
        <v>765</v>
      </c>
      <c r="D45" s="121" t="str">
        <f t="shared" si="1"/>
        <v>Thực hiện kiểm thử cho GD_WEB2</v>
      </c>
      <c r="E45" s="122">
        <v>6</v>
      </c>
    </row>
    <row r="46" spans="1:5" ht="47.25">
      <c r="A46" s="120">
        <v>42</v>
      </c>
      <c r="B46" s="70" t="s">
        <v>94</v>
      </c>
      <c r="C46" s="121" t="s">
        <v>767</v>
      </c>
      <c r="D46" s="121" t="str">
        <f t="shared" si="1"/>
        <v>Thực hiện viết kịch bản kiểm thử tự động cho GD_WEB2</v>
      </c>
      <c r="E46" s="122">
        <v>9</v>
      </c>
    </row>
    <row r="47" spans="1:5" ht="15.75">
      <c r="A47" s="120">
        <v>43</v>
      </c>
      <c r="B47" s="70" t="s">
        <v>94</v>
      </c>
      <c r="C47" s="121" t="s">
        <v>766</v>
      </c>
      <c r="D47" s="121" t="str">
        <f t="shared" si="1"/>
        <v>Thực hiện viết HDSD cho GD_WEB2</v>
      </c>
      <c r="E47" s="122">
        <v>2</v>
      </c>
    </row>
    <row r="48" spans="1:5" ht="15.75">
      <c r="A48" s="120">
        <v>44</v>
      </c>
      <c r="B48" s="125" t="s">
        <v>98</v>
      </c>
      <c r="C48" s="123" t="s">
        <v>758</v>
      </c>
      <c r="D48" s="123" t="str">
        <f t="shared" si="1"/>
        <v>Thực hiện QTDA cho GD_WEB3</v>
      </c>
      <c r="E48" s="124">
        <v>8</v>
      </c>
    </row>
    <row r="49" spans="1:5" ht="15.75">
      <c r="A49" s="120">
        <v>45</v>
      </c>
      <c r="B49" s="125" t="s">
        <v>98</v>
      </c>
      <c r="C49" s="123" t="s">
        <v>759</v>
      </c>
      <c r="D49" s="123" t="str">
        <f t="shared" si="1"/>
        <v>Thực hiện tạo PTYC cho GD_WEB3</v>
      </c>
      <c r="E49" s="124">
        <v>2</v>
      </c>
    </row>
    <row r="50" spans="1:5" ht="15.75">
      <c r="A50" s="120">
        <v>46</v>
      </c>
      <c r="B50" s="125" t="s">
        <v>98</v>
      </c>
      <c r="C50" s="123" t="s">
        <v>761</v>
      </c>
      <c r="D50" s="123" t="str">
        <f t="shared" si="1"/>
        <v>Thực hiện TKCT cho GD_WEB3</v>
      </c>
      <c r="E50" s="124">
        <v>4</v>
      </c>
    </row>
    <row r="51" spans="1:5" ht="15.75">
      <c r="A51" s="120">
        <v>47</v>
      </c>
      <c r="B51" s="125" t="s">
        <v>98</v>
      </c>
      <c r="C51" s="123" t="s">
        <v>762</v>
      </c>
      <c r="D51" s="123" t="str">
        <f t="shared" si="1"/>
        <v>Thực hiện Lập trình cho GD_WEB3</v>
      </c>
      <c r="E51" s="124">
        <v>16</v>
      </c>
    </row>
    <row r="52" spans="1:5" ht="31.5">
      <c r="A52" s="120">
        <v>48</v>
      </c>
      <c r="B52" s="125" t="s">
        <v>98</v>
      </c>
      <c r="C52" s="123" t="s">
        <v>764</v>
      </c>
      <c r="D52" s="123" t="str">
        <f t="shared" si="1"/>
        <v>Thực hiện viết kịch bản kiểm thử cho GD_WEB3</v>
      </c>
      <c r="E52" s="124">
        <v>8</v>
      </c>
    </row>
    <row r="53" spans="1:5" ht="15.75">
      <c r="A53" s="120">
        <v>49</v>
      </c>
      <c r="B53" s="125" t="s">
        <v>98</v>
      </c>
      <c r="C53" s="123" t="s">
        <v>765</v>
      </c>
      <c r="D53" s="123" t="str">
        <f t="shared" si="1"/>
        <v>Thực hiện kiểm thử cho GD_WEB3</v>
      </c>
      <c r="E53" s="124">
        <v>8</v>
      </c>
    </row>
    <row r="54" spans="1:5" ht="47.25">
      <c r="A54" s="120">
        <v>50</v>
      </c>
      <c r="B54" s="125" t="s">
        <v>98</v>
      </c>
      <c r="C54" s="123" t="s">
        <v>767</v>
      </c>
      <c r="D54" s="123" t="str">
        <f t="shared" si="1"/>
        <v>Thực hiện viết kịch bản kiểm thử tự động cho GD_WEB3</v>
      </c>
      <c r="E54" s="124">
        <v>12</v>
      </c>
    </row>
    <row r="55" spans="1:5" ht="15.75">
      <c r="A55" s="120">
        <v>51</v>
      </c>
      <c r="B55" s="125" t="s">
        <v>98</v>
      </c>
      <c r="C55" s="123" t="s">
        <v>766</v>
      </c>
      <c r="D55" s="123" t="str">
        <f t="shared" si="1"/>
        <v>Thực hiện viết HDSD cho GD_WEB3</v>
      </c>
      <c r="E55" s="124">
        <v>3</v>
      </c>
    </row>
    <row r="56" spans="1:5" ht="15.75">
      <c r="A56" s="120">
        <v>52</v>
      </c>
      <c r="B56" s="121" t="s">
        <v>102</v>
      </c>
      <c r="C56" s="121" t="s">
        <v>758</v>
      </c>
      <c r="D56" s="121" t="str">
        <f t="shared" si="1"/>
        <v>Thực hiện QTDA cho BC1</v>
      </c>
      <c r="E56" s="122">
        <v>2</v>
      </c>
    </row>
    <row r="57" spans="1:5" ht="15.75">
      <c r="A57" s="120">
        <v>53</v>
      </c>
      <c r="B57" s="121" t="s">
        <v>102</v>
      </c>
      <c r="C57" s="121" t="s">
        <v>759</v>
      </c>
      <c r="D57" s="121" t="str">
        <f t="shared" si="1"/>
        <v>Thực hiện tạo PTYC cho BC1</v>
      </c>
      <c r="E57" s="122">
        <v>2</v>
      </c>
    </row>
    <row r="58" spans="1:5" ht="15.75">
      <c r="A58" s="120">
        <v>54</v>
      </c>
      <c r="B58" s="121" t="s">
        <v>102</v>
      </c>
      <c r="C58" s="121" t="s">
        <v>760</v>
      </c>
      <c r="D58" s="121" t="str">
        <f t="shared" si="1"/>
        <v>Thực hiện TKCSDL cho BC1</v>
      </c>
      <c r="E58" s="122">
        <v>2</v>
      </c>
    </row>
    <row r="59" spans="1:5" ht="15.75">
      <c r="A59" s="120">
        <v>55</v>
      </c>
      <c r="B59" s="121" t="s">
        <v>102</v>
      </c>
      <c r="C59" s="121" t="s">
        <v>761</v>
      </c>
      <c r="D59" s="121" t="str">
        <f t="shared" si="1"/>
        <v>Thực hiện TKCT cho BC1</v>
      </c>
      <c r="E59" s="122">
        <v>2</v>
      </c>
    </row>
    <row r="60" spans="1:5" ht="31.5">
      <c r="A60" s="120">
        <v>56</v>
      </c>
      <c r="B60" s="121" t="s">
        <v>102</v>
      </c>
      <c r="C60" s="126" t="s">
        <v>768</v>
      </c>
      <c r="D60" s="121" t="str">
        <f t="shared" si="1"/>
        <v>Thực hiện Cấu hình tổng hợp ETL cho BC1</v>
      </c>
      <c r="E60" s="122">
        <v>4</v>
      </c>
    </row>
    <row r="61" spans="1:5" ht="15.75">
      <c r="A61" s="120">
        <v>57</v>
      </c>
      <c r="B61" s="121" t="s">
        <v>102</v>
      </c>
      <c r="C61" s="126" t="s">
        <v>769</v>
      </c>
      <c r="D61" s="121" t="str">
        <f t="shared" si="1"/>
        <v>Thực hiện Design file birt cho BC1</v>
      </c>
      <c r="E61" s="122">
        <v>3</v>
      </c>
    </row>
    <row r="62" spans="1:5" ht="31.5">
      <c r="A62" s="120">
        <v>58</v>
      </c>
      <c r="B62" s="121" t="s">
        <v>102</v>
      </c>
      <c r="C62" s="121" t="s">
        <v>764</v>
      </c>
      <c r="D62" s="121" t="str">
        <f t="shared" si="1"/>
        <v>Thực hiện viết kịch bản kiểm thử cho BC1</v>
      </c>
      <c r="E62" s="122">
        <v>2</v>
      </c>
    </row>
    <row r="63" spans="1:5" ht="15.75">
      <c r="A63" s="120">
        <v>59</v>
      </c>
      <c r="B63" s="121" t="s">
        <v>102</v>
      </c>
      <c r="C63" s="121" t="s">
        <v>765</v>
      </c>
      <c r="D63" s="121" t="str">
        <f t="shared" si="1"/>
        <v>Thực hiện kiểm thử cho BC1</v>
      </c>
      <c r="E63" s="122">
        <v>2</v>
      </c>
    </row>
    <row r="64" spans="1:5" ht="15.75">
      <c r="A64" s="120">
        <v>60</v>
      </c>
      <c r="B64" s="121" t="s">
        <v>102</v>
      </c>
      <c r="C64" s="121" t="s">
        <v>766</v>
      </c>
      <c r="D64" s="121" t="str">
        <f t="shared" si="1"/>
        <v>Thực hiện viết HDSD cho BC1</v>
      </c>
      <c r="E64" s="122">
        <v>2</v>
      </c>
    </row>
    <row r="65" spans="1:5" ht="15.75">
      <c r="A65" s="120">
        <v>61</v>
      </c>
      <c r="B65" s="123" t="s">
        <v>107</v>
      </c>
      <c r="C65" s="123" t="s">
        <v>758</v>
      </c>
      <c r="D65" s="123" t="str">
        <f t="shared" si="1"/>
        <v>Thực hiện QTDA cho BC2</v>
      </c>
      <c r="E65" s="124">
        <v>2</v>
      </c>
    </row>
    <row r="66" spans="1:5" ht="15.75">
      <c r="A66" s="120">
        <v>62</v>
      </c>
      <c r="B66" s="123" t="s">
        <v>107</v>
      </c>
      <c r="C66" s="123" t="s">
        <v>759</v>
      </c>
      <c r="D66" s="123" t="str">
        <f t="shared" si="1"/>
        <v>Thực hiện tạo PTYC cho BC2</v>
      </c>
      <c r="E66" s="124">
        <v>2</v>
      </c>
    </row>
    <row r="67" spans="1:5" ht="15.75">
      <c r="A67" s="120">
        <v>63</v>
      </c>
      <c r="B67" s="123" t="s">
        <v>107</v>
      </c>
      <c r="C67" s="123" t="s">
        <v>760</v>
      </c>
      <c r="D67" s="123" t="str">
        <f t="shared" si="1"/>
        <v>Thực hiện TKCSDL cho BC2</v>
      </c>
      <c r="E67" s="124">
        <v>4</v>
      </c>
    </row>
    <row r="68" spans="1:5" ht="15.75">
      <c r="A68" s="120">
        <v>64</v>
      </c>
      <c r="B68" s="123" t="s">
        <v>107</v>
      </c>
      <c r="C68" s="123" t="s">
        <v>761</v>
      </c>
      <c r="D68" s="123" t="str">
        <f t="shared" si="1"/>
        <v>Thực hiện TKCT cho BC2</v>
      </c>
      <c r="E68" s="124">
        <v>4</v>
      </c>
    </row>
    <row r="69" spans="1:5" ht="31.5">
      <c r="A69" s="120">
        <v>65</v>
      </c>
      <c r="B69" s="123" t="s">
        <v>107</v>
      </c>
      <c r="C69" s="127" t="s">
        <v>768</v>
      </c>
      <c r="D69" s="123" t="str">
        <f t="shared" si="1"/>
        <v>Thực hiện Cấu hình tổng hợp ETL cho BC2</v>
      </c>
      <c r="E69" s="124">
        <v>6</v>
      </c>
    </row>
    <row r="70" spans="1:5" ht="15.75">
      <c r="A70" s="120">
        <v>66</v>
      </c>
      <c r="B70" s="123" t="s">
        <v>107</v>
      </c>
      <c r="C70" s="127" t="s">
        <v>769</v>
      </c>
      <c r="D70" s="123" t="str">
        <f t="shared" si="1"/>
        <v>Thực hiện Design file birt cho BC2</v>
      </c>
      <c r="E70" s="124">
        <v>4</v>
      </c>
    </row>
    <row r="71" spans="1:5" ht="31.5">
      <c r="A71" s="120">
        <v>67</v>
      </c>
      <c r="B71" s="123" t="s">
        <v>107</v>
      </c>
      <c r="C71" s="123" t="s">
        <v>764</v>
      </c>
      <c r="D71" s="123" t="str">
        <f t="shared" si="1"/>
        <v>Thực hiện viết kịch bản kiểm thử cho BC2</v>
      </c>
      <c r="E71" s="124">
        <v>4</v>
      </c>
    </row>
    <row r="72" spans="1:5" ht="15.75">
      <c r="A72" s="120">
        <v>68</v>
      </c>
      <c r="B72" s="123" t="s">
        <v>107</v>
      </c>
      <c r="C72" s="123" t="s">
        <v>765</v>
      </c>
      <c r="D72" s="123" t="str">
        <f t="shared" si="1"/>
        <v>Thực hiện kiểm thử cho BC2</v>
      </c>
      <c r="E72" s="124">
        <v>6</v>
      </c>
    </row>
    <row r="73" spans="1:5" ht="15.75">
      <c r="A73" s="120">
        <v>69</v>
      </c>
      <c r="B73" s="123" t="s">
        <v>107</v>
      </c>
      <c r="C73" s="123" t="s">
        <v>766</v>
      </c>
      <c r="D73" s="123" t="str">
        <f t="shared" si="1"/>
        <v>Thực hiện viết HDSD cho BC2</v>
      </c>
      <c r="E73" s="124">
        <v>4</v>
      </c>
    </row>
    <row r="74" spans="1:5" ht="15.75">
      <c r="A74" s="120">
        <v>70</v>
      </c>
      <c r="B74" s="121" t="s">
        <v>119</v>
      </c>
      <c r="C74" s="121" t="s">
        <v>758</v>
      </c>
      <c r="D74" s="121" t="str">
        <f t="shared" si="1"/>
        <v>Thực hiện QTDA cho NVJ3-NC</v>
      </c>
      <c r="E74" s="122">
        <v>1.5</v>
      </c>
    </row>
    <row r="75" spans="1:5" ht="15.75">
      <c r="A75" s="120">
        <v>71</v>
      </c>
      <c r="B75" s="121" t="s">
        <v>119</v>
      </c>
      <c r="C75" s="121" t="s">
        <v>759</v>
      </c>
      <c r="D75" s="121" t="str">
        <f t="shared" si="1"/>
        <v>Thực hiện tạo PTYC cho NVJ3-NC</v>
      </c>
      <c r="E75" s="122">
        <v>2</v>
      </c>
    </row>
    <row r="76" spans="1:5" ht="15.75">
      <c r="A76" s="120">
        <v>72</v>
      </c>
      <c r="B76" s="121" t="s">
        <v>119</v>
      </c>
      <c r="C76" s="121" t="s">
        <v>761</v>
      </c>
      <c r="D76" s="121" t="str">
        <f t="shared" si="1"/>
        <v>Thực hiện TKCT cho NVJ3-NC</v>
      </c>
      <c r="E76" s="122">
        <v>1.5</v>
      </c>
    </row>
    <row r="77" spans="1:5" ht="15.75">
      <c r="A77" s="120">
        <v>73</v>
      </c>
      <c r="B77" s="121" t="s">
        <v>119</v>
      </c>
      <c r="C77" s="121" t="s">
        <v>762</v>
      </c>
      <c r="D77" s="121" t="str">
        <f t="shared" si="1"/>
        <v>Thực hiện Lập trình cho NVJ3-NC</v>
      </c>
      <c r="E77" s="122">
        <v>7</v>
      </c>
    </row>
    <row r="78" spans="1:5" ht="31.5">
      <c r="A78" s="120">
        <v>74</v>
      </c>
      <c r="B78" s="121" t="s">
        <v>119</v>
      </c>
      <c r="C78" s="121" t="s">
        <v>764</v>
      </c>
      <c r="D78" s="121" t="str">
        <f t="shared" si="1"/>
        <v>Thực hiện viết kịch bản kiểm thử cho NVJ3-NC</v>
      </c>
      <c r="E78" s="122">
        <v>1</v>
      </c>
    </row>
    <row r="79" spans="1:5" ht="15.75">
      <c r="A79" s="120">
        <v>75</v>
      </c>
      <c r="B79" s="121" t="s">
        <v>119</v>
      </c>
      <c r="C79" s="121" t="s">
        <v>765</v>
      </c>
      <c r="D79" s="121" t="str">
        <f t="shared" si="1"/>
        <v>Thực hiện kiểm thử cho NVJ3-NC</v>
      </c>
      <c r="E79" s="122">
        <v>4</v>
      </c>
    </row>
    <row r="80" spans="1:5" ht="15.75">
      <c r="A80" s="120">
        <v>76</v>
      </c>
      <c r="B80" s="121" t="s">
        <v>119</v>
      </c>
      <c r="C80" s="121" t="s">
        <v>766</v>
      </c>
      <c r="D80" s="121" t="str">
        <f t="shared" si="1"/>
        <v>Thực hiện viết HDSD cho NVJ3-NC</v>
      </c>
      <c r="E80" s="122">
        <v>1</v>
      </c>
    </row>
    <row r="81" spans="1:5" ht="15.75">
      <c r="A81" s="120">
        <v>77</v>
      </c>
      <c r="B81" s="123" t="s">
        <v>116</v>
      </c>
      <c r="C81" s="123" t="s">
        <v>758</v>
      </c>
      <c r="D81" s="123" t="str">
        <f t="shared" si="1"/>
        <v>Thực hiện QTDA cho NVJ2-NC</v>
      </c>
      <c r="E81" s="124">
        <v>0.75</v>
      </c>
    </row>
    <row r="82" spans="1:5" ht="15.75">
      <c r="A82" s="120">
        <v>78</v>
      </c>
      <c r="B82" s="123" t="s">
        <v>116</v>
      </c>
      <c r="C82" s="123" t="s">
        <v>759</v>
      </c>
      <c r="D82" s="123" t="str">
        <f t="shared" si="1"/>
        <v>Thực hiện tạo PTYC cho NVJ2-NC</v>
      </c>
      <c r="E82" s="124">
        <v>1</v>
      </c>
    </row>
    <row r="83" spans="1:5" ht="15.75">
      <c r="A83" s="120">
        <v>79</v>
      </c>
      <c r="B83" s="123" t="s">
        <v>116</v>
      </c>
      <c r="C83" s="123" t="s">
        <v>761</v>
      </c>
      <c r="D83" s="123" t="str">
        <f t="shared" si="1"/>
        <v>Thực hiện TKCT cho NVJ2-NC</v>
      </c>
      <c r="E83" s="124">
        <v>0.75</v>
      </c>
    </row>
    <row r="84" spans="1:5" ht="15.75">
      <c r="A84" s="120">
        <v>80</v>
      </c>
      <c r="B84" s="123" t="s">
        <v>116</v>
      </c>
      <c r="C84" s="123" t="s">
        <v>762</v>
      </c>
      <c r="D84" s="123" t="str">
        <f t="shared" si="1"/>
        <v>Thực hiện Lập trình cho NVJ2-NC</v>
      </c>
      <c r="E84" s="124">
        <v>3</v>
      </c>
    </row>
    <row r="85" spans="1:5" ht="31.5">
      <c r="A85" s="120">
        <v>81</v>
      </c>
      <c r="B85" s="123" t="s">
        <v>116</v>
      </c>
      <c r="C85" s="123" t="s">
        <v>764</v>
      </c>
      <c r="D85" s="123" t="str">
        <f t="shared" si="1"/>
        <v>Thực hiện viết kịch bản kiểm thử cho NVJ2-NC</v>
      </c>
      <c r="E85" s="124">
        <v>0.5</v>
      </c>
    </row>
    <row r="86" spans="1:5" ht="15.75">
      <c r="A86" s="120">
        <v>82</v>
      </c>
      <c r="B86" s="123" t="s">
        <v>116</v>
      </c>
      <c r="C86" s="123" t="s">
        <v>765</v>
      </c>
      <c r="D86" s="123" t="str">
        <f t="shared" si="1"/>
        <v>Thực hiện kiểm thử cho NVJ2-NC</v>
      </c>
      <c r="E86" s="124">
        <v>1.5</v>
      </c>
    </row>
    <row r="87" spans="1:5" ht="15.75">
      <c r="A87" s="120">
        <v>83</v>
      </c>
      <c r="B87" s="123" t="s">
        <v>116</v>
      </c>
      <c r="C87" s="123" t="s">
        <v>766</v>
      </c>
      <c r="D87" s="123" t="str">
        <f t="shared" si="1"/>
        <v>Thực hiện viết HDSD cho NVJ2-NC</v>
      </c>
      <c r="E87" s="124">
        <v>0.5</v>
      </c>
    </row>
    <row r="88" spans="1:5" ht="15.75">
      <c r="A88" s="120">
        <v>84</v>
      </c>
      <c r="B88" s="121" t="s">
        <v>113</v>
      </c>
      <c r="C88" s="121" t="s">
        <v>758</v>
      </c>
      <c r="D88" s="121" t="str">
        <f t="shared" si="1"/>
        <v>Thực hiện QTDA cho NVJ1-NC</v>
      </c>
      <c r="E88" s="122">
        <v>0.5</v>
      </c>
    </row>
    <row r="89" spans="1:5" ht="15.75">
      <c r="A89" s="120">
        <v>85</v>
      </c>
      <c r="B89" s="121" t="s">
        <v>113</v>
      </c>
      <c r="C89" s="121" t="s">
        <v>759</v>
      </c>
      <c r="D89" s="121" t="str">
        <f t="shared" si="1"/>
        <v>Thực hiện tạo PTYC cho NVJ1-NC</v>
      </c>
      <c r="E89" s="122">
        <v>0.5</v>
      </c>
    </row>
    <row r="90" spans="1:5" ht="15.75">
      <c r="A90" s="120">
        <v>86</v>
      </c>
      <c r="B90" s="121" t="s">
        <v>113</v>
      </c>
      <c r="C90" s="121" t="s">
        <v>761</v>
      </c>
      <c r="D90" s="121" t="str">
        <f t="shared" si="1"/>
        <v>Thực hiện TKCT cho NVJ1-NC</v>
      </c>
      <c r="E90" s="122">
        <v>0.25</v>
      </c>
    </row>
    <row r="91" spans="1:5" ht="15.75">
      <c r="A91" s="120">
        <v>87</v>
      </c>
      <c r="B91" s="121" t="s">
        <v>113</v>
      </c>
      <c r="C91" s="121" t="s">
        <v>762</v>
      </c>
      <c r="D91" s="121" t="str">
        <f t="shared" si="1"/>
        <v>Thực hiện Lập trình cho NVJ1-NC</v>
      </c>
      <c r="E91" s="122">
        <v>1.5</v>
      </c>
    </row>
    <row r="92" spans="1:5" ht="31.5">
      <c r="A92" s="120">
        <v>88</v>
      </c>
      <c r="B92" s="121" t="s">
        <v>113</v>
      </c>
      <c r="C92" s="121" t="s">
        <v>764</v>
      </c>
      <c r="D92" s="121" t="str">
        <f t="shared" si="1"/>
        <v>Thực hiện viết kịch bản kiểm thử cho NVJ1-NC</v>
      </c>
      <c r="E92" s="122">
        <v>0.25</v>
      </c>
    </row>
    <row r="93" spans="1:5" ht="15.75">
      <c r="A93" s="120">
        <v>89</v>
      </c>
      <c r="B93" s="121" t="s">
        <v>113</v>
      </c>
      <c r="C93" s="121" t="s">
        <v>765</v>
      </c>
      <c r="D93" s="121" t="str">
        <f t="shared" si="1"/>
        <v>Thực hiện kiểm thử cho NVJ1-NC</v>
      </c>
      <c r="E93" s="122">
        <v>1</v>
      </c>
    </row>
    <row r="94" spans="1:5" ht="15.75">
      <c r="A94" s="120">
        <v>90</v>
      </c>
      <c r="B94" s="121" t="s">
        <v>113</v>
      </c>
      <c r="C94" s="121" t="s">
        <v>766</v>
      </c>
      <c r="D94" s="121" t="str">
        <f t="shared" si="1"/>
        <v>Thực hiện viết HDSD cho NVJ1-NC</v>
      </c>
      <c r="E94" s="122">
        <v>0.75</v>
      </c>
    </row>
    <row r="95" spans="1:5" ht="15.75">
      <c r="A95" s="120">
        <v>91</v>
      </c>
      <c r="B95" s="128" t="s">
        <v>124</v>
      </c>
      <c r="C95" s="123" t="s">
        <v>758</v>
      </c>
      <c r="D95" s="123" t="str">
        <f t="shared" si="1"/>
        <v>Thực hiện QTDA cho DM2</v>
      </c>
      <c r="E95" s="124">
        <v>1.5</v>
      </c>
    </row>
    <row r="96" spans="1:5" ht="15.75">
      <c r="A96" s="120">
        <v>92</v>
      </c>
      <c r="B96" s="128" t="s">
        <v>124</v>
      </c>
      <c r="C96" s="123" t="s">
        <v>759</v>
      </c>
      <c r="D96" s="123" t="str">
        <f t="shared" si="1"/>
        <v>Thực hiện tạo PTYC cho DM2</v>
      </c>
      <c r="E96" s="124">
        <v>2.5</v>
      </c>
    </row>
    <row r="97" spans="1:5" ht="15.75">
      <c r="A97" s="120">
        <v>93</v>
      </c>
      <c r="B97" s="128" t="s">
        <v>124</v>
      </c>
      <c r="C97" s="123" t="s">
        <v>761</v>
      </c>
      <c r="D97" s="123" t="str">
        <f t="shared" ref="D97:D129" si="2">"Thực hiện "&amp;C97&amp;" cho "&amp;B97</f>
        <v>Thực hiện TKCT cho DM2</v>
      </c>
      <c r="E97" s="124">
        <v>2</v>
      </c>
    </row>
    <row r="98" spans="1:5" ht="15.75">
      <c r="A98" s="120">
        <v>94</v>
      </c>
      <c r="B98" s="128" t="s">
        <v>124</v>
      </c>
      <c r="C98" s="123" t="s">
        <v>762</v>
      </c>
      <c r="D98" s="123" t="str">
        <f t="shared" si="2"/>
        <v>Thực hiện Lập trình cho DM2</v>
      </c>
      <c r="E98" s="124">
        <v>9</v>
      </c>
    </row>
    <row r="99" spans="1:5" ht="31.5">
      <c r="A99" s="120">
        <v>95</v>
      </c>
      <c r="B99" s="128" t="s">
        <v>124</v>
      </c>
      <c r="C99" s="123" t="s">
        <v>764</v>
      </c>
      <c r="D99" s="123" t="str">
        <f t="shared" si="2"/>
        <v>Thực hiện viết kịch bản kiểm thử cho DM2</v>
      </c>
      <c r="E99" s="124">
        <v>2</v>
      </c>
    </row>
    <row r="100" spans="1:5" ht="15.75">
      <c r="A100" s="120">
        <v>96</v>
      </c>
      <c r="B100" s="128" t="s">
        <v>124</v>
      </c>
      <c r="C100" s="123" t="s">
        <v>765</v>
      </c>
      <c r="D100" s="123" t="str">
        <f t="shared" si="2"/>
        <v>Thực hiện kiểm thử cho DM2</v>
      </c>
      <c r="E100" s="124">
        <v>4.5</v>
      </c>
    </row>
    <row r="101" spans="1:5" ht="15.75">
      <c r="A101" s="120">
        <v>97</v>
      </c>
      <c r="B101" s="128" t="s">
        <v>124</v>
      </c>
      <c r="C101" s="123" t="s">
        <v>766</v>
      </c>
      <c r="D101" s="123" t="str">
        <f t="shared" si="2"/>
        <v>Thực hiện viết HDSD cho DM2</v>
      </c>
      <c r="E101" s="124">
        <v>1</v>
      </c>
    </row>
    <row r="102" spans="1:5" ht="31.5">
      <c r="A102" s="120">
        <v>98</v>
      </c>
      <c r="B102" s="129" t="s">
        <v>129</v>
      </c>
      <c r="C102" s="121" t="s">
        <v>758</v>
      </c>
      <c r="D102" s="121" t="str">
        <f t="shared" si="2"/>
        <v>Thực hiện QTDA cho GD_MOBILE1</v>
      </c>
      <c r="E102" s="122">
        <v>0.75</v>
      </c>
    </row>
    <row r="103" spans="1:5" ht="31.5">
      <c r="A103" s="120">
        <v>99</v>
      </c>
      <c r="B103" s="129" t="s">
        <v>129</v>
      </c>
      <c r="C103" s="121" t="s">
        <v>759</v>
      </c>
      <c r="D103" s="121" t="str">
        <f t="shared" si="2"/>
        <v>Thực hiện tạo PTYC cho GD_MOBILE1</v>
      </c>
      <c r="E103" s="122">
        <v>1.25</v>
      </c>
    </row>
    <row r="104" spans="1:5" ht="31.5">
      <c r="A104" s="120">
        <v>100</v>
      </c>
      <c r="B104" s="129" t="s">
        <v>129</v>
      </c>
      <c r="C104" s="121" t="s">
        <v>761</v>
      </c>
      <c r="D104" s="121" t="str">
        <f t="shared" si="2"/>
        <v>Thực hiện TKCT cho GD_MOBILE1</v>
      </c>
      <c r="E104" s="122">
        <v>1</v>
      </c>
    </row>
    <row r="105" spans="1:5" ht="31.5">
      <c r="A105" s="120">
        <v>101</v>
      </c>
      <c r="B105" s="129" t="s">
        <v>129</v>
      </c>
      <c r="C105" s="121" t="s">
        <v>762</v>
      </c>
      <c r="D105" s="121" t="str">
        <f t="shared" si="2"/>
        <v>Thực hiện Lập trình cho GD_MOBILE1</v>
      </c>
      <c r="E105" s="122">
        <v>4</v>
      </c>
    </row>
    <row r="106" spans="1:5" ht="31.5">
      <c r="A106" s="120">
        <v>102</v>
      </c>
      <c r="B106" s="129" t="s">
        <v>129</v>
      </c>
      <c r="C106" s="121" t="s">
        <v>764</v>
      </c>
      <c r="D106" s="121" t="str">
        <f t="shared" si="2"/>
        <v>Thực hiện viết kịch bản kiểm thử cho GD_MOBILE1</v>
      </c>
      <c r="E106" s="122">
        <v>1</v>
      </c>
    </row>
    <row r="107" spans="1:5" ht="31.5">
      <c r="A107" s="120">
        <v>103</v>
      </c>
      <c r="B107" s="129" t="s">
        <v>129</v>
      </c>
      <c r="C107" s="121" t="s">
        <v>765</v>
      </c>
      <c r="D107" s="121" t="str">
        <f t="shared" si="2"/>
        <v>Thực hiện kiểm thử cho GD_MOBILE1</v>
      </c>
      <c r="E107" s="122">
        <v>2</v>
      </c>
    </row>
    <row r="108" spans="1:5" ht="31.5">
      <c r="A108" s="120">
        <v>104</v>
      </c>
      <c r="B108" s="129" t="s">
        <v>129</v>
      </c>
      <c r="C108" s="121" t="s">
        <v>766</v>
      </c>
      <c r="D108" s="121" t="str">
        <f t="shared" si="2"/>
        <v>Thực hiện viết HDSD cho GD_MOBILE1</v>
      </c>
      <c r="E108" s="122">
        <v>0.5</v>
      </c>
    </row>
    <row r="109" spans="1:5" ht="31.5">
      <c r="A109" s="120">
        <v>105</v>
      </c>
      <c r="B109" s="128" t="s">
        <v>133</v>
      </c>
      <c r="C109" s="123" t="s">
        <v>758</v>
      </c>
      <c r="D109" s="123" t="str">
        <f t="shared" si="2"/>
        <v>Thực hiện QTDA cho GD_MOBILE2</v>
      </c>
      <c r="E109" s="124">
        <v>1.5</v>
      </c>
    </row>
    <row r="110" spans="1:5" ht="31.5">
      <c r="A110" s="120">
        <v>106</v>
      </c>
      <c r="B110" s="128" t="s">
        <v>133</v>
      </c>
      <c r="C110" s="123" t="s">
        <v>759</v>
      </c>
      <c r="D110" s="123" t="str">
        <f t="shared" si="2"/>
        <v>Thực hiện tạo PTYC cho GD_MOBILE2</v>
      </c>
      <c r="E110" s="124">
        <v>2.5</v>
      </c>
    </row>
    <row r="111" spans="1:5" ht="31.5">
      <c r="A111" s="120">
        <v>107</v>
      </c>
      <c r="B111" s="128" t="s">
        <v>133</v>
      </c>
      <c r="C111" s="123" t="s">
        <v>761</v>
      </c>
      <c r="D111" s="123" t="str">
        <f t="shared" si="2"/>
        <v>Thực hiện TKCT cho GD_MOBILE2</v>
      </c>
      <c r="E111" s="124">
        <v>4</v>
      </c>
    </row>
    <row r="112" spans="1:5" ht="31.5">
      <c r="A112" s="120">
        <v>108</v>
      </c>
      <c r="B112" s="128" t="s">
        <v>133</v>
      </c>
      <c r="C112" s="123" t="s">
        <v>762</v>
      </c>
      <c r="D112" s="123" t="str">
        <f t="shared" si="2"/>
        <v>Thực hiện Lập trình cho GD_MOBILE2</v>
      </c>
      <c r="E112" s="124">
        <v>8</v>
      </c>
    </row>
    <row r="113" spans="1:5" ht="31.5">
      <c r="A113" s="120">
        <v>109</v>
      </c>
      <c r="B113" s="128" t="s">
        <v>133</v>
      </c>
      <c r="C113" s="123" t="s">
        <v>764</v>
      </c>
      <c r="D113" s="123" t="str">
        <f t="shared" si="2"/>
        <v>Thực hiện viết kịch bản kiểm thử cho GD_MOBILE2</v>
      </c>
      <c r="E113" s="124">
        <v>3</v>
      </c>
    </row>
    <row r="114" spans="1:5" ht="31.5">
      <c r="A114" s="120">
        <v>110</v>
      </c>
      <c r="B114" s="128" t="s">
        <v>133</v>
      </c>
      <c r="C114" s="123" t="s">
        <v>765</v>
      </c>
      <c r="D114" s="123" t="str">
        <f t="shared" si="2"/>
        <v>Thực hiện kiểm thử cho GD_MOBILE2</v>
      </c>
      <c r="E114" s="124">
        <v>4</v>
      </c>
    </row>
    <row r="115" spans="1:5" ht="31.5">
      <c r="A115" s="120">
        <v>111</v>
      </c>
      <c r="B115" s="128" t="s">
        <v>133</v>
      </c>
      <c r="C115" s="123" t="s">
        <v>766</v>
      </c>
      <c r="D115" s="123" t="str">
        <f t="shared" si="2"/>
        <v>Thực hiện viết HDSD cho GD_MOBILE2</v>
      </c>
      <c r="E115" s="124">
        <v>2</v>
      </c>
    </row>
    <row r="116" spans="1:5" ht="31.5">
      <c r="A116" s="120">
        <v>112</v>
      </c>
      <c r="B116" s="129" t="s">
        <v>136</v>
      </c>
      <c r="C116" s="121" t="s">
        <v>758</v>
      </c>
      <c r="D116" s="121" t="str">
        <f t="shared" si="2"/>
        <v>Thực hiện QTDA cho GD_MOBILE3</v>
      </c>
      <c r="E116" s="122">
        <v>3</v>
      </c>
    </row>
    <row r="117" spans="1:5" ht="31.5">
      <c r="A117" s="120">
        <v>113</v>
      </c>
      <c r="B117" s="129" t="s">
        <v>136</v>
      </c>
      <c r="C117" s="121" t="s">
        <v>759</v>
      </c>
      <c r="D117" s="121" t="str">
        <f t="shared" si="2"/>
        <v>Thực hiện tạo PTYC cho GD_MOBILE3</v>
      </c>
      <c r="E117" s="122">
        <v>5</v>
      </c>
    </row>
    <row r="118" spans="1:5" ht="31.5">
      <c r="A118" s="120">
        <v>114</v>
      </c>
      <c r="B118" s="129" t="s">
        <v>136</v>
      </c>
      <c r="C118" s="121" t="s">
        <v>761</v>
      </c>
      <c r="D118" s="121" t="str">
        <f t="shared" si="2"/>
        <v>Thực hiện TKCT cho GD_MOBILE3</v>
      </c>
      <c r="E118" s="122">
        <v>7</v>
      </c>
    </row>
    <row r="119" spans="1:5" ht="31.5">
      <c r="A119" s="120">
        <v>115</v>
      </c>
      <c r="B119" s="129" t="s">
        <v>136</v>
      </c>
      <c r="C119" s="121" t="s">
        <v>762</v>
      </c>
      <c r="D119" s="121" t="str">
        <f t="shared" si="2"/>
        <v>Thực hiện Lập trình cho GD_MOBILE3</v>
      </c>
      <c r="E119" s="122">
        <v>17</v>
      </c>
    </row>
    <row r="120" spans="1:5" ht="31.5">
      <c r="A120" s="120">
        <v>116</v>
      </c>
      <c r="B120" s="129" t="s">
        <v>136</v>
      </c>
      <c r="C120" s="121" t="s">
        <v>764</v>
      </c>
      <c r="D120" s="121" t="str">
        <f t="shared" si="2"/>
        <v>Thực hiện viết kịch bản kiểm thử cho GD_MOBILE3</v>
      </c>
      <c r="E120" s="122">
        <v>5</v>
      </c>
    </row>
    <row r="121" spans="1:5" ht="31.5">
      <c r="A121" s="120">
        <v>117</v>
      </c>
      <c r="B121" s="129" t="s">
        <v>136</v>
      </c>
      <c r="C121" s="121" t="s">
        <v>765</v>
      </c>
      <c r="D121" s="121" t="str">
        <f t="shared" si="2"/>
        <v>Thực hiện kiểm thử cho GD_MOBILE3</v>
      </c>
      <c r="E121" s="122">
        <v>9</v>
      </c>
    </row>
    <row r="122" spans="1:5" ht="31.5">
      <c r="A122" s="120">
        <v>118</v>
      </c>
      <c r="B122" s="129" t="s">
        <v>136</v>
      </c>
      <c r="C122" s="121" t="s">
        <v>766</v>
      </c>
      <c r="D122" s="121" t="str">
        <f t="shared" si="2"/>
        <v>Thực hiện viết HDSD cho GD_MOBILE3</v>
      </c>
      <c r="E122" s="122">
        <v>2.5</v>
      </c>
    </row>
    <row r="123" spans="1:5" ht="15.75">
      <c r="A123" s="120">
        <v>119</v>
      </c>
      <c r="B123" s="128" t="s">
        <v>121</v>
      </c>
      <c r="C123" s="123" t="s">
        <v>758</v>
      </c>
      <c r="D123" s="123" t="str">
        <f t="shared" si="2"/>
        <v>Thực hiện QTDA cho DM1</v>
      </c>
      <c r="E123" s="124">
        <v>1</v>
      </c>
    </row>
    <row r="124" spans="1:5" ht="15.75">
      <c r="A124" s="120">
        <v>120</v>
      </c>
      <c r="B124" s="128" t="s">
        <v>121</v>
      </c>
      <c r="C124" s="123" t="s">
        <v>759</v>
      </c>
      <c r="D124" s="123" t="str">
        <f t="shared" si="2"/>
        <v>Thực hiện tạo PTYC cho DM1</v>
      </c>
      <c r="E124" s="124">
        <v>1</v>
      </c>
    </row>
    <row r="125" spans="1:5" ht="15.75">
      <c r="A125" s="120">
        <v>121</v>
      </c>
      <c r="B125" s="128" t="s">
        <v>121</v>
      </c>
      <c r="C125" s="123" t="s">
        <v>761</v>
      </c>
      <c r="D125" s="123" t="str">
        <f t="shared" si="2"/>
        <v>Thực hiện TKCT cho DM1</v>
      </c>
      <c r="E125" s="124">
        <v>0.5</v>
      </c>
    </row>
    <row r="126" spans="1:5" ht="15.75">
      <c r="A126" s="120">
        <v>122</v>
      </c>
      <c r="B126" s="128" t="s">
        <v>121</v>
      </c>
      <c r="C126" s="123" t="s">
        <v>762</v>
      </c>
      <c r="D126" s="123" t="str">
        <f t="shared" si="2"/>
        <v>Thực hiện Lập trình cho DM1</v>
      </c>
      <c r="E126" s="124">
        <v>3</v>
      </c>
    </row>
    <row r="127" spans="1:5" ht="31.5">
      <c r="A127" s="120">
        <v>123</v>
      </c>
      <c r="B127" s="128" t="s">
        <v>121</v>
      </c>
      <c r="C127" s="123" t="s">
        <v>764</v>
      </c>
      <c r="D127" s="123" t="str">
        <f t="shared" si="2"/>
        <v>Thực hiện viết kịch bản kiểm thử cho DM1</v>
      </c>
      <c r="E127" s="124">
        <v>0.5</v>
      </c>
    </row>
    <row r="128" spans="1:5" ht="15.75">
      <c r="A128" s="120">
        <v>124</v>
      </c>
      <c r="B128" s="128" t="s">
        <v>121</v>
      </c>
      <c r="C128" s="123" t="s">
        <v>765</v>
      </c>
      <c r="D128" s="123" t="str">
        <f t="shared" si="2"/>
        <v>Thực hiện kiểm thử cho DM1</v>
      </c>
      <c r="E128" s="124">
        <v>2</v>
      </c>
    </row>
    <row r="129" spans="1:5" ht="15.75">
      <c r="A129" s="120">
        <v>125</v>
      </c>
      <c r="B129" s="128" t="s">
        <v>121</v>
      </c>
      <c r="C129" s="123" t="s">
        <v>766</v>
      </c>
      <c r="D129" s="123" t="str">
        <f t="shared" si="2"/>
        <v>Thực hiện viết HDSD cho DM1</v>
      </c>
      <c r="E129" s="124">
        <v>1</v>
      </c>
    </row>
    <row r="130" spans="1:5" ht="31.5">
      <c r="A130" s="120">
        <v>126</v>
      </c>
      <c r="B130" s="130" t="s">
        <v>87</v>
      </c>
      <c r="C130" s="121" t="s">
        <v>758</v>
      </c>
      <c r="D130" s="121" t="str">
        <f t="shared" ref="D130:D135" si="3">"Thực hiện "&amp;C130&amp;" cho "&amp;B130</f>
        <v>Thực hiện QTDA cho CN_WEB_KT</v>
      </c>
      <c r="E130" s="122">
        <v>8</v>
      </c>
    </row>
    <row r="131" spans="1:5" ht="31.5">
      <c r="A131" s="120">
        <v>127</v>
      </c>
      <c r="B131" s="130" t="s">
        <v>87</v>
      </c>
      <c r="C131" s="121" t="s">
        <v>761</v>
      </c>
      <c r="D131" s="121" t="str">
        <f t="shared" si="3"/>
        <v>Thực hiện TKCT cho CN_WEB_KT</v>
      </c>
      <c r="E131" s="122">
        <v>8</v>
      </c>
    </row>
    <row r="132" spans="1:5" ht="31.5">
      <c r="A132" s="120">
        <v>128</v>
      </c>
      <c r="B132" s="130" t="s">
        <v>87</v>
      </c>
      <c r="C132" s="121" t="s">
        <v>762</v>
      </c>
      <c r="D132" s="121" t="str">
        <f t="shared" si="3"/>
        <v>Thực hiện Lập trình cho CN_WEB_KT</v>
      </c>
      <c r="E132" s="122">
        <v>32</v>
      </c>
    </row>
    <row r="133" spans="1:5" ht="31.5">
      <c r="A133" s="120">
        <v>129</v>
      </c>
      <c r="B133" s="130" t="s">
        <v>87</v>
      </c>
      <c r="C133" s="126" t="s">
        <v>763</v>
      </c>
      <c r="D133" s="121" t="str">
        <f t="shared" si="3"/>
        <v>Thực hiện viết Unit test cho CN_WEB_KT</v>
      </c>
      <c r="E133" s="122">
        <v>16</v>
      </c>
    </row>
    <row r="134" spans="1:5" ht="31.5">
      <c r="A134" s="120">
        <v>130</v>
      </c>
      <c r="B134" s="130" t="s">
        <v>87</v>
      </c>
      <c r="C134" s="126" t="s">
        <v>764</v>
      </c>
      <c r="D134" s="121" t="str">
        <f t="shared" si="3"/>
        <v>Thực hiện viết kịch bản kiểm thử cho CN_WEB_KT</v>
      </c>
      <c r="E134" s="122">
        <v>8</v>
      </c>
    </row>
    <row r="135" spans="1:5" ht="31.5">
      <c r="A135" s="120">
        <v>131</v>
      </c>
      <c r="B135" s="130" t="s">
        <v>87</v>
      </c>
      <c r="C135" s="126" t="s">
        <v>765</v>
      </c>
      <c r="D135" s="121" t="str">
        <f t="shared" si="3"/>
        <v>Thực hiện kiểm thử cho CN_WEB_KT</v>
      </c>
      <c r="E135" s="122">
        <v>8</v>
      </c>
    </row>
    <row r="136" spans="1:5" ht="31.5">
      <c r="A136" s="120">
        <v>132</v>
      </c>
      <c r="B136" s="131" t="s">
        <v>152</v>
      </c>
      <c r="C136" s="123" t="s">
        <v>770</v>
      </c>
      <c r="D136" s="123" t="s">
        <v>771</v>
      </c>
      <c r="E136" s="124">
        <v>1.2</v>
      </c>
    </row>
    <row r="137" spans="1:5" ht="31.5">
      <c r="A137" s="120">
        <v>133</v>
      </c>
      <c r="B137" s="131" t="s">
        <v>152</v>
      </c>
      <c r="C137" s="123" t="s">
        <v>765</v>
      </c>
      <c r="D137" s="123" t="s">
        <v>772</v>
      </c>
      <c r="E137" s="124">
        <v>0.8</v>
      </c>
    </row>
    <row r="138" spans="1:5" ht="31.5">
      <c r="A138" s="120">
        <v>134</v>
      </c>
      <c r="B138" s="132" t="s">
        <v>157</v>
      </c>
      <c r="C138" s="121" t="s">
        <v>770</v>
      </c>
      <c r="D138" s="121" t="s">
        <v>771</v>
      </c>
      <c r="E138" s="122">
        <v>4</v>
      </c>
    </row>
    <row r="139" spans="1:5" ht="31.5">
      <c r="A139" s="120">
        <v>135</v>
      </c>
      <c r="B139" s="132" t="s">
        <v>157</v>
      </c>
      <c r="C139" s="121" t="s">
        <v>765</v>
      </c>
      <c r="D139" s="121" t="s">
        <v>772</v>
      </c>
      <c r="E139" s="122">
        <v>2</v>
      </c>
    </row>
    <row r="140" spans="1:5" ht="15.75">
      <c r="A140" s="120">
        <v>136</v>
      </c>
      <c r="B140" s="133" t="s">
        <v>161</v>
      </c>
      <c r="C140" s="134" t="s">
        <v>758</v>
      </c>
      <c r="D140" s="134" t="s">
        <v>773</v>
      </c>
      <c r="E140" s="135">
        <v>1.5</v>
      </c>
    </row>
    <row r="141" spans="1:5" ht="15.75">
      <c r="A141" s="120">
        <v>137</v>
      </c>
      <c r="B141" s="133" t="s">
        <v>161</v>
      </c>
      <c r="C141" s="134" t="s">
        <v>759</v>
      </c>
      <c r="D141" s="134" t="s">
        <v>774</v>
      </c>
      <c r="E141" s="135">
        <v>1</v>
      </c>
    </row>
    <row r="142" spans="1:5" ht="15.75">
      <c r="A142" s="120">
        <v>138</v>
      </c>
      <c r="B142" s="133" t="s">
        <v>161</v>
      </c>
      <c r="C142" s="134" t="s">
        <v>760</v>
      </c>
      <c r="D142" s="134" t="s">
        <v>775</v>
      </c>
      <c r="E142" s="135">
        <v>0.5</v>
      </c>
    </row>
    <row r="143" spans="1:5" ht="15.75">
      <c r="A143" s="120">
        <v>139</v>
      </c>
      <c r="B143" s="133" t="s">
        <v>161</v>
      </c>
      <c r="C143" s="134" t="s">
        <v>761</v>
      </c>
      <c r="D143" s="134" t="s">
        <v>776</v>
      </c>
      <c r="E143" s="135">
        <v>2</v>
      </c>
    </row>
    <row r="144" spans="1:5" ht="15.75">
      <c r="A144" s="120">
        <v>140</v>
      </c>
      <c r="B144" s="133" t="s">
        <v>161</v>
      </c>
      <c r="C144" s="134" t="s">
        <v>762</v>
      </c>
      <c r="D144" s="134" t="s">
        <v>777</v>
      </c>
      <c r="E144" s="135">
        <v>8</v>
      </c>
    </row>
    <row r="145" spans="1:5" ht="15.75">
      <c r="A145" s="120">
        <v>141</v>
      </c>
      <c r="B145" s="133" t="s">
        <v>161</v>
      </c>
      <c r="C145" s="134" t="s">
        <v>763</v>
      </c>
      <c r="D145" s="134" t="s">
        <v>778</v>
      </c>
      <c r="E145" s="135">
        <v>6</v>
      </c>
    </row>
    <row r="146" spans="1:5" ht="31.5">
      <c r="A146" s="120">
        <v>142</v>
      </c>
      <c r="B146" s="133" t="s">
        <v>161</v>
      </c>
      <c r="C146" s="134" t="s">
        <v>764</v>
      </c>
      <c r="D146" s="134" t="s">
        <v>779</v>
      </c>
      <c r="E146" s="135">
        <v>2</v>
      </c>
    </row>
    <row r="147" spans="1:5" ht="15.75">
      <c r="A147" s="120">
        <v>143</v>
      </c>
      <c r="B147" s="133" t="s">
        <v>161</v>
      </c>
      <c r="C147" s="134" t="s">
        <v>765</v>
      </c>
      <c r="D147" s="134" t="s">
        <v>780</v>
      </c>
      <c r="E147" s="135">
        <v>6</v>
      </c>
    </row>
    <row r="148" spans="1:5" ht="15.75">
      <c r="A148" s="120">
        <v>144</v>
      </c>
      <c r="B148" s="133" t="s">
        <v>161</v>
      </c>
      <c r="C148" s="134" t="s">
        <v>766</v>
      </c>
      <c r="D148" s="134" t="s">
        <v>781</v>
      </c>
      <c r="E148" s="135">
        <v>1</v>
      </c>
    </row>
    <row r="149" spans="1:5" ht="15.75">
      <c r="A149" s="120">
        <v>145</v>
      </c>
      <c r="B149" s="136" t="s">
        <v>164</v>
      </c>
      <c r="C149" s="137" t="s">
        <v>758</v>
      </c>
      <c r="D149" s="137" t="s">
        <v>782</v>
      </c>
      <c r="E149" s="138">
        <v>1.5</v>
      </c>
    </row>
    <row r="150" spans="1:5" ht="15.75">
      <c r="A150" s="120">
        <v>146</v>
      </c>
      <c r="B150" s="136" t="s">
        <v>164</v>
      </c>
      <c r="C150" s="137" t="s">
        <v>759</v>
      </c>
      <c r="D150" s="137" t="s">
        <v>783</v>
      </c>
      <c r="E150" s="138">
        <v>1</v>
      </c>
    </row>
    <row r="151" spans="1:5" ht="15.75">
      <c r="A151" s="120">
        <v>147</v>
      </c>
      <c r="B151" s="136" t="s">
        <v>164</v>
      </c>
      <c r="C151" s="137" t="s">
        <v>760</v>
      </c>
      <c r="D151" s="137" t="s">
        <v>784</v>
      </c>
      <c r="E151" s="138">
        <v>0.5</v>
      </c>
    </row>
    <row r="152" spans="1:5" ht="15.75">
      <c r="A152" s="120">
        <v>148</v>
      </c>
      <c r="B152" s="136" t="s">
        <v>164</v>
      </c>
      <c r="C152" s="137" t="s">
        <v>761</v>
      </c>
      <c r="D152" s="137" t="s">
        <v>785</v>
      </c>
      <c r="E152" s="138">
        <v>2</v>
      </c>
    </row>
    <row r="153" spans="1:5" ht="15.75">
      <c r="A153" s="120">
        <v>149</v>
      </c>
      <c r="B153" s="136" t="s">
        <v>164</v>
      </c>
      <c r="C153" s="137" t="s">
        <v>762</v>
      </c>
      <c r="D153" s="137" t="s">
        <v>786</v>
      </c>
      <c r="E153" s="138">
        <v>12</v>
      </c>
    </row>
    <row r="154" spans="1:5" ht="15.75">
      <c r="A154" s="120">
        <v>150</v>
      </c>
      <c r="B154" s="136" t="s">
        <v>164</v>
      </c>
      <c r="C154" s="137" t="s">
        <v>763</v>
      </c>
      <c r="D154" s="137" t="s">
        <v>787</v>
      </c>
      <c r="E154" s="138">
        <v>8</v>
      </c>
    </row>
    <row r="155" spans="1:5" ht="31.5">
      <c r="A155" s="120">
        <v>151</v>
      </c>
      <c r="B155" s="136" t="s">
        <v>164</v>
      </c>
      <c r="C155" s="137" t="s">
        <v>764</v>
      </c>
      <c r="D155" s="137" t="s">
        <v>788</v>
      </c>
      <c r="E155" s="138">
        <v>2</v>
      </c>
    </row>
    <row r="156" spans="1:5" ht="15.75">
      <c r="A156" s="120">
        <v>152</v>
      </c>
      <c r="B156" s="136" t="s">
        <v>164</v>
      </c>
      <c r="C156" s="137" t="s">
        <v>765</v>
      </c>
      <c r="D156" s="137" t="s">
        <v>789</v>
      </c>
      <c r="E156" s="138">
        <v>8</v>
      </c>
    </row>
    <row r="157" spans="1:5" ht="15.75">
      <c r="A157" s="120">
        <v>153</v>
      </c>
      <c r="B157" s="136" t="s">
        <v>164</v>
      </c>
      <c r="C157" s="137" t="s">
        <v>766</v>
      </c>
      <c r="D157" s="137" t="s">
        <v>790</v>
      </c>
      <c r="E157" s="138">
        <v>1.5</v>
      </c>
    </row>
    <row r="158" spans="1:5" ht="15.75">
      <c r="A158" s="120">
        <v>154</v>
      </c>
      <c r="B158" s="133" t="s">
        <v>166</v>
      </c>
      <c r="C158" s="134" t="s">
        <v>758</v>
      </c>
      <c r="D158" s="134" t="s">
        <v>791</v>
      </c>
      <c r="E158" s="135">
        <v>1.5</v>
      </c>
    </row>
    <row r="159" spans="1:5" ht="15.75">
      <c r="A159" s="120">
        <v>155</v>
      </c>
      <c r="B159" s="133" t="s">
        <v>166</v>
      </c>
      <c r="C159" s="134" t="s">
        <v>759</v>
      </c>
      <c r="D159" s="134" t="s">
        <v>792</v>
      </c>
      <c r="E159" s="135">
        <v>2</v>
      </c>
    </row>
    <row r="160" spans="1:5" ht="15.75">
      <c r="A160" s="120">
        <v>156</v>
      </c>
      <c r="B160" s="133" t="s">
        <v>166</v>
      </c>
      <c r="C160" s="134" t="s">
        <v>760</v>
      </c>
      <c r="D160" s="134" t="s">
        <v>793</v>
      </c>
      <c r="E160" s="135">
        <v>1</v>
      </c>
    </row>
    <row r="161" spans="1:5" ht="15.75">
      <c r="A161" s="120">
        <v>157</v>
      </c>
      <c r="B161" s="133" t="s">
        <v>166</v>
      </c>
      <c r="C161" s="134" t="s">
        <v>761</v>
      </c>
      <c r="D161" s="134" t="s">
        <v>794</v>
      </c>
      <c r="E161" s="135">
        <v>2</v>
      </c>
    </row>
    <row r="162" spans="1:5" ht="15.75">
      <c r="A162" s="120">
        <v>158</v>
      </c>
      <c r="B162" s="133" t="s">
        <v>166</v>
      </c>
      <c r="C162" s="134" t="s">
        <v>762</v>
      </c>
      <c r="D162" s="134" t="s">
        <v>795</v>
      </c>
      <c r="E162" s="135">
        <v>16</v>
      </c>
    </row>
    <row r="163" spans="1:5" ht="15.75">
      <c r="A163" s="120">
        <v>159</v>
      </c>
      <c r="B163" s="133" t="s">
        <v>166</v>
      </c>
      <c r="C163" s="134" t="s">
        <v>763</v>
      </c>
      <c r="D163" s="134" t="s">
        <v>796</v>
      </c>
      <c r="E163" s="135">
        <v>12</v>
      </c>
    </row>
    <row r="164" spans="1:5" ht="31.5">
      <c r="A164" s="120">
        <v>160</v>
      </c>
      <c r="B164" s="133" t="s">
        <v>166</v>
      </c>
      <c r="C164" s="134" t="s">
        <v>764</v>
      </c>
      <c r="D164" s="134" t="s">
        <v>797</v>
      </c>
      <c r="E164" s="135">
        <v>4</v>
      </c>
    </row>
    <row r="165" spans="1:5" ht="15.75">
      <c r="A165" s="120">
        <v>161</v>
      </c>
      <c r="B165" s="133" t="s">
        <v>166</v>
      </c>
      <c r="C165" s="134" t="s">
        <v>765</v>
      </c>
      <c r="D165" s="134" t="s">
        <v>798</v>
      </c>
      <c r="E165" s="135">
        <v>12</v>
      </c>
    </row>
    <row r="166" spans="1:5" ht="15.75">
      <c r="A166" s="120">
        <v>162</v>
      </c>
      <c r="B166" s="133" t="s">
        <v>166</v>
      </c>
      <c r="C166" s="134" t="s">
        <v>766</v>
      </c>
      <c r="D166" s="134" t="s">
        <v>799</v>
      </c>
      <c r="E166" s="135">
        <v>2</v>
      </c>
    </row>
    <row r="167" spans="1:5" ht="25.5">
      <c r="A167" s="120">
        <v>163</v>
      </c>
      <c r="B167" s="139" t="s">
        <v>139</v>
      </c>
      <c r="C167" s="140" t="s">
        <v>41</v>
      </c>
      <c r="D167" s="141" t="s">
        <v>800</v>
      </c>
      <c r="E167" s="141">
        <f>0.44*8</f>
        <v>3.52</v>
      </c>
    </row>
    <row r="168" spans="1:5" ht="25.5">
      <c r="A168" s="120">
        <v>164</v>
      </c>
      <c r="B168" s="139" t="s">
        <v>139</v>
      </c>
      <c r="C168" s="140" t="s">
        <v>43</v>
      </c>
      <c r="D168" s="141" t="s">
        <v>801</v>
      </c>
      <c r="E168" s="141">
        <f>0.5*8</f>
        <v>4</v>
      </c>
    </row>
    <row r="169" spans="1:5" ht="25.5">
      <c r="A169" s="120">
        <v>165</v>
      </c>
      <c r="B169" s="139" t="s">
        <v>139</v>
      </c>
      <c r="C169" s="140" t="s">
        <v>765</v>
      </c>
      <c r="D169" s="141" t="s">
        <v>802</v>
      </c>
      <c r="E169" s="141">
        <f>E167</f>
        <v>3.52</v>
      </c>
    </row>
    <row r="170" spans="1:5" ht="25.5">
      <c r="A170" s="120">
        <v>166</v>
      </c>
      <c r="B170" s="139" t="s">
        <v>142</v>
      </c>
      <c r="C170" s="140" t="s">
        <v>41</v>
      </c>
      <c r="D170" s="141" t="s">
        <v>803</v>
      </c>
      <c r="E170" s="141">
        <f>0.88*8</f>
        <v>7.04</v>
      </c>
    </row>
    <row r="171" spans="1:5" ht="25.5">
      <c r="A171" s="120">
        <v>167</v>
      </c>
      <c r="B171" s="139" t="s">
        <v>142</v>
      </c>
      <c r="C171" s="140" t="s">
        <v>43</v>
      </c>
      <c r="D171" s="141" t="s">
        <v>804</v>
      </c>
      <c r="E171" s="141">
        <f>1.5*8</f>
        <v>12</v>
      </c>
    </row>
    <row r="172" spans="1:5" ht="25.5">
      <c r="A172" s="120">
        <v>168</v>
      </c>
      <c r="B172" s="139" t="s">
        <v>142</v>
      </c>
      <c r="C172" s="140" t="s">
        <v>765</v>
      </c>
      <c r="D172" s="141" t="s">
        <v>805</v>
      </c>
      <c r="E172" s="141">
        <f>0.86*8</f>
        <v>6.88</v>
      </c>
    </row>
    <row r="173" spans="1:5" ht="25.5">
      <c r="A173" s="120">
        <v>169</v>
      </c>
      <c r="B173" s="139" t="s">
        <v>144</v>
      </c>
      <c r="C173" s="140" t="s">
        <v>41</v>
      </c>
      <c r="D173" s="141" t="s">
        <v>806</v>
      </c>
      <c r="E173" s="141">
        <f>1.76*8</f>
        <v>14.08</v>
      </c>
    </row>
    <row r="174" spans="1:5" ht="25.5">
      <c r="A174" s="120">
        <v>170</v>
      </c>
      <c r="B174" s="139" t="s">
        <v>144</v>
      </c>
      <c r="C174" s="140" t="s">
        <v>43</v>
      </c>
      <c r="D174" s="141" t="s">
        <v>807</v>
      </c>
      <c r="E174" s="141">
        <f>2.5*8</f>
        <v>20</v>
      </c>
    </row>
    <row r="175" spans="1:5" ht="25.5">
      <c r="A175" s="120">
        <v>171</v>
      </c>
      <c r="B175" s="139" t="s">
        <v>144</v>
      </c>
      <c r="C175" s="140" t="s">
        <v>765</v>
      </c>
      <c r="D175" s="141" t="s">
        <v>808</v>
      </c>
      <c r="E175" s="141">
        <f>1.73*8</f>
        <v>13.84</v>
      </c>
    </row>
    <row r="176" spans="1:5" ht="25.5">
      <c r="A176" s="120">
        <v>172</v>
      </c>
      <c r="B176" s="139" t="s">
        <v>146</v>
      </c>
      <c r="C176" s="140" t="s">
        <v>41</v>
      </c>
      <c r="D176" s="141" t="s">
        <v>809</v>
      </c>
      <c r="E176" s="141">
        <f>0.44*8</f>
        <v>3.52</v>
      </c>
    </row>
    <row r="177" spans="1:5" ht="25.5">
      <c r="A177" s="120">
        <v>173</v>
      </c>
      <c r="B177" s="139" t="s">
        <v>146</v>
      </c>
      <c r="C177" s="140" t="s">
        <v>43</v>
      </c>
      <c r="D177" s="141" t="s">
        <v>810</v>
      </c>
      <c r="E177" s="141">
        <f>0.25*8</f>
        <v>2</v>
      </c>
    </row>
    <row r="178" spans="1:5" ht="25.5">
      <c r="A178" s="120">
        <v>174</v>
      </c>
      <c r="B178" s="139" t="s">
        <v>146</v>
      </c>
      <c r="C178" s="140" t="s">
        <v>765</v>
      </c>
      <c r="D178" s="141" t="s">
        <v>811</v>
      </c>
      <c r="E178" s="141">
        <f>0.44*8</f>
        <v>3.52</v>
      </c>
    </row>
    <row r="179" spans="1:5" ht="25.5">
      <c r="A179" s="120">
        <v>175</v>
      </c>
      <c r="B179" s="139" t="s">
        <v>142</v>
      </c>
      <c r="C179" s="140" t="s">
        <v>41</v>
      </c>
      <c r="D179" s="141" t="s">
        <v>812</v>
      </c>
      <c r="E179" s="141">
        <f>0.88*8</f>
        <v>7.04</v>
      </c>
    </row>
    <row r="180" spans="1:5" ht="25.5">
      <c r="A180" s="120">
        <v>176</v>
      </c>
      <c r="B180" s="139" t="s">
        <v>142</v>
      </c>
      <c r="C180" s="140" t="s">
        <v>43</v>
      </c>
      <c r="D180" s="141" t="s">
        <v>813</v>
      </c>
      <c r="E180" s="141">
        <f>0.75*8</f>
        <v>6</v>
      </c>
    </row>
    <row r="181" spans="1:5" ht="25.5">
      <c r="A181" s="120">
        <v>177</v>
      </c>
      <c r="B181" s="139" t="s">
        <v>142</v>
      </c>
      <c r="C181" s="140" t="s">
        <v>765</v>
      </c>
      <c r="D181" s="141" t="s">
        <v>814</v>
      </c>
      <c r="E181" s="141">
        <f>0.86*8</f>
        <v>6.88</v>
      </c>
    </row>
    <row r="182" spans="1:5" ht="25.5">
      <c r="A182" s="120">
        <v>178</v>
      </c>
      <c r="B182" s="139" t="s">
        <v>144</v>
      </c>
      <c r="C182" s="140" t="s">
        <v>41</v>
      </c>
      <c r="D182" s="141" t="s">
        <v>815</v>
      </c>
      <c r="E182" s="141">
        <f>1.76*8</f>
        <v>14.08</v>
      </c>
    </row>
    <row r="183" spans="1:5" ht="25.5">
      <c r="A183" s="120">
        <v>179</v>
      </c>
      <c r="B183" s="139" t="s">
        <v>144</v>
      </c>
      <c r="C183" s="140" t="s">
        <v>43</v>
      </c>
      <c r="D183" s="141" t="s">
        <v>816</v>
      </c>
      <c r="E183" s="141">
        <f>0.75*8</f>
        <v>6</v>
      </c>
    </row>
    <row r="184" spans="1:5" ht="25.5">
      <c r="A184" s="120">
        <v>180</v>
      </c>
      <c r="B184" s="139" t="s">
        <v>144</v>
      </c>
      <c r="C184" s="140" t="s">
        <v>765</v>
      </c>
      <c r="D184" s="141" t="s">
        <v>817</v>
      </c>
      <c r="E184" s="141">
        <f>1.73*8</f>
        <v>13.84</v>
      </c>
    </row>
    <row r="185" spans="1:5" ht="16.5">
      <c r="A185" s="120">
        <v>181</v>
      </c>
      <c r="B185" s="142" t="s">
        <v>169</v>
      </c>
      <c r="C185" s="140" t="s">
        <v>41</v>
      </c>
      <c r="D185" s="141" t="s">
        <v>818</v>
      </c>
      <c r="E185" s="141">
        <f>0.46*8</f>
        <v>3.68</v>
      </c>
    </row>
    <row r="186" spans="1:5" ht="16.5">
      <c r="A186" s="120">
        <v>182</v>
      </c>
      <c r="B186" s="142" t="s">
        <v>169</v>
      </c>
      <c r="C186" s="140" t="s">
        <v>43</v>
      </c>
      <c r="D186" s="141" t="s">
        <v>819</v>
      </c>
      <c r="E186" s="141">
        <f>0.25*8</f>
        <v>2</v>
      </c>
    </row>
    <row r="187" spans="1:5" ht="16.5">
      <c r="A187" s="120">
        <v>183</v>
      </c>
      <c r="B187" s="142" t="s">
        <v>169</v>
      </c>
      <c r="C187" s="140" t="s">
        <v>765</v>
      </c>
      <c r="D187" s="141" t="s">
        <v>820</v>
      </c>
      <c r="E187" s="141">
        <f>0.44*8</f>
        <v>3.52</v>
      </c>
    </row>
    <row r="188" spans="1:5" ht="16.5">
      <c r="A188" s="120">
        <v>184</v>
      </c>
      <c r="B188" s="142" t="s">
        <v>172</v>
      </c>
      <c r="C188" s="140" t="s">
        <v>41</v>
      </c>
      <c r="D188" s="141" t="s">
        <v>821</v>
      </c>
      <c r="E188" s="141">
        <f>0.7*8</f>
        <v>5.6</v>
      </c>
    </row>
    <row r="189" spans="1:5" ht="16.5">
      <c r="A189" s="120">
        <v>185</v>
      </c>
      <c r="B189" s="142" t="s">
        <v>172</v>
      </c>
      <c r="C189" s="140" t="s">
        <v>43</v>
      </c>
      <c r="D189" s="141" t="s">
        <v>822</v>
      </c>
      <c r="E189" s="141">
        <f>0.25*8</f>
        <v>2</v>
      </c>
    </row>
    <row r="190" spans="1:5" ht="16.5">
      <c r="A190" s="120">
        <v>186</v>
      </c>
      <c r="B190" s="142" t="s">
        <v>172</v>
      </c>
      <c r="C190" s="140" t="s">
        <v>765</v>
      </c>
      <c r="D190" s="141" t="s">
        <v>823</v>
      </c>
      <c r="E190" s="141">
        <f>0.65*8</f>
        <v>5.2</v>
      </c>
    </row>
    <row r="191" spans="1:5" ht="16.5">
      <c r="A191" s="120">
        <v>187</v>
      </c>
      <c r="B191" s="142" t="s">
        <v>174</v>
      </c>
      <c r="C191" s="140" t="s">
        <v>41</v>
      </c>
      <c r="D191" s="141" t="s">
        <v>824</v>
      </c>
      <c r="E191" s="141">
        <f>0.92*8</f>
        <v>7.36</v>
      </c>
    </row>
    <row r="192" spans="1:5" ht="16.5">
      <c r="A192" s="120">
        <v>188</v>
      </c>
      <c r="B192" s="142" t="s">
        <v>174</v>
      </c>
      <c r="C192" s="140" t="s">
        <v>43</v>
      </c>
      <c r="D192" s="141" t="s">
        <v>825</v>
      </c>
      <c r="E192" s="141">
        <f>0.25*8</f>
        <v>2</v>
      </c>
    </row>
    <row r="193" spans="1:5" ht="16.5">
      <c r="A193" s="120">
        <v>189</v>
      </c>
      <c r="B193" s="142" t="s">
        <v>174</v>
      </c>
      <c r="C193" s="140" t="s">
        <v>765</v>
      </c>
      <c r="D193" s="141" t="s">
        <v>826</v>
      </c>
      <c r="E193" s="141">
        <f>0.86*8</f>
        <v>6.88</v>
      </c>
    </row>
    <row r="194" spans="1:5" ht="16.5">
      <c r="A194" s="120">
        <v>190</v>
      </c>
      <c r="B194" s="142" t="s">
        <v>176</v>
      </c>
      <c r="C194" s="140" t="s">
        <v>41</v>
      </c>
      <c r="D194" s="141" t="s">
        <v>827</v>
      </c>
      <c r="E194" s="143">
        <f>0.7*8</f>
        <v>5.6</v>
      </c>
    </row>
    <row r="195" spans="1:5" ht="16.5">
      <c r="A195" s="120">
        <v>191</v>
      </c>
      <c r="B195" s="142" t="s">
        <v>176</v>
      </c>
      <c r="C195" s="140" t="s">
        <v>43</v>
      </c>
      <c r="D195" s="141" t="s">
        <v>828</v>
      </c>
      <c r="E195" s="143">
        <f>0.5*8</f>
        <v>4</v>
      </c>
    </row>
    <row r="196" spans="1:5" ht="16.5">
      <c r="A196" s="120">
        <v>192</v>
      </c>
      <c r="B196" s="142" t="s">
        <v>176</v>
      </c>
      <c r="C196" s="140" t="s">
        <v>765</v>
      </c>
      <c r="D196" s="141" t="s">
        <v>829</v>
      </c>
      <c r="E196" s="141">
        <f>0.65*8</f>
        <v>5.2</v>
      </c>
    </row>
    <row r="197" spans="1:5" ht="16.5">
      <c r="A197" s="120">
        <v>193</v>
      </c>
      <c r="B197" s="142" t="s">
        <v>178</v>
      </c>
      <c r="C197" s="140" t="s">
        <v>41</v>
      </c>
      <c r="D197" s="141" t="s">
        <v>830</v>
      </c>
      <c r="E197" s="141">
        <f>0.92*8</f>
        <v>7.36</v>
      </c>
    </row>
    <row r="198" spans="1:5" ht="16.5">
      <c r="A198" s="120">
        <v>194</v>
      </c>
      <c r="B198" s="142" t="s">
        <v>178</v>
      </c>
      <c r="C198" s="140" t="s">
        <v>43</v>
      </c>
      <c r="D198" s="141" t="s">
        <v>831</v>
      </c>
      <c r="E198" s="141">
        <f>0.75*8</f>
        <v>6</v>
      </c>
    </row>
    <row r="199" spans="1:5" ht="16.5">
      <c r="A199" s="120">
        <v>195</v>
      </c>
      <c r="B199" s="142" t="s">
        <v>178</v>
      </c>
      <c r="C199" s="140" t="s">
        <v>765</v>
      </c>
      <c r="D199" s="141" t="s">
        <v>832</v>
      </c>
      <c r="E199" s="141">
        <f>0.86*8</f>
        <v>6.88</v>
      </c>
    </row>
    <row r="200" spans="1:5" ht="16.5">
      <c r="A200" s="120">
        <v>196</v>
      </c>
      <c r="B200" s="142" t="s">
        <v>180</v>
      </c>
      <c r="C200" s="140" t="s">
        <v>41</v>
      </c>
      <c r="D200" s="141" t="s">
        <v>833</v>
      </c>
      <c r="E200" s="141">
        <f>1.38*8</f>
        <v>11.04</v>
      </c>
    </row>
    <row r="201" spans="1:5" ht="16.5">
      <c r="A201" s="120">
        <v>197</v>
      </c>
      <c r="B201" s="142" t="s">
        <v>180</v>
      </c>
      <c r="C201" s="140" t="s">
        <v>43</v>
      </c>
      <c r="D201" s="141" t="s">
        <v>834</v>
      </c>
      <c r="E201" s="141">
        <f>1*8</f>
        <v>8</v>
      </c>
    </row>
    <row r="202" spans="1:5" ht="16.5">
      <c r="A202" s="120">
        <v>198</v>
      </c>
      <c r="B202" s="142" t="s">
        <v>180</v>
      </c>
      <c r="C202" s="140" t="s">
        <v>765</v>
      </c>
      <c r="D202" s="141" t="s">
        <v>835</v>
      </c>
      <c r="E202" s="141">
        <f>1.3*8</f>
        <v>10.4</v>
      </c>
    </row>
    <row r="203" spans="1:5" ht="16.5">
      <c r="A203" s="120">
        <v>199</v>
      </c>
      <c r="B203" s="142" t="s">
        <v>182</v>
      </c>
      <c r="C203" s="140" t="s">
        <v>41</v>
      </c>
      <c r="D203" s="141" t="s">
        <v>836</v>
      </c>
      <c r="E203" s="141">
        <f>0.23*8</f>
        <v>1.84</v>
      </c>
    </row>
    <row r="204" spans="1:5" ht="16.5">
      <c r="A204" s="120">
        <v>200</v>
      </c>
      <c r="B204" s="142" t="s">
        <v>182</v>
      </c>
      <c r="C204" s="140" t="s">
        <v>43</v>
      </c>
      <c r="D204" s="141" t="s">
        <v>837</v>
      </c>
      <c r="E204" s="141">
        <f>0.25*8</f>
        <v>2</v>
      </c>
    </row>
    <row r="205" spans="1:5" ht="16.5">
      <c r="A205" s="120">
        <v>201</v>
      </c>
      <c r="B205" s="142" t="s">
        <v>182</v>
      </c>
      <c r="C205" s="140" t="s">
        <v>765</v>
      </c>
      <c r="D205" s="141" t="s">
        <v>838</v>
      </c>
      <c r="E205" s="141">
        <f>0.21*8</f>
        <v>1.68</v>
      </c>
    </row>
    <row r="206" spans="1:5" ht="16.5">
      <c r="A206" s="120"/>
      <c r="B206" s="142" t="s">
        <v>182</v>
      </c>
      <c r="C206" s="140" t="s">
        <v>839</v>
      </c>
      <c r="D206" s="141" t="s">
        <v>840</v>
      </c>
      <c r="E206" s="141">
        <f>0.96*8</f>
        <v>7.68</v>
      </c>
    </row>
    <row r="207" spans="1:5" ht="16.5">
      <c r="A207" s="120">
        <v>202</v>
      </c>
      <c r="B207" s="142" t="s">
        <v>184</v>
      </c>
      <c r="C207" s="140" t="s">
        <v>41</v>
      </c>
      <c r="D207" s="141" t="s">
        <v>841</v>
      </c>
      <c r="E207" s="141">
        <f>0.46*8</f>
        <v>3.68</v>
      </c>
    </row>
    <row r="208" spans="1:5" ht="16.5">
      <c r="A208" s="120">
        <v>203</v>
      </c>
      <c r="B208" s="142" t="s">
        <v>184</v>
      </c>
      <c r="C208" s="140" t="s">
        <v>43</v>
      </c>
      <c r="D208" s="141" t="s">
        <v>842</v>
      </c>
      <c r="E208" s="141">
        <f>0.5*8</f>
        <v>4</v>
      </c>
    </row>
    <row r="209" spans="1:5" ht="16.5">
      <c r="A209" s="120">
        <v>204</v>
      </c>
      <c r="B209" s="142" t="s">
        <v>184</v>
      </c>
      <c r="C209" s="140" t="s">
        <v>765</v>
      </c>
      <c r="D209" s="141" t="s">
        <v>843</v>
      </c>
      <c r="E209" s="141">
        <f>0.44*8</f>
        <v>3.52</v>
      </c>
    </row>
    <row r="210" spans="1:5" ht="16.5">
      <c r="A210" s="120"/>
      <c r="B210" s="142" t="s">
        <v>184</v>
      </c>
      <c r="C210" s="140" t="s">
        <v>839</v>
      </c>
      <c r="D210" s="141" t="s">
        <v>844</v>
      </c>
      <c r="E210" s="141">
        <f>2.78*8</f>
        <v>22.24</v>
      </c>
    </row>
    <row r="211" spans="1:5" ht="16.5">
      <c r="A211" s="120">
        <v>205</v>
      </c>
      <c r="B211" s="142" t="s">
        <v>186</v>
      </c>
      <c r="C211" s="140" t="s">
        <v>41</v>
      </c>
      <c r="D211" s="141" t="s">
        <v>845</v>
      </c>
      <c r="E211" s="141">
        <f>0.7*8</f>
        <v>5.6</v>
      </c>
    </row>
    <row r="212" spans="1:5" ht="16.5">
      <c r="A212" s="120">
        <v>206</v>
      </c>
      <c r="B212" s="142" t="s">
        <v>186</v>
      </c>
      <c r="C212" s="140" t="s">
        <v>43</v>
      </c>
      <c r="D212" s="141" t="s">
        <v>846</v>
      </c>
      <c r="E212" s="141">
        <f>0.75*8</f>
        <v>6</v>
      </c>
    </row>
    <row r="213" spans="1:5" ht="16.5">
      <c r="A213" s="120">
        <v>207</v>
      </c>
      <c r="B213" s="142" t="s">
        <v>186</v>
      </c>
      <c r="C213" s="140" t="s">
        <v>765</v>
      </c>
      <c r="D213" s="141" t="s">
        <v>847</v>
      </c>
      <c r="E213" s="141">
        <f>0.65*8</f>
        <v>5.2</v>
      </c>
    </row>
    <row r="214" spans="1:5" ht="16.5">
      <c r="A214" s="120"/>
      <c r="B214" s="142" t="s">
        <v>186</v>
      </c>
      <c r="C214" s="140" t="s">
        <v>839</v>
      </c>
      <c r="D214" s="141" t="s">
        <v>848</v>
      </c>
      <c r="E214" s="141">
        <f>3.68*8</f>
        <v>29.44</v>
      </c>
    </row>
    <row r="215" spans="1:5" ht="16.5">
      <c r="A215" s="120">
        <v>208</v>
      </c>
      <c r="B215" s="142" t="s">
        <v>188</v>
      </c>
      <c r="C215" s="140" t="s">
        <v>41</v>
      </c>
      <c r="D215" s="141" t="s">
        <v>849</v>
      </c>
      <c r="E215" s="141">
        <f>0.46*8</f>
        <v>3.68</v>
      </c>
    </row>
    <row r="216" spans="1:5" ht="16.5">
      <c r="A216" s="120">
        <v>209</v>
      </c>
      <c r="B216" s="142" t="s">
        <v>188</v>
      </c>
      <c r="C216" s="140" t="s">
        <v>43</v>
      </c>
      <c r="D216" s="141" t="s">
        <v>850</v>
      </c>
      <c r="E216" s="141">
        <f>0.25*8</f>
        <v>2</v>
      </c>
    </row>
    <row r="217" spans="1:5" ht="16.5">
      <c r="A217" s="120">
        <v>210</v>
      </c>
      <c r="B217" s="142" t="s">
        <v>188</v>
      </c>
      <c r="C217" s="140" t="s">
        <v>765</v>
      </c>
      <c r="D217" s="141" t="s">
        <v>851</v>
      </c>
      <c r="E217" s="141">
        <f>0.44*8</f>
        <v>3.52</v>
      </c>
    </row>
    <row r="218" spans="1:5" ht="16.5">
      <c r="A218" s="120">
        <v>211</v>
      </c>
      <c r="B218" s="142" t="s">
        <v>189</v>
      </c>
      <c r="C218" s="140" t="s">
        <v>41</v>
      </c>
      <c r="D218" s="141" t="s">
        <v>852</v>
      </c>
      <c r="E218" s="141">
        <f>0.92*8</f>
        <v>7.36</v>
      </c>
    </row>
    <row r="219" spans="1:5" ht="16.5">
      <c r="A219" s="120">
        <v>212</v>
      </c>
      <c r="B219" s="142" t="s">
        <v>189</v>
      </c>
      <c r="C219" s="140" t="s">
        <v>43</v>
      </c>
      <c r="D219" s="141" t="s">
        <v>853</v>
      </c>
      <c r="E219" s="141">
        <f>0.5*8</f>
        <v>4</v>
      </c>
    </row>
    <row r="220" spans="1:5" ht="16.5">
      <c r="A220" s="120">
        <v>213</v>
      </c>
      <c r="B220" s="142" t="s">
        <v>189</v>
      </c>
      <c r="C220" s="140" t="s">
        <v>765</v>
      </c>
      <c r="D220" s="141" t="s">
        <v>854</v>
      </c>
      <c r="E220" s="141">
        <f>0.86*8</f>
        <v>6.88</v>
      </c>
    </row>
    <row r="221" spans="1:5" ht="16.5">
      <c r="A221" s="120">
        <v>214</v>
      </c>
      <c r="B221" s="142" t="s">
        <v>190</v>
      </c>
      <c r="C221" s="140" t="s">
        <v>41</v>
      </c>
      <c r="D221" s="141" t="s">
        <v>855</v>
      </c>
      <c r="E221" s="141">
        <f>1.38*8</f>
        <v>11.04</v>
      </c>
    </row>
    <row r="222" spans="1:5" ht="16.5">
      <c r="A222" s="120">
        <v>215</v>
      </c>
      <c r="B222" s="142" t="s">
        <v>190</v>
      </c>
      <c r="C222" s="140" t="s">
        <v>43</v>
      </c>
      <c r="D222" s="141" t="s">
        <v>856</v>
      </c>
      <c r="E222" s="141">
        <f>0.75*8</f>
        <v>6</v>
      </c>
    </row>
    <row r="223" spans="1:5" ht="16.5">
      <c r="A223" s="120">
        <v>216</v>
      </c>
      <c r="B223" s="142" t="s">
        <v>190</v>
      </c>
      <c r="C223" s="140" t="s">
        <v>765</v>
      </c>
      <c r="D223" s="141" t="s">
        <v>857</v>
      </c>
      <c r="E223" s="141">
        <f>1.3*8</f>
        <v>10.4</v>
      </c>
    </row>
    <row r="224" spans="1:5" ht="16.5">
      <c r="A224" s="120">
        <v>217</v>
      </c>
      <c r="B224" s="142" t="s">
        <v>191</v>
      </c>
      <c r="C224" s="140" t="s">
        <v>41</v>
      </c>
      <c r="D224" s="141" t="s">
        <v>858</v>
      </c>
      <c r="E224" s="141">
        <f>0.46*8</f>
        <v>3.68</v>
      </c>
    </row>
    <row r="225" spans="1:5" ht="16.5">
      <c r="A225" s="120">
        <v>218</v>
      </c>
      <c r="B225" s="142" t="s">
        <v>191</v>
      </c>
      <c r="C225" s="140" t="s">
        <v>43</v>
      </c>
      <c r="D225" s="141" t="s">
        <v>859</v>
      </c>
      <c r="E225" s="141">
        <f>0.25*8</f>
        <v>2</v>
      </c>
    </row>
    <row r="226" spans="1:5" ht="16.5">
      <c r="A226" s="120">
        <v>219</v>
      </c>
      <c r="B226" s="142" t="s">
        <v>191</v>
      </c>
      <c r="C226" s="140" t="s">
        <v>765</v>
      </c>
      <c r="D226" s="141" t="s">
        <v>860</v>
      </c>
      <c r="E226" s="141">
        <f>0.44*8</f>
        <v>3.52</v>
      </c>
    </row>
    <row r="227" spans="1:5" ht="25.5">
      <c r="A227" s="120">
        <v>220</v>
      </c>
      <c r="B227" s="142" t="s">
        <v>193</v>
      </c>
      <c r="C227" s="140" t="s">
        <v>41</v>
      </c>
      <c r="D227" s="141" t="s">
        <v>861</v>
      </c>
      <c r="E227" s="141">
        <f>0.92*8</f>
        <v>7.36</v>
      </c>
    </row>
    <row r="228" spans="1:5" ht="25.5">
      <c r="A228" s="120">
        <v>221</v>
      </c>
      <c r="B228" s="142" t="s">
        <v>193</v>
      </c>
      <c r="C228" s="140" t="s">
        <v>43</v>
      </c>
      <c r="D228" s="141" t="s">
        <v>862</v>
      </c>
      <c r="E228" s="141">
        <f>0.5*8</f>
        <v>4</v>
      </c>
    </row>
    <row r="229" spans="1:5" ht="25.5">
      <c r="A229" s="120">
        <v>222</v>
      </c>
      <c r="B229" s="142" t="s">
        <v>193</v>
      </c>
      <c r="C229" s="140" t="s">
        <v>765</v>
      </c>
      <c r="D229" s="141" t="s">
        <v>863</v>
      </c>
      <c r="E229" s="141">
        <f>0.86*8</f>
        <v>6.88</v>
      </c>
    </row>
    <row r="230" spans="1:5" ht="16.5">
      <c r="A230" s="120">
        <v>223</v>
      </c>
      <c r="B230" s="142" t="s">
        <v>195</v>
      </c>
      <c r="C230" s="140" t="s">
        <v>41</v>
      </c>
      <c r="D230" s="141" t="s">
        <v>864</v>
      </c>
      <c r="E230" s="141">
        <f>1.38*8</f>
        <v>11.04</v>
      </c>
    </row>
    <row r="231" spans="1:5" ht="16.5">
      <c r="A231" s="120">
        <v>224</v>
      </c>
      <c r="B231" s="142" t="s">
        <v>195</v>
      </c>
      <c r="C231" s="140" t="s">
        <v>43</v>
      </c>
      <c r="D231" s="141" t="s">
        <v>865</v>
      </c>
      <c r="E231" s="141">
        <f>0.75*8</f>
        <v>6</v>
      </c>
    </row>
    <row r="232" spans="1:5" ht="16.5">
      <c r="A232" s="120">
        <v>225</v>
      </c>
      <c r="B232" s="142" t="s">
        <v>195</v>
      </c>
      <c r="C232" s="140" t="s">
        <v>765</v>
      </c>
      <c r="D232" s="141" t="s">
        <v>866</v>
      </c>
      <c r="E232" s="141">
        <f>1.3*8</f>
        <v>10.4</v>
      </c>
    </row>
    <row r="233" spans="1:5" ht="25.5">
      <c r="A233" s="120">
        <v>226</v>
      </c>
      <c r="B233" s="142" t="s">
        <v>197</v>
      </c>
      <c r="C233" s="140" t="s">
        <v>41</v>
      </c>
      <c r="D233" s="141" t="s">
        <v>867</v>
      </c>
      <c r="E233" s="141">
        <f>0.92*8</f>
        <v>7.36</v>
      </c>
    </row>
    <row r="234" spans="1:5" ht="25.5">
      <c r="A234" s="120">
        <v>227</v>
      </c>
      <c r="B234" s="142" t="s">
        <v>197</v>
      </c>
      <c r="C234" s="140" t="s">
        <v>43</v>
      </c>
      <c r="D234" s="141" t="s">
        <v>868</v>
      </c>
      <c r="E234" s="141">
        <f>1*8</f>
        <v>8</v>
      </c>
    </row>
    <row r="235" spans="1:5" ht="25.5">
      <c r="A235" s="120">
        <v>228</v>
      </c>
      <c r="B235" s="142" t="s">
        <v>197</v>
      </c>
      <c r="C235" s="140" t="s">
        <v>765</v>
      </c>
      <c r="D235" s="141" t="s">
        <v>869</v>
      </c>
      <c r="E235" s="141">
        <f>0.86*8</f>
        <v>6.88</v>
      </c>
    </row>
    <row r="236" spans="1:5" ht="25.5">
      <c r="A236" s="120">
        <v>229</v>
      </c>
      <c r="B236" s="142" t="s">
        <v>199</v>
      </c>
      <c r="C236" s="140" t="s">
        <v>41</v>
      </c>
      <c r="D236" s="141" t="s">
        <v>870</v>
      </c>
      <c r="E236" s="141">
        <f>1.38*8</f>
        <v>11.04</v>
      </c>
    </row>
    <row r="237" spans="1:5" ht="25.5">
      <c r="A237" s="120">
        <v>230</v>
      </c>
      <c r="B237" s="142" t="s">
        <v>199</v>
      </c>
      <c r="C237" s="140" t="s">
        <v>43</v>
      </c>
      <c r="D237" s="141" t="s">
        <v>871</v>
      </c>
      <c r="E237" s="141">
        <f>1.5*8</f>
        <v>12</v>
      </c>
    </row>
    <row r="238" spans="1:5" ht="25.5">
      <c r="A238" s="120">
        <v>231</v>
      </c>
      <c r="B238" s="142" t="s">
        <v>199</v>
      </c>
      <c r="C238" s="140" t="s">
        <v>765</v>
      </c>
      <c r="D238" s="141" t="s">
        <v>872</v>
      </c>
      <c r="E238" s="141">
        <f>1.3*8</f>
        <v>10.4</v>
      </c>
    </row>
    <row r="239" spans="1:5" ht="25.5">
      <c r="A239" s="120">
        <v>232</v>
      </c>
      <c r="B239" s="142" t="s">
        <v>201</v>
      </c>
      <c r="C239" s="140" t="s">
        <v>41</v>
      </c>
      <c r="D239" s="141" t="s">
        <v>873</v>
      </c>
      <c r="E239" s="141">
        <f>1.84*8</f>
        <v>14.72</v>
      </c>
    </row>
    <row r="240" spans="1:5" ht="25.5">
      <c r="A240" s="120">
        <v>233</v>
      </c>
      <c r="B240" s="142" t="s">
        <v>201</v>
      </c>
      <c r="C240" s="140" t="s">
        <v>43</v>
      </c>
      <c r="D240" s="141" t="s">
        <v>874</v>
      </c>
      <c r="E240" s="141">
        <f>2*8</f>
        <v>16</v>
      </c>
    </row>
    <row r="241" spans="1:5" ht="25.5">
      <c r="A241" s="120">
        <v>234</v>
      </c>
      <c r="B241" s="142" t="s">
        <v>201</v>
      </c>
      <c r="C241" s="140" t="s">
        <v>765</v>
      </c>
      <c r="D241" s="141" t="s">
        <v>875</v>
      </c>
      <c r="E241" s="141">
        <f>1.73*8</f>
        <v>13.84</v>
      </c>
    </row>
    <row r="242" spans="1:5" ht="25.5">
      <c r="A242" s="120">
        <v>235</v>
      </c>
      <c r="B242" s="142" t="s">
        <v>203</v>
      </c>
      <c r="C242" s="140" t="s">
        <v>41</v>
      </c>
      <c r="D242" s="141" t="s">
        <v>876</v>
      </c>
      <c r="E242" s="141">
        <f>0.92*8</f>
        <v>7.36</v>
      </c>
    </row>
    <row r="243" spans="1:5" ht="25.5">
      <c r="A243" s="120">
        <v>236</v>
      </c>
      <c r="B243" s="142" t="s">
        <v>203</v>
      </c>
      <c r="C243" s="140" t="s">
        <v>43</v>
      </c>
      <c r="D243" s="141" t="s">
        <v>877</v>
      </c>
      <c r="E243" s="141">
        <f>1*8</f>
        <v>8</v>
      </c>
    </row>
    <row r="244" spans="1:5" ht="25.5">
      <c r="A244" s="120">
        <v>237</v>
      </c>
      <c r="B244" s="142" t="s">
        <v>203</v>
      </c>
      <c r="C244" s="140" t="s">
        <v>765</v>
      </c>
      <c r="D244" s="141" t="s">
        <v>878</v>
      </c>
      <c r="E244" s="141">
        <f>0.86*8</f>
        <v>6.88</v>
      </c>
    </row>
    <row r="245" spans="1:5" ht="25.5">
      <c r="A245" s="120">
        <v>238</v>
      </c>
      <c r="B245" s="142" t="s">
        <v>205</v>
      </c>
      <c r="C245" s="140" t="s">
        <v>41</v>
      </c>
      <c r="D245" s="141" t="s">
        <v>879</v>
      </c>
      <c r="E245" s="141">
        <f>1.38*8</f>
        <v>11.04</v>
      </c>
    </row>
    <row r="246" spans="1:5" ht="25.5">
      <c r="A246" s="120">
        <v>239</v>
      </c>
      <c r="B246" s="142" t="s">
        <v>205</v>
      </c>
      <c r="C246" s="140" t="s">
        <v>43</v>
      </c>
      <c r="D246" s="141" t="s">
        <v>880</v>
      </c>
      <c r="E246" s="141">
        <f>1.5*8</f>
        <v>12</v>
      </c>
    </row>
    <row r="247" spans="1:5" ht="25.5">
      <c r="A247" s="120">
        <v>240</v>
      </c>
      <c r="B247" s="142" t="s">
        <v>205</v>
      </c>
      <c r="C247" s="140" t="s">
        <v>765</v>
      </c>
      <c r="D247" s="141" t="s">
        <v>881</v>
      </c>
      <c r="E247" s="141">
        <f>1.3*8</f>
        <v>10.4</v>
      </c>
    </row>
    <row r="248" spans="1:5" ht="25.5">
      <c r="A248" s="120">
        <v>241</v>
      </c>
      <c r="B248" s="142" t="s">
        <v>207</v>
      </c>
      <c r="C248" s="140" t="s">
        <v>41</v>
      </c>
      <c r="D248" s="141" t="s">
        <v>882</v>
      </c>
      <c r="E248" s="141">
        <f>1.84*8</f>
        <v>14.72</v>
      </c>
    </row>
    <row r="249" spans="1:5" ht="25.5">
      <c r="A249" s="120">
        <v>242</v>
      </c>
      <c r="B249" s="142" t="s">
        <v>207</v>
      </c>
      <c r="C249" s="140" t="s">
        <v>43</v>
      </c>
      <c r="D249" s="141" t="s">
        <v>883</v>
      </c>
      <c r="E249" s="141">
        <f>2*8</f>
        <v>16</v>
      </c>
    </row>
    <row r="250" spans="1:5" ht="25.5">
      <c r="A250" s="120">
        <v>243</v>
      </c>
      <c r="B250" s="142" t="s">
        <v>207</v>
      </c>
      <c r="C250" s="140" t="s">
        <v>765</v>
      </c>
      <c r="D250" s="141" t="s">
        <v>884</v>
      </c>
      <c r="E250" s="141">
        <f>1.73*8</f>
        <v>13.84</v>
      </c>
    </row>
    <row r="251" spans="1:5" ht="25.5">
      <c r="A251" s="120">
        <v>244</v>
      </c>
      <c r="B251" s="144" t="s">
        <v>209</v>
      </c>
      <c r="C251" s="140" t="s">
        <v>41</v>
      </c>
      <c r="D251" s="141" t="s">
        <v>885</v>
      </c>
      <c r="E251" s="141">
        <f>0.92*8</f>
        <v>7.36</v>
      </c>
    </row>
    <row r="252" spans="1:5" ht="25.5">
      <c r="A252" s="120">
        <v>245</v>
      </c>
      <c r="B252" s="144" t="s">
        <v>209</v>
      </c>
      <c r="C252" s="140" t="s">
        <v>43</v>
      </c>
      <c r="D252" s="141" t="s">
        <v>886</v>
      </c>
      <c r="E252" s="141">
        <f>1*8</f>
        <v>8</v>
      </c>
    </row>
    <row r="253" spans="1:5" ht="25.5">
      <c r="A253" s="120">
        <v>246</v>
      </c>
      <c r="B253" s="144" t="s">
        <v>209</v>
      </c>
      <c r="C253" s="140" t="s">
        <v>765</v>
      </c>
      <c r="D253" s="141" t="s">
        <v>887</v>
      </c>
      <c r="E253" s="141">
        <f>0.86*8</f>
        <v>6.88</v>
      </c>
    </row>
    <row r="254" spans="1:5" ht="25.5">
      <c r="A254" s="120">
        <v>247</v>
      </c>
      <c r="B254" s="144" t="s">
        <v>211</v>
      </c>
      <c r="C254" s="140" t="s">
        <v>41</v>
      </c>
      <c r="D254" s="141" t="s">
        <v>888</v>
      </c>
      <c r="E254" s="141">
        <f>1.38*8</f>
        <v>11.04</v>
      </c>
    </row>
    <row r="255" spans="1:5" ht="25.5">
      <c r="A255" s="120">
        <v>248</v>
      </c>
      <c r="B255" s="144" t="s">
        <v>211</v>
      </c>
      <c r="C255" s="140" t="s">
        <v>43</v>
      </c>
      <c r="D255" s="141" t="s">
        <v>889</v>
      </c>
      <c r="E255" s="141">
        <f>1.5*8</f>
        <v>12</v>
      </c>
    </row>
    <row r="256" spans="1:5" ht="25.5">
      <c r="A256" s="120">
        <v>249</v>
      </c>
      <c r="B256" s="144" t="s">
        <v>211</v>
      </c>
      <c r="C256" s="140" t="s">
        <v>765</v>
      </c>
      <c r="D256" s="141" t="s">
        <v>890</v>
      </c>
      <c r="E256" s="141">
        <f>1.3*8</f>
        <v>10.4</v>
      </c>
    </row>
    <row r="257" spans="1:5" ht="25.5">
      <c r="A257" s="120">
        <v>250</v>
      </c>
      <c r="B257" s="144" t="s">
        <v>213</v>
      </c>
      <c r="C257" s="140" t="s">
        <v>41</v>
      </c>
      <c r="D257" s="141" t="s">
        <v>891</v>
      </c>
      <c r="E257" s="141">
        <f>1.84*8</f>
        <v>14.72</v>
      </c>
    </row>
    <row r="258" spans="1:5" ht="25.5">
      <c r="A258" s="120">
        <v>251</v>
      </c>
      <c r="B258" s="144" t="s">
        <v>213</v>
      </c>
      <c r="C258" s="140" t="s">
        <v>43</v>
      </c>
      <c r="D258" s="141" t="s">
        <v>892</v>
      </c>
      <c r="E258" s="141">
        <f>2*8</f>
        <v>16</v>
      </c>
    </row>
    <row r="259" spans="1:5" ht="25.5">
      <c r="A259" s="120">
        <v>252</v>
      </c>
      <c r="B259" s="144" t="s">
        <v>213</v>
      </c>
      <c r="C259" s="140" t="s">
        <v>765</v>
      </c>
      <c r="D259" s="141" t="s">
        <v>893</v>
      </c>
      <c r="E259" s="141">
        <f>1.73*8</f>
        <v>13.84</v>
      </c>
    </row>
  </sheetData>
  <mergeCells count="6">
    <mergeCell ref="A1:E1"/>
    <mergeCell ref="A3:A4"/>
    <mergeCell ref="B3:B4"/>
    <mergeCell ref="C3:C4"/>
    <mergeCell ref="D3:D4"/>
    <mergeCell ref="E3:E4"/>
  </mergeCell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1:C89"/>
  <sheetViews>
    <sheetView topLeftCell="A28" workbookViewId="0">
      <selection activeCell="B14" sqref="B14:C14"/>
    </sheetView>
  </sheetViews>
  <sheetFormatPr defaultColWidth="11.42578125" defaultRowHeight="12.75"/>
  <cols>
    <col min="1" max="1" width="36" style="98" customWidth="1"/>
    <col min="2" max="2" width="36.7109375" style="103" customWidth="1"/>
    <col min="3" max="3" width="58.140625" style="98" customWidth="1"/>
    <col min="4" max="4" width="25.42578125" style="98" customWidth="1"/>
    <col min="5" max="5" width="18.7109375" style="98" customWidth="1"/>
    <col min="6" max="6" width="14.7109375" style="98" bestFit="1" customWidth="1"/>
    <col min="7" max="16384" width="11.42578125" style="98"/>
  </cols>
  <sheetData>
    <row r="1" spans="1:3">
      <c r="A1" s="97" t="s">
        <v>406</v>
      </c>
      <c r="B1" s="400"/>
      <c r="C1" s="400"/>
    </row>
    <row r="2" spans="1:3">
      <c r="A2" s="99" t="s">
        <v>894</v>
      </c>
      <c r="B2" s="399"/>
      <c r="C2" s="399"/>
    </row>
    <row r="3" spans="1:3">
      <c r="A3" s="112" t="s">
        <v>895</v>
      </c>
      <c r="B3" s="111"/>
      <c r="C3" s="111"/>
    </row>
    <row r="4" spans="1:3">
      <c r="A4" s="99" t="s">
        <v>896</v>
      </c>
      <c r="B4" s="399"/>
      <c r="C4" s="399"/>
    </row>
    <row r="5" spans="1:3">
      <c r="A5" s="99" t="s">
        <v>381</v>
      </c>
      <c r="B5" s="399"/>
      <c r="C5" s="399"/>
    </row>
    <row r="6" spans="1:3">
      <c r="A6" s="99" t="s">
        <v>351</v>
      </c>
      <c r="B6" s="399"/>
      <c r="C6" s="399"/>
    </row>
    <row r="7" spans="1:3">
      <c r="A7" s="99" t="s">
        <v>371</v>
      </c>
      <c r="B7" s="399"/>
      <c r="C7" s="399"/>
    </row>
    <row r="8" spans="1:3">
      <c r="A8" s="99" t="s">
        <v>897</v>
      </c>
      <c r="B8" s="399"/>
      <c r="C8" s="399"/>
    </row>
    <row r="9" spans="1:3">
      <c r="A9" s="99" t="s">
        <v>898</v>
      </c>
      <c r="B9" s="399"/>
      <c r="C9" s="399"/>
    </row>
    <row r="10" spans="1:3">
      <c r="A10" s="99" t="s">
        <v>899</v>
      </c>
      <c r="B10" s="399"/>
      <c r="C10" s="399"/>
    </row>
    <row r="11" spans="1:3">
      <c r="A11" s="99" t="s">
        <v>900</v>
      </c>
      <c r="B11" s="399"/>
      <c r="C11" s="399"/>
    </row>
    <row r="12" spans="1:3">
      <c r="A12" s="112" t="s">
        <v>901</v>
      </c>
      <c r="B12" s="111"/>
      <c r="C12" s="111"/>
    </row>
    <row r="13" spans="1:3">
      <c r="A13" s="99" t="s">
        <v>902</v>
      </c>
      <c r="B13" s="399"/>
      <c r="C13" s="399"/>
    </row>
    <row r="14" spans="1:3">
      <c r="A14" s="99" t="s">
        <v>903</v>
      </c>
      <c r="B14" s="399"/>
      <c r="C14" s="399"/>
    </row>
    <row r="15" spans="1:3">
      <c r="A15" s="99" t="s">
        <v>904</v>
      </c>
      <c r="B15" s="399"/>
      <c r="C15" s="399"/>
    </row>
    <row r="16" spans="1:3">
      <c r="A16" s="99" t="s">
        <v>905</v>
      </c>
      <c r="B16" s="399"/>
      <c r="C16" s="399"/>
    </row>
    <row r="21" spans="1:3" ht="25.5">
      <c r="A21" s="100" t="s">
        <v>406</v>
      </c>
      <c r="B21" s="101" t="s">
        <v>906</v>
      </c>
    </row>
    <row r="22" spans="1:3">
      <c r="A22" s="99" t="s">
        <v>894</v>
      </c>
      <c r="B22" s="102">
        <v>0.28999999999999998</v>
      </c>
    </row>
    <row r="23" spans="1:3">
      <c r="A23" s="115" t="s">
        <v>895</v>
      </c>
      <c r="B23" s="114">
        <v>0.1</v>
      </c>
    </row>
    <row r="24" spans="1:3">
      <c r="A24" s="99" t="s">
        <v>896</v>
      </c>
      <c r="B24" s="102">
        <v>0.28999999999999998</v>
      </c>
    </row>
    <row r="25" spans="1:3">
      <c r="A25" s="99" t="s">
        <v>381</v>
      </c>
      <c r="B25" s="102">
        <v>0.20300000000000001</v>
      </c>
    </row>
    <row r="26" spans="1:3">
      <c r="A26" s="99" t="s">
        <v>351</v>
      </c>
      <c r="B26" s="102">
        <v>0.14740000000000003</v>
      </c>
    </row>
    <row r="27" spans="1:3">
      <c r="A27" s="99" t="s">
        <v>371</v>
      </c>
      <c r="B27" s="102">
        <v>0.19162000000000004</v>
      </c>
    </row>
    <row r="28" spans="1:3">
      <c r="A28" s="99" t="s">
        <v>897</v>
      </c>
      <c r="B28" s="102">
        <v>0.15329600000000002</v>
      </c>
    </row>
    <row r="29" spans="1:3">
      <c r="A29" s="99" t="s">
        <v>898</v>
      </c>
      <c r="B29" s="102">
        <v>0.24615800000000007</v>
      </c>
    </row>
    <row r="30" spans="1:3">
      <c r="A30" s="99" t="s">
        <v>899</v>
      </c>
      <c r="B30" s="102">
        <v>0.10863380000000004</v>
      </c>
    </row>
    <row r="31" spans="1:3">
      <c r="A31" s="99" t="s">
        <v>900</v>
      </c>
      <c r="B31" s="102">
        <v>0.16214000000000003</v>
      </c>
    </row>
    <row r="32" spans="1:3" s="117" customFormat="1" ht="15.75">
      <c r="A32" s="115" t="s">
        <v>901</v>
      </c>
      <c r="B32" s="114">
        <v>0.15</v>
      </c>
      <c r="C32" s="103"/>
    </row>
    <row r="33" spans="1:2">
      <c r="A33" s="99" t="s">
        <v>902</v>
      </c>
      <c r="B33" s="102">
        <v>0.19692640000000006</v>
      </c>
    </row>
    <row r="34" spans="1:2">
      <c r="A34" s="99" t="s">
        <v>903</v>
      </c>
      <c r="B34" s="102">
        <v>0.31484640000000008</v>
      </c>
    </row>
    <row r="35" spans="1:2">
      <c r="A35" s="99" t="s">
        <v>904</v>
      </c>
      <c r="B35" s="102">
        <v>7.3700000000000015E-2</v>
      </c>
    </row>
    <row r="36" spans="1:2">
      <c r="A36" s="99" t="s">
        <v>905</v>
      </c>
      <c r="B36" s="102">
        <v>0.28999999999999998</v>
      </c>
    </row>
    <row r="38" spans="1:2">
      <c r="A38" s="100" t="s">
        <v>406</v>
      </c>
      <c r="B38" s="101" t="s">
        <v>907</v>
      </c>
    </row>
    <row r="39" spans="1:2">
      <c r="A39" s="99" t="s">
        <v>894</v>
      </c>
      <c r="B39" s="102">
        <f>B22*1.4</f>
        <v>0.40599999999999997</v>
      </c>
    </row>
    <row r="40" spans="1:2">
      <c r="A40" s="115" t="s">
        <v>895</v>
      </c>
      <c r="B40" s="114">
        <v>0.14000000000000001</v>
      </c>
    </row>
    <row r="41" spans="1:2">
      <c r="A41" s="99" t="s">
        <v>896</v>
      </c>
      <c r="B41" s="102">
        <f>B24*1.4</f>
        <v>0.40599999999999997</v>
      </c>
    </row>
    <row r="42" spans="1:2">
      <c r="A42" s="99" t="s">
        <v>381</v>
      </c>
      <c r="B42" s="102">
        <v>0.23616000000000006</v>
      </c>
    </row>
    <row r="43" spans="1:2">
      <c r="A43" s="99" t="s">
        <v>351</v>
      </c>
      <c r="B43" s="102">
        <v>0.19188000000000002</v>
      </c>
    </row>
    <row r="44" spans="1:2">
      <c r="A44" s="99" t="s">
        <v>371</v>
      </c>
      <c r="B44" s="102">
        <v>0.23985000000000001</v>
      </c>
    </row>
    <row r="45" spans="1:2">
      <c r="A45" s="99" t="s">
        <v>897</v>
      </c>
      <c r="B45" s="102">
        <v>0.23616000000000006</v>
      </c>
    </row>
    <row r="46" spans="1:2">
      <c r="A46" s="99" t="s">
        <v>898</v>
      </c>
      <c r="B46" s="102">
        <v>0.33948000000000006</v>
      </c>
    </row>
    <row r="47" spans="1:2">
      <c r="A47" s="99" t="s">
        <v>899</v>
      </c>
      <c r="B47" s="102">
        <v>0.16236000000000006</v>
      </c>
    </row>
    <row r="48" spans="1:2">
      <c r="A48" s="99" t="s">
        <v>900</v>
      </c>
      <c r="B48" s="102">
        <v>0.18450000000000005</v>
      </c>
    </row>
    <row r="49" spans="1:2">
      <c r="A49" s="115" t="s">
        <v>901</v>
      </c>
      <c r="B49" s="114">
        <v>0.4</v>
      </c>
    </row>
    <row r="50" spans="1:2">
      <c r="A50" s="99" t="s">
        <v>902</v>
      </c>
      <c r="B50" s="102">
        <v>0.19719360000000002</v>
      </c>
    </row>
    <row r="51" spans="1:2">
      <c r="A51" s="99" t="s">
        <v>903</v>
      </c>
      <c r="B51" s="102">
        <v>0.46936800000000001</v>
      </c>
    </row>
    <row r="52" spans="1:2">
      <c r="A52" s="99" t="s">
        <v>904</v>
      </c>
      <c r="B52" s="102">
        <v>8.8560000000000014E-2</v>
      </c>
    </row>
    <row r="53" spans="1:2">
      <c r="A53" s="99" t="s">
        <v>905</v>
      </c>
      <c r="B53" s="102">
        <v>0.40599999999999997</v>
      </c>
    </row>
    <row r="56" spans="1:2" ht="25.5">
      <c r="A56" s="100" t="s">
        <v>406</v>
      </c>
      <c r="B56" s="101" t="s">
        <v>908</v>
      </c>
    </row>
    <row r="57" spans="1:2">
      <c r="A57" s="99" t="s">
        <v>894</v>
      </c>
      <c r="B57" s="102">
        <v>0.89619200000000021</v>
      </c>
    </row>
    <row r="58" spans="1:2">
      <c r="A58" s="115" t="s">
        <v>895</v>
      </c>
      <c r="B58" s="114">
        <v>0.8</v>
      </c>
    </row>
    <row r="59" spans="1:2">
      <c r="A59" s="99" t="s">
        <v>896</v>
      </c>
      <c r="B59" s="102">
        <v>1.0418232000000001</v>
      </c>
    </row>
    <row r="60" spans="1:2">
      <c r="A60" s="99" t="s">
        <v>381</v>
      </c>
      <c r="B60" s="102">
        <v>0.30250000000000005</v>
      </c>
    </row>
    <row r="61" spans="1:2">
      <c r="A61" s="99" t="s">
        <v>351</v>
      </c>
      <c r="B61" s="102">
        <v>0.24200000000000005</v>
      </c>
    </row>
    <row r="62" spans="1:2">
      <c r="A62" s="99" t="s">
        <v>371</v>
      </c>
      <c r="B62" s="102">
        <v>0.31460000000000005</v>
      </c>
    </row>
    <row r="63" spans="1:2">
      <c r="A63" s="99" t="s">
        <v>897</v>
      </c>
      <c r="B63" s="102">
        <v>0.38720000000000016</v>
      </c>
    </row>
    <row r="64" spans="1:2">
      <c r="A64" s="99" t="s">
        <v>898</v>
      </c>
      <c r="B64" s="102">
        <v>0.4840000000000001</v>
      </c>
    </row>
    <row r="65" spans="1:2">
      <c r="A65" s="99" t="s">
        <v>899</v>
      </c>
      <c r="B65" s="102">
        <v>0.26620000000000005</v>
      </c>
    </row>
    <row r="66" spans="1:2">
      <c r="A66" s="99" t="s">
        <v>900</v>
      </c>
      <c r="B66" s="102">
        <v>0.26620000000000005</v>
      </c>
    </row>
    <row r="67" spans="1:2">
      <c r="A67" s="115" t="s">
        <v>901</v>
      </c>
      <c r="B67" s="114">
        <v>0.3</v>
      </c>
    </row>
    <row r="68" spans="1:2">
      <c r="A68" s="99" t="s">
        <v>902</v>
      </c>
      <c r="B68" s="102">
        <v>0.14520000000000002</v>
      </c>
    </row>
    <row r="69" spans="1:2">
      <c r="A69" s="99" t="s">
        <v>903</v>
      </c>
      <c r="B69" s="102">
        <v>0.3872000000000001</v>
      </c>
    </row>
    <row r="70" spans="1:2">
      <c r="A70" s="99" t="s">
        <v>904</v>
      </c>
      <c r="B70" s="102">
        <v>0.18150000000000002</v>
      </c>
    </row>
    <row r="71" spans="1:2">
      <c r="A71" s="99" t="s">
        <v>905</v>
      </c>
      <c r="B71" s="102">
        <v>0.89619200000000021</v>
      </c>
    </row>
    <row r="73" spans="1:2" ht="25.5">
      <c r="A73" s="100" t="s">
        <v>406</v>
      </c>
      <c r="B73" s="101" t="s">
        <v>909</v>
      </c>
    </row>
    <row r="74" spans="1:2">
      <c r="A74" s="99" t="s">
        <v>894</v>
      </c>
      <c r="B74" s="102">
        <v>0.89740800000000009</v>
      </c>
    </row>
    <row r="75" spans="1:2">
      <c r="A75" s="115" t="s">
        <v>895</v>
      </c>
      <c r="B75" s="114">
        <v>0.8</v>
      </c>
    </row>
    <row r="76" spans="1:2">
      <c r="A76" s="99" t="s">
        <v>896</v>
      </c>
      <c r="B76" s="102">
        <v>1.5827760000000002</v>
      </c>
    </row>
    <row r="77" spans="1:2">
      <c r="A77" s="99" t="s">
        <v>381</v>
      </c>
      <c r="B77" s="102">
        <v>0.63</v>
      </c>
    </row>
    <row r="78" spans="1:2">
      <c r="A78" s="99" t="s">
        <v>351</v>
      </c>
      <c r="B78" s="102">
        <v>0.378</v>
      </c>
    </row>
    <row r="79" spans="1:2">
      <c r="A79" s="99" t="s">
        <v>371</v>
      </c>
      <c r="B79" s="102">
        <v>0.47250000000000003</v>
      </c>
    </row>
    <row r="80" spans="1:2">
      <c r="A80" s="99" t="s">
        <v>897</v>
      </c>
      <c r="B80" s="102">
        <v>0.40319999999999995</v>
      </c>
    </row>
    <row r="81" spans="1:2">
      <c r="A81" s="99" t="s">
        <v>898</v>
      </c>
      <c r="B81" s="102">
        <v>0.63</v>
      </c>
    </row>
    <row r="82" spans="1:2">
      <c r="A82" s="99" t="s">
        <v>899</v>
      </c>
      <c r="B82" s="102">
        <v>0.4158</v>
      </c>
    </row>
    <row r="83" spans="1:2">
      <c r="A83" s="99" t="s">
        <v>900</v>
      </c>
      <c r="B83" s="102">
        <v>0.47250000000000003</v>
      </c>
    </row>
    <row r="84" spans="1:2">
      <c r="A84" s="115" t="s">
        <v>901</v>
      </c>
      <c r="B84" s="114">
        <v>0.5</v>
      </c>
    </row>
    <row r="85" spans="1:2">
      <c r="A85" s="99" t="s">
        <v>902</v>
      </c>
      <c r="B85" s="102">
        <v>0.1512</v>
      </c>
    </row>
    <row r="86" spans="1:2">
      <c r="A86" s="99" t="s">
        <v>903</v>
      </c>
      <c r="B86" s="102">
        <v>0.4536</v>
      </c>
    </row>
    <row r="87" spans="1:2">
      <c r="A87" s="99" t="s">
        <v>904</v>
      </c>
      <c r="B87" s="102">
        <v>0.2268</v>
      </c>
    </row>
    <row r="88" spans="1:2">
      <c r="A88" s="99" t="s">
        <v>905</v>
      </c>
      <c r="B88" s="102">
        <v>0.89740800000000009</v>
      </c>
    </row>
    <row r="89" spans="1:2">
      <c r="A89" s="99" t="s">
        <v>905</v>
      </c>
      <c r="B89" s="102">
        <v>0.89740800000000009</v>
      </c>
    </row>
  </sheetData>
  <mergeCells count="14">
    <mergeCell ref="B7:C7"/>
    <mergeCell ref="B1:C1"/>
    <mergeCell ref="B2:C2"/>
    <mergeCell ref="B4:C4"/>
    <mergeCell ref="B5:C5"/>
    <mergeCell ref="B6:C6"/>
    <mergeCell ref="B15:C15"/>
    <mergeCell ref="B16:C16"/>
    <mergeCell ref="B8:C8"/>
    <mergeCell ref="B9:C9"/>
    <mergeCell ref="B10:C10"/>
    <mergeCell ref="B11:C11"/>
    <mergeCell ref="B13:C13"/>
    <mergeCell ref="B14:C14"/>
  </mergeCells>
  <pageMargins left="0.7" right="0.7" top="0.75" bottom="0.75" header="0.3" footer="0.3"/>
  <pageSetup paperSize="9" scale="85" orientation="landscape"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C78"/>
  <sheetViews>
    <sheetView workbookViewId="0">
      <selection activeCell="C74" sqref="C74"/>
    </sheetView>
  </sheetViews>
  <sheetFormatPr defaultColWidth="11.42578125" defaultRowHeight="12.75"/>
  <cols>
    <col min="1" max="1" width="36" style="98" customWidth="1"/>
    <col min="2" max="2" width="36.7109375" style="103" customWidth="1"/>
    <col min="3" max="3" width="58.140625" style="98" customWidth="1"/>
    <col min="4" max="4" width="25.42578125" style="98" customWidth="1"/>
    <col min="5" max="5" width="18.7109375" style="98" customWidth="1"/>
    <col min="6" max="6" width="14.7109375" style="98" bestFit="1" customWidth="1"/>
    <col min="7" max="16384" width="11.42578125" style="98"/>
  </cols>
  <sheetData>
    <row r="1" spans="1:3">
      <c r="A1" s="97" t="s">
        <v>406</v>
      </c>
      <c r="B1" s="400"/>
      <c r="C1" s="400"/>
    </row>
    <row r="2" spans="1:3">
      <c r="A2" s="99" t="s">
        <v>894</v>
      </c>
      <c r="B2" s="399"/>
      <c r="C2" s="399"/>
    </row>
    <row r="3" spans="1:3">
      <c r="A3" s="112" t="s">
        <v>895</v>
      </c>
      <c r="B3" s="111"/>
      <c r="C3" s="111"/>
    </row>
    <row r="4" spans="1:3">
      <c r="A4" s="99" t="s">
        <v>896</v>
      </c>
      <c r="B4" s="399"/>
      <c r="C4" s="399"/>
    </row>
    <row r="5" spans="1:3">
      <c r="A5" s="99" t="s">
        <v>381</v>
      </c>
      <c r="B5" s="399"/>
      <c r="C5" s="399"/>
    </row>
    <row r="6" spans="1:3">
      <c r="A6" s="99" t="s">
        <v>351</v>
      </c>
      <c r="B6" s="399"/>
      <c r="C6" s="399"/>
    </row>
    <row r="7" spans="1:3">
      <c r="A7" s="99" t="s">
        <v>371</v>
      </c>
      <c r="B7" s="399"/>
      <c r="C7" s="399"/>
    </row>
    <row r="8" spans="1:3">
      <c r="A8" s="99" t="s">
        <v>897</v>
      </c>
      <c r="B8" s="399"/>
      <c r="C8" s="399"/>
    </row>
    <row r="9" spans="1:3">
      <c r="A9" s="99" t="s">
        <v>898</v>
      </c>
      <c r="B9" s="399"/>
      <c r="C9" s="399"/>
    </row>
    <row r="10" spans="1:3">
      <c r="A10" s="99" t="s">
        <v>900</v>
      </c>
      <c r="B10" s="399"/>
      <c r="C10" s="399"/>
    </row>
    <row r="11" spans="1:3">
      <c r="A11" s="112" t="s">
        <v>901</v>
      </c>
      <c r="B11" s="111"/>
      <c r="C11" s="111"/>
    </row>
    <row r="12" spans="1:3">
      <c r="A12" s="99" t="s">
        <v>902</v>
      </c>
      <c r="B12" s="399"/>
      <c r="C12" s="399"/>
    </row>
    <row r="13" spans="1:3">
      <c r="A13" s="99" t="s">
        <v>903</v>
      </c>
      <c r="B13" s="399"/>
      <c r="C13" s="399"/>
    </row>
    <row r="14" spans="1:3">
      <c r="A14" s="99" t="s">
        <v>905</v>
      </c>
      <c r="B14" s="399"/>
      <c r="C14" s="399"/>
    </row>
    <row r="19" spans="1:3" ht="25.5">
      <c r="A19" s="100" t="s">
        <v>406</v>
      </c>
      <c r="B19" s="101" t="s">
        <v>906</v>
      </c>
    </row>
    <row r="20" spans="1:3">
      <c r="A20" s="113" t="s">
        <v>894</v>
      </c>
      <c r="B20" s="114">
        <v>0.1</v>
      </c>
    </row>
    <row r="21" spans="1:3">
      <c r="A21" s="115" t="s">
        <v>895</v>
      </c>
      <c r="B21" s="114">
        <v>0.1</v>
      </c>
    </row>
    <row r="22" spans="1:3">
      <c r="A22" s="113" t="s">
        <v>896</v>
      </c>
      <c r="B22" s="114">
        <v>0.1</v>
      </c>
    </row>
    <row r="23" spans="1:3">
      <c r="A23" s="113" t="s">
        <v>381</v>
      </c>
      <c r="B23" s="116">
        <v>0.20300000000000001</v>
      </c>
    </row>
    <row r="24" spans="1:3">
      <c r="A24" s="113" t="s">
        <v>351</v>
      </c>
      <c r="B24" s="114">
        <v>0.15</v>
      </c>
    </row>
    <row r="25" spans="1:3">
      <c r="A25" s="113" t="s">
        <v>371</v>
      </c>
      <c r="B25" s="116">
        <v>0.1</v>
      </c>
    </row>
    <row r="26" spans="1:3">
      <c r="A26" s="113" t="s">
        <v>897</v>
      </c>
      <c r="B26" s="116">
        <v>0.15329600000000002</v>
      </c>
    </row>
    <row r="27" spans="1:3">
      <c r="A27" s="113" t="s">
        <v>898</v>
      </c>
      <c r="B27" s="116">
        <v>0.15</v>
      </c>
    </row>
    <row r="28" spans="1:3" s="117" customFormat="1" ht="15.75">
      <c r="A28" s="115" t="s">
        <v>900</v>
      </c>
      <c r="B28" s="114">
        <v>0.15</v>
      </c>
      <c r="C28" s="103"/>
    </row>
    <row r="29" spans="1:3" s="117" customFormat="1" ht="15.75">
      <c r="A29" s="115" t="s">
        <v>901</v>
      </c>
      <c r="B29" s="114">
        <v>0.15</v>
      </c>
      <c r="C29" s="103"/>
    </row>
    <row r="30" spans="1:3">
      <c r="A30" s="113" t="s">
        <v>902</v>
      </c>
      <c r="B30" s="116">
        <v>0.19692640000000006</v>
      </c>
    </row>
    <row r="31" spans="1:3">
      <c r="A31" s="113" t="s">
        <v>903</v>
      </c>
      <c r="B31" s="116">
        <v>0.31484640000000008</v>
      </c>
    </row>
    <row r="32" spans="1:3">
      <c r="A32" s="113" t="s">
        <v>905</v>
      </c>
      <c r="B32" s="116">
        <v>0.28999999999999998</v>
      </c>
    </row>
    <row r="34" spans="1:2">
      <c r="A34" s="100" t="s">
        <v>406</v>
      </c>
      <c r="B34" s="101" t="s">
        <v>907</v>
      </c>
    </row>
    <row r="35" spans="1:2">
      <c r="A35" s="113" t="s">
        <v>894</v>
      </c>
      <c r="B35" s="116">
        <f>B20*1.4</f>
        <v>0.13999999999999999</v>
      </c>
    </row>
    <row r="36" spans="1:2">
      <c r="A36" s="115" t="s">
        <v>895</v>
      </c>
      <c r="B36" s="114">
        <v>0.14000000000000001</v>
      </c>
    </row>
    <row r="37" spans="1:2">
      <c r="A37" s="113" t="s">
        <v>896</v>
      </c>
      <c r="B37" s="116">
        <f>B22*1.4</f>
        <v>0.13999999999999999</v>
      </c>
    </row>
    <row r="38" spans="1:2">
      <c r="A38" s="113" t="s">
        <v>381</v>
      </c>
      <c r="B38" s="116">
        <v>0.23616000000000006</v>
      </c>
    </row>
    <row r="39" spans="1:2">
      <c r="A39" s="113" t="s">
        <v>351</v>
      </c>
      <c r="B39" s="116">
        <v>0.19188000000000002</v>
      </c>
    </row>
    <row r="40" spans="1:2">
      <c r="A40" s="113" t="s">
        <v>371</v>
      </c>
      <c r="B40" s="116">
        <v>0.23985000000000001</v>
      </c>
    </row>
    <row r="41" spans="1:2">
      <c r="A41" s="113" t="s">
        <v>897</v>
      </c>
      <c r="B41" s="116">
        <v>0.23616000000000006</v>
      </c>
    </row>
    <row r="42" spans="1:2">
      <c r="A42" s="113" t="s">
        <v>898</v>
      </c>
      <c r="B42" s="114">
        <v>0.5</v>
      </c>
    </row>
    <row r="43" spans="1:2">
      <c r="A43" s="115" t="s">
        <v>900</v>
      </c>
      <c r="B43" s="114">
        <v>0.2</v>
      </c>
    </row>
    <row r="44" spans="1:2">
      <c r="A44" s="115" t="s">
        <v>901</v>
      </c>
      <c r="B44" s="114">
        <v>0.4</v>
      </c>
    </row>
    <row r="45" spans="1:2">
      <c r="A45" s="113" t="s">
        <v>902</v>
      </c>
      <c r="B45" s="116">
        <v>0.19719360000000002</v>
      </c>
    </row>
    <row r="46" spans="1:2">
      <c r="A46" s="113" t="s">
        <v>903</v>
      </c>
      <c r="B46" s="116">
        <v>0.46936800000000001</v>
      </c>
    </row>
    <row r="47" spans="1:2">
      <c r="A47" s="113" t="s">
        <v>905</v>
      </c>
      <c r="B47" s="116">
        <v>0.40599999999999997</v>
      </c>
    </row>
    <row r="50" spans="1:2" ht="25.5">
      <c r="A50" s="100" t="s">
        <v>406</v>
      </c>
      <c r="B50" s="101" t="s">
        <v>908</v>
      </c>
    </row>
    <row r="51" spans="1:2">
      <c r="A51" s="113" t="s">
        <v>894</v>
      </c>
      <c r="B51" s="116">
        <v>0.89619200000000021</v>
      </c>
    </row>
    <row r="52" spans="1:2">
      <c r="A52" s="115" t="s">
        <v>895</v>
      </c>
      <c r="B52" s="114">
        <v>0.8</v>
      </c>
    </row>
    <row r="53" spans="1:2">
      <c r="A53" s="113" t="s">
        <v>896</v>
      </c>
      <c r="B53" s="116">
        <v>1.0418232000000001</v>
      </c>
    </row>
    <row r="54" spans="1:2">
      <c r="A54" s="113" t="s">
        <v>381</v>
      </c>
      <c r="B54" s="116">
        <v>0.30250000000000005</v>
      </c>
    </row>
    <row r="55" spans="1:2">
      <c r="A55" s="113" t="s">
        <v>351</v>
      </c>
      <c r="B55" s="116">
        <v>0.24200000000000005</v>
      </c>
    </row>
    <row r="56" spans="1:2">
      <c r="A56" s="113" t="s">
        <v>371</v>
      </c>
      <c r="B56" s="116">
        <v>0.31460000000000005</v>
      </c>
    </row>
    <row r="57" spans="1:2">
      <c r="A57" s="113" t="s">
        <v>897</v>
      </c>
      <c r="B57" s="116">
        <v>0.38720000000000016</v>
      </c>
    </row>
    <row r="58" spans="1:2">
      <c r="A58" s="113" t="s">
        <v>898</v>
      </c>
      <c r="B58" s="116">
        <v>0.4840000000000001</v>
      </c>
    </row>
    <row r="59" spans="1:2">
      <c r="A59" s="115" t="s">
        <v>900</v>
      </c>
      <c r="B59" s="114">
        <v>0.2</v>
      </c>
    </row>
    <row r="60" spans="1:2">
      <c r="A60" s="115" t="s">
        <v>901</v>
      </c>
      <c r="B60" s="114">
        <v>0.3</v>
      </c>
    </row>
    <row r="61" spans="1:2">
      <c r="A61" s="113" t="s">
        <v>902</v>
      </c>
      <c r="B61" s="116">
        <v>0.14520000000000002</v>
      </c>
    </row>
    <row r="62" spans="1:2">
      <c r="A62" s="113" t="s">
        <v>903</v>
      </c>
      <c r="B62" s="116">
        <v>0.3872000000000001</v>
      </c>
    </row>
    <row r="63" spans="1:2">
      <c r="A63" s="113" t="s">
        <v>905</v>
      </c>
      <c r="B63" s="116">
        <v>0.89619200000000021</v>
      </c>
    </row>
    <row r="65" spans="1:2" ht="25.5">
      <c r="A65" s="100" t="s">
        <v>406</v>
      </c>
      <c r="B65" s="101" t="s">
        <v>909</v>
      </c>
    </row>
    <row r="66" spans="1:2">
      <c r="A66" s="113" t="s">
        <v>894</v>
      </c>
      <c r="B66" s="116">
        <v>0.89740800000000009</v>
      </c>
    </row>
    <row r="67" spans="1:2">
      <c r="A67" s="115" t="s">
        <v>895</v>
      </c>
      <c r="B67" s="114">
        <v>0.8</v>
      </c>
    </row>
    <row r="68" spans="1:2">
      <c r="A68" s="113" t="s">
        <v>896</v>
      </c>
      <c r="B68" s="116">
        <v>1.5827760000000002</v>
      </c>
    </row>
    <row r="69" spans="1:2">
      <c r="A69" s="113" t="s">
        <v>381</v>
      </c>
      <c r="B69" s="116">
        <v>0.63</v>
      </c>
    </row>
    <row r="70" spans="1:2">
      <c r="A70" s="113" t="s">
        <v>351</v>
      </c>
      <c r="B70" s="116">
        <v>0.378</v>
      </c>
    </row>
    <row r="71" spans="1:2">
      <c r="A71" s="113" t="s">
        <v>371</v>
      </c>
      <c r="B71" s="116">
        <v>0.47250000000000003</v>
      </c>
    </row>
    <row r="72" spans="1:2">
      <c r="A72" s="113" t="s">
        <v>897</v>
      </c>
      <c r="B72" s="116">
        <v>0.40319999999999995</v>
      </c>
    </row>
    <row r="73" spans="1:2">
      <c r="A73" s="113" t="s">
        <v>898</v>
      </c>
      <c r="B73" s="116">
        <v>0.63</v>
      </c>
    </row>
    <row r="74" spans="1:2">
      <c r="A74" s="115" t="s">
        <v>900</v>
      </c>
      <c r="B74" s="114">
        <v>0.47250000000000003</v>
      </c>
    </row>
    <row r="75" spans="1:2">
      <c r="A75" s="115" t="s">
        <v>901</v>
      </c>
      <c r="B75" s="114">
        <v>0.5</v>
      </c>
    </row>
    <row r="76" spans="1:2">
      <c r="A76" s="113" t="s">
        <v>902</v>
      </c>
      <c r="B76" s="116">
        <v>0.1512</v>
      </c>
    </row>
    <row r="77" spans="1:2">
      <c r="A77" s="113" t="s">
        <v>903</v>
      </c>
      <c r="B77" s="116">
        <v>0.4536</v>
      </c>
    </row>
    <row r="78" spans="1:2">
      <c r="A78" s="113" t="s">
        <v>905</v>
      </c>
      <c r="B78" s="116">
        <v>0.89740800000000009</v>
      </c>
    </row>
  </sheetData>
  <mergeCells count="12">
    <mergeCell ref="B14:C14"/>
    <mergeCell ref="B1:C1"/>
    <mergeCell ref="B2:C2"/>
    <mergeCell ref="B4:C4"/>
    <mergeCell ref="B5:C5"/>
    <mergeCell ref="B6:C6"/>
    <mergeCell ref="B7:C7"/>
    <mergeCell ref="B8:C8"/>
    <mergeCell ref="B9:C9"/>
    <mergeCell ref="B10:C10"/>
    <mergeCell ref="B12:C12"/>
    <mergeCell ref="B13:C13"/>
  </mergeCells>
  <pageMargins left="0.7" right="0.7" top="0.75" bottom="0.75" header="0.3" footer="0.3"/>
  <pageSetup paperSize="9" scale="85" orientation="landscape"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 Ngoc Lan - Trung Tam phan mem</dc:creator>
  <cp:keywords/>
  <dc:description/>
  <cp:lastModifiedBy>X</cp:lastModifiedBy>
  <cp:revision/>
  <dcterms:created xsi:type="dcterms:W3CDTF">2008-12-01T04:35:49Z</dcterms:created>
  <dcterms:modified xsi:type="dcterms:W3CDTF">2024-03-10T08:42:37Z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