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ckup\E-sale &amp; MKT\1. QUY HOẠCH LẠI Ổ CHUNG ESM\4. ANCILLARY\3. Kế hoạch\Kế hoạch 2023\"/>
    </mc:Choice>
  </mc:AlternateContent>
  <xr:revisionPtr revIDLastSave="0" documentId="13_ncr:1_{0069EDD3-9F2A-40B0-AEEA-C0973263722F}" xr6:coauthVersionLast="36" xr6:coauthVersionMax="36" xr10:uidLastSave="{00000000-0000-0000-0000-000000000000}"/>
  <bookViews>
    <workbookView xWindow="0" yWindow="0" windowWidth="20490" windowHeight="7245" activeTab="1" xr2:uid="{E5453B55-AAAA-483C-9CD6-139CB82E191E}"/>
  </bookViews>
  <sheets>
    <sheet name="Số Total" sheetId="1" r:id="rId1"/>
    <sheet name="MP2023 sản phẩ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S22" i="2" l="1"/>
  <c r="S19" i="2"/>
  <c r="S25" i="2"/>
  <c r="S23" i="2"/>
  <c r="O27" i="2"/>
  <c r="S27" i="2" s="1"/>
  <c r="G22" i="2" l="1"/>
  <c r="H16" i="1"/>
  <c r="G18" i="2" l="1"/>
  <c r="R31" i="2" l="1"/>
  <c r="J30" i="2"/>
  <c r="J31" i="2"/>
  <c r="H6" i="2"/>
  <c r="H9" i="2"/>
  <c r="H10" i="2"/>
  <c r="H13" i="2"/>
  <c r="H22" i="2"/>
  <c r="Q4" i="2"/>
  <c r="R4" i="2"/>
  <c r="Q5" i="2"/>
  <c r="R5" i="2"/>
  <c r="P6" i="2"/>
  <c r="Q6" i="2"/>
  <c r="R6" i="2"/>
  <c r="Q7" i="2"/>
  <c r="R7" i="2"/>
  <c r="Q8" i="2"/>
  <c r="R8" i="2"/>
  <c r="P9" i="2"/>
  <c r="Q9" i="2"/>
  <c r="R9" i="2"/>
  <c r="P10" i="2"/>
  <c r="Q10" i="2"/>
  <c r="R10" i="2"/>
  <c r="Q11" i="2"/>
  <c r="R11" i="2"/>
  <c r="Q12" i="2"/>
  <c r="R12" i="2"/>
  <c r="P13" i="2"/>
  <c r="Q13" i="2"/>
  <c r="R13" i="2"/>
  <c r="Q14" i="2"/>
  <c r="R14" i="2"/>
  <c r="Q15" i="2"/>
  <c r="R15" i="2"/>
  <c r="Q16" i="2"/>
  <c r="Q17" i="2"/>
  <c r="R17" i="2"/>
  <c r="Q18" i="2"/>
  <c r="Q19" i="2"/>
  <c r="R19" i="2"/>
  <c r="Q20" i="2"/>
  <c r="R20" i="2"/>
  <c r="Q21" i="2"/>
  <c r="P22" i="2"/>
  <c r="Q22" i="2"/>
  <c r="R22" i="2"/>
  <c r="P23" i="2"/>
  <c r="Q23" i="2"/>
  <c r="R23" i="2"/>
  <c r="Q24" i="2"/>
  <c r="Q25" i="2"/>
  <c r="R25" i="2"/>
  <c r="Q26" i="2"/>
  <c r="R26" i="2"/>
  <c r="Q27" i="2"/>
  <c r="R27" i="2"/>
  <c r="Q30" i="2"/>
  <c r="Q31" i="2"/>
  <c r="Q32" i="2"/>
  <c r="Q33" i="2"/>
  <c r="Q34" i="2"/>
  <c r="R3" i="2"/>
  <c r="P3" i="2"/>
  <c r="I10" i="2"/>
  <c r="J10" i="2"/>
  <c r="J11" i="2"/>
  <c r="J12" i="2"/>
  <c r="I13" i="2"/>
  <c r="J13" i="2"/>
  <c r="J14" i="2"/>
  <c r="J15" i="2"/>
  <c r="I16" i="2"/>
  <c r="J16" i="2"/>
  <c r="I17" i="2"/>
  <c r="J17" i="2"/>
  <c r="J18" i="2"/>
  <c r="J19" i="2"/>
  <c r="I20" i="2"/>
  <c r="J20" i="2"/>
  <c r="J22" i="2"/>
  <c r="I23" i="2"/>
  <c r="J23" i="2"/>
  <c r="I24" i="2"/>
  <c r="J25" i="2"/>
  <c r="J26" i="2"/>
  <c r="I27" i="2"/>
  <c r="J27" i="2"/>
  <c r="I30" i="2"/>
  <c r="I31" i="2"/>
  <c r="I34" i="2"/>
  <c r="J4" i="2"/>
  <c r="J5" i="2"/>
  <c r="J6" i="2"/>
  <c r="J7" i="2"/>
  <c r="J8" i="2"/>
  <c r="J3" i="2"/>
  <c r="H3" i="2"/>
  <c r="R30" i="2"/>
  <c r="O25" i="2"/>
  <c r="O23" i="2"/>
  <c r="O2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7" i="2"/>
  <c r="O18" i="2"/>
  <c r="R18" i="2" s="1"/>
  <c r="O19" i="2"/>
  <c r="O20" i="2"/>
  <c r="G35" i="2"/>
  <c r="G25" i="2"/>
  <c r="G24" i="2"/>
  <c r="O24" i="2" s="1"/>
  <c r="R24" i="2" s="1"/>
  <c r="G23" i="2"/>
  <c r="H23" i="2" s="1"/>
  <c r="G20" i="2"/>
  <c r="G19" i="2"/>
  <c r="G17" i="2"/>
  <c r="G15" i="2"/>
  <c r="G14" i="2"/>
  <c r="G12" i="2"/>
  <c r="G11" i="2"/>
  <c r="G10" i="2" s="1"/>
  <c r="G8" i="2"/>
  <c r="G6" i="2" s="1"/>
  <c r="G7" i="2"/>
  <c r="G5" i="2"/>
  <c r="G4" i="2"/>
  <c r="M36" i="2"/>
  <c r="L36" i="2"/>
  <c r="K36" i="2"/>
  <c r="C36" i="2"/>
  <c r="N35" i="2"/>
  <c r="Q35" i="2" s="1"/>
  <c r="M35" i="2"/>
  <c r="L35" i="2"/>
  <c r="K35" i="2"/>
  <c r="D35" i="2"/>
  <c r="E35" i="2"/>
  <c r="F35" i="2"/>
  <c r="C35" i="2"/>
  <c r="J35" i="2" l="1"/>
  <c r="O35" i="2"/>
  <c r="R35" i="2" s="1"/>
  <c r="S30" i="2"/>
  <c r="J24" i="2"/>
  <c r="O28" i="2"/>
  <c r="G28" i="2"/>
  <c r="G16" i="2"/>
  <c r="O16" i="2" s="1"/>
  <c r="R16" i="2" s="1"/>
  <c r="G13" i="2"/>
  <c r="G21" i="2"/>
  <c r="G3" i="2"/>
  <c r="G9" i="2" s="1"/>
  <c r="M28" i="2"/>
  <c r="M29" i="2" s="1"/>
  <c r="L28" i="2"/>
  <c r="L29" i="2" s="1"/>
  <c r="K28" i="2"/>
  <c r="K29" i="2" s="1"/>
  <c r="M21" i="2"/>
  <c r="L21" i="2"/>
  <c r="K21" i="2"/>
  <c r="D29" i="2"/>
  <c r="E29" i="2"/>
  <c r="C29" i="2"/>
  <c r="D28" i="2"/>
  <c r="E28" i="2"/>
  <c r="C28" i="2"/>
  <c r="E21" i="2"/>
  <c r="D21" i="2"/>
  <c r="C21" i="2"/>
  <c r="F29" i="2"/>
  <c r="F36" i="2" s="1"/>
  <c r="N28" i="2"/>
  <c r="Q28" i="2" s="1"/>
  <c r="F28" i="2"/>
  <c r="N29" i="2" l="1"/>
  <c r="P28" i="2"/>
  <c r="R28" i="2"/>
  <c r="H21" i="2"/>
  <c r="O21" i="2"/>
  <c r="J21" i="2"/>
  <c r="J28" i="2"/>
  <c r="H28" i="2"/>
  <c r="G29" i="2"/>
  <c r="D36" i="2"/>
  <c r="E36" i="2"/>
  <c r="Q29" i="2" l="1"/>
  <c r="N36" i="2"/>
  <c r="Q36" i="2" s="1"/>
  <c r="P21" i="2"/>
  <c r="R21" i="2"/>
  <c r="O29" i="2"/>
  <c r="G36" i="2"/>
  <c r="J29" i="2"/>
  <c r="H29" i="2"/>
  <c r="O36" i="2" l="1"/>
  <c r="R29" i="2"/>
  <c r="P29" i="2"/>
  <c r="H36" i="2"/>
  <c r="J36" i="2"/>
  <c r="N16" i="2"/>
  <c r="N13" i="2"/>
  <c r="N10" i="2"/>
  <c r="N21" i="2" s="1"/>
  <c r="F21" i="2"/>
  <c r="P36" i="2" l="1"/>
  <c r="R36" i="2"/>
  <c r="F16" i="2"/>
  <c r="F13" i="2" l="1"/>
  <c r="F10" i="2" l="1"/>
  <c r="N6" i="2" l="1"/>
  <c r="N3" i="2"/>
  <c r="N9" i="2" s="1"/>
  <c r="F9" i="2"/>
  <c r="F3" i="2"/>
  <c r="F6" i="2"/>
  <c r="M9" i="2" l="1"/>
  <c r="L9" i="2"/>
  <c r="K9" i="2"/>
  <c r="E9" i="2"/>
  <c r="C9" i="2"/>
  <c r="D6" i="2"/>
  <c r="D9" i="2" s="1"/>
  <c r="Q3" i="2"/>
  <c r="I3" i="2"/>
  <c r="I6" i="2" l="1"/>
  <c r="J9" i="2"/>
  <c r="I9" i="2"/>
  <c r="K5" i="1" l="1"/>
  <c r="K6" i="1"/>
  <c r="K7" i="1"/>
  <c r="K8" i="1"/>
  <c r="K9" i="1"/>
  <c r="K10" i="1"/>
  <c r="K11" i="1"/>
  <c r="K12" i="1"/>
  <c r="K4" i="1"/>
  <c r="G15" i="1"/>
  <c r="G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<sst xmlns="http://schemas.openxmlformats.org/spreadsheetml/2006/main" count="92" uniqueCount="61">
  <si>
    <t>YEAR</t>
  </si>
  <si>
    <t>Version</t>
  </si>
  <si>
    <t xml:space="preserve">2019 </t>
  </si>
  <si>
    <t>2022</t>
  </si>
  <si>
    <t>KH2023</t>
  </si>
  <si>
    <t>NET3</t>
  </si>
  <si>
    <t>Values</t>
  </si>
  <si>
    <t>UTH 2022</t>
  </si>
  <si>
    <t>V 1.1-HIGH</t>
  </si>
  <si>
    <t>V 1.1-LOW</t>
  </si>
  <si>
    <t>V 1.1-MID</t>
  </si>
  <si>
    <t>HIGH/2019</t>
  </si>
  <si>
    <t>LOW/2019</t>
  </si>
  <si>
    <t>MID/2019</t>
  </si>
  <si>
    <t>DOM</t>
  </si>
  <si>
    <t>Sum of Pax</t>
  </si>
  <si>
    <t>Sum of DT_Pax_YQ</t>
  </si>
  <si>
    <t>Sum of FLS</t>
  </si>
  <si>
    <t>INT</t>
  </si>
  <si>
    <t>Total Sum of Pax</t>
  </si>
  <si>
    <t>Total Sum of DT_Pax_YQ</t>
  </si>
  <si>
    <t>Total Sum of FLS</t>
  </si>
  <si>
    <t>Tỉ trọng Ancillary</t>
  </si>
  <si>
    <t xml:space="preserve">Ancillary (alacarte, comm) natural </t>
  </si>
  <si>
    <t xml:space="preserve">Ancillary (alacarte, comm) optimistic </t>
  </si>
  <si>
    <t>Mid/2022</t>
  </si>
  <si>
    <t>Gross</t>
  </si>
  <si>
    <t>Net</t>
  </si>
  <si>
    <t>TH2019</t>
  </si>
  <si>
    <t>TH2020</t>
  </si>
  <si>
    <t>ss TH2019</t>
  </si>
  <si>
    <t>ss TH2020</t>
  </si>
  <si>
    <t>Hành lý</t>
  </si>
  <si>
    <t>Prepaid Baggage</t>
  </si>
  <si>
    <t>Excess Baggage</t>
  </si>
  <si>
    <t>Total</t>
  </si>
  <si>
    <t>Alarcarte</t>
  </si>
  <si>
    <t>Upgrade EMDA</t>
  </si>
  <si>
    <t>Paid Seat (Seat selection)</t>
  </si>
  <si>
    <t>Hold booking</t>
  </si>
  <si>
    <t>Insurance</t>
  </si>
  <si>
    <t>VNA Holiday</t>
  </si>
  <si>
    <t>Hotel (only)</t>
  </si>
  <si>
    <t>Ancillary tại sân bay (MPOS)</t>
  </si>
  <si>
    <t>Dịch vụ đặc biệt (SSR Online)</t>
  </si>
  <si>
    <t>Car rental</t>
  </si>
  <si>
    <t>Giftvoucher</t>
  </si>
  <si>
    <t>Klook</t>
  </si>
  <si>
    <t>VNA Mall</t>
  </si>
  <si>
    <t>VNAmazing</t>
  </si>
  <si>
    <t>NĐ</t>
  </si>
  <si>
    <t>QT</t>
  </si>
  <si>
    <t>Paid Meal</t>
  </si>
  <si>
    <t>Commission Based</t>
  </si>
  <si>
    <t>TMĐT &amp; new Product</t>
  </si>
  <si>
    <t>Emddi</t>
  </si>
  <si>
    <t>Agoda Package</t>
  </si>
  <si>
    <t>UTH2022</t>
  </si>
  <si>
    <t>Total Ancillary (Core)</t>
  </si>
  <si>
    <t>ss UTH2022</t>
  </si>
  <si>
    <t>TH2021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</si>
</sst>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9" fontId="0" fillId="0" borderId="1" xfId="2" applyNumberFormat="1" applyFont="1" applyBorder="1"/>
    <xf numFmtId="9" fontId="2" fillId="2" borderId="1" xfId="2" applyFont="1" applyFill="1" applyBorder="1"/>
    <xf numFmtId="43" fontId="0" fillId="0" borderId="0" xfId="0" applyNumberFormat="1"/>
    <xf numFmtId="9" fontId="0" fillId="0" borderId="1" xfId="2" applyFont="1" applyBorder="1"/>
    <xf numFmtId="9" fontId="2" fillId="5" borderId="1" xfId="2" applyFont="1" applyFill="1" applyBorder="1"/>
    <xf numFmtId="165" fontId="5" fillId="0" borderId="6" xfId="1" applyNumberFormat="1" applyFont="1" applyBorder="1" applyAlignment="1"/>
    <xf numFmtId="166" fontId="5" fillId="0" borderId="6" xfId="2" applyNumberFormat="1" applyFont="1" applyBorder="1" applyAlignment="1"/>
    <xf numFmtId="166" fontId="5" fillId="0" borderId="8" xfId="2" applyNumberFormat="1" applyFont="1" applyBorder="1" applyAlignment="1"/>
    <xf numFmtId="165" fontId="4" fillId="0" borderId="7" xfId="1" applyNumberFormat="1" applyFont="1" applyBorder="1" applyAlignment="1"/>
    <xf numFmtId="166" fontId="4" fillId="0" borderId="7" xfId="2" applyNumberFormat="1" applyFont="1" applyBorder="1" applyAlignment="1"/>
    <xf numFmtId="166" fontId="6" fillId="0" borderId="10" xfId="2" applyNumberFormat="1" applyFont="1" applyBorder="1" applyAlignment="1"/>
    <xf numFmtId="166" fontId="6" fillId="0" borderId="4" xfId="2" applyNumberFormat="1" applyFont="1" applyBorder="1" applyAlignment="1"/>
    <xf numFmtId="0" fontId="4" fillId="0" borderId="11" xfId="0" applyFont="1" applyFill="1" applyBorder="1" applyAlignment="1">
      <alignment horizontal="left" vertical="center"/>
    </xf>
    <xf numFmtId="165" fontId="5" fillId="0" borderId="12" xfId="1" applyNumberFormat="1" applyFont="1" applyBorder="1" applyAlignment="1"/>
    <xf numFmtId="165" fontId="5" fillId="0" borderId="13" xfId="1" applyNumberFormat="1" applyFont="1" applyBorder="1" applyAlignment="1"/>
    <xf numFmtId="166" fontId="5" fillId="0" borderId="13" xfId="2" applyNumberFormat="1" applyFont="1" applyBorder="1" applyAlignment="1"/>
    <xf numFmtId="166" fontId="5" fillId="0" borderId="14" xfId="2" applyNumberFormat="1" applyFont="1" applyBorder="1" applyAlignment="1"/>
    <xf numFmtId="0" fontId="4" fillId="0" borderId="15" xfId="0" applyFont="1" applyFill="1" applyBorder="1" applyAlignment="1">
      <alignment horizontal="left" vertical="center"/>
    </xf>
    <xf numFmtId="165" fontId="4" fillId="0" borderId="16" xfId="1" applyNumberFormat="1" applyFont="1" applyBorder="1" applyAlignment="1"/>
    <xf numFmtId="165" fontId="4" fillId="0" borderId="1" xfId="1" applyNumberFormat="1" applyFont="1" applyBorder="1" applyAlignment="1"/>
    <xf numFmtId="165" fontId="5" fillId="0" borderId="1" xfId="1" applyNumberFormat="1" applyFont="1" applyBorder="1" applyAlignment="1"/>
    <xf numFmtId="166" fontId="5" fillId="0" borderId="1" xfId="2" applyNumberFormat="1" applyFont="1" applyBorder="1" applyAlignment="1"/>
    <xf numFmtId="166" fontId="5" fillId="0" borderId="17" xfId="2" applyNumberFormat="1" applyFont="1" applyBorder="1" applyAlignment="1"/>
    <xf numFmtId="165" fontId="5" fillId="0" borderId="16" xfId="1" applyNumberFormat="1" applyFont="1" applyBorder="1" applyAlignment="1"/>
    <xf numFmtId="0" fontId="4" fillId="0" borderId="18" xfId="0" applyFont="1" applyFill="1" applyBorder="1" applyAlignment="1">
      <alignment horizontal="left" vertical="center"/>
    </xf>
    <xf numFmtId="165" fontId="6" fillId="0" borderId="19" xfId="1" applyNumberFormat="1" applyFont="1" applyBorder="1" applyAlignment="1"/>
    <xf numFmtId="165" fontId="6" fillId="0" borderId="10" xfId="1" applyNumberFormat="1" applyFont="1" applyBorder="1" applyAlignment="1"/>
    <xf numFmtId="166" fontId="6" fillId="0" borderId="2" xfId="2" applyNumberFormat="1" applyFont="1" applyBorder="1" applyAlignment="1"/>
    <xf numFmtId="165" fontId="5" fillId="0" borderId="21" xfId="1" applyNumberFormat="1" applyFont="1" applyBorder="1" applyAlignment="1"/>
    <xf numFmtId="0" fontId="0" fillId="0" borderId="1" xfId="0" applyFill="1" applyBorder="1"/>
    <xf numFmtId="164" fontId="0" fillId="0" borderId="1" xfId="0" applyNumberFormat="1" applyFill="1" applyBorder="1"/>
    <xf numFmtId="164" fontId="2" fillId="3" borderId="1" xfId="0" applyNumberFormat="1" applyFont="1" applyFill="1" applyBorder="1"/>
    <xf numFmtId="9" fontId="0" fillId="0" borderId="1" xfId="0" applyNumberFormat="1" applyBorder="1"/>
    <xf numFmtId="166" fontId="0" fillId="0" borderId="1" xfId="0" applyNumberFormat="1" applyBorder="1"/>
    <xf numFmtId="164" fontId="2" fillId="4" borderId="1" xfId="0" applyNumberFormat="1" applyFont="1" applyFill="1" applyBorder="1"/>
    <xf numFmtId="0" fontId="3" fillId="6" borderId="1" xfId="0" applyFont="1" applyFill="1" applyBorder="1" applyAlignment="1">
      <alignment horizontal="center" vertical="center"/>
    </xf>
    <xf numFmtId="166" fontId="3" fillId="6" borderId="1" xfId="2" applyNumberFormat="1" applyFont="1" applyFill="1" applyBorder="1" applyAlignment="1">
      <alignment horizontal="center" vertical="center"/>
    </xf>
    <xf numFmtId="166" fontId="4" fillId="0" borderId="1" xfId="2" applyNumberFormat="1" applyFont="1" applyBorder="1" applyAlignment="1"/>
    <xf numFmtId="0" fontId="4" fillId="8" borderId="20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center" vertical="center"/>
    </xf>
    <xf numFmtId="166" fontId="3" fillId="6" borderId="17" xfId="2" applyNumberFormat="1" applyFont="1" applyFill="1" applyBorder="1" applyAlignment="1">
      <alignment horizontal="center" vertical="center"/>
    </xf>
    <xf numFmtId="0" fontId="0" fillId="0" borderId="16" xfId="0" applyBorder="1"/>
    <xf numFmtId="166" fontId="6" fillId="0" borderId="7" xfId="2" applyNumberFormat="1" applyFont="1" applyBorder="1" applyAlignment="1"/>
    <xf numFmtId="166" fontId="6" fillId="0" borderId="9" xfId="2" applyNumberFormat="1" applyFont="1" applyBorder="1" applyAlignment="1"/>
    <xf numFmtId="165" fontId="8" fillId="5" borderId="1" xfId="0" applyNumberFormat="1" applyFont="1" applyFill="1" applyBorder="1" applyAlignment="1"/>
    <xf numFmtId="165" fontId="4" fillId="5" borderId="1" xfId="0" applyNumberFormat="1" applyFont="1" applyFill="1" applyBorder="1" applyAlignment="1"/>
    <xf numFmtId="165" fontId="6" fillId="5" borderId="13" xfId="0" applyNumberFormat="1" applyFont="1" applyFill="1" applyBorder="1" applyAlignment="1"/>
    <xf numFmtId="165" fontId="5" fillId="5" borderId="1" xfId="0" applyNumberFormat="1" applyFont="1" applyFill="1" applyBorder="1" applyAlignment="1"/>
    <xf numFmtId="165" fontId="6" fillId="5" borderId="1" xfId="0" applyNumberFormat="1" applyFont="1" applyFill="1" applyBorder="1" applyAlignment="1"/>
    <xf numFmtId="0" fontId="0" fillId="5" borderId="1" xfId="0" applyFill="1" applyBorder="1"/>
    <xf numFmtId="165" fontId="5" fillId="0" borderId="22" xfId="1" applyNumberFormat="1" applyFont="1" applyBorder="1" applyAlignment="1"/>
    <xf numFmtId="165" fontId="5" fillId="0" borderId="7" xfId="1" applyNumberFormat="1" applyFont="1" applyBorder="1" applyAlignment="1"/>
    <xf numFmtId="166" fontId="5" fillId="0" borderId="7" xfId="2" applyNumberFormat="1" applyFont="1" applyBorder="1" applyAlignment="1"/>
    <xf numFmtId="166" fontId="5" fillId="0" borderId="9" xfId="2" applyNumberFormat="1" applyFont="1" applyBorder="1" applyAlignment="1"/>
    <xf numFmtId="0" fontId="4" fillId="0" borderId="24" xfId="0" applyFont="1" applyFill="1" applyBorder="1" applyAlignment="1">
      <alignment horizontal="left" vertical="center"/>
    </xf>
    <xf numFmtId="166" fontId="4" fillId="0" borderId="13" xfId="2" applyNumberFormat="1" applyFont="1" applyBorder="1" applyAlignment="1"/>
    <xf numFmtId="165" fontId="7" fillId="5" borderId="10" xfId="0" applyNumberFormat="1" applyFont="1" applyFill="1" applyBorder="1" applyAlignment="1"/>
    <xf numFmtId="0" fontId="4" fillId="0" borderId="23" xfId="0" applyFont="1" applyFill="1" applyBorder="1" applyAlignment="1">
      <alignment horizontal="left" vertical="center"/>
    </xf>
    <xf numFmtId="165" fontId="4" fillId="0" borderId="22" xfId="1" applyNumberFormat="1" applyFont="1" applyBorder="1" applyAlignment="1"/>
    <xf numFmtId="165" fontId="4" fillId="5" borderId="7" xfId="0" applyNumberFormat="1" applyFont="1" applyFill="1" applyBorder="1" applyAlignment="1"/>
    <xf numFmtId="0" fontId="3" fillId="6" borderId="5" xfId="0" applyFont="1" applyFill="1" applyBorder="1" applyAlignment="1">
      <alignment horizontal="right" vertical="center"/>
    </xf>
    <xf numFmtId="165" fontId="7" fillId="5" borderId="10" xfId="1" applyNumberFormat="1" applyFont="1" applyFill="1" applyBorder="1" applyAlignment="1"/>
    <xf numFmtId="165" fontId="6" fillId="5" borderId="7" xfId="0" applyNumberFormat="1" applyFont="1" applyFill="1" applyBorder="1" applyAlignment="1"/>
    <xf numFmtId="165" fontId="8" fillId="7" borderId="19" xfId="0" applyNumberFormat="1" applyFont="1" applyFill="1" applyBorder="1" applyAlignment="1"/>
    <xf numFmtId="165" fontId="8" fillId="7" borderId="10" xfId="0" applyNumberFormat="1" applyFont="1" applyFill="1" applyBorder="1" applyAlignment="1"/>
    <xf numFmtId="166" fontId="8" fillId="0" borderId="10" xfId="2" applyNumberFormat="1" applyFont="1" applyBorder="1" applyAlignment="1"/>
    <xf numFmtId="165" fontId="4" fillId="0" borderId="21" xfId="1" applyNumberFormat="1" applyFont="1" applyBorder="1" applyAlignment="1"/>
    <xf numFmtId="165" fontId="4" fillId="0" borderId="6" xfId="1" applyNumberFormat="1" applyFont="1" applyBorder="1" applyAlignment="1"/>
    <xf numFmtId="165" fontId="4" fillId="5" borderId="6" xfId="0" applyNumberFormat="1" applyFont="1" applyFill="1" applyBorder="1" applyAlignment="1"/>
    <xf numFmtId="165" fontId="5" fillId="5" borderId="6" xfId="0" applyNumberFormat="1" applyFont="1" applyFill="1" applyBorder="1" applyAlignment="1"/>
    <xf numFmtId="165" fontId="8" fillId="0" borderId="19" xfId="0" applyNumberFormat="1" applyFont="1" applyBorder="1" applyAlignment="1"/>
    <xf numFmtId="165" fontId="8" fillId="0" borderId="10" xfId="0" applyNumberFormat="1" applyFont="1" applyBorder="1" applyAlignment="1"/>
    <xf numFmtId="0" fontId="0" fillId="0" borderId="22" xfId="0" applyBorder="1"/>
    <xf numFmtId="0" fontId="0" fillId="0" borderId="7" xfId="0" applyBorder="1"/>
    <xf numFmtId="0" fontId="0" fillId="5" borderId="7" xfId="0" applyFill="1" applyBorder="1"/>
    <xf numFmtId="165" fontId="8" fillId="0" borderId="19" xfId="1" applyNumberFormat="1" applyFont="1" applyBorder="1" applyAlignment="1"/>
    <xf numFmtId="164" fontId="0" fillId="0" borderId="0" xfId="1" applyNumberFormat="1" applyFont="1"/>
    <xf numFmtId="166" fontId="0" fillId="0" borderId="0" xfId="2" applyNumberFormat="1" applyFont="1"/>
    <xf numFmtId="0" fontId="3" fillId="6" borderId="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FD9C-0392-481F-A855-0A94046AF6EC}">
  <dimension ref="A1:K16"/>
  <sheetViews>
    <sheetView workbookViewId="0">
      <selection activeCell="G15" sqref="G15"/>
    </sheetView>
  </sheetViews>
  <sheetFormatPr defaultRowHeight="15" x14ac:dyDescent="0.25"/>
  <cols>
    <col min="2" max="2" width="17.7109375" bestFit="1" customWidth="1"/>
    <col min="3" max="7" width="11.5703125" bestFit="1" customWidth="1"/>
    <col min="8" max="8" width="10.42578125" bestFit="1" customWidth="1"/>
    <col min="9" max="9" width="10.140625" bestFit="1" customWidth="1"/>
    <col min="10" max="10" width="9.5703125" bestFit="1" customWidth="1"/>
  </cols>
  <sheetData>
    <row r="1" spans="1:11" x14ac:dyDescent="0.25">
      <c r="A1" s="1"/>
      <c r="B1" s="1"/>
      <c r="C1" s="1" t="s">
        <v>0</v>
      </c>
      <c r="D1" s="1" t="s">
        <v>1</v>
      </c>
      <c r="E1" s="1"/>
      <c r="F1" s="1"/>
      <c r="G1" s="1"/>
      <c r="H1" s="2"/>
      <c r="I1" s="2"/>
      <c r="J1" s="2"/>
      <c r="K1" s="1"/>
    </row>
    <row r="2" spans="1:11" x14ac:dyDescent="0.25">
      <c r="A2" s="1"/>
      <c r="B2" s="1"/>
      <c r="C2" s="1" t="s">
        <v>2</v>
      </c>
      <c r="D2" s="1" t="s">
        <v>3</v>
      </c>
      <c r="E2" s="1" t="s">
        <v>4</v>
      </c>
      <c r="F2" s="1" t="s">
        <v>4</v>
      </c>
      <c r="G2" s="1" t="s">
        <v>4</v>
      </c>
      <c r="H2" s="2"/>
      <c r="I2" s="2"/>
      <c r="J2" s="2"/>
      <c r="K2" s="1"/>
    </row>
    <row r="3" spans="1:11" x14ac:dyDescent="0.25">
      <c r="A3" s="1" t="s">
        <v>5</v>
      </c>
      <c r="B3" s="1" t="s">
        <v>6</v>
      </c>
      <c r="C3" s="1" t="s">
        <v>2</v>
      </c>
      <c r="D3" s="1" t="s">
        <v>7</v>
      </c>
      <c r="E3" s="1" t="s">
        <v>8</v>
      </c>
      <c r="F3" s="1" t="s">
        <v>9</v>
      </c>
      <c r="G3" s="1" t="s">
        <v>10</v>
      </c>
      <c r="H3" s="2" t="s">
        <v>11</v>
      </c>
      <c r="I3" s="2" t="s">
        <v>12</v>
      </c>
      <c r="J3" s="2" t="s">
        <v>13</v>
      </c>
      <c r="K3" s="2" t="s">
        <v>25</v>
      </c>
    </row>
    <row r="4" spans="1:11" x14ac:dyDescent="0.25">
      <c r="A4" s="1" t="s">
        <v>14</v>
      </c>
      <c r="B4" s="1" t="s">
        <v>15</v>
      </c>
      <c r="C4" s="3">
        <v>13816742.426101916</v>
      </c>
      <c r="D4" s="3">
        <v>16466304</v>
      </c>
      <c r="E4" s="3">
        <v>17076436</v>
      </c>
      <c r="F4" s="3">
        <v>17022786</v>
      </c>
      <c r="G4" s="3">
        <v>17022786</v>
      </c>
      <c r="H4" s="4">
        <f>E4/C4</f>
        <v>1.2359234523862896</v>
      </c>
      <c r="I4" s="4">
        <f>F4/C4</f>
        <v>1.2320404821212694</v>
      </c>
      <c r="J4" s="4">
        <f>G4/C4</f>
        <v>1.2320404821212694</v>
      </c>
      <c r="K4" s="7">
        <f>G4/D4</f>
        <v>1.0337951977565822</v>
      </c>
    </row>
    <row r="5" spans="1:11" x14ac:dyDescent="0.25">
      <c r="A5" s="1" t="s">
        <v>14</v>
      </c>
      <c r="B5" s="1" t="s">
        <v>16</v>
      </c>
      <c r="C5" s="3">
        <v>21054991.045330483</v>
      </c>
      <c r="D5" s="3">
        <v>23270166.555679724</v>
      </c>
      <c r="E5" s="3">
        <v>26000166.801773343</v>
      </c>
      <c r="F5" s="3">
        <v>25655539.162341181</v>
      </c>
      <c r="G5" s="3">
        <v>25655539.16234507</v>
      </c>
      <c r="H5" s="4">
        <f t="shared" ref="H5:H12" si="0">E5/C5</f>
        <v>1.2348695255104174</v>
      </c>
      <c r="I5" s="4">
        <f t="shared" ref="I5:I12" si="1">F5/C5</f>
        <v>1.2185015470728968</v>
      </c>
      <c r="J5" s="4">
        <f t="shared" ref="J5:J12" si="2">G5/C5</f>
        <v>1.2185015470730813</v>
      </c>
      <c r="K5" s="7">
        <f t="shared" ref="K5:K12" si="3">G5/D5</f>
        <v>1.1025077582043834</v>
      </c>
    </row>
    <row r="6" spans="1:11" x14ac:dyDescent="0.25">
      <c r="A6" s="1" t="s">
        <v>14</v>
      </c>
      <c r="B6" s="1" t="s">
        <v>17</v>
      </c>
      <c r="C6" s="3">
        <v>92984</v>
      </c>
      <c r="D6" s="3">
        <v>106883</v>
      </c>
      <c r="E6" s="3">
        <v>102810</v>
      </c>
      <c r="F6" s="3">
        <v>102478</v>
      </c>
      <c r="G6" s="3">
        <v>102478</v>
      </c>
      <c r="H6" s="4">
        <f t="shared" si="0"/>
        <v>1.1056740944678654</v>
      </c>
      <c r="I6" s="4">
        <f t="shared" si="1"/>
        <v>1.1021035877140153</v>
      </c>
      <c r="J6" s="4">
        <f t="shared" si="2"/>
        <v>1.1021035877140153</v>
      </c>
      <c r="K6" s="7">
        <f t="shared" si="3"/>
        <v>0.95878671070235677</v>
      </c>
    </row>
    <row r="7" spans="1:11" x14ac:dyDescent="0.25">
      <c r="A7" s="1" t="s">
        <v>18</v>
      </c>
      <c r="B7" s="1" t="s">
        <v>15</v>
      </c>
      <c r="C7" s="3">
        <v>8167948</v>
      </c>
      <c r="D7" s="3">
        <v>2486141</v>
      </c>
      <c r="E7" s="3">
        <v>7294718</v>
      </c>
      <c r="F7" s="3">
        <v>6022130</v>
      </c>
      <c r="G7" s="3">
        <v>6939024</v>
      </c>
      <c r="H7" s="4">
        <f t="shared" si="0"/>
        <v>0.89309065140963184</v>
      </c>
      <c r="I7" s="4">
        <f t="shared" si="1"/>
        <v>0.73728799448772198</v>
      </c>
      <c r="J7" s="4">
        <f t="shared" si="2"/>
        <v>0.84954311658203507</v>
      </c>
      <c r="K7" s="7">
        <f t="shared" si="3"/>
        <v>2.7910822435252065</v>
      </c>
    </row>
    <row r="8" spans="1:11" x14ac:dyDescent="0.25">
      <c r="A8" s="1" t="s">
        <v>18</v>
      </c>
      <c r="B8" s="1" t="s">
        <v>16</v>
      </c>
      <c r="C8" s="3">
        <v>38354412.039649419</v>
      </c>
      <c r="D8" s="3">
        <v>15821865.171430402</v>
      </c>
      <c r="E8" s="3">
        <v>37761039.041000038</v>
      </c>
      <c r="F8" s="3">
        <v>31572217.019000083</v>
      </c>
      <c r="G8" s="3">
        <v>36014984.21100004</v>
      </c>
      <c r="H8" s="4">
        <f t="shared" si="0"/>
        <v>0.98452921144936412</v>
      </c>
      <c r="I8" s="4">
        <f t="shared" si="1"/>
        <v>0.82317040830561694</v>
      </c>
      <c r="J8" s="4">
        <f t="shared" si="2"/>
        <v>0.93900498784257302</v>
      </c>
      <c r="K8" s="7">
        <f t="shared" si="3"/>
        <v>2.2762793021414711</v>
      </c>
    </row>
    <row r="9" spans="1:11" x14ac:dyDescent="0.25">
      <c r="A9" s="1" t="s">
        <v>18</v>
      </c>
      <c r="B9" s="1" t="s">
        <v>17</v>
      </c>
      <c r="C9" s="3">
        <v>47345</v>
      </c>
      <c r="D9" s="3">
        <v>18928</v>
      </c>
      <c r="E9" s="3">
        <v>42032</v>
      </c>
      <c r="F9" s="3">
        <v>33519</v>
      </c>
      <c r="G9" s="3">
        <v>39672</v>
      </c>
      <c r="H9" s="4">
        <f t="shared" si="0"/>
        <v>0.8877811806948992</v>
      </c>
      <c r="I9" s="4">
        <f t="shared" si="1"/>
        <v>0.70797338684127153</v>
      </c>
      <c r="J9" s="4">
        <f t="shared" si="2"/>
        <v>0.83793431196536061</v>
      </c>
      <c r="K9" s="7">
        <f t="shared" si="3"/>
        <v>2.0959425190194421</v>
      </c>
    </row>
    <row r="10" spans="1:11" x14ac:dyDescent="0.25">
      <c r="A10" s="1" t="s">
        <v>19</v>
      </c>
      <c r="B10" s="1"/>
      <c r="C10" s="3">
        <v>21984690.426101916</v>
      </c>
      <c r="D10" s="3">
        <v>18952445</v>
      </c>
      <c r="E10" s="3">
        <v>24371154</v>
      </c>
      <c r="F10" s="3">
        <v>23044916</v>
      </c>
      <c r="G10" s="3">
        <v>23961810</v>
      </c>
      <c r="H10" s="5">
        <f t="shared" si="0"/>
        <v>1.1085511566296467</v>
      </c>
      <c r="I10" s="5">
        <f t="shared" si="1"/>
        <v>1.0482256312619851</v>
      </c>
      <c r="J10" s="5">
        <f t="shared" si="2"/>
        <v>1.0899316540546187</v>
      </c>
      <c r="K10" s="8">
        <f t="shared" si="3"/>
        <v>1.2643123354269066</v>
      </c>
    </row>
    <row r="11" spans="1:11" x14ac:dyDescent="0.25">
      <c r="A11" s="1" t="s">
        <v>20</v>
      </c>
      <c r="B11" s="1"/>
      <c r="C11" s="3">
        <v>59409403.084979907</v>
      </c>
      <c r="D11" s="3">
        <v>39092031.727110125</v>
      </c>
      <c r="E11" s="3">
        <v>63761205.842773378</v>
      </c>
      <c r="F11" s="3">
        <v>57227756.181341261</v>
      </c>
      <c r="G11" s="3">
        <v>61670523.373345107</v>
      </c>
      <c r="H11" s="5">
        <f t="shared" si="0"/>
        <v>1.0732510769645103</v>
      </c>
      <c r="I11" s="5">
        <f t="shared" si="1"/>
        <v>0.96327775082139788</v>
      </c>
      <c r="J11" s="5">
        <f t="shared" si="2"/>
        <v>1.0380599731852358</v>
      </c>
      <c r="K11" s="8">
        <f t="shared" si="3"/>
        <v>1.5775727341021499</v>
      </c>
    </row>
    <row r="12" spans="1:11" x14ac:dyDescent="0.25">
      <c r="A12" s="1" t="s">
        <v>21</v>
      </c>
      <c r="B12" s="1"/>
      <c r="C12" s="3">
        <v>140329</v>
      </c>
      <c r="D12" s="3">
        <v>125811</v>
      </c>
      <c r="E12" s="3">
        <v>144842</v>
      </c>
      <c r="F12" s="3">
        <v>135997</v>
      </c>
      <c r="G12" s="3">
        <v>142150</v>
      </c>
      <c r="H12" s="5">
        <f t="shared" si="0"/>
        <v>1.0321601379615049</v>
      </c>
      <c r="I12" s="5">
        <f t="shared" si="1"/>
        <v>0.969129688090131</v>
      </c>
      <c r="J12" s="5">
        <f t="shared" si="2"/>
        <v>1.0129766477349658</v>
      </c>
      <c r="K12" s="8">
        <f t="shared" si="3"/>
        <v>1.1298694072855315</v>
      </c>
    </row>
    <row r="13" spans="1:11" x14ac:dyDescent="0.25">
      <c r="A13" s="33" t="s">
        <v>23</v>
      </c>
      <c r="B13" s="1"/>
      <c r="C13" s="1"/>
      <c r="D13" s="34">
        <v>408600</v>
      </c>
      <c r="E13" s="1"/>
      <c r="F13" s="1"/>
      <c r="G13" s="35">
        <f>G11/D11*D13</f>
        <v>644596.21915413847</v>
      </c>
    </row>
    <row r="14" spans="1:11" x14ac:dyDescent="0.25">
      <c r="A14" s="33" t="s">
        <v>22</v>
      </c>
      <c r="B14" s="1"/>
      <c r="C14" s="1"/>
      <c r="D14" s="36">
        <v>0.01</v>
      </c>
      <c r="E14" s="1"/>
      <c r="F14" s="1"/>
      <c r="G14" s="37">
        <v>1.4E-2</v>
      </c>
    </row>
    <row r="15" spans="1:11" x14ac:dyDescent="0.25">
      <c r="A15" s="1" t="s">
        <v>24</v>
      </c>
      <c r="B15" s="1"/>
      <c r="C15" s="1"/>
      <c r="D15" s="1"/>
      <c r="E15" s="1"/>
      <c r="F15" s="1"/>
      <c r="G15" s="38">
        <f>G14*G11</f>
        <v>863387.32722683146</v>
      </c>
    </row>
    <row r="16" spans="1:11" x14ac:dyDescent="0.25">
      <c r="G16" s="81">
        <v>726200</v>
      </c>
      <c r="H16" s="82">
        <f>G16/G11</f>
        <v>1.1775479763706272E-2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70E0-C90A-415F-AF1C-4A8175A0531B}">
  <dimension ref="A1:S36"/>
  <sheetViews>
    <sheetView tabSelected="1" workbookViewId="0">
      <selection activeCell="S9" sqref="S9"/>
    </sheetView>
  </sheetViews>
  <sheetFormatPr defaultRowHeight="15" x14ac:dyDescent="0.25"/>
  <cols>
    <col min="1" max="1" width="13.85546875" customWidth="1"/>
    <col min="2" max="2" width="28" bestFit="1" customWidth="1"/>
    <col min="3" max="3" width="9.7109375" customWidth="1"/>
    <col min="4" max="4" width="9.7109375" hidden="1" customWidth="1"/>
    <col min="5" max="5" width="15.42578125" hidden="1" customWidth="1"/>
    <col min="6" max="6" width="13.5703125" bestFit="1" customWidth="1"/>
    <col min="7" max="7" width="13.5703125" customWidth="1"/>
    <col min="8" max="8" width="12" customWidth="1"/>
    <col min="9" max="9" width="12" hidden="1" customWidth="1"/>
    <col min="10" max="10" width="12" customWidth="1"/>
    <col min="11" max="11" width="9.7109375" customWidth="1"/>
    <col min="12" max="12" width="9.7109375" hidden="1" customWidth="1"/>
    <col min="13" max="13" width="15.42578125" hidden="1" customWidth="1"/>
    <col min="14" max="14" width="16.85546875" bestFit="1" customWidth="1"/>
    <col min="15" max="15" width="16.85546875" customWidth="1"/>
    <col min="16" max="16" width="15.42578125" bestFit="1" customWidth="1"/>
    <col min="17" max="17" width="12" hidden="1" customWidth="1"/>
    <col min="18" max="18" width="12" customWidth="1"/>
  </cols>
  <sheetData>
    <row r="1" spans="1:18" ht="15.75" x14ac:dyDescent="0.25">
      <c r="A1" s="83"/>
      <c r="B1" s="84"/>
      <c r="C1" s="85" t="s">
        <v>26</v>
      </c>
      <c r="D1" s="86"/>
      <c r="E1" s="86"/>
      <c r="F1" s="86"/>
      <c r="G1" s="86"/>
      <c r="H1" s="86"/>
      <c r="I1" s="86"/>
      <c r="J1" s="87"/>
      <c r="K1" s="85" t="s">
        <v>27</v>
      </c>
      <c r="L1" s="86"/>
      <c r="M1" s="86"/>
      <c r="N1" s="86"/>
      <c r="O1" s="86"/>
      <c r="P1" s="86"/>
      <c r="Q1" s="86"/>
      <c r="R1" s="87"/>
    </row>
    <row r="2" spans="1:18" ht="15.75" x14ac:dyDescent="0.25">
      <c r="A2" s="83"/>
      <c r="B2" s="84"/>
      <c r="C2" s="44" t="s">
        <v>28</v>
      </c>
      <c r="D2" s="39" t="s">
        <v>29</v>
      </c>
      <c r="E2" s="39" t="s">
        <v>60</v>
      </c>
      <c r="F2" s="39" t="s">
        <v>57</v>
      </c>
      <c r="G2" s="39" t="s">
        <v>4</v>
      </c>
      <c r="H2" s="40" t="s">
        <v>30</v>
      </c>
      <c r="I2" s="40" t="s">
        <v>31</v>
      </c>
      <c r="J2" s="45" t="s">
        <v>59</v>
      </c>
      <c r="K2" s="44" t="s">
        <v>28</v>
      </c>
      <c r="L2" s="39" t="s">
        <v>29</v>
      </c>
      <c r="M2" s="39" t="s">
        <v>60</v>
      </c>
      <c r="N2" s="39" t="s">
        <v>57</v>
      </c>
      <c r="O2" s="39" t="s">
        <v>4</v>
      </c>
      <c r="P2" s="40" t="s">
        <v>30</v>
      </c>
      <c r="Q2" s="40" t="s">
        <v>31</v>
      </c>
      <c r="R2" s="45" t="s">
        <v>59</v>
      </c>
    </row>
    <row r="3" spans="1:18" ht="15.75" x14ac:dyDescent="0.25">
      <c r="A3" s="83" t="s">
        <v>32</v>
      </c>
      <c r="B3" s="42" t="s">
        <v>33</v>
      </c>
      <c r="C3" s="27">
        <v>184.5</v>
      </c>
      <c r="D3" s="24">
        <v>92.682345255000001</v>
      </c>
      <c r="E3" s="24">
        <v>45.281081333333326</v>
      </c>
      <c r="F3" s="49">
        <f>SUM(F4:F5)</f>
        <v>210</v>
      </c>
      <c r="G3" s="49">
        <f>SUM(G4:G5)</f>
        <v>401.72350309379823</v>
      </c>
      <c r="H3" s="25">
        <f>G3/C3</f>
        <v>2.1773631603999903</v>
      </c>
      <c r="I3" s="25">
        <f t="shared" ref="I3:I9" si="0">F3/D3</f>
        <v>2.2658036913310733</v>
      </c>
      <c r="J3" s="26">
        <f>G3/F3</f>
        <v>1.9129690623514202</v>
      </c>
      <c r="K3" s="27">
        <v>184.5</v>
      </c>
      <c r="L3" s="24">
        <v>92.682345255000001</v>
      </c>
      <c r="M3" s="24">
        <v>45.281081333333326</v>
      </c>
      <c r="N3" s="49">
        <f>SUM(N4:N5)</f>
        <v>210</v>
      </c>
      <c r="O3" s="49">
        <f t="shared" ref="O3:O21" si="1">G3</f>
        <v>401.72350309379823</v>
      </c>
      <c r="P3" s="25">
        <f>O3/K3</f>
        <v>2.1773631603999903</v>
      </c>
      <c r="Q3" s="25">
        <f t="shared" ref="Q3" si="2">N3/L3</f>
        <v>2.2658036913310733</v>
      </c>
      <c r="R3" s="26">
        <f>O3/N3</f>
        <v>1.9129690623514202</v>
      </c>
    </row>
    <row r="4" spans="1:18" ht="15.75" x14ac:dyDescent="0.25">
      <c r="A4" s="83"/>
      <c r="B4" s="42" t="s">
        <v>50</v>
      </c>
      <c r="C4" s="27"/>
      <c r="D4" s="24"/>
      <c r="E4" s="24"/>
      <c r="F4" s="50">
        <v>65</v>
      </c>
      <c r="G4" s="50">
        <f>F4*'Số Total'!K5</f>
        <v>71.66300428328492</v>
      </c>
      <c r="H4" s="25"/>
      <c r="I4" s="25"/>
      <c r="J4" s="26">
        <f t="shared" ref="J4:J8" si="3">G4/F4</f>
        <v>1.1025077582043834</v>
      </c>
      <c r="K4" s="27"/>
      <c r="L4" s="24"/>
      <c r="M4" s="24"/>
      <c r="N4" s="50">
        <v>65</v>
      </c>
      <c r="O4" s="50">
        <f t="shared" si="1"/>
        <v>71.66300428328492</v>
      </c>
      <c r="P4" s="25"/>
      <c r="Q4" s="25" t="e">
        <f t="shared" ref="Q4:Q36" si="4">N4/L4</f>
        <v>#DIV/0!</v>
      </c>
      <c r="R4" s="26">
        <f t="shared" ref="R4:R36" si="5">O4/N4</f>
        <v>1.1025077582043834</v>
      </c>
    </row>
    <row r="5" spans="1:18" ht="15.75" x14ac:dyDescent="0.25">
      <c r="A5" s="83"/>
      <c r="B5" s="42" t="s">
        <v>51</v>
      </c>
      <c r="C5" s="27"/>
      <c r="D5" s="24"/>
      <c r="E5" s="24"/>
      <c r="F5" s="50">
        <v>145</v>
      </c>
      <c r="G5" s="50">
        <f>F5*'Số Total'!K8</f>
        <v>330.06049881051331</v>
      </c>
      <c r="H5" s="25"/>
      <c r="I5" s="25"/>
      <c r="J5" s="26">
        <f t="shared" si="3"/>
        <v>2.2762793021414711</v>
      </c>
      <c r="K5" s="27"/>
      <c r="L5" s="24"/>
      <c r="M5" s="24"/>
      <c r="N5" s="50">
        <v>145</v>
      </c>
      <c r="O5" s="50">
        <f t="shared" si="1"/>
        <v>330.06049881051331</v>
      </c>
      <c r="P5" s="25"/>
      <c r="Q5" s="25" t="e">
        <f t="shared" si="4"/>
        <v>#DIV/0!</v>
      </c>
      <c r="R5" s="26">
        <f t="shared" si="5"/>
        <v>2.2762793021414711</v>
      </c>
    </row>
    <row r="6" spans="1:18" ht="15.75" x14ac:dyDescent="0.25">
      <c r="A6" s="83"/>
      <c r="B6" s="43" t="s">
        <v>34</v>
      </c>
      <c r="C6" s="22">
        <v>131.63</v>
      </c>
      <c r="D6" s="23">
        <f>18983927097/10^9</f>
        <v>18.983927096999999</v>
      </c>
      <c r="E6" s="23">
        <v>29.26</v>
      </c>
      <c r="F6" s="49">
        <f>SUM(F7:F8)</f>
        <v>63</v>
      </c>
      <c r="G6" s="49">
        <f>SUM(G7:G8)</f>
        <v>99.976048909240433</v>
      </c>
      <c r="H6" s="25">
        <f t="shared" ref="H6:H36" si="6">G6/C6</f>
        <v>0.75952327667887587</v>
      </c>
      <c r="I6" s="41">
        <f t="shared" si="0"/>
        <v>3.3185968149843874</v>
      </c>
      <c r="J6" s="26">
        <f t="shared" si="3"/>
        <v>1.5869214112577847</v>
      </c>
      <c r="K6" s="22">
        <v>131.63</v>
      </c>
      <c r="L6" s="23">
        <v>18.983927096999999</v>
      </c>
      <c r="M6" s="23">
        <v>29.26</v>
      </c>
      <c r="N6" s="49">
        <f>SUM(N7:N8)</f>
        <v>63</v>
      </c>
      <c r="O6" s="49">
        <f t="shared" si="1"/>
        <v>99.976048909240433</v>
      </c>
      <c r="P6" s="25">
        <f t="shared" ref="P6:P36" si="7">O6/K6</f>
        <v>0.75952327667887587</v>
      </c>
      <c r="Q6" s="25">
        <f t="shared" si="4"/>
        <v>3.3185968149843874</v>
      </c>
      <c r="R6" s="26">
        <f t="shared" si="5"/>
        <v>1.5869214112577847</v>
      </c>
    </row>
    <row r="7" spans="1:18" ht="15.75" x14ac:dyDescent="0.25">
      <c r="A7" s="83"/>
      <c r="B7" s="43" t="s">
        <v>50</v>
      </c>
      <c r="C7" s="22"/>
      <c r="D7" s="23"/>
      <c r="E7" s="23"/>
      <c r="F7" s="50">
        <v>37</v>
      </c>
      <c r="G7" s="50">
        <f>F7*'Số Total'!K5</f>
        <v>40.792787053562186</v>
      </c>
      <c r="H7" s="25"/>
      <c r="I7" s="41"/>
      <c r="J7" s="26">
        <f t="shared" si="3"/>
        <v>1.1025077582043834</v>
      </c>
      <c r="K7" s="22"/>
      <c r="L7" s="23"/>
      <c r="M7" s="23"/>
      <c r="N7" s="50">
        <v>37</v>
      </c>
      <c r="O7" s="50">
        <f t="shared" si="1"/>
        <v>40.792787053562186</v>
      </c>
      <c r="P7" s="25"/>
      <c r="Q7" s="25" t="e">
        <f t="shared" si="4"/>
        <v>#DIV/0!</v>
      </c>
      <c r="R7" s="26">
        <f t="shared" si="5"/>
        <v>1.1025077582043834</v>
      </c>
    </row>
    <row r="8" spans="1:18" ht="16.5" thickBot="1" x14ac:dyDescent="0.3">
      <c r="A8" s="83"/>
      <c r="B8" s="62" t="s">
        <v>51</v>
      </c>
      <c r="C8" s="63"/>
      <c r="D8" s="12"/>
      <c r="E8" s="12"/>
      <c r="F8" s="64">
        <v>26</v>
      </c>
      <c r="G8" s="64">
        <f>F8*'Số Total'!K8</f>
        <v>59.183261855678246</v>
      </c>
      <c r="H8" s="57"/>
      <c r="I8" s="13"/>
      <c r="J8" s="58">
        <f t="shared" si="3"/>
        <v>2.2762793021414711</v>
      </c>
      <c r="K8" s="63"/>
      <c r="L8" s="12"/>
      <c r="M8" s="12"/>
      <c r="N8" s="64">
        <v>26</v>
      </c>
      <c r="O8" s="64">
        <f t="shared" si="1"/>
        <v>59.183261855678246</v>
      </c>
      <c r="P8" s="57"/>
      <c r="Q8" s="57" t="e">
        <f t="shared" si="4"/>
        <v>#DIV/0!</v>
      </c>
      <c r="R8" s="58">
        <f t="shared" si="5"/>
        <v>2.2762793021414711</v>
      </c>
    </row>
    <row r="9" spans="1:18" ht="16.5" thickBot="1" x14ac:dyDescent="0.3">
      <c r="A9" s="84"/>
      <c r="B9" s="65" t="s">
        <v>35</v>
      </c>
      <c r="C9" s="29">
        <f>SUM(C3:C6)</f>
        <v>316.13</v>
      </c>
      <c r="D9" s="30">
        <f>SUM(D3:D6)</f>
        <v>111.66627235199999</v>
      </c>
      <c r="E9" s="30">
        <f>SUM(E3:E6)</f>
        <v>74.541081333333324</v>
      </c>
      <c r="F9" s="66">
        <f>SUM(F3,F6)</f>
        <v>273</v>
      </c>
      <c r="G9" s="66">
        <f>SUM(G3,G6)</f>
        <v>501.69955200303866</v>
      </c>
      <c r="H9" s="14">
        <f t="shared" si="6"/>
        <v>1.5870039287730955</v>
      </c>
      <c r="I9" s="14">
        <f t="shared" si="0"/>
        <v>2.4447847523685198</v>
      </c>
      <c r="J9" s="15">
        <f t="shared" ref="J9" si="8">F9/E9</f>
        <v>3.6624099773814214</v>
      </c>
      <c r="K9" s="29">
        <f>SUM(K3:K6)</f>
        <v>316.13</v>
      </c>
      <c r="L9" s="30">
        <f>SUM(L3:L6)</f>
        <v>111.66627235199999</v>
      </c>
      <c r="M9" s="30">
        <f>SUM(M3:M6)</f>
        <v>74.541081333333324</v>
      </c>
      <c r="N9" s="66">
        <f>SUM(N3,N6)</f>
        <v>273</v>
      </c>
      <c r="O9" s="66">
        <f t="shared" si="1"/>
        <v>501.69955200303866</v>
      </c>
      <c r="P9" s="14">
        <f t="shared" si="7"/>
        <v>1.5870039287730955</v>
      </c>
      <c r="Q9" s="14">
        <f t="shared" si="4"/>
        <v>2.4447847523685198</v>
      </c>
      <c r="R9" s="15">
        <f t="shared" si="5"/>
        <v>1.8377272967144274</v>
      </c>
    </row>
    <row r="10" spans="1:18" ht="15.75" x14ac:dyDescent="0.25">
      <c r="A10" s="84" t="s">
        <v>36</v>
      </c>
      <c r="B10" s="16" t="s">
        <v>37</v>
      </c>
      <c r="C10" s="17">
        <v>10.42</v>
      </c>
      <c r="D10" s="18">
        <v>7.0814267312999988</v>
      </c>
      <c r="E10" s="18">
        <v>8.1199999999999992</v>
      </c>
      <c r="F10" s="51">
        <f>SUM(F11:F12)</f>
        <v>53</v>
      </c>
      <c r="G10" s="51">
        <f>SUM(G11:G12)</f>
        <v>84.255885151448254</v>
      </c>
      <c r="H10" s="19">
        <f t="shared" si="6"/>
        <v>8.0859774617512716</v>
      </c>
      <c r="I10" s="19">
        <f t="shared" ref="I10" si="9">F10/D10</f>
        <v>7.4843674885089619</v>
      </c>
      <c r="J10" s="20">
        <f t="shared" ref="J10:J15" si="10">G10/F10</f>
        <v>1.5897336821027972</v>
      </c>
      <c r="K10" s="17">
        <v>10.42</v>
      </c>
      <c r="L10" s="18">
        <v>7.0814267312999988</v>
      </c>
      <c r="M10" s="18">
        <v>8.1199999999999992</v>
      </c>
      <c r="N10" s="51">
        <f>SUM(N11:N12)</f>
        <v>53</v>
      </c>
      <c r="O10" s="51">
        <f t="shared" si="1"/>
        <v>84.255885151448254</v>
      </c>
      <c r="P10" s="19">
        <f t="shared" si="7"/>
        <v>8.0859774617512716</v>
      </c>
      <c r="Q10" s="19">
        <f t="shared" si="4"/>
        <v>7.4843674885089619</v>
      </c>
      <c r="R10" s="20">
        <f t="shared" si="5"/>
        <v>1.5897336821027972</v>
      </c>
    </row>
    <row r="11" spans="1:18" ht="15.75" x14ac:dyDescent="0.25">
      <c r="A11" s="84"/>
      <c r="B11" s="21" t="s">
        <v>50</v>
      </c>
      <c r="C11" s="27"/>
      <c r="D11" s="24"/>
      <c r="E11" s="24"/>
      <c r="F11" s="52">
        <v>31</v>
      </c>
      <c r="G11" s="52">
        <f>F11*'Số Total'!K5</f>
        <v>34.177740504335887</v>
      </c>
      <c r="H11" s="25"/>
      <c r="I11" s="25"/>
      <c r="J11" s="26">
        <f t="shared" si="10"/>
        <v>1.1025077582043834</v>
      </c>
      <c r="K11" s="27"/>
      <c r="L11" s="24"/>
      <c r="M11" s="24"/>
      <c r="N11" s="52">
        <v>31</v>
      </c>
      <c r="O11" s="52">
        <f t="shared" si="1"/>
        <v>34.177740504335887</v>
      </c>
      <c r="P11" s="25"/>
      <c r="Q11" s="25" t="e">
        <f t="shared" si="4"/>
        <v>#DIV/0!</v>
      </c>
      <c r="R11" s="26">
        <f t="shared" si="5"/>
        <v>1.1025077582043834</v>
      </c>
    </row>
    <row r="12" spans="1:18" ht="15.75" x14ac:dyDescent="0.25">
      <c r="A12" s="84"/>
      <c r="B12" s="21" t="s">
        <v>51</v>
      </c>
      <c r="C12" s="27"/>
      <c r="D12" s="24"/>
      <c r="E12" s="24"/>
      <c r="F12" s="52">
        <v>22</v>
      </c>
      <c r="G12" s="52">
        <f>F12*'Số Total'!K8</f>
        <v>50.078144647112367</v>
      </c>
      <c r="H12" s="25"/>
      <c r="I12" s="25"/>
      <c r="J12" s="26">
        <f t="shared" si="10"/>
        <v>2.2762793021414711</v>
      </c>
      <c r="K12" s="27"/>
      <c r="L12" s="24"/>
      <c r="M12" s="24"/>
      <c r="N12" s="52">
        <v>22</v>
      </c>
      <c r="O12" s="52">
        <f t="shared" si="1"/>
        <v>50.078144647112367</v>
      </c>
      <c r="P12" s="25"/>
      <c r="Q12" s="25" t="e">
        <f t="shared" si="4"/>
        <v>#DIV/0!</v>
      </c>
      <c r="R12" s="26">
        <f t="shared" si="5"/>
        <v>2.2762793021414711</v>
      </c>
    </row>
    <row r="13" spans="1:18" ht="15.75" x14ac:dyDescent="0.25">
      <c r="A13" s="84"/>
      <c r="B13" s="21" t="s">
        <v>38</v>
      </c>
      <c r="C13" s="27">
        <v>44.5</v>
      </c>
      <c r="D13" s="24">
        <v>19.824899722278595</v>
      </c>
      <c r="E13" s="24">
        <v>9.0039458666666654</v>
      </c>
      <c r="F13" s="53">
        <f>F14+F15</f>
        <v>50</v>
      </c>
      <c r="G13" s="53">
        <f>G14+G15</f>
        <v>85.643448052583452</v>
      </c>
      <c r="H13" s="25">
        <f t="shared" si="6"/>
        <v>1.9245718663501898</v>
      </c>
      <c r="I13" s="41">
        <f t="shared" ref="I13" si="11">F13/D13</f>
        <v>2.5220808528888337</v>
      </c>
      <c r="J13" s="26">
        <f t="shared" si="10"/>
        <v>1.712868961051669</v>
      </c>
      <c r="K13" s="27">
        <v>44.5</v>
      </c>
      <c r="L13" s="24">
        <v>19.824899722278595</v>
      </c>
      <c r="M13" s="24">
        <v>9.0039458666666654</v>
      </c>
      <c r="N13" s="53">
        <f>N14+N15</f>
        <v>50</v>
      </c>
      <c r="O13" s="53">
        <f t="shared" si="1"/>
        <v>85.643448052583452</v>
      </c>
      <c r="P13" s="25">
        <f t="shared" si="7"/>
        <v>1.9245718663501898</v>
      </c>
      <c r="Q13" s="25">
        <f t="shared" si="4"/>
        <v>2.5220808528888337</v>
      </c>
      <c r="R13" s="26">
        <f t="shared" si="5"/>
        <v>1.712868961051669</v>
      </c>
    </row>
    <row r="14" spans="1:18" ht="15.75" x14ac:dyDescent="0.25">
      <c r="A14" s="84"/>
      <c r="B14" s="21" t="s">
        <v>50</v>
      </c>
      <c r="C14" s="27"/>
      <c r="D14" s="24"/>
      <c r="E14" s="24"/>
      <c r="F14" s="52">
        <v>24</v>
      </c>
      <c r="G14" s="52">
        <f>F14*'Số Total'!K5</f>
        <v>26.460186196905202</v>
      </c>
      <c r="H14" s="25"/>
      <c r="I14" s="41"/>
      <c r="J14" s="26">
        <f t="shared" si="10"/>
        <v>1.1025077582043834</v>
      </c>
      <c r="K14" s="27"/>
      <c r="L14" s="24"/>
      <c r="M14" s="24"/>
      <c r="N14" s="52">
        <v>24</v>
      </c>
      <c r="O14" s="52">
        <f t="shared" si="1"/>
        <v>26.460186196905202</v>
      </c>
      <c r="P14" s="25"/>
      <c r="Q14" s="25" t="e">
        <f t="shared" si="4"/>
        <v>#DIV/0!</v>
      </c>
      <c r="R14" s="26">
        <f t="shared" si="5"/>
        <v>1.1025077582043834</v>
      </c>
    </row>
    <row r="15" spans="1:18" ht="15.75" x14ac:dyDescent="0.25">
      <c r="A15" s="84"/>
      <c r="B15" s="21" t="s">
        <v>51</v>
      </c>
      <c r="C15" s="27"/>
      <c r="D15" s="24"/>
      <c r="E15" s="24"/>
      <c r="F15" s="52">
        <v>26</v>
      </c>
      <c r="G15" s="52">
        <f>F15*'Số Total'!K8</f>
        <v>59.183261855678246</v>
      </c>
      <c r="H15" s="25"/>
      <c r="I15" s="41"/>
      <c r="J15" s="26">
        <f t="shared" si="10"/>
        <v>2.2762793021414711</v>
      </c>
      <c r="K15" s="27"/>
      <c r="L15" s="24"/>
      <c r="M15" s="24"/>
      <c r="N15" s="52">
        <v>26</v>
      </c>
      <c r="O15" s="52">
        <f t="shared" si="1"/>
        <v>59.183261855678246</v>
      </c>
      <c r="P15" s="25"/>
      <c r="Q15" s="25" t="e">
        <f t="shared" si="4"/>
        <v>#DIV/0!</v>
      </c>
      <c r="R15" s="26">
        <f t="shared" si="5"/>
        <v>2.2762793021414711</v>
      </c>
    </row>
    <row r="16" spans="1:18" ht="15.75" x14ac:dyDescent="0.25">
      <c r="A16" s="84"/>
      <c r="B16" s="21" t="s">
        <v>39</v>
      </c>
      <c r="C16" s="22"/>
      <c r="D16" s="23">
        <v>8.5964999999999986E-2</v>
      </c>
      <c r="E16" s="24">
        <v>0.27733333333333338</v>
      </c>
      <c r="F16" s="53">
        <f>SUM(F17:F18)</f>
        <v>1.5</v>
      </c>
      <c r="G16" s="53">
        <f>SUM(G17:G18)</f>
        <v>3.7237921449537104</v>
      </c>
      <c r="H16" s="25"/>
      <c r="I16" s="47">
        <f t="shared" ref="I16:I17" si="12">F16/D16</f>
        <v>17.44896178677369</v>
      </c>
      <c r="J16" s="48">
        <f t="shared" ref="J16" si="13">F16/E16</f>
        <v>5.4086538461538449</v>
      </c>
      <c r="K16" s="27"/>
      <c r="L16" s="24">
        <v>8.5964999999999986E-2</v>
      </c>
      <c r="M16" s="24">
        <v>0.27733333333333338</v>
      </c>
      <c r="N16" s="53">
        <f>SUM(N17:N18)</f>
        <v>1.5</v>
      </c>
      <c r="O16" s="53">
        <f t="shared" si="1"/>
        <v>3.7237921449537104</v>
      </c>
      <c r="P16" s="25"/>
      <c r="Q16" s="25">
        <f t="shared" si="4"/>
        <v>17.44896178677369</v>
      </c>
      <c r="R16" s="26">
        <f t="shared" si="5"/>
        <v>2.4825280966358068</v>
      </c>
    </row>
    <row r="17" spans="1:19" ht="15.75" x14ac:dyDescent="0.25">
      <c r="A17" s="84"/>
      <c r="B17" s="21" t="s">
        <v>50</v>
      </c>
      <c r="C17" s="22"/>
      <c r="D17" s="23"/>
      <c r="E17" s="24"/>
      <c r="F17" s="52">
        <v>0.9</v>
      </c>
      <c r="G17" s="52">
        <f>F17*'Số Total'!K5</f>
        <v>0.99225698238394511</v>
      </c>
      <c r="H17" s="25"/>
      <c r="I17" s="25" t="e">
        <f t="shared" si="12"/>
        <v>#DIV/0!</v>
      </c>
      <c r="J17" s="26">
        <f t="shared" ref="J17:J22" si="14">G17/F17</f>
        <v>1.1025077582043834</v>
      </c>
      <c r="K17" s="27"/>
      <c r="L17" s="24"/>
      <c r="M17" s="24"/>
      <c r="N17" s="52">
        <v>0.9</v>
      </c>
      <c r="O17" s="52">
        <f t="shared" si="1"/>
        <v>0.99225698238394511</v>
      </c>
      <c r="P17" s="25"/>
      <c r="Q17" s="25" t="e">
        <f t="shared" si="4"/>
        <v>#DIV/0!</v>
      </c>
      <c r="R17" s="26">
        <f t="shared" si="5"/>
        <v>1.1025077582043834</v>
      </c>
    </row>
    <row r="18" spans="1:19" ht="15.75" x14ac:dyDescent="0.25">
      <c r="A18" s="84"/>
      <c r="B18" s="21" t="s">
        <v>51</v>
      </c>
      <c r="C18" s="22"/>
      <c r="D18" s="23"/>
      <c r="E18" s="24"/>
      <c r="F18" s="52">
        <v>0.6</v>
      </c>
      <c r="G18" s="52">
        <f>(F18/6*12)*'Số Total'!K8</f>
        <v>2.7315351625697653</v>
      </c>
      <c r="H18" s="25"/>
      <c r="I18" s="25"/>
      <c r="J18" s="26">
        <f t="shared" si="14"/>
        <v>4.5525586042829422</v>
      </c>
      <c r="K18" s="27"/>
      <c r="L18" s="24"/>
      <c r="M18" s="24"/>
      <c r="N18" s="52">
        <v>0.6</v>
      </c>
      <c r="O18" s="52">
        <f t="shared" si="1"/>
        <v>2.7315351625697653</v>
      </c>
      <c r="P18" s="25"/>
      <c r="Q18" s="25" t="e">
        <f t="shared" si="4"/>
        <v>#DIV/0!</v>
      </c>
      <c r="R18" s="26">
        <f t="shared" si="5"/>
        <v>4.5525586042829422</v>
      </c>
    </row>
    <row r="19" spans="1:19" ht="15.75" x14ac:dyDescent="0.25">
      <c r="A19" s="84"/>
      <c r="B19" s="21" t="s">
        <v>43</v>
      </c>
      <c r="C19" s="22"/>
      <c r="D19" s="23">
        <v>0</v>
      </c>
      <c r="E19" s="24">
        <v>1.6800000000000002</v>
      </c>
      <c r="F19" s="53">
        <v>3.6</v>
      </c>
      <c r="G19" s="53">
        <f>F19*'Số Total'!K11</f>
        <v>5.6792618427677395</v>
      </c>
      <c r="H19" s="25"/>
      <c r="I19" s="25"/>
      <c r="J19" s="26">
        <f t="shared" si="14"/>
        <v>1.5775727341021497</v>
      </c>
      <c r="K19" s="27"/>
      <c r="L19" s="24">
        <v>0</v>
      </c>
      <c r="M19" s="24">
        <v>1.6800000000000002</v>
      </c>
      <c r="N19" s="53">
        <v>3.6</v>
      </c>
      <c r="O19" s="53">
        <f t="shared" si="1"/>
        <v>5.6792618427677395</v>
      </c>
      <c r="P19" s="25"/>
      <c r="Q19" s="25" t="e">
        <f t="shared" si="4"/>
        <v>#DIV/0!</v>
      </c>
      <c r="R19" s="26">
        <f t="shared" si="5"/>
        <v>1.5775727341021497</v>
      </c>
      <c r="S19" s="6">
        <f>O19*0.1</f>
        <v>0.56792618427677399</v>
      </c>
    </row>
    <row r="20" spans="1:19" ht="16.5" thickBot="1" x14ac:dyDescent="0.3">
      <c r="A20" s="84"/>
      <c r="B20" s="28" t="s">
        <v>44</v>
      </c>
      <c r="C20" s="55"/>
      <c r="D20" s="56">
        <v>0</v>
      </c>
      <c r="E20" s="56">
        <v>0</v>
      </c>
      <c r="F20" s="67">
        <v>0.1</v>
      </c>
      <c r="G20" s="67">
        <f>F20*'Số Total'!K11</f>
        <v>0.157757273410215</v>
      </c>
      <c r="H20" s="57"/>
      <c r="I20" s="13" t="e">
        <f t="shared" ref="I20" si="15">F20/D20</f>
        <v>#DIV/0!</v>
      </c>
      <c r="J20" s="58">
        <f t="shared" si="14"/>
        <v>1.5775727341021499</v>
      </c>
      <c r="K20" s="55"/>
      <c r="L20" s="56">
        <v>0</v>
      </c>
      <c r="M20" s="56">
        <v>0</v>
      </c>
      <c r="N20" s="67">
        <v>0.1</v>
      </c>
      <c r="O20" s="67">
        <f t="shared" si="1"/>
        <v>0.157757273410215</v>
      </c>
      <c r="P20" s="57"/>
      <c r="Q20" s="57" t="e">
        <f t="shared" si="4"/>
        <v>#DIV/0!</v>
      </c>
      <c r="R20" s="58">
        <f t="shared" si="5"/>
        <v>1.5775727341021499</v>
      </c>
    </row>
    <row r="21" spans="1:19" ht="16.5" thickBot="1" x14ac:dyDescent="0.3">
      <c r="A21" s="84"/>
      <c r="B21" s="65" t="s">
        <v>35</v>
      </c>
      <c r="C21" s="68">
        <f>SUM(C19:C20,C16,C13,C10)</f>
        <v>54.92</v>
      </c>
      <c r="D21" s="69">
        <f>SUM(D19:D20,D16,D13,D10)</f>
        <v>26.992291453578595</v>
      </c>
      <c r="E21" s="69">
        <f>SUM(E19:E20,E16,E13,E10)</f>
        <v>19.081279199999997</v>
      </c>
      <c r="F21" s="61">
        <f>SUM(F19:F20,F16,F13,F10)</f>
        <v>108.2</v>
      </c>
      <c r="G21" s="61">
        <f>SUM(G19:G20,G16,G13,G10)</f>
        <v>179.46014446516335</v>
      </c>
      <c r="H21" s="14">
        <f t="shared" si="6"/>
        <v>3.267664684362042</v>
      </c>
      <c r="I21" s="70"/>
      <c r="J21" s="15">
        <f t="shared" si="14"/>
        <v>1.6585965292528959</v>
      </c>
      <c r="K21" s="68">
        <f>SUM(K19:K20,K16,K13,K10)</f>
        <v>54.92</v>
      </c>
      <c r="L21" s="69">
        <f>SUM(L19:L20,L16,L13,L10)</f>
        <v>26.992291453578595</v>
      </c>
      <c r="M21" s="69">
        <f>SUM(M19:M20,M16,M13,M10)</f>
        <v>19.081279199999997</v>
      </c>
      <c r="N21" s="61">
        <f>SUM(N19:N20,N16,N13,N10)</f>
        <v>108.2</v>
      </c>
      <c r="O21" s="61">
        <f t="shared" si="1"/>
        <v>179.46014446516335</v>
      </c>
      <c r="P21" s="14">
        <f t="shared" si="7"/>
        <v>3.267664684362042</v>
      </c>
      <c r="Q21" s="14">
        <f t="shared" si="4"/>
        <v>4.0085518558542024</v>
      </c>
      <c r="R21" s="15">
        <f t="shared" si="5"/>
        <v>1.6585965292528959</v>
      </c>
    </row>
    <row r="22" spans="1:19" ht="15.75" x14ac:dyDescent="0.25">
      <c r="A22" s="90" t="s">
        <v>53</v>
      </c>
      <c r="B22" s="16" t="s">
        <v>40</v>
      </c>
      <c r="C22" s="17">
        <v>14</v>
      </c>
      <c r="D22" s="18">
        <v>9.5500000000000007</v>
      </c>
      <c r="E22" s="18">
        <v>4.84</v>
      </c>
      <c r="F22" s="51">
        <v>23</v>
      </c>
      <c r="G22" s="51">
        <f>F22*'Số Total'!K11</f>
        <v>36.284172884349445</v>
      </c>
      <c r="H22" s="19">
        <f t="shared" si="6"/>
        <v>2.5917266345963887</v>
      </c>
      <c r="I22" s="60"/>
      <c r="J22" s="20">
        <f t="shared" si="14"/>
        <v>1.5775727341021497</v>
      </c>
      <c r="K22" s="17">
        <v>2.8</v>
      </c>
      <c r="L22" s="18">
        <v>1.9059876239999998</v>
      </c>
      <c r="M22" s="18">
        <v>1.2066666666666668</v>
      </c>
      <c r="N22" s="51">
        <v>6</v>
      </c>
      <c r="O22" s="51">
        <f>G22*0.25</f>
        <v>9.0710432210873613</v>
      </c>
      <c r="P22" s="19">
        <f t="shared" si="7"/>
        <v>3.2396582932454865</v>
      </c>
      <c r="Q22" s="19">
        <f t="shared" si="4"/>
        <v>3.1479742703722828</v>
      </c>
      <c r="R22" s="20">
        <f t="shared" si="5"/>
        <v>1.5118405368478935</v>
      </c>
      <c r="S22" s="6">
        <f>G22-O22</f>
        <v>27.213129663262084</v>
      </c>
    </row>
    <row r="23" spans="1:19" ht="15.75" x14ac:dyDescent="0.25">
      <c r="A23" s="90"/>
      <c r="B23" s="21" t="s">
        <v>41</v>
      </c>
      <c r="C23" s="22">
        <v>7.24</v>
      </c>
      <c r="D23" s="23">
        <v>2.9</v>
      </c>
      <c r="E23" s="24">
        <v>0.3</v>
      </c>
      <c r="F23" s="53">
        <v>1.8</v>
      </c>
      <c r="G23" s="53">
        <f>F23*'Số Total'!K11</f>
        <v>2.8396309213838697</v>
      </c>
      <c r="H23" s="25">
        <f t="shared" si="6"/>
        <v>0.39221421566075548</v>
      </c>
      <c r="I23" s="47">
        <f t="shared" ref="I23:I24" si="16">F23/D23</f>
        <v>0.62068965517241381</v>
      </c>
      <c r="J23" s="48">
        <f t="shared" ref="J23" si="17">F23/E23</f>
        <v>6</v>
      </c>
      <c r="K23" s="27">
        <v>0.66</v>
      </c>
      <c r="L23" s="24">
        <v>0.3</v>
      </c>
      <c r="M23" s="24">
        <v>0.01</v>
      </c>
      <c r="N23" s="53">
        <v>0.04</v>
      </c>
      <c r="O23" s="53">
        <f>N23*'Số Total'!K11</f>
        <v>6.3102909364085996E-2</v>
      </c>
      <c r="P23" s="25">
        <f t="shared" si="7"/>
        <v>9.5610468733463627E-2</v>
      </c>
      <c r="Q23" s="25">
        <f t="shared" si="4"/>
        <v>0.13333333333333333</v>
      </c>
      <c r="R23" s="26">
        <f t="shared" si="5"/>
        <v>1.5775727341021499</v>
      </c>
      <c r="S23" s="6">
        <f>G23-O23</f>
        <v>2.7765280120197837</v>
      </c>
    </row>
    <row r="24" spans="1:19" ht="15.75" x14ac:dyDescent="0.25">
      <c r="A24" s="90"/>
      <c r="B24" s="21" t="s">
        <v>42</v>
      </c>
      <c r="C24" s="27"/>
      <c r="D24" s="24">
        <v>9.941330233114104E-2</v>
      </c>
      <c r="E24" s="24">
        <v>0.2</v>
      </c>
      <c r="F24" s="53">
        <v>1.34</v>
      </c>
      <c r="G24" s="53">
        <f>F24*'Số Total'!K11</f>
        <v>2.1139474636968809</v>
      </c>
      <c r="H24" s="25"/>
      <c r="I24" s="25">
        <f t="shared" si="16"/>
        <v>13.479081456690002</v>
      </c>
      <c r="J24" s="26">
        <f t="shared" ref="J24:J35" si="18">G24/F24</f>
        <v>1.5775727341021499</v>
      </c>
      <c r="K24" s="27"/>
      <c r="L24" s="24">
        <v>9.941330233114104E-2</v>
      </c>
      <c r="M24" s="24">
        <v>0.81923563163492596</v>
      </c>
      <c r="N24" s="53">
        <v>1.34</v>
      </c>
      <c r="O24" s="53">
        <f>G24</f>
        <v>2.1139474636968809</v>
      </c>
      <c r="P24" s="25"/>
      <c r="Q24" s="25">
        <f t="shared" si="4"/>
        <v>13.479081456690002</v>
      </c>
      <c r="R24" s="26">
        <f t="shared" si="5"/>
        <v>1.5775727341021499</v>
      </c>
    </row>
    <row r="25" spans="1:19" ht="15.75" x14ac:dyDescent="0.25">
      <c r="A25" s="90"/>
      <c r="B25" s="21" t="s">
        <v>46</v>
      </c>
      <c r="C25" s="22">
        <v>0</v>
      </c>
      <c r="D25" s="23">
        <v>0</v>
      </c>
      <c r="E25" s="24">
        <v>0</v>
      </c>
      <c r="F25" s="53">
        <v>1</v>
      </c>
      <c r="G25" s="53">
        <f>F25*'Số Total'!K5</f>
        <v>1.1025077582043834</v>
      </c>
      <c r="H25" s="25"/>
      <c r="I25" s="25"/>
      <c r="J25" s="26">
        <f t="shared" si="18"/>
        <v>1.1025077582043834</v>
      </c>
      <c r="K25" s="27">
        <v>0</v>
      </c>
      <c r="L25" s="24">
        <v>0</v>
      </c>
      <c r="M25" s="24">
        <v>0</v>
      </c>
      <c r="N25" s="53">
        <v>0.6</v>
      </c>
      <c r="O25" s="53">
        <f>N25*'Số Total'!K11</f>
        <v>0.94654364046128991</v>
      </c>
      <c r="P25" s="25"/>
      <c r="Q25" s="25" t="e">
        <f t="shared" si="4"/>
        <v>#DIV/0!</v>
      </c>
      <c r="R25" s="26">
        <f t="shared" si="5"/>
        <v>1.5775727341021499</v>
      </c>
      <c r="S25" s="6">
        <f>G25-O25</f>
        <v>0.15596411774309349</v>
      </c>
    </row>
    <row r="26" spans="1:19" ht="15.75" x14ac:dyDescent="0.25">
      <c r="A26" s="90"/>
      <c r="B26" s="21" t="s">
        <v>47</v>
      </c>
      <c r="C26" s="22">
        <v>0</v>
      </c>
      <c r="D26" s="23">
        <v>0</v>
      </c>
      <c r="E26" s="24">
        <v>0</v>
      </c>
      <c r="F26" s="53">
        <v>1E-3</v>
      </c>
      <c r="G26" s="53">
        <v>0.1</v>
      </c>
      <c r="H26" s="25"/>
      <c r="I26" s="25"/>
      <c r="J26" s="26">
        <f t="shared" si="18"/>
        <v>100</v>
      </c>
      <c r="K26" s="27">
        <v>0</v>
      </c>
      <c r="L26" s="24">
        <v>0</v>
      </c>
      <c r="M26" s="24">
        <v>0</v>
      </c>
      <c r="N26" s="53">
        <v>1E-3</v>
      </c>
      <c r="O26" s="53">
        <v>0.1</v>
      </c>
      <c r="P26" s="25"/>
      <c r="Q26" s="25" t="e">
        <f t="shared" si="4"/>
        <v>#DIV/0!</v>
      </c>
      <c r="R26" s="26">
        <f t="shared" si="5"/>
        <v>100</v>
      </c>
    </row>
    <row r="27" spans="1:19" ht="16.5" thickBot="1" x14ac:dyDescent="0.3">
      <c r="A27" s="90"/>
      <c r="B27" s="28" t="s">
        <v>52</v>
      </c>
      <c r="C27" s="63"/>
      <c r="D27" s="12"/>
      <c r="E27" s="56"/>
      <c r="F27" s="67">
        <v>0.35</v>
      </c>
      <c r="G27" s="67">
        <v>10</v>
      </c>
      <c r="H27" s="57"/>
      <c r="I27" s="13" t="e">
        <f t="shared" ref="I27" si="19">F27/D27</f>
        <v>#DIV/0!</v>
      </c>
      <c r="J27" s="58">
        <f t="shared" si="18"/>
        <v>28.571428571428573</v>
      </c>
      <c r="K27" s="55"/>
      <c r="L27" s="56"/>
      <c r="M27" s="56"/>
      <c r="N27" s="67">
        <v>0.09</v>
      </c>
      <c r="O27" s="67">
        <f>G27*0.25</f>
        <v>2.5</v>
      </c>
      <c r="P27" s="57"/>
      <c r="Q27" s="57" t="e">
        <f t="shared" si="4"/>
        <v>#DIV/0!</v>
      </c>
      <c r="R27" s="58">
        <f t="shared" si="5"/>
        <v>27.777777777777779</v>
      </c>
      <c r="S27" s="6">
        <f>G27-O27</f>
        <v>7.5</v>
      </c>
    </row>
    <row r="28" spans="1:19" ht="16.5" thickBot="1" x14ac:dyDescent="0.3">
      <c r="A28" s="91"/>
      <c r="B28" s="65" t="s">
        <v>35</v>
      </c>
      <c r="C28" s="29">
        <f>SUM(C22:C27)</f>
        <v>21.240000000000002</v>
      </c>
      <c r="D28" s="30">
        <f t="shared" ref="D28:E28" si="20">SUM(D22:D27)</f>
        <v>12.549413302331143</v>
      </c>
      <c r="E28" s="30">
        <f t="shared" si="20"/>
        <v>5.34</v>
      </c>
      <c r="F28" s="61">
        <f>SUM(F22:F27)</f>
        <v>27.491000000000003</v>
      </c>
      <c r="G28" s="61">
        <f>SUM(G22:G27)</f>
        <v>52.440259027634582</v>
      </c>
      <c r="H28" s="14">
        <f t="shared" si="6"/>
        <v>2.4689387489470138</v>
      </c>
      <c r="I28" s="70"/>
      <c r="J28" s="15">
        <f t="shared" si="18"/>
        <v>1.9075427968293106</v>
      </c>
      <c r="K28" s="29">
        <f>SUM(K22:K27)</f>
        <v>3.46</v>
      </c>
      <c r="L28" s="30">
        <f t="shared" ref="L28" si="21">SUM(L22:L27)</f>
        <v>2.3054009263311408</v>
      </c>
      <c r="M28" s="30">
        <f t="shared" ref="M28" si="22">SUM(M22:M27)</f>
        <v>2.0359022983015929</v>
      </c>
      <c r="N28" s="61">
        <f>SUM(N22:N27)</f>
        <v>8.0709999999999997</v>
      </c>
      <c r="O28" s="61">
        <f>SUM(O22:O27)</f>
        <v>14.794637234609617</v>
      </c>
      <c r="P28" s="14">
        <f t="shared" si="7"/>
        <v>4.2759067152050916</v>
      </c>
      <c r="Q28" s="14">
        <f t="shared" si="4"/>
        <v>3.5009094981341677</v>
      </c>
      <c r="R28" s="15">
        <f t="shared" si="5"/>
        <v>1.8330612358579628</v>
      </c>
    </row>
    <row r="29" spans="1:19" ht="16.5" thickBot="1" x14ac:dyDescent="0.3">
      <c r="A29" s="88" t="s">
        <v>58</v>
      </c>
      <c r="B29" s="89"/>
      <c r="C29" s="75">
        <f>SUM(C9,C21,C28)</f>
        <v>392.29</v>
      </c>
      <c r="D29" s="76">
        <f t="shared" ref="D29:E29" si="23">SUM(D9,D21,D28)</f>
        <v>151.20797710790973</v>
      </c>
      <c r="E29" s="76">
        <f t="shared" si="23"/>
        <v>98.962360533333324</v>
      </c>
      <c r="F29" s="61">
        <f>SUM(F9,F21,F28)</f>
        <v>408.69099999999997</v>
      </c>
      <c r="G29" s="61">
        <f>SUM(G9,G21,G28)</f>
        <v>733.59995549583664</v>
      </c>
      <c r="H29" s="14">
        <f t="shared" si="6"/>
        <v>1.8700450062347667</v>
      </c>
      <c r="I29" s="70"/>
      <c r="J29" s="15">
        <f t="shared" si="18"/>
        <v>1.7949990469470496</v>
      </c>
      <c r="K29" s="75">
        <f>SUM(K9,K21,K28)</f>
        <v>374.51</v>
      </c>
      <c r="L29" s="76">
        <f t="shared" ref="L29" si="24">SUM(L9,L21,L28)</f>
        <v>140.96396473190973</v>
      </c>
      <c r="M29" s="76">
        <f t="shared" ref="M29" si="25">SUM(M9,M21,M28)</f>
        <v>95.658262831634914</v>
      </c>
      <c r="N29" s="61">
        <f>SUM(N9,N21,N28)</f>
        <v>389.27100000000002</v>
      </c>
      <c r="O29" s="61">
        <f>SUM(O9,O21,O28)</f>
        <v>695.9543337028116</v>
      </c>
      <c r="P29" s="14">
        <f t="shared" si="7"/>
        <v>1.8583064102502247</v>
      </c>
      <c r="Q29" s="14">
        <f t="shared" si="4"/>
        <v>2.7614929868092846</v>
      </c>
      <c r="R29" s="15">
        <f t="shared" si="5"/>
        <v>1.7878401774157633</v>
      </c>
    </row>
    <row r="30" spans="1:19" ht="15.75" customHeight="1" x14ac:dyDescent="0.25">
      <c r="A30" s="92" t="s">
        <v>54</v>
      </c>
      <c r="B30" s="59" t="s">
        <v>48</v>
      </c>
      <c r="C30" s="71">
        <v>0</v>
      </c>
      <c r="D30" s="72">
        <v>0</v>
      </c>
      <c r="E30" s="9">
        <v>0</v>
      </c>
      <c r="F30" s="73">
        <v>12.7</v>
      </c>
      <c r="G30" s="73">
        <v>20</v>
      </c>
      <c r="H30" s="10"/>
      <c r="I30" s="31" t="e">
        <f t="shared" ref="I30:I31" si="26">F30/D30</f>
        <v>#DIV/0!</v>
      </c>
      <c r="J30" s="11">
        <f t="shared" si="18"/>
        <v>1.5748031496062993</v>
      </c>
      <c r="K30" s="32">
        <v>0</v>
      </c>
      <c r="L30" s="9">
        <v>0</v>
      </c>
      <c r="M30" s="9">
        <v>0</v>
      </c>
      <c r="N30" s="74">
        <v>0.4</v>
      </c>
      <c r="O30" s="73">
        <f>G30*0.06</f>
        <v>1.2</v>
      </c>
      <c r="P30" s="10"/>
      <c r="Q30" s="10" t="e">
        <f t="shared" si="4"/>
        <v>#DIV/0!</v>
      </c>
      <c r="R30" s="11">
        <f t="shared" si="5"/>
        <v>2.9999999999999996</v>
      </c>
      <c r="S30" s="6">
        <f>G30-O30</f>
        <v>18.8</v>
      </c>
    </row>
    <row r="31" spans="1:19" ht="15.75" x14ac:dyDescent="0.25">
      <c r="A31" s="93"/>
      <c r="B31" s="43" t="s">
        <v>49</v>
      </c>
      <c r="C31" s="22">
        <v>0</v>
      </c>
      <c r="D31" s="23">
        <v>0</v>
      </c>
      <c r="E31" s="24">
        <v>0</v>
      </c>
      <c r="F31" s="52">
        <v>2.16</v>
      </c>
      <c r="G31" s="52"/>
      <c r="H31" s="25"/>
      <c r="I31" s="25" t="e">
        <f t="shared" si="26"/>
        <v>#DIV/0!</v>
      </c>
      <c r="J31" s="26">
        <f t="shared" si="18"/>
        <v>0</v>
      </c>
      <c r="K31" s="27">
        <v>0</v>
      </c>
      <c r="L31" s="24">
        <v>0</v>
      </c>
      <c r="M31" s="24">
        <v>0</v>
      </c>
      <c r="N31" s="52">
        <v>0.08</v>
      </c>
      <c r="O31" s="52"/>
      <c r="P31" s="25"/>
      <c r="Q31" s="25" t="e">
        <f t="shared" si="4"/>
        <v>#DIV/0!</v>
      </c>
      <c r="R31" s="26">
        <f t="shared" si="5"/>
        <v>0</v>
      </c>
    </row>
    <row r="32" spans="1:19" ht="15.75" x14ac:dyDescent="0.25">
      <c r="A32" s="93"/>
      <c r="B32" s="43" t="s">
        <v>55</v>
      </c>
      <c r="C32" s="46"/>
      <c r="D32" s="1"/>
      <c r="E32" s="1"/>
      <c r="F32" s="54"/>
      <c r="G32" s="54">
        <v>1</v>
      </c>
      <c r="H32" s="25"/>
      <c r="I32" s="25"/>
      <c r="J32" s="26"/>
      <c r="K32" s="46"/>
      <c r="L32" s="1"/>
      <c r="M32" s="1"/>
      <c r="N32" s="54"/>
      <c r="O32" s="54">
        <v>1</v>
      </c>
      <c r="P32" s="25"/>
      <c r="Q32" s="25" t="e">
        <f t="shared" si="4"/>
        <v>#DIV/0!</v>
      </c>
      <c r="R32" s="26"/>
    </row>
    <row r="33" spans="1:18" ht="15.75" x14ac:dyDescent="0.25">
      <c r="A33" s="93"/>
      <c r="B33" s="43" t="s">
        <v>45</v>
      </c>
      <c r="C33" s="46"/>
      <c r="D33" s="1"/>
      <c r="E33" s="1"/>
      <c r="F33" s="54"/>
      <c r="G33" s="54">
        <v>1</v>
      </c>
      <c r="H33" s="25"/>
      <c r="I33" s="25"/>
      <c r="J33" s="26"/>
      <c r="K33" s="46"/>
      <c r="L33" s="1"/>
      <c r="M33" s="1"/>
      <c r="N33" s="54"/>
      <c r="O33" s="54">
        <v>1</v>
      </c>
      <c r="P33" s="25"/>
      <c r="Q33" s="25" t="e">
        <f t="shared" si="4"/>
        <v>#DIV/0!</v>
      </c>
      <c r="R33" s="26"/>
    </row>
    <row r="34" spans="1:18" ht="16.5" thickBot="1" x14ac:dyDescent="0.3">
      <c r="A34" s="93"/>
      <c r="B34" s="62" t="s">
        <v>56</v>
      </c>
      <c r="C34" s="77"/>
      <c r="D34" s="78"/>
      <c r="E34" s="78"/>
      <c r="F34" s="79"/>
      <c r="G34" s="79">
        <v>1</v>
      </c>
      <c r="H34" s="57"/>
      <c r="I34" s="13" t="e">
        <f t="shared" ref="I34" si="27">F34/D34</f>
        <v>#DIV/0!</v>
      </c>
      <c r="J34" s="58"/>
      <c r="K34" s="77"/>
      <c r="L34" s="78"/>
      <c r="M34" s="78"/>
      <c r="N34" s="79"/>
      <c r="O34" s="79">
        <v>1</v>
      </c>
      <c r="P34" s="57"/>
      <c r="Q34" s="57" t="e">
        <f t="shared" si="4"/>
        <v>#DIV/0!</v>
      </c>
      <c r="R34" s="58"/>
    </row>
    <row r="35" spans="1:18" ht="16.5" thickBot="1" x14ac:dyDescent="0.3">
      <c r="A35" s="94"/>
      <c r="B35" s="65" t="s">
        <v>35</v>
      </c>
      <c r="C35" s="80">
        <f>SUM(C30:C34)</f>
        <v>0</v>
      </c>
      <c r="D35" s="80">
        <f t="shared" ref="D35:G35" si="28">SUM(D30:D34)</f>
        <v>0</v>
      </c>
      <c r="E35" s="80">
        <f t="shared" si="28"/>
        <v>0</v>
      </c>
      <c r="F35" s="61">
        <f t="shared" si="28"/>
        <v>14.86</v>
      </c>
      <c r="G35" s="61">
        <f t="shared" si="28"/>
        <v>23</v>
      </c>
      <c r="H35" s="14"/>
      <c r="I35" s="70"/>
      <c r="J35" s="15">
        <f t="shared" si="18"/>
        <v>1.5477792732166891</v>
      </c>
      <c r="K35" s="80">
        <f>SUM(K30:K34)</f>
        <v>0</v>
      </c>
      <c r="L35" s="80">
        <f t="shared" ref="L35" si="29">SUM(L30:L34)</f>
        <v>0</v>
      </c>
      <c r="M35" s="80">
        <f t="shared" ref="M35" si="30">SUM(M30:M34)</f>
        <v>0</v>
      </c>
      <c r="N35" s="61">
        <f t="shared" ref="N35:O35" si="31">SUM(N30:N34)</f>
        <v>0.48000000000000004</v>
      </c>
      <c r="O35" s="61">
        <f t="shared" si="31"/>
        <v>4.2</v>
      </c>
      <c r="P35" s="14"/>
      <c r="Q35" s="14" t="e">
        <f t="shared" si="4"/>
        <v>#DIV/0!</v>
      </c>
      <c r="R35" s="15">
        <f t="shared" si="5"/>
        <v>8.75</v>
      </c>
    </row>
    <row r="36" spans="1:18" ht="16.5" thickBot="1" x14ac:dyDescent="0.3">
      <c r="A36" s="88" t="s">
        <v>58</v>
      </c>
      <c r="B36" s="89"/>
      <c r="C36" s="75">
        <f>SUM(C29,C35)</f>
        <v>392.29</v>
      </c>
      <c r="D36" s="75">
        <f t="shared" ref="D36:G36" si="32">SUM(D29,D35)</f>
        <v>151.20797710790973</v>
      </c>
      <c r="E36" s="75">
        <f t="shared" si="32"/>
        <v>98.962360533333324</v>
      </c>
      <c r="F36" s="61">
        <f t="shared" si="32"/>
        <v>423.55099999999999</v>
      </c>
      <c r="G36" s="61">
        <f t="shared" si="32"/>
        <v>756.59995549583664</v>
      </c>
      <c r="H36" s="14">
        <f t="shared" si="6"/>
        <v>1.9286751013174861</v>
      </c>
      <c r="I36" s="70"/>
      <c r="J36" s="15">
        <f t="shared" ref="J36" si="33">G36/F36</f>
        <v>1.7863255086066061</v>
      </c>
      <c r="K36" s="75">
        <f>SUM(K29,K35)</f>
        <v>374.51</v>
      </c>
      <c r="L36" s="75">
        <f t="shared" ref="L36" si="34">SUM(L29,L35)</f>
        <v>140.96396473190973</v>
      </c>
      <c r="M36" s="75">
        <f t="shared" ref="M36" si="35">SUM(M29,M35)</f>
        <v>95.658262831634914</v>
      </c>
      <c r="N36" s="61">
        <f t="shared" ref="N36:O36" si="36">SUM(N29,N35)</f>
        <v>389.75100000000003</v>
      </c>
      <c r="O36" s="61">
        <f t="shared" si="36"/>
        <v>700.15433370281164</v>
      </c>
      <c r="P36" s="14">
        <f t="shared" si="7"/>
        <v>1.8695210640645421</v>
      </c>
      <c r="Q36" s="14">
        <f t="shared" si="4"/>
        <v>2.7648981123739129</v>
      </c>
      <c r="R36" s="15">
        <f t="shared" si="5"/>
        <v>1.7964144638572104</v>
      </c>
    </row>
  </sheetData>
  <mergeCells count="9">
    <mergeCell ref="A1:B2"/>
    <mergeCell ref="C1:J1"/>
    <mergeCell ref="K1:R1"/>
    <mergeCell ref="A3:A9"/>
    <mergeCell ref="A36:B36"/>
    <mergeCell ref="A29:B29"/>
    <mergeCell ref="A10:A21"/>
    <mergeCell ref="A22:A28"/>
    <mergeCell ref="A30:A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Total</vt:lpstr>
      <vt:lpstr>MP2023 sản phẩm</vt:lpstr>
    </vt:vector>
  </TitlesOfParts>
  <Company>Vietnam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Phong Vu-DMD</dc:creator>
  <cp:lastModifiedBy>Ngo Phong Vu-DMD</cp:lastModifiedBy>
  <dcterms:created xsi:type="dcterms:W3CDTF">2022-10-11T08:32:47Z</dcterms:created>
  <dcterms:modified xsi:type="dcterms:W3CDTF">2022-10-27T01:55:01Z</dcterms:modified>
</cp:coreProperties>
</file>